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santanna\Dropbox\Co-authored Projects\IPS\Submission\Simulations\401k\Results\LTE\"/>
    </mc:Choice>
  </mc:AlternateContent>
  <xr:revisionPtr revIDLastSave="0" documentId="8_{9DCA755E-2ABC-4187-9D67-EF9DC79E5EA9}" xr6:coauthVersionLast="47" xr6:coauthVersionMax="47" xr10:uidLastSave="{00000000-0000-0000-0000-000000000000}"/>
  <bookViews>
    <workbookView xWindow="28702" yWindow="-98" windowWidth="28995" windowHeight="15675" activeTab="5" xr2:uid="{00000000-000D-0000-FFFF-FFFF00000000}"/>
  </bookViews>
  <sheets>
    <sheet name="inference" sheetId="34" r:id="rId1"/>
    <sheet name="balance" sheetId="44" r:id="rId2"/>
    <sheet name="Point" sheetId="30" r:id="rId3"/>
    <sheet name="Tables-n=200" sheetId="36" r:id="rId4"/>
    <sheet name="Tables-n=500" sheetId="35" r:id="rId5"/>
    <sheet name="Tables-n=1000" sheetId="43" r:id="rId6"/>
    <sheet name="Table-n=200-corr" sheetId="37" r:id="rId7"/>
    <sheet name="Table-n=200-miss" sheetId="38" r:id="rId8"/>
    <sheet name="Table-n=500-corr" sheetId="40" r:id="rId9"/>
    <sheet name="Table-n=500-miss" sheetId="39" r:id="rId10"/>
    <sheet name="Table-n=1000-corr" sheetId="42" r:id="rId11"/>
    <sheet name="Table-n=1000-miss" sheetId="41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43" l="1"/>
  <c r="AB5" i="43"/>
  <c r="Z6" i="43"/>
  <c r="AA6" i="43"/>
  <c r="AA7" i="43"/>
  <c r="AA5" i="43"/>
  <c r="Z5" i="43"/>
  <c r="X10" i="43"/>
  <c r="W10" i="43"/>
  <c r="W5" i="43"/>
  <c r="S5" i="43"/>
  <c r="AE10" i="35"/>
  <c r="AD10" i="35"/>
  <c r="AD9" i="35"/>
  <c r="AE8" i="35"/>
  <c r="AD8" i="35"/>
  <c r="AE7" i="35"/>
  <c r="AC10" i="35"/>
  <c r="AB10" i="35"/>
  <c r="AC9" i="35"/>
  <c r="AB9" i="35"/>
  <c r="AC8" i="35"/>
  <c r="AB8" i="35"/>
  <c r="AB5" i="35"/>
  <c r="W6" i="35"/>
  <c r="U9" i="35"/>
  <c r="V8" i="35"/>
  <c r="U8" i="35"/>
  <c r="V7" i="35"/>
  <c r="V6" i="35"/>
  <c r="U6" i="35"/>
  <c r="V5" i="35"/>
  <c r="S6" i="35"/>
  <c r="T6" i="35"/>
  <c r="S7" i="35"/>
  <c r="T7" i="35"/>
  <c r="S8" i="35"/>
  <c r="T8" i="35"/>
  <c r="S9" i="35"/>
  <c r="T9" i="35"/>
  <c r="T5" i="35"/>
  <c r="S5" i="35"/>
  <c r="AB6" i="36"/>
  <c r="AB5" i="36"/>
  <c r="Z6" i="36"/>
  <c r="AA6" i="36"/>
  <c r="Z10" i="36"/>
  <c r="AA5" i="36"/>
  <c r="Z5" i="36"/>
  <c r="X10" i="36"/>
  <c r="W10" i="36"/>
  <c r="X9" i="36"/>
  <c r="W9" i="36"/>
  <c r="X8" i="36"/>
  <c r="X7" i="36"/>
  <c r="W7" i="36"/>
  <c r="X6" i="36"/>
  <c r="W6" i="36"/>
  <c r="X5" i="36"/>
  <c r="W5" i="36"/>
  <c r="O8" i="41"/>
  <c r="AD8" i="43" s="1"/>
  <c r="O8" i="42"/>
  <c r="W8" i="43" s="1"/>
  <c r="O8" i="39"/>
  <c r="O8" i="40"/>
  <c r="W8" i="35" s="1"/>
  <c r="O8" i="38"/>
  <c r="AD8" i="36" s="1"/>
  <c r="O8" i="37"/>
  <c r="W8" i="36" s="1"/>
  <c r="G45" i="41"/>
  <c r="H45" i="41" s="1"/>
  <c r="F45" i="41"/>
  <c r="M45" i="43" s="1"/>
  <c r="D45" i="41"/>
  <c r="C45" i="41"/>
  <c r="J45" i="43" s="1"/>
  <c r="G44" i="41"/>
  <c r="H44" i="41" s="1"/>
  <c r="F44" i="41"/>
  <c r="M44" i="43" s="1"/>
  <c r="D44" i="41"/>
  <c r="E44" i="41" s="1"/>
  <c r="L44" i="43" s="1"/>
  <c r="C44" i="41"/>
  <c r="J44" i="43" s="1"/>
  <c r="G43" i="41"/>
  <c r="H43" i="41" s="1"/>
  <c r="F43" i="41"/>
  <c r="M43" i="43" s="1"/>
  <c r="D43" i="41"/>
  <c r="C43" i="41"/>
  <c r="J43" i="43" s="1"/>
  <c r="G42" i="41"/>
  <c r="H42" i="41" s="1"/>
  <c r="F42" i="41"/>
  <c r="M42" i="43" s="1"/>
  <c r="D42" i="41"/>
  <c r="C42" i="41"/>
  <c r="J42" i="43" s="1"/>
  <c r="G41" i="41"/>
  <c r="H41" i="41" s="1"/>
  <c r="F41" i="41"/>
  <c r="M41" i="43" s="1"/>
  <c r="D41" i="41"/>
  <c r="C41" i="41"/>
  <c r="J41" i="43" s="1"/>
  <c r="G40" i="41"/>
  <c r="H40" i="41" s="1"/>
  <c r="F40" i="41"/>
  <c r="M40" i="43" s="1"/>
  <c r="D40" i="41"/>
  <c r="C40" i="41"/>
  <c r="J40" i="43" s="1"/>
  <c r="G38" i="41"/>
  <c r="H38" i="41" s="1"/>
  <c r="F38" i="41"/>
  <c r="M38" i="43" s="1"/>
  <c r="D38" i="41"/>
  <c r="C38" i="41"/>
  <c r="J38" i="43" s="1"/>
  <c r="G37" i="41"/>
  <c r="H37" i="41" s="1"/>
  <c r="F37" i="41"/>
  <c r="M37" i="43" s="1"/>
  <c r="D37" i="41"/>
  <c r="K37" i="43" s="1"/>
  <c r="C37" i="41"/>
  <c r="J37" i="43" s="1"/>
  <c r="G36" i="41"/>
  <c r="H36" i="41" s="1"/>
  <c r="F36" i="41"/>
  <c r="M36" i="43" s="1"/>
  <c r="D36" i="41"/>
  <c r="E36" i="41" s="1"/>
  <c r="L36" i="43" s="1"/>
  <c r="C36" i="41"/>
  <c r="J36" i="43" s="1"/>
  <c r="G35" i="41"/>
  <c r="H35" i="41" s="1"/>
  <c r="F35" i="41"/>
  <c r="M35" i="43" s="1"/>
  <c r="D35" i="41"/>
  <c r="K35" i="43" s="1"/>
  <c r="C35" i="41"/>
  <c r="J35" i="43" s="1"/>
  <c r="G34" i="41"/>
  <c r="H34" i="41" s="1"/>
  <c r="F34" i="41"/>
  <c r="M34" i="43" s="1"/>
  <c r="D34" i="41"/>
  <c r="K34" i="43" s="1"/>
  <c r="C34" i="41"/>
  <c r="J34" i="43" s="1"/>
  <c r="G33" i="41"/>
  <c r="H33" i="41" s="1"/>
  <c r="F33" i="41"/>
  <c r="M33" i="43" s="1"/>
  <c r="D33" i="41"/>
  <c r="K33" i="43" s="1"/>
  <c r="C33" i="41"/>
  <c r="J33" i="43" s="1"/>
  <c r="G31" i="41"/>
  <c r="H31" i="41" s="1"/>
  <c r="F31" i="41"/>
  <c r="M31" i="43" s="1"/>
  <c r="D31" i="41"/>
  <c r="C31" i="41"/>
  <c r="J31" i="43" s="1"/>
  <c r="G30" i="41"/>
  <c r="H30" i="41" s="1"/>
  <c r="F30" i="41"/>
  <c r="M30" i="43" s="1"/>
  <c r="D30" i="41"/>
  <c r="K30" i="43" s="1"/>
  <c r="C30" i="41"/>
  <c r="J30" i="43" s="1"/>
  <c r="G29" i="41"/>
  <c r="H29" i="41" s="1"/>
  <c r="F29" i="41"/>
  <c r="M29" i="43" s="1"/>
  <c r="D29" i="41"/>
  <c r="C29" i="41"/>
  <c r="J29" i="43" s="1"/>
  <c r="G28" i="41"/>
  <c r="H28" i="41" s="1"/>
  <c r="F28" i="41"/>
  <c r="M28" i="43" s="1"/>
  <c r="D28" i="41"/>
  <c r="K28" i="43" s="1"/>
  <c r="C28" i="41"/>
  <c r="J28" i="43" s="1"/>
  <c r="G27" i="41"/>
  <c r="H27" i="41" s="1"/>
  <c r="F27" i="41"/>
  <c r="M27" i="43" s="1"/>
  <c r="D27" i="41"/>
  <c r="C27" i="41"/>
  <c r="J27" i="43" s="1"/>
  <c r="G26" i="41"/>
  <c r="H26" i="41" s="1"/>
  <c r="F26" i="41"/>
  <c r="M26" i="43" s="1"/>
  <c r="D26" i="41"/>
  <c r="K26" i="43" s="1"/>
  <c r="C26" i="41"/>
  <c r="J26" i="43" s="1"/>
  <c r="G24" i="41"/>
  <c r="H24" i="41" s="1"/>
  <c r="F24" i="41"/>
  <c r="M24" i="43" s="1"/>
  <c r="D24" i="41"/>
  <c r="K24" i="43" s="1"/>
  <c r="C24" i="41"/>
  <c r="J24" i="43" s="1"/>
  <c r="G23" i="41"/>
  <c r="H23" i="41" s="1"/>
  <c r="F23" i="41"/>
  <c r="M23" i="43" s="1"/>
  <c r="D23" i="41"/>
  <c r="E23" i="41" s="1"/>
  <c r="L23" i="43" s="1"/>
  <c r="C23" i="41"/>
  <c r="J23" i="43" s="1"/>
  <c r="G22" i="41"/>
  <c r="H22" i="41" s="1"/>
  <c r="F22" i="41"/>
  <c r="M22" i="43" s="1"/>
  <c r="D22" i="41"/>
  <c r="C22" i="41"/>
  <c r="J22" i="43" s="1"/>
  <c r="G21" i="41"/>
  <c r="H21" i="41" s="1"/>
  <c r="F21" i="41"/>
  <c r="M21" i="43" s="1"/>
  <c r="D21" i="41"/>
  <c r="K21" i="43" s="1"/>
  <c r="C21" i="41"/>
  <c r="J21" i="43" s="1"/>
  <c r="G20" i="41"/>
  <c r="H20" i="41" s="1"/>
  <c r="F20" i="41"/>
  <c r="M20" i="43" s="1"/>
  <c r="D20" i="41"/>
  <c r="K20" i="43" s="1"/>
  <c r="C20" i="41"/>
  <c r="J20" i="43" s="1"/>
  <c r="G19" i="41"/>
  <c r="H19" i="41" s="1"/>
  <c r="F19" i="41"/>
  <c r="M19" i="43" s="1"/>
  <c r="D19" i="41"/>
  <c r="K19" i="43" s="1"/>
  <c r="C19" i="41"/>
  <c r="J19" i="43" s="1"/>
  <c r="G17" i="41"/>
  <c r="H17" i="41" s="1"/>
  <c r="F17" i="41"/>
  <c r="M17" i="43" s="1"/>
  <c r="D17" i="41"/>
  <c r="C17" i="41"/>
  <c r="J17" i="43" s="1"/>
  <c r="G16" i="41"/>
  <c r="H16" i="41" s="1"/>
  <c r="F16" i="41"/>
  <c r="M16" i="43" s="1"/>
  <c r="D16" i="41"/>
  <c r="E16" i="41" s="1"/>
  <c r="L16" i="43" s="1"/>
  <c r="C16" i="41"/>
  <c r="J16" i="43" s="1"/>
  <c r="G15" i="41"/>
  <c r="H15" i="41" s="1"/>
  <c r="F15" i="41"/>
  <c r="M15" i="43" s="1"/>
  <c r="D15" i="41"/>
  <c r="K15" i="43" s="1"/>
  <c r="C15" i="41"/>
  <c r="J15" i="43" s="1"/>
  <c r="G14" i="41"/>
  <c r="H14" i="41" s="1"/>
  <c r="F14" i="41"/>
  <c r="M14" i="43" s="1"/>
  <c r="D14" i="41"/>
  <c r="C14" i="41"/>
  <c r="J14" i="43" s="1"/>
  <c r="G13" i="41"/>
  <c r="H13" i="41" s="1"/>
  <c r="F13" i="41"/>
  <c r="M13" i="43" s="1"/>
  <c r="D13" i="41"/>
  <c r="C13" i="41"/>
  <c r="J13" i="43" s="1"/>
  <c r="G12" i="41"/>
  <c r="H12" i="41" s="1"/>
  <c r="F12" i="41"/>
  <c r="M12" i="43" s="1"/>
  <c r="D12" i="41"/>
  <c r="C12" i="41"/>
  <c r="J12" i="43" s="1"/>
  <c r="G10" i="41"/>
  <c r="H10" i="41" s="1"/>
  <c r="F10" i="41"/>
  <c r="M10" i="43" s="1"/>
  <c r="D10" i="41"/>
  <c r="K10" i="43" s="1"/>
  <c r="C10" i="41"/>
  <c r="J10" i="43" s="1"/>
  <c r="G9" i="41"/>
  <c r="H9" i="41" s="1"/>
  <c r="F9" i="41"/>
  <c r="M9" i="43" s="1"/>
  <c r="D9" i="41"/>
  <c r="C9" i="41"/>
  <c r="J9" i="43" s="1"/>
  <c r="G8" i="41"/>
  <c r="H8" i="41" s="1"/>
  <c r="F8" i="41"/>
  <c r="M8" i="43" s="1"/>
  <c r="D8" i="41"/>
  <c r="E8" i="41" s="1"/>
  <c r="L8" i="43" s="1"/>
  <c r="C8" i="41"/>
  <c r="J8" i="43" s="1"/>
  <c r="G7" i="41"/>
  <c r="H7" i="41" s="1"/>
  <c r="F7" i="41"/>
  <c r="M7" i="43" s="1"/>
  <c r="D7" i="41"/>
  <c r="K7" i="43" s="1"/>
  <c r="C7" i="41"/>
  <c r="J7" i="43" s="1"/>
  <c r="G6" i="41"/>
  <c r="H6" i="41" s="1"/>
  <c r="F6" i="41"/>
  <c r="M6" i="43" s="1"/>
  <c r="D6" i="41"/>
  <c r="K6" i="43" s="1"/>
  <c r="C6" i="41"/>
  <c r="J6" i="43" s="1"/>
  <c r="G5" i="41"/>
  <c r="H5" i="41" s="1"/>
  <c r="F5" i="41"/>
  <c r="M5" i="43" s="1"/>
  <c r="D5" i="41"/>
  <c r="C5" i="41"/>
  <c r="J5" i="43" s="1"/>
  <c r="G45" i="42"/>
  <c r="H45" i="42" s="1"/>
  <c r="F45" i="42"/>
  <c r="F45" i="43" s="1"/>
  <c r="D45" i="42"/>
  <c r="C45" i="42"/>
  <c r="C45" i="43" s="1"/>
  <c r="G44" i="42"/>
  <c r="H44" i="42" s="1"/>
  <c r="F44" i="42"/>
  <c r="F44" i="43" s="1"/>
  <c r="D44" i="42"/>
  <c r="E44" i="42" s="1"/>
  <c r="E44" i="43" s="1"/>
  <c r="C44" i="42"/>
  <c r="C44" i="43" s="1"/>
  <c r="G43" i="42"/>
  <c r="H43" i="42" s="1"/>
  <c r="F43" i="42"/>
  <c r="F43" i="43" s="1"/>
  <c r="D43" i="42"/>
  <c r="D43" i="43" s="1"/>
  <c r="C43" i="42"/>
  <c r="C43" i="43" s="1"/>
  <c r="G42" i="42"/>
  <c r="H42" i="42" s="1"/>
  <c r="F42" i="42"/>
  <c r="F42" i="43" s="1"/>
  <c r="D42" i="42"/>
  <c r="C42" i="42"/>
  <c r="C42" i="43" s="1"/>
  <c r="G41" i="42"/>
  <c r="H41" i="42" s="1"/>
  <c r="F41" i="42"/>
  <c r="F41" i="43" s="1"/>
  <c r="D41" i="42"/>
  <c r="C41" i="42"/>
  <c r="C41" i="43" s="1"/>
  <c r="G40" i="42"/>
  <c r="H40" i="42" s="1"/>
  <c r="F40" i="42"/>
  <c r="F40" i="43" s="1"/>
  <c r="D40" i="42"/>
  <c r="C40" i="42"/>
  <c r="C40" i="43" s="1"/>
  <c r="G38" i="42"/>
  <c r="H38" i="42" s="1"/>
  <c r="F38" i="42"/>
  <c r="F38" i="43" s="1"/>
  <c r="D38" i="42"/>
  <c r="D38" i="43" s="1"/>
  <c r="C38" i="42"/>
  <c r="C38" i="43" s="1"/>
  <c r="G37" i="42"/>
  <c r="H37" i="42" s="1"/>
  <c r="F37" i="42"/>
  <c r="F37" i="43" s="1"/>
  <c r="D37" i="42"/>
  <c r="C37" i="42"/>
  <c r="C37" i="43" s="1"/>
  <c r="G36" i="42"/>
  <c r="H36" i="42" s="1"/>
  <c r="F36" i="42"/>
  <c r="F36" i="43" s="1"/>
  <c r="D36" i="42"/>
  <c r="E36" i="42" s="1"/>
  <c r="E36" i="43" s="1"/>
  <c r="C36" i="42"/>
  <c r="C36" i="43" s="1"/>
  <c r="G35" i="42"/>
  <c r="H35" i="42" s="1"/>
  <c r="F35" i="42"/>
  <c r="F35" i="43" s="1"/>
  <c r="D35" i="42"/>
  <c r="D35" i="43" s="1"/>
  <c r="C35" i="42"/>
  <c r="C35" i="43" s="1"/>
  <c r="G34" i="42"/>
  <c r="H34" i="42" s="1"/>
  <c r="F34" i="42"/>
  <c r="F34" i="43" s="1"/>
  <c r="D34" i="42"/>
  <c r="C34" i="42"/>
  <c r="C34" i="43" s="1"/>
  <c r="G33" i="42"/>
  <c r="H33" i="42" s="1"/>
  <c r="F33" i="42"/>
  <c r="F33" i="43" s="1"/>
  <c r="D33" i="42"/>
  <c r="C33" i="42"/>
  <c r="C33" i="43" s="1"/>
  <c r="G31" i="42"/>
  <c r="H31" i="42" s="1"/>
  <c r="F31" i="42"/>
  <c r="F31" i="43" s="1"/>
  <c r="D31" i="42"/>
  <c r="D31" i="43" s="1"/>
  <c r="C31" i="42"/>
  <c r="C31" i="43" s="1"/>
  <c r="G30" i="42"/>
  <c r="H30" i="42" s="1"/>
  <c r="F30" i="42"/>
  <c r="F30" i="43" s="1"/>
  <c r="D30" i="42"/>
  <c r="E30" i="42" s="1"/>
  <c r="E30" i="43" s="1"/>
  <c r="C30" i="42"/>
  <c r="C30" i="43" s="1"/>
  <c r="G29" i="42"/>
  <c r="H29" i="42" s="1"/>
  <c r="F29" i="42"/>
  <c r="F29" i="43" s="1"/>
  <c r="D29" i="42"/>
  <c r="D29" i="43" s="1"/>
  <c r="C29" i="42"/>
  <c r="C29" i="43" s="1"/>
  <c r="G28" i="42"/>
  <c r="H28" i="42" s="1"/>
  <c r="F28" i="42"/>
  <c r="F28" i="43" s="1"/>
  <c r="D28" i="42"/>
  <c r="D28" i="43" s="1"/>
  <c r="C28" i="42"/>
  <c r="C28" i="43" s="1"/>
  <c r="G27" i="42"/>
  <c r="H27" i="42" s="1"/>
  <c r="F27" i="42"/>
  <c r="F27" i="43" s="1"/>
  <c r="D27" i="42"/>
  <c r="D27" i="43" s="1"/>
  <c r="C27" i="42"/>
  <c r="C27" i="43" s="1"/>
  <c r="G26" i="42"/>
  <c r="H26" i="42" s="1"/>
  <c r="F26" i="42"/>
  <c r="F26" i="43" s="1"/>
  <c r="D26" i="42"/>
  <c r="D26" i="43" s="1"/>
  <c r="C26" i="42"/>
  <c r="C26" i="43" s="1"/>
  <c r="G24" i="42"/>
  <c r="H24" i="42" s="1"/>
  <c r="F24" i="42"/>
  <c r="F24" i="43" s="1"/>
  <c r="D24" i="42"/>
  <c r="C24" i="42"/>
  <c r="C24" i="43" s="1"/>
  <c r="G23" i="42"/>
  <c r="H23" i="42" s="1"/>
  <c r="F23" i="42"/>
  <c r="F23" i="43" s="1"/>
  <c r="D23" i="42"/>
  <c r="C23" i="42"/>
  <c r="C23" i="43" s="1"/>
  <c r="G22" i="42"/>
  <c r="H22" i="42" s="1"/>
  <c r="F22" i="42"/>
  <c r="F22" i="43" s="1"/>
  <c r="D22" i="42"/>
  <c r="D22" i="43" s="1"/>
  <c r="C22" i="42"/>
  <c r="C22" i="43" s="1"/>
  <c r="G21" i="42"/>
  <c r="H21" i="42" s="1"/>
  <c r="F21" i="42"/>
  <c r="F21" i="43" s="1"/>
  <c r="D21" i="42"/>
  <c r="D21" i="43" s="1"/>
  <c r="C21" i="42"/>
  <c r="C21" i="43" s="1"/>
  <c r="G20" i="42"/>
  <c r="H20" i="42" s="1"/>
  <c r="F20" i="42"/>
  <c r="F20" i="43" s="1"/>
  <c r="D20" i="42"/>
  <c r="C20" i="42"/>
  <c r="C20" i="43" s="1"/>
  <c r="G19" i="42"/>
  <c r="H19" i="42" s="1"/>
  <c r="F19" i="42"/>
  <c r="F19" i="43" s="1"/>
  <c r="D19" i="42"/>
  <c r="C19" i="42"/>
  <c r="C19" i="43" s="1"/>
  <c r="G17" i="42"/>
  <c r="H17" i="42" s="1"/>
  <c r="F17" i="42"/>
  <c r="F17" i="43" s="1"/>
  <c r="D17" i="42"/>
  <c r="C17" i="42"/>
  <c r="C17" i="43" s="1"/>
  <c r="G16" i="42"/>
  <c r="H16" i="42" s="1"/>
  <c r="F16" i="42"/>
  <c r="F16" i="43" s="1"/>
  <c r="D16" i="42"/>
  <c r="E16" i="42" s="1"/>
  <c r="E16" i="43" s="1"/>
  <c r="C16" i="42"/>
  <c r="C16" i="43" s="1"/>
  <c r="G15" i="42"/>
  <c r="H15" i="42" s="1"/>
  <c r="F15" i="42"/>
  <c r="F15" i="43" s="1"/>
  <c r="D15" i="42"/>
  <c r="C15" i="42"/>
  <c r="C15" i="43" s="1"/>
  <c r="G14" i="42"/>
  <c r="H14" i="42" s="1"/>
  <c r="F14" i="42"/>
  <c r="F14" i="43" s="1"/>
  <c r="D14" i="42"/>
  <c r="C14" i="42"/>
  <c r="C14" i="43" s="1"/>
  <c r="G13" i="42"/>
  <c r="H13" i="42" s="1"/>
  <c r="F13" i="42"/>
  <c r="F13" i="43" s="1"/>
  <c r="D13" i="42"/>
  <c r="C13" i="42"/>
  <c r="C13" i="43" s="1"/>
  <c r="G12" i="42"/>
  <c r="H12" i="42" s="1"/>
  <c r="F12" i="42"/>
  <c r="F12" i="43" s="1"/>
  <c r="D12" i="42"/>
  <c r="C12" i="42"/>
  <c r="C12" i="43" s="1"/>
  <c r="G10" i="42"/>
  <c r="H10" i="42" s="1"/>
  <c r="F10" i="42"/>
  <c r="F10" i="43" s="1"/>
  <c r="D10" i="42"/>
  <c r="C10" i="42"/>
  <c r="C10" i="43" s="1"/>
  <c r="G9" i="42"/>
  <c r="H9" i="42" s="1"/>
  <c r="F9" i="42"/>
  <c r="F9" i="43" s="1"/>
  <c r="D9" i="42"/>
  <c r="E9" i="42" s="1"/>
  <c r="E9" i="43" s="1"/>
  <c r="C9" i="42"/>
  <c r="C9" i="43" s="1"/>
  <c r="G8" i="42"/>
  <c r="H8" i="42" s="1"/>
  <c r="F8" i="42"/>
  <c r="F8" i="43" s="1"/>
  <c r="D8" i="42"/>
  <c r="D8" i="43" s="1"/>
  <c r="C8" i="42"/>
  <c r="C8" i="43" s="1"/>
  <c r="G7" i="42"/>
  <c r="H7" i="42" s="1"/>
  <c r="F7" i="42"/>
  <c r="F7" i="43" s="1"/>
  <c r="D7" i="42"/>
  <c r="D7" i="43" s="1"/>
  <c r="C7" i="42"/>
  <c r="C7" i="43" s="1"/>
  <c r="G6" i="42"/>
  <c r="H6" i="42" s="1"/>
  <c r="F6" i="42"/>
  <c r="F6" i="43" s="1"/>
  <c r="D6" i="42"/>
  <c r="C6" i="42"/>
  <c r="C6" i="43" s="1"/>
  <c r="G5" i="42"/>
  <c r="H5" i="42" s="1"/>
  <c r="F5" i="42"/>
  <c r="F5" i="43" s="1"/>
  <c r="D5" i="42"/>
  <c r="D5" i="43" s="1"/>
  <c r="C5" i="42"/>
  <c r="C5" i="43" s="1"/>
  <c r="G45" i="39"/>
  <c r="H45" i="39" s="1"/>
  <c r="F45" i="39"/>
  <c r="M45" i="35" s="1"/>
  <c r="D45" i="39"/>
  <c r="K45" i="35" s="1"/>
  <c r="C45" i="39"/>
  <c r="J45" i="35" s="1"/>
  <c r="G44" i="39"/>
  <c r="H44" i="39" s="1"/>
  <c r="F44" i="39"/>
  <c r="M44" i="35" s="1"/>
  <c r="D44" i="39"/>
  <c r="E44" i="39" s="1"/>
  <c r="L44" i="35" s="1"/>
  <c r="C44" i="39"/>
  <c r="J44" i="35" s="1"/>
  <c r="G43" i="39"/>
  <c r="H43" i="39" s="1"/>
  <c r="F43" i="39"/>
  <c r="M43" i="35" s="1"/>
  <c r="D43" i="39"/>
  <c r="C43" i="39"/>
  <c r="J43" i="35" s="1"/>
  <c r="G42" i="39"/>
  <c r="H42" i="39" s="1"/>
  <c r="F42" i="39"/>
  <c r="M42" i="35" s="1"/>
  <c r="D42" i="39"/>
  <c r="C42" i="39"/>
  <c r="J42" i="35" s="1"/>
  <c r="G41" i="39"/>
  <c r="H41" i="39" s="1"/>
  <c r="F41" i="39"/>
  <c r="M41" i="35" s="1"/>
  <c r="D41" i="39"/>
  <c r="C41" i="39"/>
  <c r="J41" i="35" s="1"/>
  <c r="G40" i="39"/>
  <c r="H40" i="39" s="1"/>
  <c r="F40" i="39"/>
  <c r="M40" i="35" s="1"/>
  <c r="D40" i="39"/>
  <c r="C40" i="39"/>
  <c r="J40" i="35" s="1"/>
  <c r="G38" i="39"/>
  <c r="H38" i="39" s="1"/>
  <c r="F38" i="39"/>
  <c r="M38" i="35" s="1"/>
  <c r="D38" i="39"/>
  <c r="K38" i="35" s="1"/>
  <c r="C38" i="39"/>
  <c r="J38" i="35" s="1"/>
  <c r="G37" i="39"/>
  <c r="H37" i="39" s="1"/>
  <c r="I37" i="39" s="1"/>
  <c r="O37" i="35" s="1"/>
  <c r="F37" i="39"/>
  <c r="M37" i="35" s="1"/>
  <c r="D37" i="39"/>
  <c r="E37" i="39" s="1"/>
  <c r="L37" i="35" s="1"/>
  <c r="C37" i="39"/>
  <c r="J37" i="35" s="1"/>
  <c r="G36" i="39"/>
  <c r="H36" i="39" s="1"/>
  <c r="F36" i="39"/>
  <c r="M36" i="35" s="1"/>
  <c r="D36" i="39"/>
  <c r="K36" i="35" s="1"/>
  <c r="C36" i="39"/>
  <c r="J36" i="35" s="1"/>
  <c r="G35" i="39"/>
  <c r="H35" i="39" s="1"/>
  <c r="F35" i="39"/>
  <c r="M35" i="35" s="1"/>
  <c r="D35" i="39"/>
  <c r="C35" i="39"/>
  <c r="J35" i="35" s="1"/>
  <c r="G34" i="39"/>
  <c r="H34" i="39" s="1"/>
  <c r="F34" i="39"/>
  <c r="M34" i="35" s="1"/>
  <c r="D34" i="39"/>
  <c r="K34" i="35" s="1"/>
  <c r="C34" i="39"/>
  <c r="J34" i="35" s="1"/>
  <c r="G33" i="39"/>
  <c r="H33" i="39" s="1"/>
  <c r="F33" i="39"/>
  <c r="M33" i="35" s="1"/>
  <c r="D33" i="39"/>
  <c r="K33" i="35" s="1"/>
  <c r="C33" i="39"/>
  <c r="J33" i="35" s="1"/>
  <c r="G31" i="39"/>
  <c r="H31" i="39" s="1"/>
  <c r="F31" i="39"/>
  <c r="M31" i="35" s="1"/>
  <c r="D31" i="39"/>
  <c r="C31" i="39"/>
  <c r="J31" i="35" s="1"/>
  <c r="G30" i="39"/>
  <c r="H30" i="39" s="1"/>
  <c r="F30" i="39"/>
  <c r="M30" i="35" s="1"/>
  <c r="D30" i="39"/>
  <c r="K30" i="35" s="1"/>
  <c r="C30" i="39"/>
  <c r="J30" i="35" s="1"/>
  <c r="G29" i="39"/>
  <c r="H29" i="39" s="1"/>
  <c r="F29" i="39"/>
  <c r="M29" i="35" s="1"/>
  <c r="D29" i="39"/>
  <c r="K29" i="35" s="1"/>
  <c r="C29" i="39"/>
  <c r="J29" i="35" s="1"/>
  <c r="G28" i="39"/>
  <c r="H28" i="39" s="1"/>
  <c r="F28" i="39"/>
  <c r="M28" i="35" s="1"/>
  <c r="D28" i="39"/>
  <c r="C28" i="39"/>
  <c r="J28" i="35" s="1"/>
  <c r="G27" i="39"/>
  <c r="H27" i="39" s="1"/>
  <c r="F27" i="39"/>
  <c r="M27" i="35" s="1"/>
  <c r="D27" i="39"/>
  <c r="C27" i="39"/>
  <c r="J27" i="35" s="1"/>
  <c r="G26" i="39"/>
  <c r="H26" i="39" s="1"/>
  <c r="F26" i="39"/>
  <c r="M26" i="35" s="1"/>
  <c r="D26" i="39"/>
  <c r="C26" i="39"/>
  <c r="J26" i="35" s="1"/>
  <c r="G24" i="39"/>
  <c r="H24" i="39" s="1"/>
  <c r="F24" i="39"/>
  <c r="M24" i="35" s="1"/>
  <c r="D24" i="39"/>
  <c r="C24" i="39"/>
  <c r="J24" i="35" s="1"/>
  <c r="G23" i="39"/>
  <c r="H23" i="39" s="1"/>
  <c r="F23" i="39"/>
  <c r="M23" i="35" s="1"/>
  <c r="D23" i="39"/>
  <c r="K23" i="35" s="1"/>
  <c r="C23" i="39"/>
  <c r="J23" i="35" s="1"/>
  <c r="G22" i="39"/>
  <c r="H22" i="39" s="1"/>
  <c r="F22" i="39"/>
  <c r="M22" i="35" s="1"/>
  <c r="D22" i="39"/>
  <c r="K22" i="35" s="1"/>
  <c r="C22" i="39"/>
  <c r="J22" i="35" s="1"/>
  <c r="G21" i="39"/>
  <c r="H21" i="39" s="1"/>
  <c r="F21" i="39"/>
  <c r="M21" i="35" s="1"/>
  <c r="D21" i="39"/>
  <c r="K21" i="35" s="1"/>
  <c r="C21" i="39"/>
  <c r="J21" i="35" s="1"/>
  <c r="G20" i="39"/>
  <c r="H20" i="39" s="1"/>
  <c r="F20" i="39"/>
  <c r="M20" i="35" s="1"/>
  <c r="D20" i="39"/>
  <c r="K20" i="35" s="1"/>
  <c r="C20" i="39"/>
  <c r="J20" i="35" s="1"/>
  <c r="G19" i="39"/>
  <c r="H19" i="39" s="1"/>
  <c r="F19" i="39"/>
  <c r="M19" i="35" s="1"/>
  <c r="D19" i="39"/>
  <c r="K19" i="35" s="1"/>
  <c r="C19" i="39"/>
  <c r="J19" i="35" s="1"/>
  <c r="G17" i="39"/>
  <c r="H17" i="39" s="1"/>
  <c r="F17" i="39"/>
  <c r="M17" i="35" s="1"/>
  <c r="D17" i="39"/>
  <c r="K17" i="35" s="1"/>
  <c r="C17" i="39"/>
  <c r="J17" i="35" s="1"/>
  <c r="G16" i="39"/>
  <c r="H16" i="39" s="1"/>
  <c r="F16" i="39"/>
  <c r="M16" i="35" s="1"/>
  <c r="D16" i="39"/>
  <c r="E16" i="39" s="1"/>
  <c r="L16" i="35" s="1"/>
  <c r="C16" i="39"/>
  <c r="J16" i="35" s="1"/>
  <c r="G15" i="39"/>
  <c r="H15" i="39" s="1"/>
  <c r="F15" i="39"/>
  <c r="M15" i="35" s="1"/>
  <c r="D15" i="39"/>
  <c r="C15" i="39"/>
  <c r="J15" i="35" s="1"/>
  <c r="G14" i="39"/>
  <c r="H14" i="39" s="1"/>
  <c r="F14" i="39"/>
  <c r="M14" i="35" s="1"/>
  <c r="D14" i="39"/>
  <c r="C14" i="39"/>
  <c r="J14" i="35" s="1"/>
  <c r="G13" i="39"/>
  <c r="H13" i="39" s="1"/>
  <c r="F13" i="39"/>
  <c r="M13" i="35" s="1"/>
  <c r="D13" i="39"/>
  <c r="C13" i="39"/>
  <c r="J13" i="35" s="1"/>
  <c r="G12" i="39"/>
  <c r="H12" i="39" s="1"/>
  <c r="F12" i="39"/>
  <c r="M12" i="35" s="1"/>
  <c r="D12" i="39"/>
  <c r="K12" i="35" s="1"/>
  <c r="C12" i="39"/>
  <c r="J12" i="35" s="1"/>
  <c r="G10" i="39"/>
  <c r="H10" i="39" s="1"/>
  <c r="F10" i="39"/>
  <c r="D10" i="39"/>
  <c r="C10" i="39"/>
  <c r="G9" i="39"/>
  <c r="H9" i="39" s="1"/>
  <c r="F9" i="39"/>
  <c r="D9" i="39"/>
  <c r="C9" i="39"/>
  <c r="G8" i="39"/>
  <c r="H8" i="39" s="1"/>
  <c r="F8" i="39"/>
  <c r="D8" i="39"/>
  <c r="C8" i="39"/>
  <c r="G7" i="39"/>
  <c r="H7" i="39" s="1"/>
  <c r="F7" i="39"/>
  <c r="D7" i="39"/>
  <c r="C7" i="39"/>
  <c r="G6" i="39"/>
  <c r="H6" i="39" s="1"/>
  <c r="F6" i="39"/>
  <c r="D6" i="39"/>
  <c r="C6" i="39"/>
  <c r="G5" i="39"/>
  <c r="H5" i="39" s="1"/>
  <c r="F5" i="39"/>
  <c r="M5" i="35" s="1"/>
  <c r="D5" i="39"/>
  <c r="K5" i="35" s="1"/>
  <c r="C5" i="39"/>
  <c r="J5" i="35" s="1"/>
  <c r="G45" i="40"/>
  <c r="H45" i="40" s="1"/>
  <c r="F45" i="40"/>
  <c r="F45" i="35" s="1"/>
  <c r="D45" i="40"/>
  <c r="C45" i="40"/>
  <c r="C45" i="35" s="1"/>
  <c r="G44" i="40"/>
  <c r="H44" i="40" s="1"/>
  <c r="F44" i="40"/>
  <c r="F44" i="35" s="1"/>
  <c r="D44" i="40"/>
  <c r="E44" i="40" s="1"/>
  <c r="E44" i="35" s="1"/>
  <c r="C44" i="40"/>
  <c r="C44" i="35" s="1"/>
  <c r="G43" i="40"/>
  <c r="H43" i="40" s="1"/>
  <c r="F43" i="40"/>
  <c r="F43" i="35" s="1"/>
  <c r="D43" i="40"/>
  <c r="C43" i="40"/>
  <c r="C43" i="35" s="1"/>
  <c r="G42" i="40"/>
  <c r="H42" i="40" s="1"/>
  <c r="F42" i="40"/>
  <c r="F42" i="35" s="1"/>
  <c r="D42" i="40"/>
  <c r="C42" i="40"/>
  <c r="C42" i="35" s="1"/>
  <c r="G41" i="40"/>
  <c r="H41" i="40" s="1"/>
  <c r="F41" i="40"/>
  <c r="F41" i="35" s="1"/>
  <c r="D41" i="40"/>
  <c r="C41" i="40"/>
  <c r="C41" i="35" s="1"/>
  <c r="G40" i="40"/>
  <c r="H40" i="40" s="1"/>
  <c r="F40" i="40"/>
  <c r="F40" i="35" s="1"/>
  <c r="D40" i="40"/>
  <c r="C40" i="40"/>
  <c r="C40" i="35" s="1"/>
  <c r="G38" i="40"/>
  <c r="H38" i="40" s="1"/>
  <c r="F38" i="40"/>
  <c r="F38" i="35" s="1"/>
  <c r="D38" i="40"/>
  <c r="C38" i="40"/>
  <c r="C38" i="35" s="1"/>
  <c r="G37" i="40"/>
  <c r="H37" i="40" s="1"/>
  <c r="F37" i="40"/>
  <c r="F37" i="35" s="1"/>
  <c r="D37" i="40"/>
  <c r="E37" i="40" s="1"/>
  <c r="E37" i="35" s="1"/>
  <c r="C37" i="40"/>
  <c r="C37" i="35" s="1"/>
  <c r="G36" i="40"/>
  <c r="H36" i="40" s="1"/>
  <c r="F36" i="40"/>
  <c r="F36" i="35" s="1"/>
  <c r="D36" i="40"/>
  <c r="E36" i="40" s="1"/>
  <c r="E36" i="35" s="1"/>
  <c r="C36" i="40"/>
  <c r="C36" i="35" s="1"/>
  <c r="G35" i="40"/>
  <c r="H35" i="40" s="1"/>
  <c r="F35" i="40"/>
  <c r="F35" i="35" s="1"/>
  <c r="D35" i="40"/>
  <c r="C35" i="40"/>
  <c r="C35" i="35" s="1"/>
  <c r="G34" i="40"/>
  <c r="H34" i="40" s="1"/>
  <c r="F34" i="40"/>
  <c r="F34" i="35" s="1"/>
  <c r="D34" i="40"/>
  <c r="C34" i="40"/>
  <c r="C34" i="35" s="1"/>
  <c r="G33" i="40"/>
  <c r="H33" i="40" s="1"/>
  <c r="F33" i="40"/>
  <c r="F33" i="35" s="1"/>
  <c r="D33" i="40"/>
  <c r="C33" i="40"/>
  <c r="C33" i="35" s="1"/>
  <c r="G31" i="40"/>
  <c r="H31" i="40" s="1"/>
  <c r="F31" i="40"/>
  <c r="F31" i="35" s="1"/>
  <c r="D31" i="40"/>
  <c r="C31" i="40"/>
  <c r="C31" i="35" s="1"/>
  <c r="G30" i="40"/>
  <c r="H30" i="40" s="1"/>
  <c r="F30" i="40"/>
  <c r="F30" i="35" s="1"/>
  <c r="D30" i="40"/>
  <c r="D30" i="35" s="1"/>
  <c r="C30" i="40"/>
  <c r="C30" i="35" s="1"/>
  <c r="G29" i="40"/>
  <c r="H29" i="40" s="1"/>
  <c r="F29" i="40"/>
  <c r="F29" i="35" s="1"/>
  <c r="D29" i="40"/>
  <c r="C29" i="40"/>
  <c r="C29" i="35" s="1"/>
  <c r="G28" i="40"/>
  <c r="H28" i="40" s="1"/>
  <c r="F28" i="40"/>
  <c r="F28" i="35" s="1"/>
  <c r="D28" i="40"/>
  <c r="C28" i="40"/>
  <c r="C28" i="35" s="1"/>
  <c r="G27" i="40"/>
  <c r="H27" i="40" s="1"/>
  <c r="F27" i="40"/>
  <c r="F27" i="35" s="1"/>
  <c r="D27" i="40"/>
  <c r="C27" i="40"/>
  <c r="C27" i="35" s="1"/>
  <c r="G26" i="40"/>
  <c r="H26" i="40" s="1"/>
  <c r="F26" i="40"/>
  <c r="F26" i="35" s="1"/>
  <c r="D26" i="40"/>
  <c r="C26" i="40"/>
  <c r="C26" i="35" s="1"/>
  <c r="G24" i="40"/>
  <c r="H24" i="40" s="1"/>
  <c r="F24" i="40"/>
  <c r="F24" i="35" s="1"/>
  <c r="D24" i="40"/>
  <c r="C24" i="40"/>
  <c r="C24" i="35" s="1"/>
  <c r="G23" i="40"/>
  <c r="H23" i="40" s="1"/>
  <c r="F23" i="40"/>
  <c r="F23" i="35" s="1"/>
  <c r="D23" i="40"/>
  <c r="D23" i="35" s="1"/>
  <c r="C23" i="40"/>
  <c r="C23" i="35" s="1"/>
  <c r="G22" i="40"/>
  <c r="H22" i="40" s="1"/>
  <c r="F22" i="40"/>
  <c r="F22" i="35" s="1"/>
  <c r="D22" i="40"/>
  <c r="D22" i="35" s="1"/>
  <c r="C22" i="40"/>
  <c r="C22" i="35" s="1"/>
  <c r="G21" i="40"/>
  <c r="H21" i="40" s="1"/>
  <c r="F21" i="40"/>
  <c r="F21" i="35" s="1"/>
  <c r="D21" i="40"/>
  <c r="D21" i="35" s="1"/>
  <c r="C21" i="40"/>
  <c r="C21" i="35" s="1"/>
  <c r="G20" i="40"/>
  <c r="H20" i="40" s="1"/>
  <c r="F20" i="40"/>
  <c r="F20" i="35" s="1"/>
  <c r="D20" i="40"/>
  <c r="D20" i="35" s="1"/>
  <c r="C20" i="40"/>
  <c r="C20" i="35" s="1"/>
  <c r="G19" i="40"/>
  <c r="H19" i="40" s="1"/>
  <c r="F19" i="40"/>
  <c r="F19" i="35" s="1"/>
  <c r="D19" i="40"/>
  <c r="C19" i="40"/>
  <c r="C19" i="35" s="1"/>
  <c r="G17" i="40"/>
  <c r="H17" i="40" s="1"/>
  <c r="F17" i="40"/>
  <c r="F17" i="35" s="1"/>
  <c r="D17" i="40"/>
  <c r="C17" i="40"/>
  <c r="C17" i="35" s="1"/>
  <c r="G16" i="40"/>
  <c r="H16" i="40" s="1"/>
  <c r="F16" i="40"/>
  <c r="F16" i="35" s="1"/>
  <c r="D16" i="40"/>
  <c r="E16" i="40" s="1"/>
  <c r="E16" i="35" s="1"/>
  <c r="C16" i="40"/>
  <c r="C16" i="35" s="1"/>
  <c r="G15" i="40"/>
  <c r="H15" i="40" s="1"/>
  <c r="F15" i="40"/>
  <c r="F15" i="35" s="1"/>
  <c r="D15" i="40"/>
  <c r="D15" i="35" s="1"/>
  <c r="C15" i="40"/>
  <c r="C15" i="35" s="1"/>
  <c r="G14" i="40"/>
  <c r="H14" i="40" s="1"/>
  <c r="F14" i="40"/>
  <c r="F14" i="35" s="1"/>
  <c r="D14" i="40"/>
  <c r="C14" i="40"/>
  <c r="C14" i="35" s="1"/>
  <c r="G13" i="40"/>
  <c r="H13" i="40" s="1"/>
  <c r="F13" i="40"/>
  <c r="F13" i="35" s="1"/>
  <c r="D13" i="40"/>
  <c r="C13" i="40"/>
  <c r="C13" i="35" s="1"/>
  <c r="G12" i="40"/>
  <c r="H12" i="40" s="1"/>
  <c r="F12" i="40"/>
  <c r="F12" i="35" s="1"/>
  <c r="D12" i="40"/>
  <c r="C12" i="40"/>
  <c r="C12" i="35" s="1"/>
  <c r="G10" i="40"/>
  <c r="H10" i="40" s="1"/>
  <c r="F10" i="40"/>
  <c r="F10" i="35" s="1"/>
  <c r="D10" i="40"/>
  <c r="C10" i="40"/>
  <c r="C10" i="35" s="1"/>
  <c r="G9" i="40"/>
  <c r="H9" i="40" s="1"/>
  <c r="F9" i="40"/>
  <c r="F9" i="35" s="1"/>
  <c r="D9" i="40"/>
  <c r="E9" i="40" s="1"/>
  <c r="E9" i="35" s="1"/>
  <c r="C9" i="40"/>
  <c r="C9" i="35" s="1"/>
  <c r="G8" i="40"/>
  <c r="H8" i="40" s="1"/>
  <c r="F8" i="40"/>
  <c r="D8" i="40"/>
  <c r="E8" i="40" s="1"/>
  <c r="C8" i="40"/>
  <c r="G7" i="40"/>
  <c r="H7" i="40" s="1"/>
  <c r="F7" i="40"/>
  <c r="D7" i="40"/>
  <c r="C7" i="40"/>
  <c r="G6" i="40"/>
  <c r="H6" i="40" s="1"/>
  <c r="F6" i="40"/>
  <c r="D6" i="40"/>
  <c r="C6" i="40"/>
  <c r="G5" i="40"/>
  <c r="G5" i="35" s="1"/>
  <c r="F5" i="40"/>
  <c r="F5" i="35" s="1"/>
  <c r="D5" i="40"/>
  <c r="D5" i="35" s="1"/>
  <c r="C5" i="40"/>
  <c r="G45" i="38"/>
  <c r="H45" i="38" s="1"/>
  <c r="F45" i="38"/>
  <c r="M45" i="36" s="1"/>
  <c r="D45" i="38"/>
  <c r="K45" i="36" s="1"/>
  <c r="C45" i="38"/>
  <c r="J45" i="36" s="1"/>
  <c r="G44" i="38"/>
  <c r="H44" i="38" s="1"/>
  <c r="F44" i="38"/>
  <c r="M44" i="36" s="1"/>
  <c r="D44" i="38"/>
  <c r="E44" i="38" s="1"/>
  <c r="C44" i="38"/>
  <c r="J44" i="36" s="1"/>
  <c r="G43" i="38"/>
  <c r="H43" i="38" s="1"/>
  <c r="F43" i="38"/>
  <c r="M43" i="36" s="1"/>
  <c r="D43" i="38"/>
  <c r="C43" i="38"/>
  <c r="J43" i="36" s="1"/>
  <c r="G42" i="38"/>
  <c r="H42" i="38" s="1"/>
  <c r="F42" i="38"/>
  <c r="M42" i="36" s="1"/>
  <c r="D42" i="38"/>
  <c r="C42" i="38"/>
  <c r="J42" i="36" s="1"/>
  <c r="G41" i="38"/>
  <c r="H41" i="38" s="1"/>
  <c r="F41" i="38"/>
  <c r="M41" i="36" s="1"/>
  <c r="D41" i="38"/>
  <c r="C41" i="38"/>
  <c r="J41" i="36" s="1"/>
  <c r="G40" i="38"/>
  <c r="H40" i="38" s="1"/>
  <c r="F40" i="38"/>
  <c r="M40" i="36" s="1"/>
  <c r="D40" i="38"/>
  <c r="C40" i="38"/>
  <c r="J40" i="36" s="1"/>
  <c r="G38" i="38"/>
  <c r="H38" i="38" s="1"/>
  <c r="F38" i="38"/>
  <c r="M38" i="36" s="1"/>
  <c r="D38" i="38"/>
  <c r="C38" i="38"/>
  <c r="J38" i="36" s="1"/>
  <c r="G37" i="38"/>
  <c r="H37" i="38" s="1"/>
  <c r="F37" i="38"/>
  <c r="M37" i="36" s="1"/>
  <c r="D37" i="38"/>
  <c r="E37" i="38" s="1"/>
  <c r="L37" i="36" s="1"/>
  <c r="C37" i="38"/>
  <c r="J37" i="36" s="1"/>
  <c r="G36" i="38"/>
  <c r="H36" i="38" s="1"/>
  <c r="F36" i="38"/>
  <c r="M36" i="36" s="1"/>
  <c r="D36" i="38"/>
  <c r="E36" i="38" s="1"/>
  <c r="L36" i="36" s="1"/>
  <c r="C36" i="38"/>
  <c r="J36" i="36" s="1"/>
  <c r="G35" i="38"/>
  <c r="H35" i="38" s="1"/>
  <c r="F35" i="38"/>
  <c r="M35" i="36" s="1"/>
  <c r="D35" i="38"/>
  <c r="C35" i="38"/>
  <c r="J35" i="36" s="1"/>
  <c r="G34" i="38"/>
  <c r="H34" i="38" s="1"/>
  <c r="F34" i="38"/>
  <c r="M34" i="36" s="1"/>
  <c r="D34" i="38"/>
  <c r="C34" i="38"/>
  <c r="J34" i="36" s="1"/>
  <c r="G33" i="38"/>
  <c r="H33" i="38" s="1"/>
  <c r="F33" i="38"/>
  <c r="M33" i="36" s="1"/>
  <c r="D33" i="38"/>
  <c r="C33" i="38"/>
  <c r="J33" i="36" s="1"/>
  <c r="G31" i="38"/>
  <c r="H31" i="38" s="1"/>
  <c r="F31" i="38"/>
  <c r="M31" i="36" s="1"/>
  <c r="D31" i="38"/>
  <c r="C31" i="38"/>
  <c r="J31" i="36" s="1"/>
  <c r="G30" i="38"/>
  <c r="H30" i="38" s="1"/>
  <c r="F30" i="38"/>
  <c r="M30" i="36" s="1"/>
  <c r="D30" i="38"/>
  <c r="E30" i="38" s="1"/>
  <c r="C30" i="38"/>
  <c r="J30" i="36" s="1"/>
  <c r="G29" i="38"/>
  <c r="H29" i="38" s="1"/>
  <c r="F29" i="38"/>
  <c r="M29" i="36" s="1"/>
  <c r="D29" i="38"/>
  <c r="C29" i="38"/>
  <c r="J29" i="36" s="1"/>
  <c r="G28" i="38"/>
  <c r="H28" i="38" s="1"/>
  <c r="F28" i="38"/>
  <c r="M28" i="36" s="1"/>
  <c r="D28" i="38"/>
  <c r="C28" i="38"/>
  <c r="J28" i="36" s="1"/>
  <c r="G27" i="38"/>
  <c r="H27" i="38" s="1"/>
  <c r="F27" i="38"/>
  <c r="M27" i="36" s="1"/>
  <c r="D27" i="38"/>
  <c r="C27" i="38"/>
  <c r="J27" i="36" s="1"/>
  <c r="G26" i="38"/>
  <c r="H26" i="38" s="1"/>
  <c r="F26" i="38"/>
  <c r="M26" i="36" s="1"/>
  <c r="D26" i="38"/>
  <c r="C26" i="38"/>
  <c r="J26" i="36" s="1"/>
  <c r="G24" i="38"/>
  <c r="H24" i="38" s="1"/>
  <c r="F24" i="38"/>
  <c r="M24" i="36" s="1"/>
  <c r="D24" i="38"/>
  <c r="C24" i="38"/>
  <c r="J24" i="36" s="1"/>
  <c r="G23" i="38"/>
  <c r="H23" i="38" s="1"/>
  <c r="F23" i="38"/>
  <c r="M23" i="36" s="1"/>
  <c r="D23" i="38"/>
  <c r="C23" i="38"/>
  <c r="J23" i="36" s="1"/>
  <c r="G22" i="38"/>
  <c r="H22" i="38" s="1"/>
  <c r="F22" i="38"/>
  <c r="M22" i="36" s="1"/>
  <c r="D22" i="38"/>
  <c r="C22" i="38"/>
  <c r="J22" i="36" s="1"/>
  <c r="G21" i="38"/>
  <c r="H21" i="38" s="1"/>
  <c r="F21" i="38"/>
  <c r="M21" i="36" s="1"/>
  <c r="D21" i="38"/>
  <c r="K21" i="36" s="1"/>
  <c r="C21" i="38"/>
  <c r="J21" i="36" s="1"/>
  <c r="G20" i="38"/>
  <c r="H20" i="38" s="1"/>
  <c r="F20" i="38"/>
  <c r="M20" i="36" s="1"/>
  <c r="D20" i="38"/>
  <c r="C20" i="38"/>
  <c r="J20" i="36" s="1"/>
  <c r="G19" i="38"/>
  <c r="H19" i="38" s="1"/>
  <c r="F19" i="38"/>
  <c r="M19" i="36" s="1"/>
  <c r="D19" i="38"/>
  <c r="K19" i="36" s="1"/>
  <c r="C19" i="38"/>
  <c r="J19" i="36" s="1"/>
  <c r="G17" i="38"/>
  <c r="H17" i="38" s="1"/>
  <c r="F17" i="38"/>
  <c r="M17" i="36" s="1"/>
  <c r="D17" i="38"/>
  <c r="C17" i="38"/>
  <c r="J17" i="36" s="1"/>
  <c r="G16" i="38"/>
  <c r="H16" i="38" s="1"/>
  <c r="F16" i="38"/>
  <c r="M16" i="36" s="1"/>
  <c r="D16" i="38"/>
  <c r="E16" i="38" s="1"/>
  <c r="C16" i="38"/>
  <c r="J16" i="36" s="1"/>
  <c r="G15" i="38"/>
  <c r="H15" i="38" s="1"/>
  <c r="F15" i="38"/>
  <c r="M15" i="36" s="1"/>
  <c r="D15" i="38"/>
  <c r="E15" i="38" s="1"/>
  <c r="C15" i="38"/>
  <c r="J15" i="36" s="1"/>
  <c r="G14" i="38"/>
  <c r="H14" i="38" s="1"/>
  <c r="F14" i="38"/>
  <c r="M14" i="36" s="1"/>
  <c r="D14" i="38"/>
  <c r="E14" i="38" s="1"/>
  <c r="L14" i="36" s="1"/>
  <c r="C14" i="38"/>
  <c r="J14" i="36" s="1"/>
  <c r="G13" i="38"/>
  <c r="H13" i="38" s="1"/>
  <c r="F13" i="38"/>
  <c r="M13" i="36" s="1"/>
  <c r="D13" i="38"/>
  <c r="K13" i="36" s="1"/>
  <c r="C13" i="38"/>
  <c r="J13" i="36" s="1"/>
  <c r="G12" i="38"/>
  <c r="H12" i="38" s="1"/>
  <c r="F12" i="38"/>
  <c r="M12" i="36" s="1"/>
  <c r="D12" i="38"/>
  <c r="K12" i="36" s="1"/>
  <c r="C12" i="38"/>
  <c r="J12" i="36" s="1"/>
  <c r="G10" i="38"/>
  <c r="H10" i="38" s="1"/>
  <c r="F10" i="38"/>
  <c r="D10" i="38"/>
  <c r="C10" i="38"/>
  <c r="G9" i="38"/>
  <c r="H9" i="38" s="1"/>
  <c r="F9" i="38"/>
  <c r="D9" i="38"/>
  <c r="E9" i="38" s="1"/>
  <c r="C9" i="38"/>
  <c r="G8" i="38"/>
  <c r="H8" i="38" s="1"/>
  <c r="F8" i="38"/>
  <c r="D8" i="38"/>
  <c r="C8" i="38"/>
  <c r="G7" i="38"/>
  <c r="H7" i="38" s="1"/>
  <c r="F7" i="38"/>
  <c r="D7" i="38"/>
  <c r="C7" i="38"/>
  <c r="G6" i="38"/>
  <c r="H6" i="38" s="1"/>
  <c r="F6" i="38"/>
  <c r="D6" i="38"/>
  <c r="C6" i="38"/>
  <c r="G5" i="38"/>
  <c r="H5" i="38" s="1"/>
  <c r="F5" i="38"/>
  <c r="D5" i="38"/>
  <c r="C5" i="38"/>
  <c r="P10" i="41"/>
  <c r="AE10" i="43" s="1"/>
  <c r="O10" i="41"/>
  <c r="AD10" i="43" s="1"/>
  <c r="N10" i="41"/>
  <c r="AC10" i="43" s="1"/>
  <c r="M10" i="41"/>
  <c r="AB10" i="43" s="1"/>
  <c r="L10" i="41"/>
  <c r="AA10" i="43" s="1"/>
  <c r="K10" i="41"/>
  <c r="Z10" i="43" s="1"/>
  <c r="P9" i="41"/>
  <c r="AE9" i="43" s="1"/>
  <c r="O9" i="41"/>
  <c r="AD9" i="43" s="1"/>
  <c r="N9" i="41"/>
  <c r="M9" i="41"/>
  <c r="AB9" i="43" s="1"/>
  <c r="L9" i="41"/>
  <c r="AA9" i="43" s="1"/>
  <c r="K9" i="41"/>
  <c r="P8" i="41"/>
  <c r="AE8" i="43" s="1"/>
  <c r="N8" i="41"/>
  <c r="AC8" i="43" s="1"/>
  <c r="M8" i="41"/>
  <c r="AB8" i="43" s="1"/>
  <c r="L8" i="41"/>
  <c r="AA8" i="43" s="1"/>
  <c r="K8" i="41"/>
  <c r="Z8" i="43" s="1"/>
  <c r="P7" i="41"/>
  <c r="AE7" i="43" s="1"/>
  <c r="O7" i="41"/>
  <c r="AD7" i="43" s="1"/>
  <c r="N7" i="41"/>
  <c r="AC7" i="43" s="1"/>
  <c r="M7" i="41"/>
  <c r="AB7" i="43" s="1"/>
  <c r="L7" i="41"/>
  <c r="K7" i="41"/>
  <c r="Z7" i="43" s="1"/>
  <c r="P6" i="41"/>
  <c r="AE6" i="43" s="1"/>
  <c r="O6" i="41"/>
  <c r="AD6" i="43" s="1"/>
  <c r="N6" i="41"/>
  <c r="AC6" i="43" s="1"/>
  <c r="M6" i="41"/>
  <c r="L6" i="41"/>
  <c r="K6" i="41"/>
  <c r="P5" i="41"/>
  <c r="AE5" i="43" s="1"/>
  <c r="O5" i="41"/>
  <c r="AD5" i="43" s="1"/>
  <c r="N5" i="41"/>
  <c r="AC5" i="43" s="1"/>
  <c r="M5" i="41"/>
  <c r="L5" i="41"/>
  <c r="K5" i="41"/>
  <c r="P10" i="42"/>
  <c r="O10" i="42"/>
  <c r="N10" i="42"/>
  <c r="V10" i="43" s="1"/>
  <c r="M10" i="42"/>
  <c r="U10" i="43" s="1"/>
  <c r="L10" i="42"/>
  <c r="T10" i="43" s="1"/>
  <c r="K10" i="42"/>
  <c r="S10" i="43" s="1"/>
  <c r="P9" i="42"/>
  <c r="X9" i="43" s="1"/>
  <c r="O9" i="42"/>
  <c r="W9" i="43" s="1"/>
  <c r="N9" i="42"/>
  <c r="V9" i="43" s="1"/>
  <c r="M9" i="42"/>
  <c r="U9" i="43" s="1"/>
  <c r="L9" i="42"/>
  <c r="T9" i="43" s="1"/>
  <c r="K9" i="42"/>
  <c r="S9" i="43" s="1"/>
  <c r="P8" i="42"/>
  <c r="X8" i="43" s="1"/>
  <c r="N8" i="42"/>
  <c r="V8" i="43" s="1"/>
  <c r="M8" i="42"/>
  <c r="U8" i="43" s="1"/>
  <c r="L8" i="42"/>
  <c r="T8" i="43" s="1"/>
  <c r="K8" i="42"/>
  <c r="S8" i="43" s="1"/>
  <c r="P7" i="42"/>
  <c r="X7" i="43" s="1"/>
  <c r="O7" i="42"/>
  <c r="W7" i="43" s="1"/>
  <c r="N7" i="42"/>
  <c r="V7" i="43" s="1"/>
  <c r="M7" i="42"/>
  <c r="U7" i="43" s="1"/>
  <c r="L7" i="42"/>
  <c r="K7" i="42"/>
  <c r="S7" i="43" s="1"/>
  <c r="P6" i="42"/>
  <c r="X6" i="43" s="1"/>
  <c r="O6" i="42"/>
  <c r="W6" i="43" s="1"/>
  <c r="N6" i="42"/>
  <c r="M6" i="42"/>
  <c r="U6" i="43" s="1"/>
  <c r="L6" i="42"/>
  <c r="T6" i="43" s="1"/>
  <c r="K6" i="42"/>
  <c r="P5" i="42"/>
  <c r="X5" i="43" s="1"/>
  <c r="O5" i="42"/>
  <c r="N5" i="42"/>
  <c r="V5" i="43" s="1"/>
  <c r="M5" i="42"/>
  <c r="U5" i="43" s="1"/>
  <c r="L5" i="42"/>
  <c r="T5" i="43" s="1"/>
  <c r="K5" i="42"/>
  <c r="P10" i="39"/>
  <c r="O10" i="39"/>
  <c r="N10" i="39"/>
  <c r="M10" i="39"/>
  <c r="L10" i="39"/>
  <c r="AA10" i="35" s="1"/>
  <c r="K10" i="39"/>
  <c r="Z10" i="35" s="1"/>
  <c r="P9" i="39"/>
  <c r="AE9" i="35" s="1"/>
  <c r="O9" i="39"/>
  <c r="N9" i="39"/>
  <c r="M9" i="39"/>
  <c r="L9" i="39"/>
  <c r="AA9" i="35" s="1"/>
  <c r="K9" i="39"/>
  <c r="Z9" i="35" s="1"/>
  <c r="P8" i="39"/>
  <c r="N8" i="39"/>
  <c r="M8" i="39"/>
  <c r="L8" i="39"/>
  <c r="AA8" i="35" s="1"/>
  <c r="K8" i="39"/>
  <c r="Z8" i="35" s="1"/>
  <c r="P7" i="39"/>
  <c r="O7" i="39"/>
  <c r="AD7" i="35" s="1"/>
  <c r="N7" i="39"/>
  <c r="AC7" i="35" s="1"/>
  <c r="M7" i="39"/>
  <c r="AB7" i="35" s="1"/>
  <c r="L7" i="39"/>
  <c r="AA7" i="35" s="1"/>
  <c r="K7" i="39"/>
  <c r="Z7" i="35" s="1"/>
  <c r="P6" i="39"/>
  <c r="AE6" i="35" s="1"/>
  <c r="O6" i="39"/>
  <c r="AD6" i="35" s="1"/>
  <c r="N6" i="39"/>
  <c r="AC6" i="35" s="1"/>
  <c r="M6" i="39"/>
  <c r="AB6" i="35" s="1"/>
  <c r="L6" i="39"/>
  <c r="AA6" i="35" s="1"/>
  <c r="K6" i="39"/>
  <c r="Z6" i="35" s="1"/>
  <c r="P5" i="39"/>
  <c r="AE5" i="35" s="1"/>
  <c r="O5" i="39"/>
  <c r="AD5" i="35" s="1"/>
  <c r="N5" i="39"/>
  <c r="AC5" i="35" s="1"/>
  <c r="M5" i="39"/>
  <c r="L5" i="39"/>
  <c r="AA5" i="35" s="1"/>
  <c r="K5" i="39"/>
  <c r="Z5" i="35" s="1"/>
  <c r="P10" i="40"/>
  <c r="X10" i="35" s="1"/>
  <c r="O10" i="40"/>
  <c r="W10" i="35" s="1"/>
  <c r="N10" i="40"/>
  <c r="V10" i="35" s="1"/>
  <c r="M10" i="40"/>
  <c r="U10" i="35" s="1"/>
  <c r="L10" i="40"/>
  <c r="T10" i="35" s="1"/>
  <c r="K10" i="40"/>
  <c r="S10" i="35" s="1"/>
  <c r="P9" i="40"/>
  <c r="X9" i="35" s="1"/>
  <c r="O9" i="40"/>
  <c r="W9" i="35" s="1"/>
  <c r="N9" i="40"/>
  <c r="V9" i="35" s="1"/>
  <c r="M9" i="40"/>
  <c r="L9" i="40"/>
  <c r="K9" i="40"/>
  <c r="P8" i="40"/>
  <c r="X8" i="35" s="1"/>
  <c r="N8" i="40"/>
  <c r="M8" i="40"/>
  <c r="L8" i="40"/>
  <c r="K8" i="40"/>
  <c r="P7" i="40"/>
  <c r="X7" i="35" s="1"/>
  <c r="O7" i="40"/>
  <c r="W7" i="35" s="1"/>
  <c r="N7" i="40"/>
  <c r="M7" i="40"/>
  <c r="U7" i="35" s="1"/>
  <c r="L7" i="40"/>
  <c r="K7" i="40"/>
  <c r="P6" i="40"/>
  <c r="X6" i="35" s="1"/>
  <c r="O6" i="40"/>
  <c r="N6" i="40"/>
  <c r="M6" i="40"/>
  <c r="L6" i="40"/>
  <c r="K6" i="40"/>
  <c r="P5" i="40"/>
  <c r="X5" i="35" s="1"/>
  <c r="O5" i="40"/>
  <c r="W5" i="35" s="1"/>
  <c r="N5" i="40"/>
  <c r="M5" i="40"/>
  <c r="U5" i="35" s="1"/>
  <c r="L5" i="40"/>
  <c r="K5" i="40"/>
  <c r="P10" i="38"/>
  <c r="AE10" i="36" s="1"/>
  <c r="O10" i="38"/>
  <c r="AD10" i="36" s="1"/>
  <c r="N10" i="38"/>
  <c r="AC10" i="36" s="1"/>
  <c r="M10" i="38"/>
  <c r="AB10" i="36" s="1"/>
  <c r="L10" i="38"/>
  <c r="AA10" i="36" s="1"/>
  <c r="K10" i="38"/>
  <c r="P9" i="38"/>
  <c r="AE9" i="36" s="1"/>
  <c r="O9" i="38"/>
  <c r="AD9" i="36" s="1"/>
  <c r="N9" i="38"/>
  <c r="AC9" i="36" s="1"/>
  <c r="M9" i="38"/>
  <c r="AB9" i="36" s="1"/>
  <c r="L9" i="38"/>
  <c r="AA9" i="36" s="1"/>
  <c r="K9" i="38"/>
  <c r="P8" i="38"/>
  <c r="AE8" i="36" s="1"/>
  <c r="N8" i="38"/>
  <c r="AC8" i="36" s="1"/>
  <c r="M8" i="38"/>
  <c r="AB8" i="36" s="1"/>
  <c r="L8" i="38"/>
  <c r="AA8" i="36" s="1"/>
  <c r="K8" i="38"/>
  <c r="Z8" i="36" s="1"/>
  <c r="P7" i="38"/>
  <c r="AE7" i="36" s="1"/>
  <c r="O7" i="38"/>
  <c r="AD7" i="36" s="1"/>
  <c r="N7" i="38"/>
  <c r="AC7" i="36" s="1"/>
  <c r="M7" i="38"/>
  <c r="AB7" i="36" s="1"/>
  <c r="L7" i="38"/>
  <c r="AA7" i="36" s="1"/>
  <c r="K7" i="38"/>
  <c r="Z7" i="36" s="1"/>
  <c r="P6" i="38"/>
  <c r="AE6" i="36" s="1"/>
  <c r="O6" i="38"/>
  <c r="AD6" i="36" s="1"/>
  <c r="N6" i="38"/>
  <c r="AC6" i="36" s="1"/>
  <c r="M6" i="38"/>
  <c r="L6" i="38"/>
  <c r="K6" i="38"/>
  <c r="P5" i="38"/>
  <c r="AE5" i="36" s="1"/>
  <c r="O5" i="38"/>
  <c r="AD5" i="36" s="1"/>
  <c r="N5" i="38"/>
  <c r="AC5" i="36" s="1"/>
  <c r="M5" i="38"/>
  <c r="L5" i="38"/>
  <c r="K5" i="38"/>
  <c r="O7" i="37"/>
  <c r="P10" i="37"/>
  <c r="P9" i="37"/>
  <c r="P8" i="37"/>
  <c r="P7" i="37"/>
  <c r="P6" i="37"/>
  <c r="P5" i="37"/>
  <c r="O10" i="37"/>
  <c r="O9" i="37"/>
  <c r="O6" i="37"/>
  <c r="O5" i="37"/>
  <c r="N10" i="37"/>
  <c r="N9" i="37"/>
  <c r="N8" i="37"/>
  <c r="N7" i="37"/>
  <c r="V7" i="36" s="1"/>
  <c r="N6" i="37"/>
  <c r="V6" i="36" s="1"/>
  <c r="N5" i="37"/>
  <c r="M10" i="37"/>
  <c r="U10" i="36" s="1"/>
  <c r="M9" i="37"/>
  <c r="M8" i="37"/>
  <c r="U8" i="36" s="1"/>
  <c r="M7" i="37"/>
  <c r="U7" i="36" s="1"/>
  <c r="M6" i="37"/>
  <c r="M5" i="37"/>
  <c r="L10" i="37"/>
  <c r="T10" i="36" s="1"/>
  <c r="L9" i="37"/>
  <c r="T9" i="36" s="1"/>
  <c r="L8" i="37"/>
  <c r="T8" i="36" s="1"/>
  <c r="L7" i="37"/>
  <c r="T7" i="36" s="1"/>
  <c r="L6" i="37"/>
  <c r="T6" i="36" s="1"/>
  <c r="L5" i="37"/>
  <c r="T5" i="36" s="1"/>
  <c r="K10" i="37"/>
  <c r="S10" i="36" s="1"/>
  <c r="K9" i="37"/>
  <c r="S9" i="36" s="1"/>
  <c r="K8" i="37"/>
  <c r="K7" i="37"/>
  <c r="S7" i="36" s="1"/>
  <c r="K6" i="37"/>
  <c r="S6" i="36" s="1"/>
  <c r="K5" i="37"/>
  <c r="S5" i="36" s="1"/>
  <c r="G45" i="37"/>
  <c r="H45" i="37" s="1"/>
  <c r="G44" i="37"/>
  <c r="H44" i="37" s="1"/>
  <c r="G43" i="37"/>
  <c r="H43" i="37" s="1"/>
  <c r="G42" i="37"/>
  <c r="H42" i="37" s="1"/>
  <c r="G41" i="37"/>
  <c r="H41" i="37" s="1"/>
  <c r="G40" i="37"/>
  <c r="H40" i="37" s="1"/>
  <c r="F45" i="37"/>
  <c r="F45" i="36" s="1"/>
  <c r="F44" i="37"/>
  <c r="F44" i="36" s="1"/>
  <c r="F43" i="37"/>
  <c r="F43" i="36" s="1"/>
  <c r="F42" i="37"/>
  <c r="F42" i="36" s="1"/>
  <c r="F41" i="37"/>
  <c r="F41" i="36" s="1"/>
  <c r="F40" i="37"/>
  <c r="F40" i="36" s="1"/>
  <c r="D45" i="37"/>
  <c r="D44" i="37"/>
  <c r="D44" i="36" s="1"/>
  <c r="D43" i="37"/>
  <c r="D43" i="36" s="1"/>
  <c r="D42" i="37"/>
  <c r="D41" i="37"/>
  <c r="D40" i="37"/>
  <c r="C45" i="37"/>
  <c r="C45" i="36" s="1"/>
  <c r="C44" i="37"/>
  <c r="C44" i="36" s="1"/>
  <c r="C43" i="37"/>
  <c r="C43" i="36" s="1"/>
  <c r="C42" i="37"/>
  <c r="C42" i="36" s="1"/>
  <c r="C41" i="37"/>
  <c r="C41" i="36" s="1"/>
  <c r="C40" i="37"/>
  <c r="C40" i="36" s="1"/>
  <c r="G17" i="37"/>
  <c r="H17" i="37" s="1"/>
  <c r="G16" i="37"/>
  <c r="H16" i="37" s="1"/>
  <c r="G15" i="37"/>
  <c r="H15" i="37" s="1"/>
  <c r="G14" i="37"/>
  <c r="H14" i="37" s="1"/>
  <c r="G13" i="37"/>
  <c r="H13" i="37" s="1"/>
  <c r="G12" i="37"/>
  <c r="H12" i="37" s="1"/>
  <c r="F17" i="37"/>
  <c r="F17" i="36" s="1"/>
  <c r="F16" i="37"/>
  <c r="F16" i="36" s="1"/>
  <c r="F15" i="37"/>
  <c r="F15" i="36" s="1"/>
  <c r="F14" i="37"/>
  <c r="F14" i="36" s="1"/>
  <c r="F13" i="37"/>
  <c r="F13" i="36" s="1"/>
  <c r="F12" i="37"/>
  <c r="F12" i="36" s="1"/>
  <c r="C12" i="37"/>
  <c r="C12" i="36" s="1"/>
  <c r="D17" i="37"/>
  <c r="D17" i="36" s="1"/>
  <c r="D16" i="37"/>
  <c r="D16" i="36" s="1"/>
  <c r="D15" i="37"/>
  <c r="D15" i="36" s="1"/>
  <c r="D14" i="37"/>
  <c r="D14" i="36" s="1"/>
  <c r="D13" i="37"/>
  <c r="D13" i="36" s="1"/>
  <c r="D12" i="37"/>
  <c r="D12" i="36" s="1"/>
  <c r="C17" i="37"/>
  <c r="C17" i="36" s="1"/>
  <c r="C16" i="37"/>
  <c r="C16" i="36" s="1"/>
  <c r="C15" i="37"/>
  <c r="C15" i="36" s="1"/>
  <c r="C14" i="37"/>
  <c r="C14" i="36" s="1"/>
  <c r="C13" i="37"/>
  <c r="C13" i="36" s="1"/>
  <c r="C5" i="37"/>
  <c r="C5" i="36" s="1"/>
  <c r="Z9" i="36" l="1"/>
  <c r="Z16" i="36" s="1"/>
  <c r="Z9" i="43"/>
  <c r="Z13" i="43" s="1"/>
  <c r="W13" i="43"/>
  <c r="W13" i="36"/>
  <c r="S8" i="36"/>
  <c r="S15" i="36" s="1"/>
  <c r="X16" i="36"/>
  <c r="T7" i="43"/>
  <c r="T14" i="43" s="1"/>
  <c r="AC9" i="43"/>
  <c r="AC16" i="43" s="1"/>
  <c r="S14" i="35"/>
  <c r="T16" i="36"/>
  <c r="S6" i="43"/>
  <c r="S13" i="43" s="1"/>
  <c r="AD16" i="35"/>
  <c r="U5" i="36"/>
  <c r="U12" i="36" s="1"/>
  <c r="AE16" i="35"/>
  <c r="V5" i="36"/>
  <c r="V12" i="36" s="1"/>
  <c r="Z15" i="36"/>
  <c r="U6" i="36"/>
  <c r="U13" i="36" s="1"/>
  <c r="V6" i="43"/>
  <c r="V13" i="43" s="1"/>
  <c r="U15" i="35"/>
  <c r="V8" i="36"/>
  <c r="V15" i="36" s="1"/>
  <c r="W16" i="36"/>
  <c r="U9" i="36"/>
  <c r="U16" i="36" s="1"/>
  <c r="V9" i="36"/>
  <c r="V14" i="36" s="1"/>
  <c r="Z14" i="36"/>
  <c r="V10" i="36"/>
  <c r="V17" i="36" s="1"/>
  <c r="E22" i="41"/>
  <c r="L22" i="43" s="1"/>
  <c r="AD14" i="43"/>
  <c r="X13" i="43"/>
  <c r="U13" i="43"/>
  <c r="T13" i="43"/>
  <c r="Z16" i="35"/>
  <c r="Z14" i="35"/>
  <c r="T13" i="35"/>
  <c r="T14" i="35"/>
  <c r="AB16" i="36"/>
  <c r="AA16" i="36"/>
  <c r="T13" i="36"/>
  <c r="T14" i="36"/>
  <c r="T15" i="36"/>
  <c r="T12" i="36"/>
  <c r="AE17" i="35"/>
  <c r="S17" i="43"/>
  <c r="AE14" i="35"/>
  <c r="U17" i="43"/>
  <c r="X12" i="36"/>
  <c r="S13" i="35"/>
  <c r="V13" i="35"/>
  <c r="W13" i="35"/>
  <c r="W14" i="36"/>
  <c r="X15" i="36"/>
  <c r="Z12" i="36"/>
  <c r="AE13" i="35"/>
  <c r="U14" i="35"/>
  <c r="U13" i="35"/>
  <c r="V14" i="35"/>
  <c r="AA13" i="43"/>
  <c r="AB13" i="43"/>
  <c r="S15" i="35"/>
  <c r="AC13" i="36"/>
  <c r="V15" i="35"/>
  <c r="AA14" i="43"/>
  <c r="Z12" i="43"/>
  <c r="Z17" i="35"/>
  <c r="AC17" i="35"/>
  <c r="AB17" i="35"/>
  <c r="AA17" i="35"/>
  <c r="AD17" i="35"/>
  <c r="AC14" i="43"/>
  <c r="U14" i="36"/>
  <c r="S15" i="43"/>
  <c r="AC17" i="43"/>
  <c r="X15" i="43"/>
  <c r="S12" i="43"/>
  <c r="T12" i="43"/>
  <c r="Z12" i="35"/>
  <c r="X17" i="43"/>
  <c r="AE12" i="43"/>
  <c r="X14" i="35"/>
  <c r="AC13" i="43"/>
  <c r="V17" i="43"/>
  <c r="AA14" i="35"/>
  <c r="AE13" i="43"/>
  <c r="Z13" i="35"/>
  <c r="AD13" i="36"/>
  <c r="S12" i="35"/>
  <c r="AB14" i="43"/>
  <c r="W15" i="36"/>
  <c r="AC13" i="35"/>
  <c r="AE13" i="36"/>
  <c r="T12" i="35"/>
  <c r="AB12" i="36"/>
  <c r="U12" i="35"/>
  <c r="AA14" i="36"/>
  <c r="V12" i="35"/>
  <c r="AE14" i="43"/>
  <c r="AB14" i="36"/>
  <c r="W12" i="35"/>
  <c r="AA12" i="36"/>
  <c r="Z17" i="43"/>
  <c r="AE14" i="36"/>
  <c r="AC15" i="35"/>
  <c r="W17" i="43"/>
  <c r="AA15" i="36"/>
  <c r="AD14" i="36"/>
  <c r="AB15" i="36"/>
  <c r="X13" i="35"/>
  <c r="X17" i="35"/>
  <c r="AD14" i="35"/>
  <c r="AC15" i="36"/>
  <c r="AE15" i="36"/>
  <c r="AD13" i="35"/>
  <c r="AC14" i="36"/>
  <c r="E21" i="38"/>
  <c r="L21" i="36" s="1"/>
  <c r="E35" i="42"/>
  <c r="E35" i="43" s="1"/>
  <c r="E40" i="38"/>
  <c r="L40" i="36" s="1"/>
  <c r="E40" i="40"/>
  <c r="E40" i="35" s="1"/>
  <c r="E40" i="39"/>
  <c r="L40" i="35" s="1"/>
  <c r="E40" i="41"/>
  <c r="L40" i="43" s="1"/>
  <c r="E12" i="40"/>
  <c r="E12" i="35" s="1"/>
  <c r="E26" i="39"/>
  <c r="L26" i="35" s="1"/>
  <c r="E26" i="40"/>
  <c r="E26" i="35" s="1"/>
  <c r="E12" i="42"/>
  <c r="E12" i="43" s="1"/>
  <c r="E27" i="40"/>
  <c r="E27" i="35" s="1"/>
  <c r="E27" i="39"/>
  <c r="L27" i="35" s="1"/>
  <c r="E13" i="42"/>
  <c r="E13" i="43" s="1"/>
  <c r="E13" i="41"/>
  <c r="L13" i="43" s="1"/>
  <c r="E41" i="41"/>
  <c r="L41" i="43" s="1"/>
  <c r="E27" i="38"/>
  <c r="L27" i="36" s="1"/>
  <c r="E13" i="40"/>
  <c r="E13" i="35" s="1"/>
  <c r="E13" i="39"/>
  <c r="L13" i="35" s="1"/>
  <c r="E41" i="42"/>
  <c r="E41" i="43" s="1"/>
  <c r="E41" i="38"/>
  <c r="E41" i="40"/>
  <c r="E41" i="35" s="1"/>
  <c r="E41" i="39"/>
  <c r="L41" i="35" s="1"/>
  <c r="E28" i="38"/>
  <c r="L28" i="36" s="1"/>
  <c r="E14" i="39"/>
  <c r="L14" i="35" s="1"/>
  <c r="E28" i="39"/>
  <c r="L28" i="35" s="1"/>
  <c r="E42" i="42"/>
  <c r="E42" i="43" s="1"/>
  <c r="E14" i="41"/>
  <c r="L14" i="43" s="1"/>
  <c r="E42" i="38"/>
  <c r="E42" i="40"/>
  <c r="E42" i="35" s="1"/>
  <c r="E14" i="42"/>
  <c r="E14" i="43" s="1"/>
  <c r="E28" i="40"/>
  <c r="E28" i="35" s="1"/>
  <c r="E42" i="39"/>
  <c r="L42" i="35" s="1"/>
  <c r="E29" i="38"/>
  <c r="L29" i="36" s="1"/>
  <c r="E29" i="40"/>
  <c r="E29" i="35" s="1"/>
  <c r="E15" i="39"/>
  <c r="L15" i="35" s="1"/>
  <c r="E29" i="41"/>
  <c r="L29" i="43" s="1"/>
  <c r="E43" i="41"/>
  <c r="L43" i="43" s="1"/>
  <c r="E43" i="38"/>
  <c r="L43" i="36" s="1"/>
  <c r="E43" i="40"/>
  <c r="E43" i="35" s="1"/>
  <c r="E35" i="39"/>
  <c r="L35" i="35" s="1"/>
  <c r="K14" i="43"/>
  <c r="E38" i="40"/>
  <c r="E38" i="35" s="1"/>
  <c r="E10" i="39"/>
  <c r="E24" i="39"/>
  <c r="L24" i="35" s="1"/>
  <c r="E24" i="40"/>
  <c r="E24" i="35" s="1"/>
  <c r="E38" i="38"/>
  <c r="L38" i="36" s="1"/>
  <c r="E10" i="40"/>
  <c r="E10" i="35" s="1"/>
  <c r="E42" i="37"/>
  <c r="E42" i="36" s="1"/>
  <c r="E45" i="37"/>
  <c r="E16" i="37"/>
  <c r="E30" i="39"/>
  <c r="L30" i="35" s="1"/>
  <c r="E17" i="37"/>
  <c r="E15" i="37"/>
  <c r="E45" i="42"/>
  <c r="E45" i="43" s="1"/>
  <c r="E14" i="37"/>
  <c r="E5" i="38"/>
  <c r="E31" i="39"/>
  <c r="L31" i="35" s="1"/>
  <c r="E5" i="40"/>
  <c r="E5" i="35" s="1"/>
  <c r="D28" i="35"/>
  <c r="E19" i="40"/>
  <c r="E19" i="35" s="1"/>
  <c r="E33" i="38"/>
  <c r="L33" i="36" s="1"/>
  <c r="E20" i="38"/>
  <c r="L20" i="36" s="1"/>
  <c r="E6" i="40"/>
  <c r="E34" i="40"/>
  <c r="E34" i="35" s="1"/>
  <c r="E34" i="38"/>
  <c r="L34" i="36" s="1"/>
  <c r="D24" i="35"/>
  <c r="D42" i="43"/>
  <c r="K13" i="43"/>
  <c r="E40" i="42"/>
  <c r="E40" i="43" s="1"/>
  <c r="E12" i="41"/>
  <c r="L12" i="43" s="1"/>
  <c r="E26" i="41"/>
  <c r="L26" i="43" s="1"/>
  <c r="K12" i="43"/>
  <c r="D30" i="43"/>
  <c r="E27" i="41"/>
  <c r="L27" i="43" s="1"/>
  <c r="E14" i="40"/>
  <c r="E14" i="35" s="1"/>
  <c r="D14" i="35"/>
  <c r="E28" i="41"/>
  <c r="L28" i="43" s="1"/>
  <c r="E42" i="41"/>
  <c r="L42" i="43" s="1"/>
  <c r="E15" i="40"/>
  <c r="E15" i="35" s="1"/>
  <c r="D10" i="35"/>
  <c r="E43" i="39"/>
  <c r="L43" i="35" s="1"/>
  <c r="E15" i="42"/>
  <c r="E15" i="43" s="1"/>
  <c r="D16" i="43"/>
  <c r="E29" i="42"/>
  <c r="E29" i="43" s="1"/>
  <c r="E43" i="42"/>
  <c r="E43" i="43" s="1"/>
  <c r="D9" i="35"/>
  <c r="D15" i="43"/>
  <c r="E43" i="37"/>
  <c r="E43" i="36" s="1"/>
  <c r="D14" i="43"/>
  <c r="K35" i="35"/>
  <c r="E17" i="41"/>
  <c r="L17" i="43" s="1"/>
  <c r="K30" i="36"/>
  <c r="E31" i="41"/>
  <c r="L31" i="43" s="1"/>
  <c r="E45" i="41"/>
  <c r="L45" i="43" s="1"/>
  <c r="K43" i="43"/>
  <c r="D43" i="35"/>
  <c r="K42" i="43"/>
  <c r="E6" i="38"/>
  <c r="D42" i="35"/>
  <c r="K41" i="43"/>
  <c r="E35" i="38"/>
  <c r="L35" i="36" s="1"/>
  <c r="E7" i="40"/>
  <c r="E21" i="40"/>
  <c r="E21" i="35" s="1"/>
  <c r="E35" i="40"/>
  <c r="E35" i="35" s="1"/>
  <c r="K34" i="36"/>
  <c r="D38" i="35"/>
  <c r="K40" i="43"/>
  <c r="E8" i="38"/>
  <c r="E22" i="38"/>
  <c r="L22" i="36" s="1"/>
  <c r="E12" i="37"/>
  <c r="K29" i="43"/>
  <c r="D37" i="35"/>
  <c r="D36" i="35"/>
  <c r="E44" i="37"/>
  <c r="E6" i="39"/>
  <c r="E22" i="39"/>
  <c r="L22" i="35" s="1"/>
  <c r="D45" i="43"/>
  <c r="E22" i="42"/>
  <c r="E22" i="43" s="1"/>
  <c r="D29" i="35"/>
  <c r="K27" i="43"/>
  <c r="E40" i="37"/>
  <c r="E24" i="38"/>
  <c r="L24" i="36" s="1"/>
  <c r="E10" i="41"/>
  <c r="L10" i="43" s="1"/>
  <c r="E13" i="37"/>
  <c r="E10" i="38"/>
  <c r="E41" i="37"/>
  <c r="D44" i="43"/>
  <c r="N20" i="35"/>
  <c r="N9" i="43"/>
  <c r="N8" i="43"/>
  <c r="G20" i="35"/>
  <c r="N7" i="43"/>
  <c r="N44" i="43"/>
  <c r="N6" i="43"/>
  <c r="G10" i="35"/>
  <c r="N41" i="43"/>
  <c r="G42" i="43"/>
  <c r="G36" i="43"/>
  <c r="G35" i="43"/>
  <c r="N37" i="43"/>
  <c r="G38" i="35"/>
  <c r="N29" i="43"/>
  <c r="N34" i="35"/>
  <c r="N28" i="43"/>
  <c r="G29" i="43"/>
  <c r="G34" i="35"/>
  <c r="N31" i="35"/>
  <c r="N27" i="35"/>
  <c r="G23" i="43"/>
  <c r="N21" i="43"/>
  <c r="N24" i="35"/>
  <c r="G22" i="43"/>
  <c r="G27" i="35"/>
  <c r="G21" i="43"/>
  <c r="G26" i="35"/>
  <c r="G16" i="43"/>
  <c r="G24" i="35"/>
  <c r="N29" i="36"/>
  <c r="N35" i="43"/>
  <c r="G30" i="43"/>
  <c r="N13" i="36"/>
  <c r="G41" i="35"/>
  <c r="N45" i="36"/>
  <c r="G44" i="35"/>
  <c r="G17" i="35"/>
  <c r="N34" i="43"/>
  <c r="G13" i="35"/>
  <c r="G26" i="43"/>
  <c r="N30" i="43"/>
  <c r="N17" i="35"/>
  <c r="N16" i="35"/>
  <c r="N45" i="35"/>
  <c r="N13" i="35"/>
  <c r="N43" i="35"/>
  <c r="G5" i="43"/>
  <c r="G15" i="43"/>
  <c r="G44" i="43"/>
  <c r="G45" i="35"/>
  <c r="G31" i="35"/>
  <c r="N22" i="43"/>
  <c r="G14" i="43"/>
  <c r="N16" i="43"/>
  <c r="N36" i="35"/>
  <c r="G12" i="43"/>
  <c r="N43" i="43"/>
  <c r="G43" i="43"/>
  <c r="G8" i="43"/>
  <c r="S14" i="36"/>
  <c r="S17" i="35"/>
  <c r="X13" i="36"/>
  <c r="AB12" i="43"/>
  <c r="AB16" i="43"/>
  <c r="AB13" i="36"/>
  <c r="AA13" i="36"/>
  <c r="V17" i="35"/>
  <c r="Z13" i="36"/>
  <c r="X17" i="36"/>
  <c r="AA12" i="43"/>
  <c r="AA16" i="43"/>
  <c r="AD12" i="43"/>
  <c r="AD13" i="43"/>
  <c r="AD16" i="43"/>
  <c r="AD15" i="36"/>
  <c r="AC16" i="36"/>
  <c r="AC12" i="36"/>
  <c r="AE16" i="36"/>
  <c r="AE12" i="36"/>
  <c r="AD17" i="43"/>
  <c r="S17" i="36"/>
  <c r="S13" i="36"/>
  <c r="AE17" i="43"/>
  <c r="AA17" i="36"/>
  <c r="AB17" i="36"/>
  <c r="AD17" i="36"/>
  <c r="S16" i="36"/>
  <c r="S12" i="36"/>
  <c r="AA17" i="43"/>
  <c r="Z17" i="36"/>
  <c r="U12" i="43"/>
  <c r="AE17" i="36"/>
  <c r="V12" i="43"/>
  <c r="AD12" i="36"/>
  <c r="AD16" i="36"/>
  <c r="W12" i="36"/>
  <c r="W12" i="43"/>
  <c r="X14" i="36"/>
  <c r="T17" i="35"/>
  <c r="X12" i="43"/>
  <c r="T17" i="36"/>
  <c r="AB17" i="43"/>
  <c r="AC17" i="36"/>
  <c r="W17" i="36"/>
  <c r="T17" i="43"/>
  <c r="AD12" i="35"/>
  <c r="AB13" i="35"/>
  <c r="AA13" i="35"/>
  <c r="W17" i="35"/>
  <c r="AC12" i="43"/>
  <c r="U17" i="35"/>
  <c r="AE12" i="35"/>
  <c r="X12" i="35"/>
  <c r="AC12" i="35"/>
  <c r="AA16" i="35"/>
  <c r="AB16" i="35"/>
  <c r="D41" i="43"/>
  <c r="E45" i="38"/>
  <c r="L45" i="36" s="1"/>
  <c r="E17" i="40"/>
  <c r="E17" i="35" s="1"/>
  <c r="D13" i="35"/>
  <c r="D12" i="35"/>
  <c r="K9" i="43"/>
  <c r="K36" i="43"/>
  <c r="K8" i="43"/>
  <c r="K31" i="35"/>
  <c r="D9" i="43"/>
  <c r="K42" i="36"/>
  <c r="E31" i="38"/>
  <c r="L31" i="36" s="1"/>
  <c r="E7" i="38"/>
  <c r="E33" i="40"/>
  <c r="E33" i="35" s="1"/>
  <c r="D40" i="43"/>
  <c r="E19" i="39"/>
  <c r="L19" i="35" s="1"/>
  <c r="E45" i="39"/>
  <c r="L45" i="35" s="1"/>
  <c r="E17" i="42"/>
  <c r="E17" i="43" s="1"/>
  <c r="K16" i="35"/>
  <c r="D23" i="43"/>
  <c r="E24" i="42"/>
  <c r="E24" i="43" s="1"/>
  <c r="E37" i="42"/>
  <c r="E37" i="43" s="1"/>
  <c r="D27" i="35"/>
  <c r="K44" i="36"/>
  <c r="K22" i="43"/>
  <c r="D35" i="35"/>
  <c r="D37" i="43"/>
  <c r="D41" i="35"/>
  <c r="E29" i="39"/>
  <c r="L29" i="35" s="1"/>
  <c r="E31" i="42"/>
  <c r="E31" i="43" s="1"/>
  <c r="K37" i="35"/>
  <c r="E24" i="41"/>
  <c r="L24" i="43" s="1"/>
  <c r="E38" i="41"/>
  <c r="L38" i="43" s="1"/>
  <c r="E5" i="42"/>
  <c r="E5" i="43" s="1"/>
  <c r="E19" i="42"/>
  <c r="E19" i="43" s="1"/>
  <c r="E30" i="41"/>
  <c r="L30" i="43" s="1"/>
  <c r="K15" i="35"/>
  <c r="D40" i="35"/>
  <c r="E33" i="39"/>
  <c r="L33" i="35" s="1"/>
  <c r="D36" i="43"/>
  <c r="E10" i="42"/>
  <c r="E10" i="43" s="1"/>
  <c r="E34" i="39"/>
  <c r="L34" i="35" s="1"/>
  <c r="D34" i="35"/>
  <c r="K43" i="35"/>
  <c r="E37" i="41"/>
  <c r="L37" i="43" s="1"/>
  <c r="E17" i="39"/>
  <c r="L17" i="35" s="1"/>
  <c r="K14" i="36"/>
  <c r="E33" i="42"/>
  <c r="E33" i="43" s="1"/>
  <c r="K38" i="43"/>
  <c r="D10" i="43"/>
  <c r="E7" i="39"/>
  <c r="E21" i="39"/>
  <c r="L21" i="35" s="1"/>
  <c r="E6" i="42"/>
  <c r="E6" i="43" s="1"/>
  <c r="E20" i="42"/>
  <c r="E20" i="43" s="1"/>
  <c r="K14" i="35"/>
  <c r="D6" i="43"/>
  <c r="K17" i="43"/>
  <c r="K20" i="36"/>
  <c r="E5" i="41"/>
  <c r="L5" i="43" s="1"/>
  <c r="E19" i="41"/>
  <c r="L19" i="43" s="1"/>
  <c r="K28" i="35"/>
  <c r="E45" i="40"/>
  <c r="E45" i="35" s="1"/>
  <c r="D33" i="35"/>
  <c r="D19" i="35"/>
  <c r="K42" i="35"/>
  <c r="E38" i="39"/>
  <c r="L38" i="35" s="1"/>
  <c r="E17" i="38"/>
  <c r="E34" i="42"/>
  <c r="E34" i="43" s="1"/>
  <c r="D20" i="43"/>
  <c r="E35" i="41"/>
  <c r="L35" i="43" s="1"/>
  <c r="D26" i="35"/>
  <c r="E8" i="39"/>
  <c r="E7" i="42"/>
  <c r="E7" i="43" s="1"/>
  <c r="E33" i="41"/>
  <c r="L33" i="43" s="1"/>
  <c r="K5" i="43"/>
  <c r="K31" i="43"/>
  <c r="D12" i="43"/>
  <c r="E22" i="40"/>
  <c r="E22" i="35" s="1"/>
  <c r="E6" i="41"/>
  <c r="L6" i="43" s="1"/>
  <c r="K41" i="35"/>
  <c r="K13" i="35"/>
  <c r="D34" i="43"/>
  <c r="K16" i="43"/>
  <c r="E27" i="42"/>
  <c r="E27" i="43" s="1"/>
  <c r="D24" i="43"/>
  <c r="K27" i="35"/>
  <c r="K45" i="43"/>
  <c r="E38" i="42"/>
  <c r="E38" i="43" s="1"/>
  <c r="E31" i="40"/>
  <c r="E31" i="35" s="1"/>
  <c r="E12" i="38"/>
  <c r="L12" i="36" s="1"/>
  <c r="E26" i="38"/>
  <c r="L26" i="36" s="1"/>
  <c r="D45" i="35"/>
  <c r="D31" i="35"/>
  <c r="D17" i="35"/>
  <c r="D19" i="43"/>
  <c r="E34" i="41"/>
  <c r="L34" i="43" s="1"/>
  <c r="K44" i="35"/>
  <c r="E8" i="42"/>
  <c r="E8" i="43" s="1"/>
  <c r="E7" i="41"/>
  <c r="L7" i="43" s="1"/>
  <c r="K40" i="35"/>
  <c r="K26" i="35"/>
  <c r="D33" i="43"/>
  <c r="D13" i="43"/>
  <c r="K43" i="36"/>
  <c r="D16" i="35"/>
  <c r="D17" i="43"/>
  <c r="K24" i="35"/>
  <c r="K23" i="43"/>
  <c r="E30" i="40"/>
  <c r="E30" i="35" s="1"/>
  <c r="E36" i="39"/>
  <c r="L36" i="35" s="1"/>
  <c r="E13" i="38"/>
  <c r="D44" i="35"/>
  <c r="K44" i="43"/>
  <c r="G35" i="35"/>
  <c r="G16" i="35"/>
  <c r="N44" i="35"/>
  <c r="G34" i="43"/>
  <c r="G24" i="43"/>
  <c r="G6" i="43"/>
  <c r="N38" i="43"/>
  <c r="N20" i="43"/>
  <c r="N10" i="43"/>
  <c r="N26" i="35"/>
  <c r="N35" i="35"/>
  <c r="G33" i="43"/>
  <c r="G15" i="35"/>
  <c r="N5" i="43"/>
  <c r="N19" i="43"/>
  <c r="G43" i="35"/>
  <c r="N15" i="35"/>
  <c r="G41" i="43"/>
  <c r="G31" i="43"/>
  <c r="G13" i="43"/>
  <c r="N45" i="43"/>
  <c r="N36" i="43"/>
  <c r="N27" i="43"/>
  <c r="N17" i="43"/>
  <c r="G42" i="35"/>
  <c r="G33" i="35"/>
  <c r="G23" i="35"/>
  <c r="G14" i="35"/>
  <c r="N42" i="35"/>
  <c r="N33" i="35"/>
  <c r="N23" i="35"/>
  <c r="N14" i="35"/>
  <c r="G22" i="35"/>
  <c r="N12" i="36"/>
  <c r="N41" i="35"/>
  <c r="G38" i="43"/>
  <c r="G20" i="43"/>
  <c r="G10" i="43"/>
  <c r="N24" i="43"/>
  <c r="N15" i="43"/>
  <c r="G40" i="35"/>
  <c r="G30" i="35"/>
  <c r="G21" i="35"/>
  <c r="G12" i="35"/>
  <c r="N40" i="35"/>
  <c r="N30" i="35"/>
  <c r="N21" i="35"/>
  <c r="N12" i="35"/>
  <c r="N26" i="43"/>
  <c r="G37" i="43"/>
  <c r="G28" i="43"/>
  <c r="G19" i="43"/>
  <c r="G9" i="43"/>
  <c r="N42" i="43"/>
  <c r="N33" i="43"/>
  <c r="N23" i="43"/>
  <c r="N14" i="43"/>
  <c r="G29" i="35"/>
  <c r="N38" i="35"/>
  <c r="N29" i="35"/>
  <c r="G40" i="43"/>
  <c r="N22" i="35"/>
  <c r="G45" i="43"/>
  <c r="G27" i="43"/>
  <c r="G17" i="43"/>
  <c r="N31" i="43"/>
  <c r="N13" i="43"/>
  <c r="G37" i="35"/>
  <c r="G28" i="35"/>
  <c r="G19" i="35"/>
  <c r="G9" i="35"/>
  <c r="N37" i="35"/>
  <c r="N28" i="35"/>
  <c r="N19" i="35"/>
  <c r="G7" i="43"/>
  <c r="N40" i="43"/>
  <c r="N12" i="43"/>
  <c r="G36" i="35"/>
  <c r="T15" i="43"/>
  <c r="U14" i="43"/>
  <c r="V15" i="43"/>
  <c r="W15" i="43"/>
  <c r="S14" i="43"/>
  <c r="V14" i="43"/>
  <c r="X14" i="43"/>
  <c r="AB15" i="43"/>
  <c r="AC15" i="43"/>
  <c r="U15" i="43"/>
  <c r="Z15" i="43"/>
  <c r="AD15" i="43"/>
  <c r="AA15" i="43"/>
  <c r="AE15" i="43"/>
  <c r="S16" i="43"/>
  <c r="T16" i="43"/>
  <c r="U16" i="43"/>
  <c r="V16" i="43"/>
  <c r="W16" i="43"/>
  <c r="X16" i="43"/>
  <c r="W14" i="43"/>
  <c r="AE16" i="43"/>
  <c r="AB14" i="35"/>
  <c r="AA12" i="35"/>
  <c r="AB12" i="35"/>
  <c r="T15" i="35"/>
  <c r="W14" i="35"/>
  <c r="X15" i="35"/>
  <c r="S16" i="35"/>
  <c r="T16" i="35"/>
  <c r="AD15" i="35"/>
  <c r="U16" i="35"/>
  <c r="Z15" i="35"/>
  <c r="V16" i="35"/>
  <c r="W16" i="35"/>
  <c r="AE15" i="35"/>
  <c r="X16" i="35"/>
  <c r="AA15" i="35"/>
  <c r="AB15" i="35"/>
  <c r="AC16" i="35"/>
  <c r="AC14" i="35"/>
  <c r="W15" i="35"/>
  <c r="H5" i="40"/>
  <c r="I5" i="40" s="1"/>
  <c r="H5" i="35" s="1"/>
  <c r="N5" i="35"/>
  <c r="I33" i="39"/>
  <c r="O33" i="35" s="1"/>
  <c r="I38" i="39"/>
  <c r="O38" i="35" s="1"/>
  <c r="I34" i="39"/>
  <c r="O34" i="35" s="1"/>
  <c r="I35" i="39"/>
  <c r="O35" i="35" s="1"/>
  <c r="I19" i="41"/>
  <c r="O19" i="43" s="1"/>
  <c r="I21" i="41"/>
  <c r="O21" i="43" s="1"/>
  <c r="I22" i="41"/>
  <c r="O22" i="43" s="1"/>
  <c r="I20" i="41"/>
  <c r="O20" i="43" s="1"/>
  <c r="I24" i="41"/>
  <c r="O24" i="43" s="1"/>
  <c r="I23" i="41"/>
  <c r="O23" i="43" s="1"/>
  <c r="I13" i="41"/>
  <c r="O13" i="43" s="1"/>
  <c r="I12" i="41"/>
  <c r="O12" i="43" s="1"/>
  <c r="I15" i="41"/>
  <c r="O15" i="43" s="1"/>
  <c r="I16" i="41"/>
  <c r="O16" i="43" s="1"/>
  <c r="I14" i="41"/>
  <c r="O14" i="43" s="1"/>
  <c r="I17" i="41"/>
  <c r="O17" i="43" s="1"/>
  <c r="I37" i="41"/>
  <c r="O37" i="43" s="1"/>
  <c r="I36" i="41"/>
  <c r="O36" i="43" s="1"/>
  <c r="I38" i="41"/>
  <c r="O38" i="43" s="1"/>
  <c r="I35" i="41"/>
  <c r="O35" i="43" s="1"/>
  <c r="I34" i="41"/>
  <c r="O34" i="43" s="1"/>
  <c r="I33" i="41"/>
  <c r="O33" i="43" s="1"/>
  <c r="I29" i="41"/>
  <c r="O29" i="43" s="1"/>
  <c r="I28" i="41"/>
  <c r="O28" i="43" s="1"/>
  <c r="I31" i="41"/>
  <c r="O31" i="43" s="1"/>
  <c r="I27" i="41"/>
  <c r="O27" i="43" s="1"/>
  <c r="I30" i="41"/>
  <c r="O30" i="43" s="1"/>
  <c r="I26" i="41"/>
  <c r="O26" i="43" s="1"/>
  <c r="I45" i="41"/>
  <c r="O45" i="43" s="1"/>
  <c r="I44" i="41"/>
  <c r="O44" i="43" s="1"/>
  <c r="I41" i="41"/>
  <c r="O41" i="43" s="1"/>
  <c r="I43" i="41"/>
  <c r="O43" i="43" s="1"/>
  <c r="I42" i="41"/>
  <c r="O42" i="43" s="1"/>
  <c r="I40" i="41"/>
  <c r="O40" i="43" s="1"/>
  <c r="I8" i="41"/>
  <c r="O8" i="43" s="1"/>
  <c r="I5" i="41"/>
  <c r="O5" i="43" s="1"/>
  <c r="I7" i="41"/>
  <c r="O7" i="43" s="1"/>
  <c r="I6" i="41"/>
  <c r="O6" i="43" s="1"/>
  <c r="I10" i="41"/>
  <c r="O10" i="43" s="1"/>
  <c r="I9" i="41"/>
  <c r="O9" i="43" s="1"/>
  <c r="E9" i="41"/>
  <c r="L9" i="43" s="1"/>
  <c r="E15" i="41"/>
  <c r="L15" i="43" s="1"/>
  <c r="E20" i="41"/>
  <c r="L20" i="43" s="1"/>
  <c r="E21" i="41"/>
  <c r="L21" i="43" s="1"/>
  <c r="I37" i="42"/>
  <c r="H37" i="43" s="1"/>
  <c r="I33" i="42"/>
  <c r="H33" i="43" s="1"/>
  <c r="I36" i="42"/>
  <c r="H36" i="43" s="1"/>
  <c r="I35" i="42"/>
  <c r="H35" i="43" s="1"/>
  <c r="I38" i="42"/>
  <c r="H38" i="43" s="1"/>
  <c r="I34" i="42"/>
  <c r="H34" i="43" s="1"/>
  <c r="I13" i="42"/>
  <c r="H13" i="43" s="1"/>
  <c r="I12" i="42"/>
  <c r="H12" i="43" s="1"/>
  <c r="I15" i="42"/>
  <c r="H15" i="43" s="1"/>
  <c r="I14" i="42"/>
  <c r="H14" i="43" s="1"/>
  <c r="I17" i="42"/>
  <c r="H17" i="43" s="1"/>
  <c r="I16" i="42"/>
  <c r="H16" i="43" s="1"/>
  <c r="I30" i="42"/>
  <c r="H30" i="43" s="1"/>
  <c r="I29" i="42"/>
  <c r="H29" i="43" s="1"/>
  <c r="I28" i="42"/>
  <c r="H28" i="43" s="1"/>
  <c r="I27" i="42"/>
  <c r="H27" i="43" s="1"/>
  <c r="I31" i="42"/>
  <c r="H31" i="43" s="1"/>
  <c r="I26" i="42"/>
  <c r="H26" i="43" s="1"/>
  <c r="I5" i="42"/>
  <c r="H5" i="43" s="1"/>
  <c r="I7" i="42"/>
  <c r="H7" i="43" s="1"/>
  <c r="I8" i="42"/>
  <c r="H8" i="43" s="1"/>
  <c r="I6" i="42"/>
  <c r="H6" i="43" s="1"/>
  <c r="I10" i="42"/>
  <c r="H10" i="43" s="1"/>
  <c r="I9" i="42"/>
  <c r="H9" i="43" s="1"/>
  <c r="I21" i="42"/>
  <c r="H21" i="43" s="1"/>
  <c r="I19" i="42"/>
  <c r="H19" i="43" s="1"/>
  <c r="I23" i="42"/>
  <c r="H23" i="43" s="1"/>
  <c r="I20" i="42"/>
  <c r="H20" i="43" s="1"/>
  <c r="I22" i="42"/>
  <c r="H22" i="43" s="1"/>
  <c r="I24" i="42"/>
  <c r="H24" i="43" s="1"/>
  <c r="I45" i="42"/>
  <c r="H45" i="43" s="1"/>
  <c r="I44" i="42"/>
  <c r="H44" i="43" s="1"/>
  <c r="I43" i="42"/>
  <c r="H43" i="43" s="1"/>
  <c r="I40" i="42"/>
  <c r="H40" i="43" s="1"/>
  <c r="I42" i="42"/>
  <c r="H42" i="43" s="1"/>
  <c r="I41" i="42"/>
  <c r="H41" i="43" s="1"/>
  <c r="E26" i="42"/>
  <c r="E26" i="43" s="1"/>
  <c r="E28" i="42"/>
  <c r="E28" i="43" s="1"/>
  <c r="E21" i="42"/>
  <c r="E21" i="43" s="1"/>
  <c r="E23" i="42"/>
  <c r="E23" i="43" s="1"/>
  <c r="I13" i="39"/>
  <c r="O13" i="35" s="1"/>
  <c r="I17" i="39"/>
  <c r="O17" i="35" s="1"/>
  <c r="I12" i="39"/>
  <c r="O12" i="35" s="1"/>
  <c r="I14" i="39"/>
  <c r="O14" i="35" s="1"/>
  <c r="I16" i="39"/>
  <c r="O16" i="35" s="1"/>
  <c r="I15" i="39"/>
  <c r="O15" i="35" s="1"/>
  <c r="I5" i="39"/>
  <c r="O5" i="35" s="1"/>
  <c r="I7" i="39"/>
  <c r="I9" i="39"/>
  <c r="I10" i="39"/>
  <c r="I8" i="39"/>
  <c r="I6" i="39"/>
  <c r="I29" i="39"/>
  <c r="O29" i="35" s="1"/>
  <c r="I31" i="39"/>
  <c r="O31" i="35" s="1"/>
  <c r="I26" i="39"/>
  <c r="O26" i="35" s="1"/>
  <c r="I28" i="39"/>
  <c r="O28" i="35" s="1"/>
  <c r="I30" i="39"/>
  <c r="O30" i="35" s="1"/>
  <c r="I27" i="39"/>
  <c r="O27" i="35" s="1"/>
  <c r="I45" i="39"/>
  <c r="O45" i="35" s="1"/>
  <c r="I41" i="39"/>
  <c r="O41" i="35" s="1"/>
  <c r="I44" i="39"/>
  <c r="O44" i="35" s="1"/>
  <c r="I43" i="39"/>
  <c r="O43" i="35" s="1"/>
  <c r="I42" i="39"/>
  <c r="O42" i="35" s="1"/>
  <c r="I40" i="39"/>
  <c r="O40" i="35" s="1"/>
  <c r="I24" i="39"/>
  <c r="O24" i="35" s="1"/>
  <c r="I21" i="39"/>
  <c r="O21" i="35" s="1"/>
  <c r="I20" i="39"/>
  <c r="O20" i="35" s="1"/>
  <c r="I19" i="39"/>
  <c r="O19" i="35" s="1"/>
  <c r="I23" i="39"/>
  <c r="O23" i="35" s="1"/>
  <c r="I22" i="39"/>
  <c r="O22" i="35" s="1"/>
  <c r="E12" i="39"/>
  <c r="L12" i="35" s="1"/>
  <c r="E20" i="39"/>
  <c r="L20" i="35" s="1"/>
  <c r="E5" i="39"/>
  <c r="L5" i="35" s="1"/>
  <c r="I36" i="39"/>
  <c r="O36" i="35" s="1"/>
  <c r="E9" i="39"/>
  <c r="L9" i="35" s="1"/>
  <c r="E23" i="39"/>
  <c r="L23" i="35" s="1"/>
  <c r="I7" i="40"/>
  <c r="I6" i="40"/>
  <c r="I8" i="40"/>
  <c r="I10" i="40"/>
  <c r="H10" i="35" s="1"/>
  <c r="I9" i="40"/>
  <c r="H9" i="35" s="1"/>
  <c r="I13" i="40"/>
  <c r="H13" i="35" s="1"/>
  <c r="I14" i="40"/>
  <c r="H14" i="35" s="1"/>
  <c r="I16" i="40"/>
  <c r="H16" i="35" s="1"/>
  <c r="I12" i="40"/>
  <c r="H12" i="35" s="1"/>
  <c r="I17" i="40"/>
  <c r="H17" i="35" s="1"/>
  <c r="I15" i="40"/>
  <c r="H15" i="35" s="1"/>
  <c r="I37" i="40"/>
  <c r="H37" i="35" s="1"/>
  <c r="I38" i="40"/>
  <c r="H38" i="35" s="1"/>
  <c r="I36" i="40"/>
  <c r="H36" i="35" s="1"/>
  <c r="I35" i="40"/>
  <c r="H35" i="35" s="1"/>
  <c r="I34" i="40"/>
  <c r="H34" i="35" s="1"/>
  <c r="I33" i="40"/>
  <c r="H33" i="35" s="1"/>
  <c r="I29" i="40"/>
  <c r="H29" i="35" s="1"/>
  <c r="I30" i="40"/>
  <c r="H30" i="35" s="1"/>
  <c r="I28" i="40"/>
  <c r="H28" i="35" s="1"/>
  <c r="I31" i="40"/>
  <c r="H31" i="35" s="1"/>
  <c r="I27" i="40"/>
  <c r="H27" i="35" s="1"/>
  <c r="I26" i="40"/>
  <c r="H26" i="35" s="1"/>
  <c r="I45" i="40"/>
  <c r="H45" i="35" s="1"/>
  <c r="I41" i="40"/>
  <c r="H41" i="35" s="1"/>
  <c r="I44" i="40"/>
  <c r="H44" i="35" s="1"/>
  <c r="I43" i="40"/>
  <c r="H43" i="35" s="1"/>
  <c r="I40" i="40"/>
  <c r="H40" i="35" s="1"/>
  <c r="I42" i="40"/>
  <c r="H42" i="35" s="1"/>
  <c r="I21" i="40"/>
  <c r="H21" i="35" s="1"/>
  <c r="I19" i="40"/>
  <c r="H19" i="35" s="1"/>
  <c r="I24" i="40"/>
  <c r="H24" i="35" s="1"/>
  <c r="I20" i="40"/>
  <c r="H20" i="35" s="1"/>
  <c r="I22" i="40"/>
  <c r="H22" i="35" s="1"/>
  <c r="I23" i="40"/>
  <c r="H23" i="35" s="1"/>
  <c r="E20" i="40"/>
  <c r="E20" i="35" s="1"/>
  <c r="E23" i="40"/>
  <c r="E23" i="35" s="1"/>
  <c r="I6" i="38"/>
  <c r="I5" i="38"/>
  <c r="I7" i="38"/>
  <c r="I8" i="38"/>
  <c r="I10" i="38"/>
  <c r="I9" i="38"/>
  <c r="I13" i="38"/>
  <c r="O13" i="36" s="1"/>
  <c r="I16" i="38"/>
  <c r="O16" i="36" s="1"/>
  <c r="I12" i="38"/>
  <c r="O12" i="36" s="1"/>
  <c r="I15" i="38"/>
  <c r="O15" i="36" s="1"/>
  <c r="I14" i="38"/>
  <c r="O14" i="36" s="1"/>
  <c r="I17" i="38"/>
  <c r="O17" i="36" s="1"/>
  <c r="I37" i="38"/>
  <c r="O37" i="36" s="1"/>
  <c r="I38" i="38"/>
  <c r="O38" i="36" s="1"/>
  <c r="I33" i="38"/>
  <c r="O33" i="36" s="1"/>
  <c r="I36" i="38"/>
  <c r="O36" i="36" s="1"/>
  <c r="I35" i="38"/>
  <c r="O35" i="36" s="1"/>
  <c r="I34" i="38"/>
  <c r="O34" i="36" s="1"/>
  <c r="I19" i="38"/>
  <c r="O19" i="36" s="1"/>
  <c r="I24" i="38"/>
  <c r="I22" i="38"/>
  <c r="I21" i="38"/>
  <c r="I23" i="38"/>
  <c r="I20" i="38"/>
  <c r="I29" i="38"/>
  <c r="I28" i="38"/>
  <c r="O28" i="36" s="1"/>
  <c r="I31" i="38"/>
  <c r="O31" i="36" s="1"/>
  <c r="I27" i="38"/>
  <c r="O27" i="36" s="1"/>
  <c r="I26" i="38"/>
  <c r="O26" i="36" s="1"/>
  <c r="I30" i="38"/>
  <c r="O30" i="36" s="1"/>
  <c r="I45" i="38"/>
  <c r="I44" i="38"/>
  <c r="O44" i="36" s="1"/>
  <c r="I41" i="38"/>
  <c r="O41" i="36" s="1"/>
  <c r="I43" i="38"/>
  <c r="O43" i="36" s="1"/>
  <c r="I40" i="38"/>
  <c r="O40" i="36" s="1"/>
  <c r="I42" i="38"/>
  <c r="O42" i="36" s="1"/>
  <c r="K29" i="36"/>
  <c r="E19" i="38"/>
  <c r="L19" i="36" s="1"/>
  <c r="E23" i="38"/>
  <c r="L23" i="36" s="1"/>
  <c r="K16" i="36"/>
  <c r="K17" i="36"/>
  <c r="K33" i="36"/>
  <c r="N33" i="36"/>
  <c r="K41" i="36"/>
  <c r="E7" i="35"/>
  <c r="N42" i="36"/>
  <c r="K28" i="36"/>
  <c r="K37" i="36"/>
  <c r="N27" i="36"/>
  <c r="N36" i="36"/>
  <c r="K27" i="36"/>
  <c r="N28" i="36"/>
  <c r="N20" i="36"/>
  <c r="N44" i="36"/>
  <c r="N19" i="36"/>
  <c r="N43" i="36"/>
  <c r="N17" i="36"/>
  <c r="K26" i="36"/>
  <c r="L15" i="36"/>
  <c r="L42" i="36"/>
  <c r="N16" i="36"/>
  <c r="L16" i="36"/>
  <c r="L41" i="36"/>
  <c r="N24" i="36"/>
  <c r="N40" i="36"/>
  <c r="K36" i="36"/>
  <c r="L17" i="36"/>
  <c r="N31" i="36"/>
  <c r="N21" i="36"/>
  <c r="L13" i="36"/>
  <c r="N41" i="36"/>
  <c r="L30" i="36"/>
  <c r="N23" i="36"/>
  <c r="L44" i="36"/>
  <c r="K40" i="36"/>
  <c r="N15" i="36"/>
  <c r="K31" i="36"/>
  <c r="K35" i="36"/>
  <c r="K23" i="36"/>
  <c r="N35" i="36"/>
  <c r="N38" i="36"/>
  <c r="N30" i="36"/>
  <c r="K15" i="36"/>
  <c r="N22" i="36"/>
  <c r="K38" i="36"/>
  <c r="N14" i="36"/>
  <c r="N26" i="36"/>
  <c r="K22" i="36"/>
  <c r="N37" i="36"/>
  <c r="N34" i="36"/>
  <c r="K24" i="36"/>
  <c r="G43" i="36"/>
  <c r="G44" i="36"/>
  <c r="I17" i="37"/>
  <c r="H17" i="36" s="1"/>
  <c r="I16" i="37"/>
  <c r="H16" i="36" s="1"/>
  <c r="I13" i="37"/>
  <c r="H13" i="36" s="1"/>
  <c r="G14" i="36"/>
  <c r="G15" i="36"/>
  <c r="G16" i="36"/>
  <c r="G17" i="36"/>
  <c r="I41" i="37"/>
  <c r="H41" i="36" s="1"/>
  <c r="I40" i="37"/>
  <c r="H40" i="36" s="1"/>
  <c r="I42" i="37"/>
  <c r="H42" i="36" s="1"/>
  <c r="I45" i="37"/>
  <c r="H45" i="36" s="1"/>
  <c r="I43" i="37"/>
  <c r="H43" i="36" s="1"/>
  <c r="I44" i="37"/>
  <c r="H44" i="36" s="1"/>
  <c r="I15" i="37"/>
  <c r="H15" i="36" s="1"/>
  <c r="G45" i="36"/>
  <c r="I14" i="37"/>
  <c r="H14" i="36" s="1"/>
  <c r="D40" i="36"/>
  <c r="I12" i="37"/>
  <c r="H12" i="36" s="1"/>
  <c r="D45" i="36"/>
  <c r="D41" i="36"/>
  <c r="G12" i="36"/>
  <c r="G40" i="36"/>
  <c r="G41" i="36"/>
  <c r="D42" i="36"/>
  <c r="G13" i="36"/>
  <c r="G42" i="36"/>
  <c r="O21" i="36"/>
  <c r="O20" i="36"/>
  <c r="O24" i="36"/>
  <c r="O23" i="36"/>
  <c r="O22" i="36"/>
  <c r="M10" i="36"/>
  <c r="J10" i="36"/>
  <c r="M9" i="36"/>
  <c r="L9" i="36"/>
  <c r="J9" i="36"/>
  <c r="M8" i="36"/>
  <c r="J8" i="36"/>
  <c r="M7" i="36"/>
  <c r="J7" i="36"/>
  <c r="M6" i="36"/>
  <c r="J6" i="36"/>
  <c r="M5" i="36"/>
  <c r="J5" i="36"/>
  <c r="G38" i="37"/>
  <c r="H38" i="37" s="1"/>
  <c r="F38" i="37"/>
  <c r="F38" i="36" s="1"/>
  <c r="D38" i="37"/>
  <c r="D38" i="36" s="1"/>
  <c r="C38" i="37"/>
  <c r="C38" i="36" s="1"/>
  <c r="G37" i="37"/>
  <c r="H37" i="37" s="1"/>
  <c r="F37" i="37"/>
  <c r="F37" i="36" s="1"/>
  <c r="D37" i="37"/>
  <c r="E37" i="37" s="1"/>
  <c r="E37" i="36" s="1"/>
  <c r="C37" i="37"/>
  <c r="C37" i="36" s="1"/>
  <c r="G36" i="37"/>
  <c r="H36" i="37" s="1"/>
  <c r="F36" i="37"/>
  <c r="F36" i="36" s="1"/>
  <c r="D36" i="37"/>
  <c r="C36" i="37"/>
  <c r="C36" i="36" s="1"/>
  <c r="G35" i="37"/>
  <c r="H35" i="37" s="1"/>
  <c r="F35" i="37"/>
  <c r="F35" i="36" s="1"/>
  <c r="D35" i="37"/>
  <c r="C35" i="37"/>
  <c r="C35" i="36" s="1"/>
  <c r="G34" i="37"/>
  <c r="H34" i="37" s="1"/>
  <c r="F34" i="37"/>
  <c r="F34" i="36" s="1"/>
  <c r="D34" i="37"/>
  <c r="C34" i="37"/>
  <c r="C34" i="36" s="1"/>
  <c r="G33" i="37"/>
  <c r="H33" i="37" s="1"/>
  <c r="F33" i="37"/>
  <c r="F33" i="36" s="1"/>
  <c r="D33" i="37"/>
  <c r="D33" i="36" s="1"/>
  <c r="C33" i="37"/>
  <c r="C33" i="36" s="1"/>
  <c r="G31" i="37"/>
  <c r="H31" i="37" s="1"/>
  <c r="F31" i="37"/>
  <c r="F31" i="36" s="1"/>
  <c r="D31" i="37"/>
  <c r="D31" i="36" s="1"/>
  <c r="C31" i="37"/>
  <c r="C31" i="36" s="1"/>
  <c r="G30" i="37"/>
  <c r="H30" i="37" s="1"/>
  <c r="F30" i="37"/>
  <c r="F30" i="36" s="1"/>
  <c r="D30" i="37"/>
  <c r="E30" i="37" s="1"/>
  <c r="E30" i="36" s="1"/>
  <c r="C30" i="37"/>
  <c r="C30" i="36" s="1"/>
  <c r="G29" i="37"/>
  <c r="H29" i="37" s="1"/>
  <c r="F29" i="37"/>
  <c r="F29" i="36" s="1"/>
  <c r="D29" i="37"/>
  <c r="D29" i="36" s="1"/>
  <c r="C29" i="37"/>
  <c r="C29" i="36" s="1"/>
  <c r="G28" i="37"/>
  <c r="H28" i="37" s="1"/>
  <c r="F28" i="37"/>
  <c r="F28" i="36" s="1"/>
  <c r="D28" i="37"/>
  <c r="C28" i="37"/>
  <c r="C28" i="36" s="1"/>
  <c r="G27" i="37"/>
  <c r="F27" i="37"/>
  <c r="F27" i="36" s="1"/>
  <c r="D27" i="37"/>
  <c r="C27" i="37"/>
  <c r="C27" i="36" s="1"/>
  <c r="G26" i="37"/>
  <c r="F26" i="37"/>
  <c r="F26" i="36" s="1"/>
  <c r="D26" i="37"/>
  <c r="C26" i="37"/>
  <c r="C26" i="36" s="1"/>
  <c r="G24" i="37"/>
  <c r="G24" i="36" s="1"/>
  <c r="F24" i="37"/>
  <c r="F24" i="36" s="1"/>
  <c r="D24" i="37"/>
  <c r="D24" i="36" s="1"/>
  <c r="C24" i="37"/>
  <c r="C24" i="36" s="1"/>
  <c r="G23" i="37"/>
  <c r="H23" i="37" s="1"/>
  <c r="F23" i="37"/>
  <c r="F23" i="36" s="1"/>
  <c r="D23" i="37"/>
  <c r="C23" i="37"/>
  <c r="C23" i="36" s="1"/>
  <c r="G22" i="37"/>
  <c r="H22" i="37" s="1"/>
  <c r="F22" i="37"/>
  <c r="F22" i="36" s="1"/>
  <c r="D22" i="37"/>
  <c r="C22" i="37"/>
  <c r="C22" i="36" s="1"/>
  <c r="G21" i="37"/>
  <c r="G21" i="36" s="1"/>
  <c r="F21" i="37"/>
  <c r="F21" i="36" s="1"/>
  <c r="D21" i="37"/>
  <c r="D21" i="36" s="1"/>
  <c r="C21" i="37"/>
  <c r="C21" i="36" s="1"/>
  <c r="G20" i="37"/>
  <c r="H20" i="37" s="1"/>
  <c r="F20" i="37"/>
  <c r="F20" i="36" s="1"/>
  <c r="D20" i="37"/>
  <c r="D20" i="36" s="1"/>
  <c r="C20" i="37"/>
  <c r="C20" i="36" s="1"/>
  <c r="G19" i="37"/>
  <c r="H19" i="37" s="1"/>
  <c r="F19" i="37"/>
  <c r="F19" i="36" s="1"/>
  <c r="D19" i="37"/>
  <c r="C19" i="37"/>
  <c r="C19" i="36" s="1"/>
  <c r="G10" i="37"/>
  <c r="G10" i="36" s="1"/>
  <c r="F10" i="37"/>
  <c r="F10" i="36" s="1"/>
  <c r="D10" i="37"/>
  <c r="D10" i="36" s="1"/>
  <c r="C10" i="37"/>
  <c r="C10" i="36" s="1"/>
  <c r="G9" i="37"/>
  <c r="H9" i="37" s="1"/>
  <c r="F9" i="37"/>
  <c r="F9" i="36" s="1"/>
  <c r="D9" i="37"/>
  <c r="E9" i="37" s="1"/>
  <c r="E9" i="36" s="1"/>
  <c r="C9" i="37"/>
  <c r="C9" i="36" s="1"/>
  <c r="G8" i="37"/>
  <c r="H8" i="37" s="1"/>
  <c r="F8" i="37"/>
  <c r="F8" i="36" s="1"/>
  <c r="D8" i="37"/>
  <c r="C8" i="37"/>
  <c r="C8" i="36" s="1"/>
  <c r="G7" i="37"/>
  <c r="H7" i="37" s="1"/>
  <c r="F7" i="37"/>
  <c r="F7" i="36" s="1"/>
  <c r="D7" i="37"/>
  <c r="D7" i="36" s="1"/>
  <c r="C7" i="37"/>
  <c r="C7" i="36" s="1"/>
  <c r="G6" i="37"/>
  <c r="F6" i="37"/>
  <c r="F6" i="36" s="1"/>
  <c r="D6" i="37"/>
  <c r="C6" i="37"/>
  <c r="C6" i="36" s="1"/>
  <c r="G5" i="37"/>
  <c r="F5" i="37"/>
  <c r="F5" i="36" s="1"/>
  <c r="D5" i="37"/>
  <c r="F8" i="35"/>
  <c r="C8" i="35"/>
  <c r="F7" i="35"/>
  <c r="C7" i="35"/>
  <c r="F6" i="35"/>
  <c r="D6" i="35"/>
  <c r="C6" i="35"/>
  <c r="C5" i="35"/>
  <c r="M10" i="35"/>
  <c r="K10" i="35"/>
  <c r="J10" i="35"/>
  <c r="M9" i="35"/>
  <c r="J9" i="35"/>
  <c r="M8" i="35"/>
  <c r="K8" i="35"/>
  <c r="J8" i="35"/>
  <c r="N7" i="35"/>
  <c r="M7" i="35"/>
  <c r="K7" i="35"/>
  <c r="J7" i="35"/>
  <c r="M6" i="35"/>
  <c r="K6" i="35"/>
  <c r="J6" i="35"/>
  <c r="V13" i="36" l="1"/>
  <c r="U15" i="36"/>
  <c r="V16" i="36"/>
  <c r="U17" i="36"/>
  <c r="Z14" i="43"/>
  <c r="Z16" i="43"/>
  <c r="E23" i="37"/>
  <c r="E23" i="36" s="1"/>
  <c r="O29" i="36"/>
  <c r="O45" i="36"/>
  <c r="E44" i="36"/>
  <c r="I9" i="37"/>
  <c r="H9" i="36" s="1"/>
  <c r="E40" i="36"/>
  <c r="E5" i="37"/>
  <c r="E5" i="36" s="1"/>
  <c r="E26" i="37"/>
  <c r="E26" i="36" s="1"/>
  <c r="E41" i="36"/>
  <c r="E45" i="36"/>
  <c r="N10" i="36"/>
  <c r="E28" i="37"/>
  <c r="E28" i="36" s="1"/>
  <c r="E13" i="36"/>
  <c r="E17" i="36"/>
  <c r="E15" i="36"/>
  <c r="E12" i="36"/>
  <c r="E14" i="36"/>
  <c r="E16" i="36"/>
  <c r="L8" i="36"/>
  <c r="H24" i="37"/>
  <c r="H21" i="37"/>
  <c r="E22" i="37"/>
  <c r="E22" i="36" s="1"/>
  <c r="E35" i="37"/>
  <c r="E35" i="36" s="1"/>
  <c r="L7" i="36"/>
  <c r="E27" i="37"/>
  <c r="E27" i="36" s="1"/>
  <c r="E34" i="37"/>
  <c r="E34" i="36" s="1"/>
  <c r="E36" i="37"/>
  <c r="E36" i="36" s="1"/>
  <c r="H10" i="37"/>
  <c r="G38" i="36"/>
  <c r="E8" i="35"/>
  <c r="E6" i="35"/>
  <c r="D23" i="36"/>
  <c r="N6" i="35"/>
  <c r="G30" i="36"/>
  <c r="G20" i="36"/>
  <c r="G22" i="36"/>
  <c r="G29" i="36"/>
  <c r="E7" i="37"/>
  <c r="E7" i="36" s="1"/>
  <c r="D8" i="35"/>
  <c r="D34" i="36"/>
  <c r="E19" i="37"/>
  <c r="E19" i="36" s="1"/>
  <c r="E21" i="37"/>
  <c r="E21" i="36" s="1"/>
  <c r="D9" i="36"/>
  <c r="D27" i="36"/>
  <c r="D37" i="36"/>
  <c r="E6" i="37"/>
  <c r="E6" i="36" s="1"/>
  <c r="D7" i="35"/>
  <c r="D22" i="36"/>
  <c r="D35" i="36"/>
  <c r="E8" i="37"/>
  <c r="E8" i="36" s="1"/>
  <c r="E33" i="37"/>
  <c r="E33" i="36" s="1"/>
  <c r="L5" i="36"/>
  <c r="D5" i="36"/>
  <c r="D6" i="36"/>
  <c r="D30" i="36"/>
  <c r="E20" i="37"/>
  <c r="E20" i="36" s="1"/>
  <c r="D8" i="36"/>
  <c r="D28" i="36"/>
  <c r="E29" i="37"/>
  <c r="E29" i="36" s="1"/>
  <c r="K9" i="35"/>
  <c r="D19" i="36"/>
  <c r="D26" i="36"/>
  <c r="D36" i="36"/>
  <c r="N10" i="35"/>
  <c r="H26" i="37"/>
  <c r="G26" i="36"/>
  <c r="G7" i="35"/>
  <c r="N9" i="35"/>
  <c r="H6" i="37"/>
  <c r="G6" i="36"/>
  <c r="H5" i="37"/>
  <c r="G5" i="36"/>
  <c r="G27" i="36"/>
  <c r="H27" i="37"/>
  <c r="N8" i="35"/>
  <c r="G8" i="35"/>
  <c r="G9" i="36"/>
  <c r="G35" i="36"/>
  <c r="N6" i="36"/>
  <c r="G34" i="36"/>
  <c r="G23" i="36"/>
  <c r="G33" i="36"/>
  <c r="N7" i="36"/>
  <c r="G31" i="36"/>
  <c r="N8" i="36"/>
  <c r="G6" i="35"/>
  <c r="G7" i="36"/>
  <c r="G19" i="36"/>
  <c r="G28" i="36"/>
  <c r="G37" i="36"/>
  <c r="N9" i="36"/>
  <c r="N5" i="36"/>
  <c r="G8" i="36"/>
  <c r="G36" i="36"/>
  <c r="L6" i="36"/>
  <c r="L10" i="36"/>
  <c r="E31" i="37"/>
  <c r="E31" i="36" s="1"/>
  <c r="E38" i="37"/>
  <c r="E38" i="36" s="1"/>
  <c r="E24" i="37"/>
  <c r="E24" i="36" s="1"/>
  <c r="I7" i="37"/>
  <c r="H7" i="36" s="1"/>
  <c r="I8" i="37"/>
  <c r="H8" i="36" s="1"/>
  <c r="I29" i="37"/>
  <c r="H29" i="36" s="1"/>
  <c r="I30" i="37"/>
  <c r="H30" i="36" s="1"/>
  <c r="I31" i="37"/>
  <c r="H31" i="36" s="1"/>
  <c r="I28" i="37"/>
  <c r="H28" i="36" s="1"/>
  <c r="I38" i="37"/>
  <c r="H38" i="36" s="1"/>
  <c r="I33" i="37"/>
  <c r="H33" i="36" s="1"/>
  <c r="I34" i="37"/>
  <c r="H34" i="36" s="1"/>
  <c r="I35" i="37"/>
  <c r="H35" i="36" s="1"/>
  <c r="I36" i="37"/>
  <c r="H36" i="36" s="1"/>
  <c r="I37" i="37"/>
  <c r="H37" i="36" s="1"/>
  <c r="I20" i="37"/>
  <c r="H20" i="36" s="1"/>
  <c r="I22" i="37"/>
  <c r="H22" i="36" s="1"/>
  <c r="I23" i="37"/>
  <c r="H23" i="36" s="1"/>
  <c r="I19" i="37"/>
  <c r="H19" i="36" s="1"/>
  <c r="E10" i="37"/>
  <c r="E10" i="36" s="1"/>
  <c r="L6" i="35"/>
  <c r="L8" i="35"/>
  <c r="L10" i="35"/>
  <c r="L7" i="35"/>
  <c r="O10" i="35"/>
  <c r="O9" i="35"/>
  <c r="I26" i="37" l="1"/>
  <c r="H26" i="36" s="1"/>
  <c r="I10" i="37"/>
  <c r="H10" i="36" s="1"/>
  <c r="I24" i="37"/>
  <c r="H24" i="36" s="1"/>
  <c r="I5" i="37"/>
  <c r="H5" i="36" s="1"/>
  <c r="I21" i="37"/>
  <c r="H21" i="36" s="1"/>
  <c r="O7" i="35"/>
  <c r="O6" i="35"/>
  <c r="I27" i="37"/>
  <c r="H27" i="36" s="1"/>
  <c r="I6" i="37"/>
  <c r="H6" i="36" s="1"/>
  <c r="O8" i="35"/>
  <c r="H7" i="35"/>
  <c r="H6" i="35"/>
  <c r="H8" i="35"/>
  <c r="O9" i="36"/>
  <c r="O6" i="36"/>
  <c r="O10" i="36"/>
  <c r="K10" i="36"/>
  <c r="K7" i="36"/>
  <c r="K6" i="36"/>
  <c r="O7" i="36"/>
  <c r="K8" i="36"/>
  <c r="O5" i="36"/>
  <c r="K5" i="36"/>
  <c r="K9" i="36"/>
  <c r="O8" i="36" l="1"/>
</calcChain>
</file>

<file path=xl/sharedStrings.xml><?xml version="1.0" encoding="utf-8"?>
<sst xmlns="http://schemas.openxmlformats.org/spreadsheetml/2006/main" count="798" uniqueCount="220">
  <si>
    <t>Bias</t>
  </si>
  <si>
    <t>RMSE</t>
  </si>
  <si>
    <t>$GLM$</t>
  </si>
  <si>
    <t>$IPS_{exp}$</t>
  </si>
  <si>
    <t>$IPS_{proj}$</t>
  </si>
  <si>
    <t>$IPS_{ind}$</t>
  </si>
  <si>
    <t>sample size n</t>
  </si>
  <si>
    <t>n</t>
  </si>
  <si>
    <t>ATE-bias-IPS-exp</t>
  </si>
  <si>
    <t>ATE-bias-IPS-ind</t>
  </si>
  <si>
    <t>ATE-bias-IPS-proj</t>
  </si>
  <si>
    <t>ATE-bias-GLM</t>
  </si>
  <si>
    <t>QTE-0.25-bias-IPS-exp</t>
  </si>
  <si>
    <t>QTE-0.25-bias-IPS-ind</t>
  </si>
  <si>
    <t>QTE-0.25-bias-IPS-proj</t>
  </si>
  <si>
    <t>QTE-0.25-bias-GLM</t>
  </si>
  <si>
    <t>QTE-0.5-bias-IPS-exp</t>
  </si>
  <si>
    <t>QTE-0.5-bias-IPS-ind</t>
  </si>
  <si>
    <t>QTE-0.5-bias-IPS-proj</t>
  </si>
  <si>
    <t>QTE-0.5-bias-GLM</t>
  </si>
  <si>
    <t>QTE-0.75-bias-IPS-exp</t>
  </si>
  <si>
    <t>QTE-0.75-bias-IPS-ind</t>
  </si>
  <si>
    <t>QTE-0.75-bias-IPS-proj</t>
  </si>
  <si>
    <t>QTE-0.75-bias-GLM</t>
  </si>
  <si>
    <t>ATE-RMSE-IPS-exp</t>
  </si>
  <si>
    <t>ATE-RMSE-IPS-ind</t>
  </si>
  <si>
    <t>ATE-RMSE-IPS-proj</t>
  </si>
  <si>
    <t>ATE-RMSE-GLM</t>
  </si>
  <si>
    <t>QTE-0.25-RMSE-IPS-exp</t>
  </si>
  <si>
    <t>QTE-0.25-RMSE-IPS-ind</t>
  </si>
  <si>
    <t>QTE-0.25-RMSE-IPS-proj</t>
  </si>
  <si>
    <t>QTE-0.25-RMSE-GLM</t>
  </si>
  <si>
    <t>QTE-0.5-RMSE-IPS-exp</t>
  </si>
  <si>
    <t>QTE-0.5-RMSE-IPS-ind</t>
  </si>
  <si>
    <t>QTE-0.5-RMSE-IPS-proj</t>
  </si>
  <si>
    <t>QTE-0.5-RMSE-GLM</t>
  </si>
  <si>
    <t>QTE-0.75-RMSE-IPS-exp</t>
  </si>
  <si>
    <t>QTE-0.75-RMSE-IPS-ind</t>
  </si>
  <si>
    <t>QTE-0.75-RMSE-IPS-proj</t>
  </si>
  <si>
    <t>QTE-0.75-RMSE-GLM</t>
  </si>
  <si>
    <t>ATE-Empcov-IPS-exp</t>
  </si>
  <si>
    <t>ATE-Empcov-IPS-ind</t>
  </si>
  <si>
    <t>ATE-Empcov-IPS-proj</t>
  </si>
  <si>
    <t>ATE-Empcov-GLM</t>
  </si>
  <si>
    <t>QTE-0.25-Empcov-IPS-exp</t>
  </si>
  <si>
    <t>QTE-0.25-Empcov-IPS-ind</t>
  </si>
  <si>
    <t>QTE-0.25-Empcov-IPS-proj</t>
  </si>
  <si>
    <t>QTE-0.25-Empcov-GLM</t>
  </si>
  <si>
    <t>CI length</t>
  </si>
  <si>
    <t>95% Cov.</t>
  </si>
  <si>
    <t>QTE-0.5-Empcov-IPS-exp</t>
  </si>
  <si>
    <t>QTE-0.5-Empcov-IPS-ind</t>
  </si>
  <si>
    <t>QTE-0.5-Empcov-IPS-proj</t>
  </si>
  <si>
    <t>QTE-0.5-Empcov-GLM</t>
  </si>
  <si>
    <t>QTE-0.75-Empcov-IPS-exp</t>
  </si>
  <si>
    <t>QTE-0.75-Empcov-IPS-ind</t>
  </si>
  <si>
    <t>QTE-0.75-Empcov-IPS-proj</t>
  </si>
  <si>
    <t>QTE-0.75-Empcov-GLM</t>
  </si>
  <si>
    <t>ATE</t>
  </si>
  <si>
    <t>QTE-0.25</t>
  </si>
  <si>
    <t>QTE-0.5</t>
  </si>
  <si>
    <t>Correctly Specified</t>
  </si>
  <si>
    <t>QTE-0.75</t>
  </si>
  <si>
    <t>QTE-0.1-Empcov-IPS-exp</t>
  </si>
  <si>
    <t>QTE-0.1-Empcov-IPS-ind</t>
  </si>
  <si>
    <t>QTE-0.1-Empcov-IPS-proj</t>
  </si>
  <si>
    <t>QTE-0.1-Empcov-GLM</t>
  </si>
  <si>
    <t>QTE-0.9-Empcov-IPS-exp</t>
  </si>
  <si>
    <t>QTE-0.9-Empcov-IPS-ind</t>
  </si>
  <si>
    <t>QTE-0.9-Empcov-IPS-proj</t>
  </si>
  <si>
    <t>QTE-0.9-Empcov-GLM</t>
  </si>
  <si>
    <t>Misspecified</t>
  </si>
  <si>
    <t>QTE-0.10-bias-IPS-exp</t>
  </si>
  <si>
    <t>QTE-0.10-bias-IPS-ind</t>
  </si>
  <si>
    <t>QTE-0.10-bias-IPS-proj</t>
  </si>
  <si>
    <t>QTE-0.10-bias-GLM</t>
  </si>
  <si>
    <t>QTE-0.9-bias-IPS-exp</t>
  </si>
  <si>
    <t>QTE-0.9-bias-IPS-ind</t>
  </si>
  <si>
    <t>QTE-0.9-bias-IPS-proj</t>
  </si>
  <si>
    <t>QTE-0.9-bias-GLM</t>
  </si>
  <si>
    <t>QTE-0.10-RMSE-IPS-exp</t>
  </si>
  <si>
    <t>QTE-0.10-RMSE-IPS-ind</t>
  </si>
  <si>
    <t>QTE-0.10-RMSE-IPS-proj</t>
  </si>
  <si>
    <t>QTE-0.10-RMSE-GLM</t>
  </si>
  <si>
    <t>QTE-0.9-RMSE-IPS-exp</t>
  </si>
  <si>
    <t>QTE-0.9-RMSE-IPS-ind</t>
  </si>
  <si>
    <t>QTE-0.9-RMSE-IPS-proj</t>
  </si>
  <si>
    <t>QTE-0.9-RMSE-GLM</t>
  </si>
  <si>
    <t>$CBPS-1$</t>
  </si>
  <si>
    <t>$CBPS-2$</t>
  </si>
  <si>
    <t>Rel. MSE</t>
  </si>
  <si>
    <t>ARE</t>
  </si>
  <si>
    <t>ATE-Empcov-CBPS-Just</t>
  </si>
  <si>
    <t>ATE-Empcov-CBPS-over</t>
  </si>
  <si>
    <t>QTE-0.1-Empcov-CBPS-Just</t>
  </si>
  <si>
    <t>QTE-0.1-Empcov-CBPS-over</t>
  </si>
  <si>
    <t>QTE-0.25-Empcov-CBPS-Just</t>
  </si>
  <si>
    <t>QTE-0.25-Empcov-CBPS-over</t>
  </si>
  <si>
    <t>QTE-0.5-Empcov-CBPS-Just</t>
  </si>
  <si>
    <t>QTE-0.5-Empcov-CBPS-over</t>
  </si>
  <si>
    <t>QTE-0.75-Empcov-CBPS-Just</t>
  </si>
  <si>
    <t>QTE-0.75-Empcov-CBPS-over</t>
  </si>
  <si>
    <t>QTE-0.9-Empcov-CBPS-Just</t>
  </si>
  <si>
    <t>QTE-0.9-Empcov-CBPS-over</t>
  </si>
  <si>
    <t>ATE-ASSD-IPS-exp</t>
  </si>
  <si>
    <t>ATE-ASSD-IPS-ind</t>
  </si>
  <si>
    <t>ATE-ASSD-IPS-proj</t>
  </si>
  <si>
    <t>ATE-ASSD-CBPS-Just</t>
  </si>
  <si>
    <t>ATE-ASSD-CBPS-over</t>
  </si>
  <si>
    <t>ATE-ASSD-GLM</t>
  </si>
  <si>
    <t>QTE-0.1-ASSD-IPS-exp</t>
  </si>
  <si>
    <t>QTE-0.1-ASSD-IPS-ind</t>
  </si>
  <si>
    <t>QTE-0.1-ASSD-IPS-proj</t>
  </si>
  <si>
    <t>QTE-0.1-ASSD-CBPS-Just</t>
  </si>
  <si>
    <t>QTE-0.1-ASSD-CBPS-over</t>
  </si>
  <si>
    <t>QTE-0.1-ASSD-GLM</t>
  </si>
  <si>
    <t>QTE-0.25-ASSD-IPS-exp</t>
  </si>
  <si>
    <t>QTE-0.25-ASSD-IPS-ind</t>
  </si>
  <si>
    <t>QTE-0.25-ASSD-IPS-proj</t>
  </si>
  <si>
    <t>QTE-0.25-ASSD-CBPS-Just</t>
  </si>
  <si>
    <t>QTE-0.25-ASSD-CBPS-over</t>
  </si>
  <si>
    <t>QTE-0.25-ASSD-GLM</t>
  </si>
  <si>
    <t>QTE-0.5-ASSD-IPS-exp</t>
  </si>
  <si>
    <t>QTE-0.5-ASSD-IPS-ind</t>
  </si>
  <si>
    <t>QTE-0.5-ASSD-IPS-proj</t>
  </si>
  <si>
    <t>QTE-0.5-ASSD-CBPS-Just</t>
  </si>
  <si>
    <t>QTE-0.5-ASSD-CBPS-over</t>
  </si>
  <si>
    <t>QTE-0.5-ASSD-GLM</t>
  </si>
  <si>
    <t>QTE-0.75-ASSD-IPS-exp</t>
  </si>
  <si>
    <t>QTE-0.75-ASSD-IPS-ind</t>
  </si>
  <si>
    <t>QTE-0.75-ASSD-IPS-proj</t>
  </si>
  <si>
    <t>QTE-0.75-ASSD-CBPS-Just</t>
  </si>
  <si>
    <t>QTE-0.75-ASSD-CBPS-over</t>
  </si>
  <si>
    <t>QTE-0.75-ASSD-GLM</t>
  </si>
  <si>
    <t>QTE-0.9-ASSD-IPS-exp</t>
  </si>
  <si>
    <t>QTE-0.9-ASSD-IPS-ind</t>
  </si>
  <si>
    <t>QTE-0.9-ASSD-IPS-proj</t>
  </si>
  <si>
    <t>QTE-0.9-ASSD-CBPS-Just</t>
  </si>
  <si>
    <t>QTE-0.9-ASSD-CBPS-over</t>
  </si>
  <si>
    <t>QTE-0.9-ASSD-GLM</t>
  </si>
  <si>
    <t>ATE-bias-CBPS-just</t>
  </si>
  <si>
    <t>ATE-bias-CBPS-over</t>
  </si>
  <si>
    <t>QTE-0.10-bias-CBPS-Just</t>
  </si>
  <si>
    <t>QTE-0.10-bias-CBPS-over</t>
  </si>
  <si>
    <t>QTE-0.25-bias-CBPS-Just</t>
  </si>
  <si>
    <t>QTE-0.25-bias-CBPS-over</t>
  </si>
  <si>
    <t>QTE-0.5-bias-CBPS-Just</t>
  </si>
  <si>
    <t>QTE-0.5-bias-CBPS-over</t>
  </si>
  <si>
    <t>QTE-0.75-bias-CBPS-Just</t>
  </si>
  <si>
    <t>QTE-0.75-bias-CBPS-over</t>
  </si>
  <si>
    <t>QTE-0.9-bias-CBPS-Just</t>
  </si>
  <si>
    <t>QTE-0.9-bias-CBPS-over</t>
  </si>
  <si>
    <t>ATE-RMSE-CBPS-Just</t>
  </si>
  <si>
    <t>ATE-RMSE-CBPS-over</t>
  </si>
  <si>
    <t>QTE-0.10-RMSE-CBPS-Just</t>
  </si>
  <si>
    <t>QTE-0.10-RMSE-CBPS-over</t>
  </si>
  <si>
    <t>QTE-0.25-RMSE-CBPS-Just</t>
  </si>
  <si>
    <t>QTE-0.25-RMSE-CBPS-over</t>
  </si>
  <si>
    <t>QTE-0.5-RMSE-CBPS-Just</t>
  </si>
  <si>
    <t>QTE-0.5-RMSE-CBPS-over</t>
  </si>
  <si>
    <t>QTE-0.75-RMSE-CBPS-Just</t>
  </si>
  <si>
    <t>QTE-0.75-RMSE-CBPS-over</t>
  </si>
  <si>
    <t>QTE-0.9-RMSE-CBPS-Just</t>
  </si>
  <si>
    <t>QTE-0.9-RMSE-CBPS-over</t>
  </si>
  <si>
    <t>Asy. Std Dev</t>
  </si>
  <si>
    <t>n=200 correctly specified row</t>
  </si>
  <si>
    <t>n=200 misspecified specified row</t>
  </si>
  <si>
    <t>relMSE</t>
  </si>
  <si>
    <t>nrep</t>
  </si>
  <si>
    <t>dgp (1: correct, 2:misspec)</t>
  </si>
  <si>
    <t>ks-IPS-exp</t>
  </si>
  <si>
    <t>ks-IPS-ind</t>
  </si>
  <si>
    <t>ks-IPS-proj</t>
  </si>
  <si>
    <t>ks-CBPS-Just</t>
  </si>
  <si>
    <t>ks-CBPS-over</t>
  </si>
  <si>
    <t>ks-GLM</t>
  </si>
  <si>
    <t>ks-IPS-exp_1</t>
  </si>
  <si>
    <t>ks-IPS-ind_1</t>
  </si>
  <si>
    <t>ks-IPS-proj_1</t>
  </si>
  <si>
    <t>ks-CBPS-Just_1</t>
  </si>
  <si>
    <t>ks-CBPS-over_1</t>
  </si>
  <si>
    <t>ks-GLM_1</t>
  </si>
  <si>
    <t>ks-IPS-exp_0</t>
  </si>
  <si>
    <t>ks-IPS-ind_0</t>
  </si>
  <si>
    <t>ks-IPS-proj_0</t>
  </si>
  <si>
    <t>ks-CBPS-Just_0</t>
  </si>
  <si>
    <t>ks-CBPS-over_0</t>
  </si>
  <si>
    <t>ks-GLM_0</t>
  </si>
  <si>
    <t>cvm-IPS-exp</t>
  </si>
  <si>
    <t>cvm-IPS-ind</t>
  </si>
  <si>
    <t>cvm-IPS-proj</t>
  </si>
  <si>
    <t>cvm-CBPS-Just</t>
  </si>
  <si>
    <t>cvm-CBPS-over</t>
  </si>
  <si>
    <t>cvm-GLM</t>
  </si>
  <si>
    <t>cvm-IPS-exp_1</t>
  </si>
  <si>
    <t>cvm-IPS-ind_1</t>
  </si>
  <si>
    <t>cvm-IPS-proj_1</t>
  </si>
  <si>
    <t>cvm-CBPS-Just_1</t>
  </si>
  <si>
    <t>cvm-CBPS-over_1</t>
  </si>
  <si>
    <t>cvm-GLM_1</t>
  </si>
  <si>
    <t>cvm-IPS-exp_0</t>
  </si>
  <si>
    <t>cvm-IPS-ind_0</t>
  </si>
  <si>
    <t>cvm-IPS-proj_0</t>
  </si>
  <si>
    <t>cvm-CBPS-Just_0</t>
  </si>
  <si>
    <t>cvm-CBPS-over_0</t>
  </si>
  <si>
    <t>cvm-GLM_0</t>
  </si>
  <si>
    <t>QTE-0.10</t>
  </si>
  <si>
    <t>QTE-0.90</t>
  </si>
  <si>
    <t>KS_bal</t>
  </si>
  <si>
    <t>CvM_bal</t>
  </si>
  <si>
    <t>KS_bal1</t>
  </si>
  <si>
    <t>CvM_bal1</t>
  </si>
  <si>
    <t>KS_bal0</t>
  </si>
  <si>
    <t>CvM_bal0</t>
  </si>
  <si>
    <t>n=500 correctly specified row</t>
  </si>
  <si>
    <t>n=500 misspecified specified row</t>
  </si>
  <si>
    <t>n=1000 correctly specified row</t>
  </si>
  <si>
    <t>n=1000 misspecified specified row</t>
  </si>
  <si>
    <t>Absolute Distributional Imbalance</t>
  </si>
  <si>
    <t>Relative Distributional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</si>
</sst>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0" xfId="0" applyFill="1" applyBorder="1"/>
    <xf numFmtId="0" fontId="0" fillId="0" borderId="0" xfId="0" applyFill="1" applyBorder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6" fillId="33" borderId="0" xfId="0" applyFont="1" applyFill="1"/>
    <xf numFmtId="0" fontId="0" fillId="0" borderId="0" xfId="0" applyFill="1" applyAlignment="1">
      <alignment horizontal="center"/>
    </xf>
    <xf numFmtId="2" fontId="0" fillId="0" borderId="0" xfId="0" applyNumberFormat="1"/>
    <xf numFmtId="164" fontId="0" fillId="0" borderId="10" xfId="0" applyNumberFormat="1" applyBorder="1"/>
    <xf numFmtId="2" fontId="0" fillId="0" borderId="10" xfId="0" applyNumberFormat="1" applyBorder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"/>
  <sheetViews>
    <sheetView workbookViewId="0">
      <selection sqref="A1:XFD1048576"/>
    </sheetView>
  </sheetViews>
  <sheetFormatPr defaultRowHeight="14.25" x14ac:dyDescent="0.45"/>
  <sheetData>
    <row r="1" spans="1:76" x14ac:dyDescent="0.45">
      <c r="B1" t="s">
        <v>168</v>
      </c>
      <c r="C1" t="s">
        <v>7</v>
      </c>
      <c r="D1" t="s">
        <v>169</v>
      </c>
      <c r="E1" t="s">
        <v>40</v>
      </c>
      <c r="F1" t="s">
        <v>41</v>
      </c>
      <c r="G1" t="s">
        <v>42</v>
      </c>
      <c r="H1" t="s">
        <v>92</v>
      </c>
      <c r="I1" t="s">
        <v>93</v>
      </c>
      <c r="J1" t="s">
        <v>43</v>
      </c>
      <c r="K1" t="s">
        <v>63</v>
      </c>
      <c r="L1" t="s">
        <v>64</v>
      </c>
      <c r="M1" t="s">
        <v>65</v>
      </c>
      <c r="N1" t="s">
        <v>94</v>
      </c>
      <c r="O1" t="s">
        <v>95</v>
      </c>
      <c r="P1" t="s">
        <v>66</v>
      </c>
      <c r="Q1" t="s">
        <v>44</v>
      </c>
      <c r="R1" t="s">
        <v>45</v>
      </c>
      <c r="S1" t="s">
        <v>46</v>
      </c>
      <c r="T1" t="s">
        <v>96</v>
      </c>
      <c r="U1" t="s">
        <v>97</v>
      </c>
      <c r="V1" t="s">
        <v>47</v>
      </c>
      <c r="W1" t="s">
        <v>50</v>
      </c>
      <c r="X1" t="s">
        <v>51</v>
      </c>
      <c r="Y1" t="s">
        <v>52</v>
      </c>
      <c r="Z1" t="s">
        <v>98</v>
      </c>
      <c r="AA1" t="s">
        <v>99</v>
      </c>
      <c r="AB1" t="s">
        <v>53</v>
      </c>
      <c r="AC1" t="s">
        <v>54</v>
      </c>
      <c r="AD1" t="s">
        <v>55</v>
      </c>
      <c r="AE1" t="s">
        <v>56</v>
      </c>
      <c r="AF1" t="s">
        <v>100</v>
      </c>
      <c r="AG1" t="s">
        <v>101</v>
      </c>
      <c r="AH1" t="s">
        <v>57</v>
      </c>
      <c r="AI1" t="s">
        <v>67</v>
      </c>
      <c r="AJ1" t="s">
        <v>68</v>
      </c>
      <c r="AK1" t="s">
        <v>69</v>
      </c>
      <c r="AL1" t="s">
        <v>102</v>
      </c>
      <c r="AM1" t="s">
        <v>103</v>
      </c>
      <c r="AN1" t="s">
        <v>70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</row>
    <row r="2" spans="1:76" x14ac:dyDescent="0.45">
      <c r="A2">
        <v>1</v>
      </c>
      <c r="B2">
        <v>1000</v>
      </c>
      <c r="C2">
        <v>200</v>
      </c>
      <c r="D2">
        <v>1</v>
      </c>
      <c r="E2">
        <v>0.98697394789579196</v>
      </c>
      <c r="F2">
        <v>0.99297188755020105</v>
      </c>
      <c r="G2">
        <v>0.99298597194388805</v>
      </c>
      <c r="H2">
        <v>0.86673346693386799</v>
      </c>
      <c r="I2">
        <v>0.99699398797595196</v>
      </c>
      <c r="J2">
        <v>0.94789579158316595</v>
      </c>
      <c r="K2">
        <v>0.84468937875751504</v>
      </c>
      <c r="L2">
        <v>0.84236947791164696</v>
      </c>
      <c r="M2">
        <v>0.80761523046092198</v>
      </c>
      <c r="N2">
        <v>0.81062124248497003</v>
      </c>
      <c r="O2">
        <v>0.91983967935871702</v>
      </c>
      <c r="P2">
        <v>0.87374749498997994</v>
      </c>
      <c r="Q2">
        <v>0.95290581162324695</v>
      </c>
      <c r="R2">
        <v>0.94377510040160595</v>
      </c>
      <c r="S2">
        <v>0.92484969939879802</v>
      </c>
      <c r="T2">
        <v>0.93386773547094204</v>
      </c>
      <c r="U2">
        <v>0.98797595190380805</v>
      </c>
      <c r="V2">
        <v>0.96192384769539097</v>
      </c>
      <c r="W2">
        <v>0.93286573146292595</v>
      </c>
      <c r="X2">
        <v>0.96586345381526095</v>
      </c>
      <c r="Y2">
        <v>0.90781563126252496</v>
      </c>
      <c r="Z2">
        <v>0.88376753507014005</v>
      </c>
      <c r="AA2">
        <v>0.98997995991984</v>
      </c>
      <c r="AB2">
        <v>0.93186372745490997</v>
      </c>
      <c r="AC2">
        <v>0.93286573146292595</v>
      </c>
      <c r="AD2">
        <v>0.94678714859437796</v>
      </c>
      <c r="AE2">
        <v>0.925851703406814</v>
      </c>
      <c r="AF2">
        <v>0.81262525050100198</v>
      </c>
      <c r="AG2">
        <v>0.96593186372745499</v>
      </c>
      <c r="AH2">
        <v>0.87575150300601201</v>
      </c>
      <c r="AI2">
        <v>0.91382765531062105</v>
      </c>
      <c r="AJ2">
        <v>0.92269076305220898</v>
      </c>
      <c r="AK2">
        <v>0.95190380761522997</v>
      </c>
      <c r="AL2">
        <v>0.76853707414829697</v>
      </c>
      <c r="AM2">
        <v>0.91883767535070104</v>
      </c>
      <c r="AN2">
        <v>0.846693386773547</v>
      </c>
      <c r="AO2">
        <v>81.877349381237806</v>
      </c>
      <c r="AP2">
        <v>162.70529156948999</v>
      </c>
      <c r="AQ2">
        <v>118.357735792431</v>
      </c>
      <c r="AR2">
        <v>47.081215752626697</v>
      </c>
      <c r="AS2">
        <v>111.918539690884</v>
      </c>
      <c r="AT2">
        <v>198.57055761655701</v>
      </c>
      <c r="AU2">
        <v>37.947598094625398</v>
      </c>
      <c r="AV2">
        <v>38.5395238299729</v>
      </c>
      <c r="AW2">
        <v>38.575537084544102</v>
      </c>
      <c r="AX2">
        <v>44.193411142582001</v>
      </c>
      <c r="AY2">
        <v>53.693708782204503</v>
      </c>
      <c r="AZ2">
        <v>712.02276617902203</v>
      </c>
      <c r="BA2">
        <v>34.306984029766397</v>
      </c>
      <c r="BB2">
        <v>39.3265831482531</v>
      </c>
      <c r="BC2">
        <v>34.449152101273903</v>
      </c>
      <c r="BD2">
        <v>39.121594193979703</v>
      </c>
      <c r="BE2">
        <v>54.356768991100303</v>
      </c>
      <c r="BF2">
        <v>92.924842408374801</v>
      </c>
      <c r="BG2">
        <v>37.430628830565396</v>
      </c>
      <c r="BH2">
        <v>57.5247734418923</v>
      </c>
      <c r="BI2">
        <v>38.131443329306499</v>
      </c>
      <c r="BJ2">
        <v>38.934264489279201</v>
      </c>
      <c r="BK2">
        <v>64.637965942573103</v>
      </c>
      <c r="BL2">
        <v>412.27205171842701</v>
      </c>
      <c r="BM2">
        <v>102.325585133036</v>
      </c>
      <c r="BN2">
        <v>185.162497966525</v>
      </c>
      <c r="BO2">
        <v>103.777247621016</v>
      </c>
      <c r="BP2">
        <v>96.492893007547195</v>
      </c>
      <c r="BQ2">
        <v>162.536032296945</v>
      </c>
      <c r="BR2">
        <v>299.82422577525102</v>
      </c>
      <c r="BS2">
        <v>254.18719938189599</v>
      </c>
      <c r="BT2">
        <v>371.953099579862</v>
      </c>
      <c r="BU2">
        <v>308.23558303445299</v>
      </c>
      <c r="BV2">
        <v>234.741299530595</v>
      </c>
      <c r="BW2">
        <v>334.14802567398101</v>
      </c>
      <c r="BX2">
        <v>299.90161621865298</v>
      </c>
    </row>
    <row r="3" spans="1:76" x14ac:dyDescent="0.45">
      <c r="A3">
        <v>2</v>
      </c>
      <c r="B3">
        <v>1000</v>
      </c>
      <c r="C3">
        <v>200</v>
      </c>
      <c r="D3">
        <v>2</v>
      </c>
      <c r="E3">
        <v>0.96399999999999997</v>
      </c>
      <c r="F3">
        <v>0.99299299299299304</v>
      </c>
      <c r="G3">
        <v>0.9</v>
      </c>
      <c r="H3">
        <v>0.83</v>
      </c>
      <c r="I3">
        <v>0.997</v>
      </c>
      <c r="J3">
        <v>0.95299999999999996</v>
      </c>
      <c r="K3">
        <v>0.86899999999999999</v>
      </c>
      <c r="L3">
        <v>0.865865865865866</v>
      </c>
      <c r="M3">
        <v>0.84899999999999998</v>
      </c>
      <c r="N3">
        <v>0.872</v>
      </c>
      <c r="O3">
        <v>0.88700000000000001</v>
      </c>
      <c r="P3">
        <v>0.88800000000000001</v>
      </c>
      <c r="Q3">
        <v>0.95199999999999996</v>
      </c>
      <c r="R3">
        <v>0.94694694694694703</v>
      </c>
      <c r="S3">
        <v>0.93799999999999994</v>
      </c>
      <c r="T3">
        <v>0.96</v>
      </c>
      <c r="U3">
        <v>0.96699999999999997</v>
      </c>
      <c r="V3">
        <v>0.96899999999999997</v>
      </c>
      <c r="W3">
        <v>0.94</v>
      </c>
      <c r="X3">
        <v>0.96696696696696705</v>
      </c>
      <c r="Y3">
        <v>0.89100000000000001</v>
      </c>
      <c r="Z3">
        <v>0.92800000000000005</v>
      </c>
      <c r="AA3">
        <v>0.97099999999999997</v>
      </c>
      <c r="AB3">
        <v>0.95599999999999996</v>
      </c>
      <c r="AC3">
        <v>0.93700000000000006</v>
      </c>
      <c r="AD3">
        <v>0.95795795795795802</v>
      </c>
      <c r="AE3">
        <v>0.83599999999999997</v>
      </c>
      <c r="AF3">
        <v>0.84899999999999998</v>
      </c>
      <c r="AG3">
        <v>0.95</v>
      </c>
      <c r="AH3">
        <v>0.88</v>
      </c>
      <c r="AI3">
        <v>0.83899999999999997</v>
      </c>
      <c r="AJ3">
        <v>0.92592592592592604</v>
      </c>
      <c r="AK3">
        <v>0.83099999999999996</v>
      </c>
      <c r="AL3">
        <v>0.76800000000000002</v>
      </c>
      <c r="AM3">
        <v>0.90900000000000003</v>
      </c>
      <c r="AN3">
        <v>0.745</v>
      </c>
      <c r="AO3">
        <v>79.8748956311927</v>
      </c>
      <c r="AP3">
        <v>155.555296777911</v>
      </c>
      <c r="AQ3">
        <v>68.655025762921397</v>
      </c>
      <c r="AR3">
        <v>61.750001433607402</v>
      </c>
      <c r="AS3">
        <v>116.247491786987</v>
      </c>
      <c r="AT3">
        <v>117.169884972906</v>
      </c>
      <c r="AU3">
        <v>41.469024369451702</v>
      </c>
      <c r="AV3">
        <v>41.984255374014403</v>
      </c>
      <c r="AW3">
        <v>38.305664831373598</v>
      </c>
      <c r="AX3">
        <v>47.415552685554701</v>
      </c>
      <c r="AY3">
        <v>47.889081042234402</v>
      </c>
      <c r="AZ3">
        <v>50.323498139366102</v>
      </c>
      <c r="BA3">
        <v>38.240594280615802</v>
      </c>
      <c r="BB3">
        <v>41.753105211708899</v>
      </c>
      <c r="BC3">
        <v>36.2766190498347</v>
      </c>
      <c r="BD3">
        <v>40.838158167525897</v>
      </c>
      <c r="BE3">
        <v>47.712324446041301</v>
      </c>
      <c r="BF3">
        <v>45.002606133394501</v>
      </c>
      <c r="BG3">
        <v>40.8892821326709</v>
      </c>
      <c r="BH3">
        <v>60.4045682578857</v>
      </c>
      <c r="BI3">
        <v>39.567114862583999</v>
      </c>
      <c r="BJ3">
        <v>41.876206402310999</v>
      </c>
      <c r="BK3">
        <v>58.663272914949502</v>
      </c>
      <c r="BL3">
        <v>50.900860840798003</v>
      </c>
      <c r="BM3">
        <v>114.816898447938</v>
      </c>
      <c r="BN3">
        <v>197.47426388621199</v>
      </c>
      <c r="BO3">
        <v>94.217345310658004</v>
      </c>
      <c r="BP3">
        <v>112.12987253614401</v>
      </c>
      <c r="BQ3">
        <v>155.81244608537199</v>
      </c>
      <c r="BR3">
        <v>145.699536247422</v>
      </c>
      <c r="BS3">
        <v>263.421920116678</v>
      </c>
      <c r="BT3">
        <v>398.494519208003</v>
      </c>
      <c r="BU3">
        <v>230.918121149672</v>
      </c>
      <c r="BV3">
        <v>266.36007707963802</v>
      </c>
      <c r="BW3">
        <v>345.24949774271403</v>
      </c>
      <c r="BX3">
        <v>290.40252415261801</v>
      </c>
    </row>
    <row r="4" spans="1:76" x14ac:dyDescent="0.45">
      <c r="A4">
        <v>3</v>
      </c>
      <c r="B4">
        <v>1000</v>
      </c>
      <c r="C4">
        <v>500</v>
      </c>
      <c r="D4">
        <v>1</v>
      </c>
      <c r="E4">
        <v>0.99299999999999999</v>
      </c>
      <c r="F4">
        <v>1</v>
      </c>
      <c r="G4">
        <v>1</v>
      </c>
      <c r="H4">
        <v>0.89800000000000002</v>
      </c>
      <c r="I4">
        <v>0.995</v>
      </c>
      <c r="J4">
        <v>0.95499999999999996</v>
      </c>
      <c r="K4">
        <v>0.89300000000000002</v>
      </c>
      <c r="L4">
        <v>0.86699999999999999</v>
      </c>
      <c r="M4">
        <v>0.878</v>
      </c>
      <c r="N4">
        <v>0.84599999999999997</v>
      </c>
      <c r="O4">
        <v>0.9</v>
      </c>
      <c r="P4">
        <v>0.88900000000000001</v>
      </c>
      <c r="Q4">
        <v>0.95099999999999996</v>
      </c>
      <c r="R4">
        <v>0.97099999999999997</v>
      </c>
      <c r="S4">
        <v>0.94399999999999995</v>
      </c>
      <c r="T4">
        <v>0.92600000000000005</v>
      </c>
      <c r="U4">
        <v>0.98</v>
      </c>
      <c r="V4">
        <v>0.96299999999999997</v>
      </c>
      <c r="W4">
        <v>0.95499999999999996</v>
      </c>
      <c r="X4">
        <v>0.98099999999999998</v>
      </c>
      <c r="Y4">
        <v>0.93200000000000005</v>
      </c>
      <c r="Z4">
        <v>0.90800000000000003</v>
      </c>
      <c r="AA4">
        <v>0.98899999999999999</v>
      </c>
      <c r="AB4">
        <v>0.93799999999999994</v>
      </c>
      <c r="AC4">
        <v>0.95699999999999996</v>
      </c>
      <c r="AD4">
        <v>0.98099999999999998</v>
      </c>
      <c r="AE4">
        <v>0.95599999999999996</v>
      </c>
      <c r="AF4">
        <v>0.85799999999999998</v>
      </c>
      <c r="AG4">
        <v>0.97699999999999998</v>
      </c>
      <c r="AH4">
        <v>0.874</v>
      </c>
      <c r="AI4">
        <v>0.96</v>
      </c>
      <c r="AJ4">
        <v>0.98799999999999999</v>
      </c>
      <c r="AK4">
        <v>0.98</v>
      </c>
      <c r="AL4">
        <v>0.89500000000000002</v>
      </c>
      <c r="AM4">
        <v>0.95299999999999996</v>
      </c>
      <c r="AN4">
        <v>0.90500000000000003</v>
      </c>
      <c r="AO4">
        <v>109.89666639047201</v>
      </c>
      <c r="AP4">
        <v>310.85830775280903</v>
      </c>
      <c r="AQ4">
        <v>177.906950494233</v>
      </c>
      <c r="AR4">
        <v>51.267088209916501</v>
      </c>
      <c r="AS4">
        <v>107.898006403701</v>
      </c>
      <c r="AT4">
        <v>61.065378150354</v>
      </c>
      <c r="AU4">
        <v>45.052002370812303</v>
      </c>
      <c r="AV4">
        <v>46.3746082469439</v>
      </c>
      <c r="AW4">
        <v>46.024265192274498</v>
      </c>
      <c r="AX4">
        <v>46.670034153598401</v>
      </c>
      <c r="AY4">
        <v>49.994682885354202</v>
      </c>
      <c r="AZ4">
        <v>54.0603794068954</v>
      </c>
      <c r="BA4">
        <v>38.510234342120398</v>
      </c>
      <c r="BB4">
        <v>44.351185793600202</v>
      </c>
      <c r="BC4">
        <v>38.505684501458802</v>
      </c>
      <c r="BD4">
        <v>40.254810655270603</v>
      </c>
      <c r="BE4">
        <v>48.642610289373998</v>
      </c>
      <c r="BF4">
        <v>45.991242439883898</v>
      </c>
      <c r="BG4">
        <v>42.172367294616301</v>
      </c>
      <c r="BH4">
        <v>62.864877370182697</v>
      </c>
      <c r="BI4">
        <v>43.474325656735502</v>
      </c>
      <c r="BJ4">
        <v>40.996513881077298</v>
      </c>
      <c r="BK4">
        <v>58.987366985916601</v>
      </c>
      <c r="BL4">
        <v>46.668029081078103</v>
      </c>
      <c r="BM4">
        <v>118.327032920254</v>
      </c>
      <c r="BN4">
        <v>229.65326907797601</v>
      </c>
      <c r="BO4">
        <v>125.93557843841501</v>
      </c>
      <c r="BP4">
        <v>91.438903000714305</v>
      </c>
      <c r="BQ4">
        <v>157.13602826235501</v>
      </c>
      <c r="BR4">
        <v>99.010182677369798</v>
      </c>
      <c r="BS4">
        <v>313.60173796568802</v>
      </c>
      <c r="BT4">
        <v>571.67739259233804</v>
      </c>
      <c r="BU4">
        <v>398.843206992099</v>
      </c>
      <c r="BV4">
        <v>252.709497836547</v>
      </c>
      <c r="BW4">
        <v>347.39255436777199</v>
      </c>
      <c r="BX4">
        <v>233.876864139254</v>
      </c>
    </row>
    <row r="5" spans="1:76" x14ac:dyDescent="0.45">
      <c r="A5">
        <v>4</v>
      </c>
      <c r="B5">
        <v>1000</v>
      </c>
      <c r="C5">
        <v>500</v>
      </c>
      <c r="D5">
        <v>2</v>
      </c>
      <c r="E5">
        <v>0.96799999999999997</v>
      </c>
      <c r="F5">
        <v>1</v>
      </c>
      <c r="G5">
        <v>0.94099999999999995</v>
      </c>
      <c r="H5">
        <v>0.76900000000000002</v>
      </c>
      <c r="I5">
        <v>0.999</v>
      </c>
      <c r="J5">
        <v>0.94</v>
      </c>
      <c r="K5">
        <v>0.86</v>
      </c>
      <c r="L5">
        <v>0.84299999999999997</v>
      </c>
      <c r="M5">
        <v>0.81599999999999995</v>
      </c>
      <c r="N5">
        <v>0.84599999999999997</v>
      </c>
      <c r="O5">
        <v>0.83199999999999996</v>
      </c>
      <c r="P5">
        <v>0.86099999999999999</v>
      </c>
      <c r="Q5">
        <v>0.95899999999999996</v>
      </c>
      <c r="R5">
        <v>0.95299999999999996</v>
      </c>
      <c r="S5">
        <v>0.92100000000000004</v>
      </c>
      <c r="T5">
        <v>0.95</v>
      </c>
      <c r="U5">
        <v>0.93100000000000005</v>
      </c>
      <c r="V5">
        <v>0.95099999999999996</v>
      </c>
      <c r="W5">
        <v>0.95799999999999996</v>
      </c>
      <c r="X5">
        <v>0.98299999999999998</v>
      </c>
      <c r="Y5">
        <v>0.88100000000000001</v>
      </c>
      <c r="Z5">
        <v>0.93500000000000005</v>
      </c>
      <c r="AA5">
        <v>0.92700000000000005</v>
      </c>
      <c r="AB5">
        <v>0.95499999999999996</v>
      </c>
      <c r="AC5">
        <v>0.95599999999999996</v>
      </c>
      <c r="AD5">
        <v>0.98099999999999998</v>
      </c>
      <c r="AE5">
        <v>0.86199999999999999</v>
      </c>
      <c r="AF5">
        <v>0.88500000000000001</v>
      </c>
      <c r="AG5">
        <v>0.93400000000000005</v>
      </c>
      <c r="AH5">
        <v>0.92300000000000004</v>
      </c>
      <c r="AI5">
        <v>0.877</v>
      </c>
      <c r="AJ5">
        <v>0.96699999999999997</v>
      </c>
      <c r="AK5">
        <v>0.91300000000000003</v>
      </c>
      <c r="AL5">
        <v>0.80300000000000005</v>
      </c>
      <c r="AM5">
        <v>0.95799999999999996</v>
      </c>
      <c r="AN5">
        <v>0.78700000000000003</v>
      </c>
      <c r="AO5">
        <v>109.77004856827401</v>
      </c>
      <c r="AP5">
        <v>208.66162920344701</v>
      </c>
      <c r="AQ5">
        <v>77.919083162667704</v>
      </c>
      <c r="AR5">
        <v>78.463783648006796</v>
      </c>
      <c r="AS5">
        <v>126.70896469833799</v>
      </c>
      <c r="AT5">
        <v>155.41498964555899</v>
      </c>
      <c r="AU5">
        <v>42.906354974406497</v>
      </c>
      <c r="AV5">
        <v>44.490462228855499</v>
      </c>
      <c r="AW5">
        <v>39.661288104464496</v>
      </c>
      <c r="AX5">
        <v>42.649321168809301</v>
      </c>
      <c r="AY5">
        <v>43.479083837397503</v>
      </c>
      <c r="AZ5">
        <v>44.206231120609303</v>
      </c>
      <c r="BA5">
        <v>39.268900273852303</v>
      </c>
      <c r="BB5">
        <v>43.606019891501496</v>
      </c>
      <c r="BC5">
        <v>37.224669277892602</v>
      </c>
      <c r="BD5">
        <v>39.223964061082498</v>
      </c>
      <c r="BE5">
        <v>43.589265049488098</v>
      </c>
      <c r="BF5">
        <v>40.564973610076599</v>
      </c>
      <c r="BG5">
        <v>42.720570080247498</v>
      </c>
      <c r="BH5">
        <v>63.323026030552299</v>
      </c>
      <c r="BI5">
        <v>41.175028833331197</v>
      </c>
      <c r="BJ5">
        <v>41.723063292512201</v>
      </c>
      <c r="BK5">
        <v>55.4946795202423</v>
      </c>
      <c r="BL5">
        <v>46.1936079127751</v>
      </c>
      <c r="BM5">
        <v>128.35891277114899</v>
      </c>
      <c r="BN5">
        <v>242.46597453668599</v>
      </c>
      <c r="BO5">
        <v>100.936368229168</v>
      </c>
      <c r="BP5">
        <v>106.405802299716</v>
      </c>
      <c r="BQ5">
        <v>157.831793752034</v>
      </c>
      <c r="BR5">
        <v>167.670456505733</v>
      </c>
      <c r="BS5">
        <v>366.19724404379798</v>
      </c>
      <c r="BT5">
        <v>545.74567863854304</v>
      </c>
      <c r="BU5">
        <v>272.44151515713497</v>
      </c>
      <c r="BV5">
        <v>324.51421390648602</v>
      </c>
      <c r="BW5">
        <v>385.11714618764699</v>
      </c>
      <c r="BX5">
        <v>412.90668037415099</v>
      </c>
    </row>
    <row r="6" spans="1:76" x14ac:dyDescent="0.45">
      <c r="A6">
        <v>5</v>
      </c>
      <c r="B6">
        <v>1000</v>
      </c>
      <c r="C6">
        <v>1000</v>
      </c>
      <c r="D6">
        <v>1</v>
      </c>
      <c r="E6">
        <v>0.996</v>
      </c>
      <c r="F6">
        <v>1</v>
      </c>
      <c r="G6">
        <v>1</v>
      </c>
      <c r="H6">
        <v>0.88300000000000001</v>
      </c>
      <c r="I6">
        <v>0.997</v>
      </c>
      <c r="J6">
        <v>0.95399999999999996</v>
      </c>
      <c r="K6">
        <v>0.91500000000000004</v>
      </c>
      <c r="L6">
        <v>0.91600000000000004</v>
      </c>
      <c r="M6">
        <v>0.90500000000000003</v>
      </c>
      <c r="N6">
        <v>0.86699999999999999</v>
      </c>
      <c r="O6">
        <v>0.91</v>
      </c>
      <c r="P6">
        <v>0.90500000000000003</v>
      </c>
      <c r="Q6">
        <v>0.97699999999999998</v>
      </c>
      <c r="R6">
        <v>0.97799999999999998</v>
      </c>
      <c r="S6">
        <v>0.96799999999999997</v>
      </c>
      <c r="T6">
        <v>0.94099999999999995</v>
      </c>
      <c r="U6">
        <v>0.98499999999999999</v>
      </c>
      <c r="V6">
        <v>0.97</v>
      </c>
      <c r="W6">
        <v>0.95499999999999996</v>
      </c>
      <c r="X6">
        <v>0.98599999999999999</v>
      </c>
      <c r="Y6">
        <v>0.94799999999999995</v>
      </c>
      <c r="Z6">
        <v>0.91100000000000003</v>
      </c>
      <c r="AA6">
        <v>0.98799999999999999</v>
      </c>
      <c r="AB6">
        <v>0.94599999999999995</v>
      </c>
      <c r="AC6">
        <v>0.95699999999999996</v>
      </c>
      <c r="AD6">
        <v>0.99399999999999999</v>
      </c>
      <c r="AE6">
        <v>0.96199999999999997</v>
      </c>
      <c r="AF6">
        <v>0.877</v>
      </c>
      <c r="AG6">
        <v>0.99</v>
      </c>
      <c r="AH6">
        <v>0.88800000000000001</v>
      </c>
      <c r="AI6">
        <v>0.97399999999999998</v>
      </c>
      <c r="AJ6">
        <v>0.99299999999999999</v>
      </c>
      <c r="AK6">
        <v>0.99399999999999999</v>
      </c>
      <c r="AL6">
        <v>0.91400000000000003</v>
      </c>
      <c r="AM6">
        <v>0.98099999999999998</v>
      </c>
      <c r="AN6">
        <v>0.92300000000000004</v>
      </c>
      <c r="AO6">
        <v>130.67225168928601</v>
      </c>
      <c r="AP6">
        <v>507.29541378247001</v>
      </c>
      <c r="AQ6">
        <v>228.429723902333</v>
      </c>
      <c r="AR6">
        <v>54.0210621643959</v>
      </c>
      <c r="AS6">
        <v>110.496258211898</v>
      </c>
      <c r="AT6">
        <v>61.3946913695655</v>
      </c>
      <c r="AU6">
        <v>48.3047091725361</v>
      </c>
      <c r="AV6">
        <v>52.227102208677699</v>
      </c>
      <c r="AW6">
        <v>48.646077776736099</v>
      </c>
      <c r="AX6">
        <v>47.754454182486597</v>
      </c>
      <c r="AY6">
        <v>49.9837532701642</v>
      </c>
      <c r="AZ6">
        <v>51.7911056129998</v>
      </c>
      <c r="BA6">
        <v>39.875961600441002</v>
      </c>
      <c r="BB6">
        <v>48.173832581850199</v>
      </c>
      <c r="BC6">
        <v>39.816512000899102</v>
      </c>
      <c r="BD6">
        <v>40.617493989001602</v>
      </c>
      <c r="BE6">
        <v>46.7659973951125</v>
      </c>
      <c r="BF6">
        <v>43.984942584637601</v>
      </c>
      <c r="BG6">
        <v>45.1387197842935</v>
      </c>
      <c r="BH6">
        <v>68.014951687407603</v>
      </c>
      <c r="BI6">
        <v>46.474328668319899</v>
      </c>
      <c r="BJ6">
        <v>42.675296496109901</v>
      </c>
      <c r="BK6">
        <v>57.933767582236399</v>
      </c>
      <c r="BL6">
        <v>46.475983767272297</v>
      </c>
      <c r="BM6">
        <v>126.040282470782</v>
      </c>
      <c r="BN6">
        <v>269.59428689678799</v>
      </c>
      <c r="BO6">
        <v>136.73244179659699</v>
      </c>
      <c r="BP6">
        <v>97.117004731530102</v>
      </c>
      <c r="BQ6">
        <v>162.95953149842899</v>
      </c>
      <c r="BR6">
        <v>114.034410623363</v>
      </c>
      <c r="BS6">
        <v>299.389279596466</v>
      </c>
      <c r="BT6">
        <v>693.80591531154903</v>
      </c>
      <c r="BU6">
        <v>398.48787302405702</v>
      </c>
      <c r="BV6">
        <v>239.388882272953</v>
      </c>
      <c r="BW6">
        <v>299.16359333440897</v>
      </c>
      <c r="BX6">
        <v>212.62718112345999</v>
      </c>
    </row>
    <row r="7" spans="1:76" x14ac:dyDescent="0.45">
      <c r="A7">
        <v>6</v>
      </c>
      <c r="B7">
        <v>1000</v>
      </c>
      <c r="C7">
        <v>1000</v>
      </c>
      <c r="D7">
        <v>2</v>
      </c>
      <c r="E7">
        <v>0.91800000000000004</v>
      </c>
      <c r="F7">
        <v>1</v>
      </c>
      <c r="G7">
        <v>0.97099999999999997</v>
      </c>
      <c r="H7">
        <v>0.65600000000000003</v>
      </c>
      <c r="I7">
        <v>0.997</v>
      </c>
      <c r="J7">
        <v>0.85799999999999998</v>
      </c>
      <c r="K7">
        <v>0.81200000000000006</v>
      </c>
      <c r="L7">
        <v>0.82899999999999996</v>
      </c>
      <c r="M7">
        <v>0.74299999999999999</v>
      </c>
      <c r="N7">
        <v>0.78400000000000003</v>
      </c>
      <c r="O7">
        <v>0.73199999999999998</v>
      </c>
      <c r="P7">
        <v>0.80100000000000005</v>
      </c>
      <c r="Q7">
        <v>0.94899999999999995</v>
      </c>
      <c r="R7">
        <v>0.96199999999999997</v>
      </c>
      <c r="S7">
        <v>0.875</v>
      </c>
      <c r="T7">
        <v>0.91700000000000004</v>
      </c>
      <c r="U7">
        <v>0.86099999999999999</v>
      </c>
      <c r="V7">
        <v>0.92500000000000004</v>
      </c>
      <c r="W7">
        <v>0.93300000000000005</v>
      </c>
      <c r="X7">
        <v>0.98199999999999998</v>
      </c>
      <c r="Y7">
        <v>0.84099999999999997</v>
      </c>
      <c r="Z7">
        <v>0.89800000000000002</v>
      </c>
      <c r="AA7">
        <v>0.82099999999999995</v>
      </c>
      <c r="AB7">
        <v>0.93400000000000005</v>
      </c>
      <c r="AC7">
        <v>0.97599999999999998</v>
      </c>
      <c r="AD7">
        <v>0.996</v>
      </c>
      <c r="AE7">
        <v>0.88200000000000001</v>
      </c>
      <c r="AF7">
        <v>0.93200000000000005</v>
      </c>
      <c r="AG7">
        <v>0.93</v>
      </c>
      <c r="AH7">
        <v>0.94399999999999995</v>
      </c>
      <c r="AI7">
        <v>0.83599999999999997</v>
      </c>
      <c r="AJ7">
        <v>0.97</v>
      </c>
      <c r="AK7">
        <v>0.92700000000000005</v>
      </c>
      <c r="AL7">
        <v>0.77600000000000002</v>
      </c>
      <c r="AM7">
        <v>0.97599999999999998</v>
      </c>
      <c r="AN7">
        <v>0.76700000000000002</v>
      </c>
      <c r="AO7">
        <v>145.21431648439199</v>
      </c>
      <c r="AP7">
        <v>245.24197546357101</v>
      </c>
      <c r="AQ7">
        <v>88.004498401294896</v>
      </c>
      <c r="AR7">
        <v>96.918843933573697</v>
      </c>
      <c r="AS7">
        <v>140.10390124190801</v>
      </c>
      <c r="AT7">
        <v>195.85119406380599</v>
      </c>
      <c r="AU7">
        <v>43.748663367198297</v>
      </c>
      <c r="AV7">
        <v>46.566790280568298</v>
      </c>
      <c r="AW7">
        <v>40.431632743065897</v>
      </c>
      <c r="AX7">
        <v>42.418797642526997</v>
      </c>
      <c r="AY7">
        <v>42.7997425817845</v>
      </c>
      <c r="AZ7">
        <v>43.559837186599403</v>
      </c>
      <c r="BA7">
        <v>39.341500176521301</v>
      </c>
      <c r="BB7">
        <v>44.465337255642197</v>
      </c>
      <c r="BC7">
        <v>37.305365591031901</v>
      </c>
      <c r="BD7">
        <v>38.223243857530903</v>
      </c>
      <c r="BE7">
        <v>41.878633918684898</v>
      </c>
      <c r="BF7">
        <v>39.0621076396327</v>
      </c>
      <c r="BG7">
        <v>43.508722317415</v>
      </c>
      <c r="BH7">
        <v>64.240815684716793</v>
      </c>
      <c r="BI7">
        <v>41.831643324146</v>
      </c>
      <c r="BJ7">
        <v>41.717471823146099</v>
      </c>
      <c r="BK7">
        <v>54.038346505410203</v>
      </c>
      <c r="BL7">
        <v>43.146379464810103</v>
      </c>
      <c r="BM7">
        <v>133.26963153910799</v>
      </c>
      <c r="BN7">
        <v>258.31640332345103</v>
      </c>
      <c r="BO7">
        <v>106.771370515288</v>
      </c>
      <c r="BP7">
        <v>105.102460730186</v>
      </c>
      <c r="BQ7">
        <v>162.069449288176</v>
      </c>
      <c r="BR7">
        <v>142.32482561427699</v>
      </c>
      <c r="BS7">
        <v>439.15552619979599</v>
      </c>
      <c r="BT7">
        <v>601.11975696926299</v>
      </c>
      <c r="BU7">
        <v>268.40397642134502</v>
      </c>
      <c r="BV7">
        <v>303.33253626003</v>
      </c>
      <c r="BW7">
        <v>358.567866258496</v>
      </c>
      <c r="BX7">
        <v>427.39490932462002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6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10.46484375" style="1" bestFit="1" customWidth="1"/>
    <col min="9" max="9" width="5.1328125" style="1" bestFit="1" customWidth="1"/>
    <col min="10" max="10" width="8.33203125" style="1" customWidth="1"/>
    <col min="11" max="17" width="9.33203125" style="1"/>
    <col min="18" max="18" width="28" style="1" bestFit="1" customWidth="1"/>
    <col min="19" max="16384" width="9.33203125" style="1"/>
  </cols>
  <sheetData>
    <row r="1" spans="1:18" x14ac:dyDescent="0.4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215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5</v>
      </c>
    </row>
    <row r="3" spans="1:18" x14ac:dyDescent="0.4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-4.1220459724619403</v>
      </c>
      <c r="D5" s="5">
        <f>HLOOKUP("ATE-RMSE-IPS-exp",Point!$D$1:$DR$96,$R$2,FALSE)</f>
        <v>6.9588642686541702</v>
      </c>
      <c r="E5" s="5">
        <f t="shared" ref="E5:E10" si="0">(D5/$D$9)^2</f>
        <v>2.4506499356246136</v>
      </c>
      <c r="F5" s="5">
        <f>HLOOKUP("ATE-Empcov-IPS-exp",inference!$D$1:$DR$96,$R$2,FALSE)</f>
        <v>0.96799999999999997</v>
      </c>
      <c r="G5" s="5">
        <f>HLOOKUP("ATE-ASSD-IPS-exp",inference!$D$1:$DR$96,$R$2,FALSE)*2*1.96/SQRT(G$3)</f>
        <v>19.243537974581745</v>
      </c>
      <c r="H5" s="5">
        <f t="shared" ref="H5:H10" si="1">G5/(2*1.96/SQRT(G$3))</f>
        <v>109.77004856827399</v>
      </c>
      <c r="I5" s="5">
        <f t="shared" ref="I5:I10" si="2">($H$9/H5)^2</f>
        <v>1.3324378841768196</v>
      </c>
      <c r="J5" s="5"/>
      <c r="K5" s="5">
        <f>HLOOKUP("ks-IPS-exp",balance!$D$1:$DR$96,$R$2,FALSE)</f>
        <v>3.06257426441947</v>
      </c>
      <c r="L5" s="5">
        <f>HLOOKUP("cvm-IPS-exp",balance!$D$1:$DR$96,$R$2,FALSE)</f>
        <v>0.70807272821895595</v>
      </c>
      <c r="M5" s="5">
        <f>HLOOKUP("ks-IPS-exp_1",balance!$D$1:$DR$96,$R$2,FALSE)</f>
        <v>2.2719497259774699</v>
      </c>
      <c r="N5" s="5">
        <f>HLOOKUP("cvm-IPS-exp_1",balance!$D$1:$DR$96,$R$2,FALSE)</f>
        <v>0.43690916597072299</v>
      </c>
      <c r="O5" s="5">
        <f>HLOOKUP("ks-IPS-exp_0",balance!$D$1:$DR$96,$R$2,FALSE)</f>
        <v>1.13278693654115</v>
      </c>
      <c r="P5" s="5">
        <f>HLOOKUP("cvm-IPS-exp_0",balance!$D$1:$DR$96,$R$2,FALSE)</f>
        <v>4.8484801820612697E-2</v>
      </c>
    </row>
    <row r="6" spans="1:18" x14ac:dyDescent="0.45">
      <c r="B6" s="1" t="s">
        <v>5</v>
      </c>
      <c r="C6" s="5">
        <f>HLOOKUP("ATE-bias-IPS-ind",Point!$D$1:$DR$96,$R$2,FALSE)</f>
        <v>-1.7914601913139601</v>
      </c>
      <c r="D6" s="5">
        <f>HLOOKUP("ATE-RMSE-IPS-ind",Point!$D$1:$DR$96,$R$2,FALSE)</f>
        <v>6.2766628481400604</v>
      </c>
      <c r="E6" s="5">
        <f t="shared" si="0"/>
        <v>1.9937107443588558</v>
      </c>
      <c r="F6" s="5">
        <f>HLOOKUP("ATE-Empcov-IPS-ind",inference!$D$1:$DR$96,$R$2,FALSE)</f>
        <v>1</v>
      </c>
      <c r="G6" s="5">
        <f>HLOOKUP("ATE-ASSD-IPS-ind",inference!$D$1:$DR$96,$R$2,FALSE)*2*1.96/SQRT(G$3)</f>
        <v>36.579996436069401</v>
      </c>
      <c r="H6" s="5">
        <f t="shared" si="1"/>
        <v>208.66162920344701</v>
      </c>
      <c r="I6" s="5">
        <f t="shared" si="2"/>
        <v>0.36874785009014005</v>
      </c>
      <c r="J6" s="5"/>
      <c r="K6" s="5">
        <f>HLOOKUP("ks-IPS-ind",balance!$D$1:$DR$96,$R$2,FALSE)</f>
        <v>2.62837394144583</v>
      </c>
      <c r="L6" s="5">
        <f>HLOOKUP("cvm-IPS-ind",balance!$D$1:$DR$96,$R$2,FALSE)</f>
        <v>0.42635469974434298</v>
      </c>
      <c r="M6" s="5">
        <f>HLOOKUP("ks-IPS-ind_1",balance!$D$1:$DR$96,$R$2,FALSE)</f>
        <v>2.0077539508059701</v>
      </c>
      <c r="N6" s="5">
        <f>HLOOKUP("cvm-IPS-ind_1",balance!$D$1:$DR$96,$R$2,FALSE)</f>
        <v>0.29272588537737598</v>
      </c>
      <c r="O6" s="5">
        <f>HLOOKUP("ks-IPS-ind_0",balance!$D$1:$DR$96,$R$2,FALSE)</f>
        <v>1.1928994806092901</v>
      </c>
      <c r="P6" s="5">
        <f>HLOOKUP("cvm-IPS-ind_0",balance!$D$1:$DR$96,$R$2,FALSE)</f>
        <v>4.3311045197867402E-2</v>
      </c>
    </row>
    <row r="7" spans="1:18" x14ac:dyDescent="0.45">
      <c r="B7" s="1" t="s">
        <v>4</v>
      </c>
      <c r="C7" s="5">
        <f>HLOOKUP("ATE-bias-IPS-proj",Point!$D$1:$DR$96,$R$2,FALSE)</f>
        <v>1.0146514347058999</v>
      </c>
      <c r="D7" s="5">
        <f>HLOOKUP("ATE-RMSE-IPS-proj",Point!$D$1:$DR$96,$R$2,FALSE)</f>
        <v>3.9185012133694799</v>
      </c>
      <c r="E7" s="5">
        <f t="shared" si="0"/>
        <v>0.77704204436037394</v>
      </c>
      <c r="F7" s="6">
        <f>HLOOKUP("ATE-Empcov-IPS-proj",inference!$D$1:$DR$96,$R$2,FALSE)</f>
        <v>0.94099999999999995</v>
      </c>
      <c r="G7" s="6">
        <f>HLOOKUP("ATE-ASSD-IPS-proj",inference!$D$1:$DR$96,$R$2,FALSE)*2*1.96/SQRT(G$3)</f>
        <v>13.659817548980847</v>
      </c>
      <c r="H7" s="5">
        <f t="shared" si="1"/>
        <v>77.919083162667704</v>
      </c>
      <c r="I7" s="5">
        <f t="shared" si="2"/>
        <v>2.644399201537567</v>
      </c>
      <c r="J7" s="5"/>
      <c r="K7" s="5">
        <f>HLOOKUP("ks-IPS-proj",balance!$D$1:$DR$96,$R$2,FALSE)</f>
        <v>3.07609438380205</v>
      </c>
      <c r="L7" s="5">
        <f>HLOOKUP("cvm-IPS-proj",balance!$D$1:$DR$96,$R$2,FALSE)</f>
        <v>0.70358106031963497</v>
      </c>
      <c r="M7" s="5">
        <f>HLOOKUP("ks-IPS-proj_1",balance!$D$1:$DR$96,$R$2,FALSE)</f>
        <v>2.3198024037940099</v>
      </c>
      <c r="N7" s="5">
        <f>HLOOKUP("cvm-IPS-proj_1",balance!$D$1:$DR$96,$R$2,FALSE)</f>
        <v>0.44335451648353702</v>
      </c>
      <c r="O7" s="5">
        <f>HLOOKUP("ks-IPS-proj_0",balance!$D$1:$DR$96,$R$2,FALSE)</f>
        <v>1.0100768857664899</v>
      </c>
      <c r="P7" s="5">
        <f>HLOOKUP("cvm-IPS-proj_0",balance!$D$1:$DR$96,$R$2,FALSE)</f>
        <v>4.3049136536916298E-2</v>
      </c>
    </row>
    <row r="8" spans="1:18" x14ac:dyDescent="0.45">
      <c r="B8" s="1" t="s">
        <v>88</v>
      </c>
      <c r="C8" s="5">
        <f>HLOOKUP("ATE-bias-CBPS-just",Point!$D$1:$DR$96,$R$2,FALSE)</f>
        <v>-4.4834384514443197</v>
      </c>
      <c r="D8" s="5">
        <f>HLOOKUP("ATE-RMSE-CBPS-just",Point!$D$1:$DR$96,$R$2,FALSE)</f>
        <v>7.1513089607357099</v>
      </c>
      <c r="E8" s="5">
        <f t="shared" si="0"/>
        <v>2.5880676845080073</v>
      </c>
      <c r="F8" s="5">
        <f>HLOOKUP("ATE-Empcov-CBPS-just",inference!$D$1:$DR$96,$R$2,FALSE)</f>
        <v>0.76900000000000002</v>
      </c>
      <c r="G8" s="5">
        <f>HLOOKUP("ATE-ASSD-CBPS-just",inference!$D$1:$DR$96,$R$2,FALSE)*2*1.96/SQRT(G$3)</f>
        <v>13.755307754288323</v>
      </c>
      <c r="H8" s="5">
        <f t="shared" si="1"/>
        <v>78.463783648006796</v>
      </c>
      <c r="I8" s="5">
        <f t="shared" si="2"/>
        <v>2.6078114722894226</v>
      </c>
      <c r="J8" s="5"/>
      <c r="K8" s="5">
        <f>HLOOKUP("ks-CBPS-Just",balance!$D$1:$DR$96,$R$2,FALSE)</f>
        <v>3.01678127392851</v>
      </c>
      <c r="L8" s="5">
        <f>HLOOKUP("cvm-CBPS-Just",balance!$D$1:$DR$96,$R$2,FALSE)</f>
        <v>0.68613078629341195</v>
      </c>
      <c r="M8" s="5">
        <f>HLOOKUP("ks-CBPS-Just_1",balance!$D$1:$DR$96,$R$2,FALSE)</f>
        <v>2.3190919019212202</v>
      </c>
      <c r="N8" s="5">
        <f>HLOOKUP("cvm-CBPS-Just_1",balance!$D$1:$DR$96,$R$2,FALSE)</f>
        <v>0.45605904793662799</v>
      </c>
      <c r="O8" s="5">
        <f>HLOOKUP("ks-CBPS-Just_0",balance!$D$1:$DR$96,$R$2,FALSE)</f>
        <v>1.15676544236078</v>
      </c>
      <c r="P8" s="5">
        <f>HLOOKUP("cvm-CBPS-Just_0",balance!$D$1:$DR$96,$R$2,FALSE)</f>
        <v>4.3903715534984601E-2</v>
      </c>
    </row>
    <row r="9" spans="1:18" x14ac:dyDescent="0.45">
      <c r="B9" s="1" t="s">
        <v>89</v>
      </c>
      <c r="C9" s="5">
        <f>HLOOKUP("ATE-bias-CBPS-over",Point!$D$1:$DR$96,$R$2,FALSE)</f>
        <v>-9.5987571027075405E-2</v>
      </c>
      <c r="D9" s="5">
        <f>HLOOKUP("ATE-RMSE-CBPS-over",Point!$D$1:$DR$96,$R$2,FALSE)</f>
        <v>4.4452657196524603</v>
      </c>
      <c r="E9" s="5">
        <f t="shared" si="0"/>
        <v>1</v>
      </c>
      <c r="F9" s="5">
        <f>HLOOKUP("ATE-Empcov-CBPS-over",inference!$D$1:$DR$96,$R$2,FALSE)</f>
        <v>0.999</v>
      </c>
      <c r="G9" s="5">
        <f>HLOOKUP("ATE-ASSD-CBPS-over",inference!$D$1:$DR$96,$R$2,FALSE)*2*1.96/SQRT(G$3)</f>
        <v>22.213060900449822</v>
      </c>
      <c r="H9" s="5">
        <f t="shared" si="1"/>
        <v>126.70896469833799</v>
      </c>
      <c r="I9" s="5">
        <f t="shared" si="2"/>
        <v>1</v>
      </c>
      <c r="J9" s="5"/>
      <c r="K9" s="5">
        <f>HLOOKUP("ks-CBPS-over",balance!$D$1:$DR$96,$R$2,FALSE)</f>
        <v>3.28215564063288</v>
      </c>
      <c r="L9" s="5">
        <f>HLOOKUP("cvm-CBPS-over",balance!$D$1:$DR$96,$R$2,FALSE)</f>
        <v>0.88436208468579003</v>
      </c>
      <c r="M9" s="5">
        <f>HLOOKUP("ks-CBPS-over_1",balance!$D$1:$DR$96,$R$2,FALSE)</f>
        <v>2.4686463970464398</v>
      </c>
      <c r="N9" s="5">
        <f>HLOOKUP("cvm-CBPS-over_1",balance!$D$1:$DR$96,$R$2,FALSE)</f>
        <v>0.54337486368133603</v>
      </c>
      <c r="O9" s="5">
        <f>HLOOKUP("ks-CBPS-over_0",balance!$D$1:$DR$96,$R$2,FALSE)</f>
        <v>1.0007111656276499</v>
      </c>
      <c r="P9" s="5">
        <f>HLOOKUP("cvm-CBPS-over_0",balance!$D$1:$DR$96,$R$2,FALSE)</f>
        <v>5.1997136308890003E-2</v>
      </c>
    </row>
    <row r="10" spans="1:18" s="3" customFormat="1" x14ac:dyDescent="0.45">
      <c r="B10" s="3" t="s">
        <v>2</v>
      </c>
      <c r="C10" s="5">
        <f>HLOOKUP("ATE-bias-GLM",Point!$D$1:$DR$96,$R$2,FALSE)</f>
        <v>-7.5355619563688796</v>
      </c>
      <c r="D10" s="5">
        <f>HLOOKUP("ATE-RMSE-GLM",Point!$D$1:$DR$96,$R$2,FALSE)</f>
        <v>16.695743346047301</v>
      </c>
      <c r="E10" s="5">
        <f t="shared" si="0"/>
        <v>14.106395860909647</v>
      </c>
      <c r="F10" s="5">
        <f>HLOOKUP("ATE-Empcov-GLM",inference!$D$1:$DR$96,$R$2,FALSE)</f>
        <v>0.94</v>
      </c>
      <c r="G10" s="5">
        <f>HLOOKUP("ATE-ASSD-GLM",inference!$D$1:$DR$96,$R$2,FALSE)*2*1.96/SQRT(G$3)</f>
        <v>27.245448955079834</v>
      </c>
      <c r="H10" s="5">
        <f t="shared" si="1"/>
        <v>155.41498964555899</v>
      </c>
      <c r="I10" s="5">
        <f t="shared" si="2"/>
        <v>0.66470489534531452</v>
      </c>
      <c r="J10" s="5"/>
      <c r="K10" s="5">
        <f>HLOOKUP("ks-GLM",balance!$D$1:$DR$96,$R$2,FALSE)</f>
        <v>3.0194622566621501</v>
      </c>
      <c r="L10" s="5">
        <f>HLOOKUP("cvm-GLM",balance!$D$1:$DR$96,$R$2,FALSE)</f>
        <v>0.67832942040710198</v>
      </c>
      <c r="M10" s="5">
        <f>HLOOKUP("ks-GLM_1",balance!$D$1:$DR$96,$R$2,FALSE)</f>
        <v>2.33616835771562</v>
      </c>
      <c r="N10" s="5">
        <f>HLOOKUP("cvm-GLM_1",balance!$D$1:$DR$96,$R$2,FALSE)</f>
        <v>0.47287599621143001</v>
      </c>
      <c r="O10" s="5">
        <f>HLOOKUP("ks-GLM_0",balance!$D$1:$DR$96,$R$2,FALSE)</f>
        <v>1.2634613583640899</v>
      </c>
      <c r="P10" s="5">
        <f>HLOOKUP("cvm-GLM_0",balance!$D$1:$DR$96,$R$2,FALSE)</f>
        <v>5.2824805337901001E-2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1.2695777922681299</v>
      </c>
      <c r="D12" s="5">
        <f>HLOOKUP("QTE-0.10-RMSE-IPS-exp",Point!$D$1:$DR$96,$R$2,FALSE)</f>
        <v>2.3114877429888301</v>
      </c>
      <c r="E12" s="5">
        <f t="shared" ref="E12:E17" si="3">(D12/$D$16)^2</f>
        <v>0.8946858524198027</v>
      </c>
      <c r="F12" s="5">
        <f>HLOOKUP("QTE-0.1-Empcov-IPS-exp",inference!$D$1:$DR$96,$R$2,FALSE)</f>
        <v>0.86</v>
      </c>
      <c r="G12" s="5">
        <f>HLOOKUP("QTE-0.1-ASSD-IPS-exp",inference!$D$1:$DR$96,$R$2,FALSE)*2*1.96/SQRT(G$3)</f>
        <v>7.5218156689375189</v>
      </c>
      <c r="H12" s="5">
        <f t="shared" ref="H12:H17" si="4">G12/(2*1.96/SQRT(G$3))</f>
        <v>42.906354974406497</v>
      </c>
      <c r="I12" s="5">
        <f t="shared" ref="I12:I17" si="5">($H$16/H12)^2</f>
        <v>1.0268748699249726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1.47382822158444</v>
      </c>
      <c r="D13" s="5">
        <f>HLOOKUP("QTE-0.10-RMSE-IPS-ind",Point!$D$1:$DR$96,$R$2,FALSE)</f>
        <v>2.40004607497234</v>
      </c>
      <c r="E13" s="5">
        <f t="shared" si="3"/>
        <v>0.96455398260801528</v>
      </c>
      <c r="F13" s="5">
        <f>HLOOKUP("QTE-0.1-Empcov-IPS-ind",inference!$D$1:$DR$96,$R$2,FALSE)</f>
        <v>0.84299999999999997</v>
      </c>
      <c r="G13" s="5">
        <f>HLOOKUP("QTE-0.1-ASSD-IPS-ind",inference!$D$1:$DR$96,$R$2,FALSE)*2*1.96/SQRT(G$3)</f>
        <v>7.7995219148980439</v>
      </c>
      <c r="H13" s="5">
        <f t="shared" si="4"/>
        <v>44.490462228855506</v>
      </c>
      <c r="I13" s="5">
        <f t="shared" si="5"/>
        <v>0.95505181229600034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1.5224816896482001</v>
      </c>
      <c r="D14" s="5">
        <f>HLOOKUP("QTE-0.10-RMSE-IPS-proj",Point!$D$1:$DR$96,$R$2,FALSE)</f>
        <v>2.3345209130334901</v>
      </c>
      <c r="E14" s="5">
        <f t="shared" si="3"/>
        <v>0.91260515523665742</v>
      </c>
      <c r="F14" s="6">
        <f>HLOOKUP("QTE-0.1-Empcov-IPS-proj",inference!$D$1:$DR$96,$R$2,FALSE)</f>
        <v>0.81599999999999995</v>
      </c>
      <c r="G14" s="6">
        <f>HLOOKUP("QTE-0.1-ASSD-IPS-proj",inference!$D$1:$DR$96,$R$2,FALSE)*2*1.96/SQRT(G$3)</f>
        <v>6.9529303641000526</v>
      </c>
      <c r="H14" s="5">
        <f t="shared" si="4"/>
        <v>39.661288104464496</v>
      </c>
      <c r="I14" s="5">
        <f t="shared" si="5"/>
        <v>1.2017859953392038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1.3620994033505001</v>
      </c>
      <c r="D15" s="5">
        <f>HLOOKUP("QTE-0.10-RMSE-CBPS-just",Point!$D$1:$DR$96,$R$2,FALSE)</f>
        <v>2.3475313122503101</v>
      </c>
      <c r="E15" s="5">
        <f t="shared" si="3"/>
        <v>0.92280548604646151</v>
      </c>
      <c r="F15" s="5">
        <f>HLOOKUP("QTE-0.1-Empcov-CBPS-just",inference!$D$1:$DR$96,$R$2,FALSE)</f>
        <v>0.84599999999999997</v>
      </c>
      <c r="G15" s="5">
        <f>HLOOKUP("QTE-0.1-ASSD-CBPS-just",inference!$D$1:$DR$96,$R$2,FALSE)*2*1.96/SQRT(G$3)</f>
        <v>7.4767556560899848</v>
      </c>
      <c r="H15" s="5">
        <f t="shared" si="4"/>
        <v>42.649321168809301</v>
      </c>
      <c r="I15" s="5">
        <f t="shared" si="5"/>
        <v>1.0392894591406883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1.6440949003921199</v>
      </c>
      <c r="D16" s="5">
        <f>HLOOKUP("QTE-0.10-RMSE-CBPS-over",Point!$D$1:$DR$96,$R$2,FALSE)</f>
        <v>2.4437473843615001</v>
      </c>
      <c r="E16" s="5">
        <f t="shared" si="3"/>
        <v>1</v>
      </c>
      <c r="F16" s="5">
        <f>HLOOKUP("QTE-0.1-Empcov-CBPS-over",inference!$D$1:$DR$96,$R$2,FALSE)</f>
        <v>0.83199999999999996</v>
      </c>
      <c r="G16" s="5">
        <f>HLOOKUP("QTE-0.1-ASSD-CBPS-over",inference!$D$1:$DR$96,$R$2,FALSE)*2*1.96/SQRT(G$3)</f>
        <v>7.6222194654909252</v>
      </c>
      <c r="H16" s="5">
        <f t="shared" si="4"/>
        <v>43.479083837397511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1.2763866314674199</v>
      </c>
      <c r="D17" s="5">
        <f>HLOOKUP("QTE-0.10-RMSE-GLM",Point!$D$1:$DR$96,$R$2,FALSE)</f>
        <v>2.3662056851284801</v>
      </c>
      <c r="E17" s="5">
        <f t="shared" si="3"/>
        <v>0.93754552916380185</v>
      </c>
      <c r="F17" s="5">
        <f>HLOOKUP("QTE-0.1-Empcov-GLM",inference!$D$1:$DR$96,$R$2,FALSE)</f>
        <v>0.86099999999999999</v>
      </c>
      <c r="G17" s="5">
        <f>HLOOKUP("QTE-0.1-ASSD-GLM",inference!$D$1:$DR$96,$R$2,FALSE)*2*1.96/SQRT(G$3)</f>
        <v>7.7496940046763294</v>
      </c>
      <c r="H17" s="5">
        <f t="shared" si="4"/>
        <v>44.206231120609303</v>
      </c>
      <c r="I17" s="5">
        <f t="shared" si="5"/>
        <v>0.96737261465513058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0.83466822414304098</v>
      </c>
      <c r="D19" s="5">
        <f>HLOOKUP("QTE-0.25-RMSE-IPS-exp",Point!$D$1:$DR$96,$R$2,FALSE)</f>
        <v>1.6557962369796699</v>
      </c>
      <c r="E19" s="5">
        <f t="shared" ref="E19:E24" si="6">(D19/$D$23)^2</f>
        <v>0.62000529347562938</v>
      </c>
      <c r="F19" s="5">
        <f>HLOOKUP("QTE-0.25-Empcov-IPS-exp",inference!$D$1:$DR$96,$R$2,FALSE)</f>
        <v>0.95899999999999996</v>
      </c>
      <c r="G19" s="5">
        <f>HLOOKUP("QTE-0.25-ASSD-IPS-exp",inference!$D$1:$DR$96,$R$2,FALSE)*2*1.96/SQRT(G$3)</f>
        <v>6.8841417444571178</v>
      </c>
      <c r="H19" s="5">
        <f t="shared" ref="H19:H24" si="7">G19/(2*1.96/SQRT(G$3))</f>
        <v>39.268900273852303</v>
      </c>
      <c r="I19" s="5">
        <f t="shared" ref="I19:I24" si="8">($H$23/H19)^2</f>
        <v>1.2321444211767285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1.0261206538288901</v>
      </c>
      <c r="D20" s="5">
        <f>HLOOKUP("QTE-0.25-RMSE-IPS-ind",Point!$D$1:$DR$96,$R$2,FALSE)</f>
        <v>1.78817268005887</v>
      </c>
      <c r="E20" s="5">
        <f t="shared" si="6"/>
        <v>0.72310360329550893</v>
      </c>
      <c r="F20" s="5">
        <f>HLOOKUP("QTE-0.25-Empcov-IPS-ind",inference!$D$1:$DR$96,$R$2,FALSE)</f>
        <v>0.95299999999999996</v>
      </c>
      <c r="G20" s="5">
        <f>HLOOKUP("QTE-0.25-ASSD-IPS-ind",inference!$D$1:$DR$96,$R$2,FALSE)*2*1.96/SQRT(G$3)</f>
        <v>7.6444723369194589</v>
      </c>
      <c r="H20" s="5">
        <f t="shared" si="7"/>
        <v>43.606019891501496</v>
      </c>
      <c r="I20" s="5">
        <f t="shared" si="8"/>
        <v>0.99923168300252097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1.2407199057356</v>
      </c>
      <c r="D21" s="5">
        <f>HLOOKUP("QTE-0.25-RMSE-IPS-proj",Point!$D$1:$DR$96,$R$2,FALSE)</f>
        <v>1.86219766900246</v>
      </c>
      <c r="E21" s="5">
        <f t="shared" si="6"/>
        <v>0.7842114378623859</v>
      </c>
      <c r="F21" s="6">
        <f>HLOOKUP("QTE-0.25-Empcov-IPS-proj",inference!$D$1:$DR$96,$R$2,FALSE)</f>
        <v>0.92100000000000004</v>
      </c>
      <c r="G21" s="6">
        <f>HLOOKUP("QTE-0.25-ASSD-IPS-proj",inference!$D$1:$DR$96,$R$2,FALSE)*2*1.96/SQRT(G$3)</f>
        <v>6.5257722501127633</v>
      </c>
      <c r="H21" s="5">
        <f t="shared" si="7"/>
        <v>37.224669277892602</v>
      </c>
      <c r="I21" s="5">
        <f t="shared" si="8"/>
        <v>1.3711892416760609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0.92322434968489298</v>
      </c>
      <c r="D22" s="5">
        <f>HLOOKUP("QTE-0.25-RMSE-CBPS-just",Point!$D$1:$DR$96,$R$2,FALSE)</f>
        <v>1.69962782245371</v>
      </c>
      <c r="E22" s="5">
        <f t="shared" si="6"/>
        <v>0.6532648312535656</v>
      </c>
      <c r="F22" s="5">
        <f>HLOOKUP("QTE-0.25-Empcov-CBPS-just",inference!$D$1:$DR$96,$R$2,FALSE)</f>
        <v>0.95</v>
      </c>
      <c r="G22" s="5">
        <f>HLOOKUP("QTE-0.25-ASSD-CBPS-just",inference!$D$1:$DR$96,$R$2,FALSE)*2*1.96/SQRT(G$3)</f>
        <v>6.8762640790269911</v>
      </c>
      <c r="H22" s="5">
        <f t="shared" si="7"/>
        <v>39.223964061082498</v>
      </c>
      <c r="I22" s="5">
        <f t="shared" si="8"/>
        <v>1.2349692055048527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1.5109737051170899</v>
      </c>
      <c r="D23" s="5">
        <f>HLOOKUP("QTE-0.25-RMSE-CBPS-over",Point!$D$1:$DR$96,$R$2,FALSE)</f>
        <v>2.1028543469055898</v>
      </c>
      <c r="E23" s="5">
        <f t="shared" si="6"/>
        <v>1</v>
      </c>
      <c r="F23" s="5">
        <f>HLOOKUP("QTE-0.25-Empcov-CBPS-over",inference!$D$1:$DR$96,$R$2,FALSE)</f>
        <v>0.93100000000000005</v>
      </c>
      <c r="G23" s="5">
        <f>HLOOKUP("QTE-0.25-ASSD-CBPS-over",inference!$D$1:$DR$96,$R$2,FALSE)*2*1.96/SQRT(G$3)</f>
        <v>7.641535083609031</v>
      </c>
      <c r="H23" s="5">
        <f t="shared" si="7"/>
        <v>43.589265049488098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0.88235786093514201</v>
      </c>
      <c r="D24" s="5">
        <f>HLOOKUP("QTE-0.25-RMSE-GLM",Point!$D$1:$DR$96,$R$2,FALSE)</f>
        <v>1.70945657093752</v>
      </c>
      <c r="E24" s="5">
        <f t="shared" si="6"/>
        <v>0.66084218546175633</v>
      </c>
      <c r="F24" s="5">
        <f>HLOOKUP("QTE-0.25-Empcov-GLM",inference!$D$1:$DR$96,$R$2,FALSE)</f>
        <v>0.95099999999999996</v>
      </c>
      <c r="G24" s="5">
        <f>HLOOKUP("QTE-0.25-ASSD-GLM",inference!$D$1:$DR$96,$R$2,FALSE)*2*1.96/SQRT(G$3)</f>
        <v>7.1113534182131195</v>
      </c>
      <c r="H24" s="5">
        <f t="shared" si="7"/>
        <v>40.564973610076599</v>
      </c>
      <c r="I24" s="5">
        <f t="shared" si="8"/>
        <v>1.1546668497368495</v>
      </c>
      <c r="J24" s="5"/>
      <c r="K24" s="5"/>
      <c r="L24" s="5"/>
      <c r="M24" s="5"/>
      <c r="N24" s="5"/>
    </row>
    <row r="25" spans="1:17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0.731050537046388</v>
      </c>
      <c r="D26" s="5">
        <f>HLOOKUP("QTE-0.5-RMSE-IPS-exp",Point!$D$1:$DR$96,$R$2,FALSE)</f>
        <v>1.97497902629833</v>
      </c>
      <c r="E26" s="5">
        <f t="shared" ref="E26:E31" si="9">(D26/$D$30)^2</f>
        <v>0.45168907661728741</v>
      </c>
      <c r="F26" s="5">
        <f>HLOOKUP("QTE-0.5-Empcov-IPS-exp",inference!$D$1:$DR$96,$R$2,FALSE)</f>
        <v>0.95799999999999996</v>
      </c>
      <c r="G26" s="5">
        <f>HLOOKUP("QTE-0.5-ASSD-IPS-exp",inference!$D$1:$DR$96,$R$2,FALSE)*2*1.96/SQRT(G$3)</f>
        <v>7.4892461409790005</v>
      </c>
      <c r="H26" s="5">
        <f t="shared" ref="H26:H31" si="10">G26/(2*1.96/SQRT(G$3))</f>
        <v>42.720570080247498</v>
      </c>
      <c r="I26" s="5">
        <f t="shared" ref="I26:I31" si="11">($H$30/H26)^2</f>
        <v>1.6874410756776437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1.0189733727941801</v>
      </c>
      <c r="D27" s="5">
        <f>HLOOKUP("QTE-0.5-RMSE-IPS-ind",Point!$D$1:$DR$96,$R$2,FALSE)</f>
        <v>2.3720510540585802</v>
      </c>
      <c r="E27" s="5">
        <f t="shared" si="9"/>
        <v>0.65157239521621657</v>
      </c>
      <c r="F27" s="5">
        <f>HLOOKUP("QTE-0.5-Empcov-IPS-ind",inference!$D$1:$DR$96,$R$2,FALSE)</f>
        <v>0.98299999999999998</v>
      </c>
      <c r="G27" s="5">
        <f>HLOOKUP("QTE-0.5-ASSD-IPS-ind",inference!$D$1:$DR$96,$R$2,FALSE)*2*1.96/SQRT(G$3)</f>
        <v>11.101015914431802</v>
      </c>
      <c r="H27" s="5">
        <f t="shared" si="10"/>
        <v>63.323026030552292</v>
      </c>
      <c r="I27" s="5">
        <f t="shared" si="11"/>
        <v>0.76803210493348772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1.6366148698962699</v>
      </c>
      <c r="D28" s="5">
        <f>HLOOKUP("QTE-0.5-RMSE-IPS-proj",Point!$D$1:$DR$96,$R$2,FALSE)</f>
        <v>2.4716907201342901</v>
      </c>
      <c r="E28" s="5">
        <f t="shared" si="9"/>
        <v>0.7074615906767272</v>
      </c>
      <c r="F28" s="6">
        <f>HLOOKUP("QTE-0.5-Empcov-IPS-proj",inference!$D$1:$DR$96,$R$2,FALSE)</f>
        <v>0.88100000000000001</v>
      </c>
      <c r="G28" s="6">
        <f>HLOOKUP("QTE-0.5-ASSD-IPS-proj",inference!$D$1:$DR$96,$R$2,FALSE)*2*1.96/SQRT(G$3)</f>
        <v>7.2183008142324452</v>
      </c>
      <c r="H28" s="5">
        <f t="shared" si="10"/>
        <v>41.175028833331197</v>
      </c>
      <c r="I28" s="5">
        <f t="shared" si="11"/>
        <v>1.816497780205238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0.81851601702793997</v>
      </c>
      <c r="D29" s="5">
        <f>HLOOKUP("QTE-0.5-RMSE-CBPS-just",Point!$D$1:$DR$96,$R$2,FALSE)</f>
        <v>2.05063655600327</v>
      </c>
      <c r="E29" s="5">
        <f t="shared" si="9"/>
        <v>0.48695855767639756</v>
      </c>
      <c r="F29" s="5">
        <f>HLOOKUP("QTE-0.5-Empcov-CBPS-just",inference!$D$1:$DR$96,$R$2,FALSE)</f>
        <v>0.93500000000000005</v>
      </c>
      <c r="G29" s="5">
        <f>HLOOKUP("QTE-0.5-ASSD-CBPS-just",inference!$D$1:$DR$96,$R$2,FALSE)*2*1.96/SQRT(G$3)</f>
        <v>7.3143754909241441</v>
      </c>
      <c r="H29" s="5">
        <f t="shared" si="10"/>
        <v>41.723063292512201</v>
      </c>
      <c r="I29" s="5">
        <f t="shared" si="11"/>
        <v>1.7690916068342262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2.1213536540455702</v>
      </c>
      <c r="D30" s="5">
        <f>HLOOKUP("QTE-0.5-RMSE-CBPS-over",Point!$D$1:$DR$96,$R$2,FALSE)</f>
        <v>2.9386150191096401</v>
      </c>
      <c r="E30" s="5">
        <f t="shared" si="9"/>
        <v>1</v>
      </c>
      <c r="F30" s="5">
        <f>HLOOKUP("QTE-0.5-Empcov-CBPS-over",inference!$D$1:$DR$96,$R$2,FALSE)</f>
        <v>0.92700000000000005</v>
      </c>
      <c r="G30" s="5">
        <f>HLOOKUP("QTE-0.5-ASSD-CBPS-over",inference!$D$1:$DR$96,$R$2,FALSE)*2*1.96/SQRT(G$3)</f>
        <v>9.7286462624712531</v>
      </c>
      <c r="H30" s="5">
        <f t="shared" si="10"/>
        <v>55.494679520242308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45">
      <c r="A31" s="3"/>
      <c r="B31" s="3" t="s">
        <v>2</v>
      </c>
      <c r="C31" s="5">
        <f>HLOOKUP("QTE-0.5-bias-GLM",Point!$D$1:$DR$96,$R$2,FALSE)</f>
        <v>0.586845009561348</v>
      </c>
      <c r="D31" s="5">
        <f>HLOOKUP("QTE-0.5-RMSE-GLM",Point!$D$1:$DR$96,$R$2,FALSE)</f>
        <v>2.2904052413486302</v>
      </c>
      <c r="E31" s="5">
        <f t="shared" si="9"/>
        <v>0.60749019097174273</v>
      </c>
      <c r="F31" s="5">
        <f>HLOOKUP("QTE-0.5-Empcov-GLM",inference!$D$1:$DR$96,$R$2,FALSE)</f>
        <v>0.95499999999999996</v>
      </c>
      <c r="G31" s="5">
        <f>HLOOKUP("QTE-0.5-ASSD-GLM",inference!$D$1:$DR$96,$R$2,FALSE)*2*1.96/SQRT(G$3)</f>
        <v>8.0980965176446826</v>
      </c>
      <c r="H31" s="5">
        <f t="shared" si="10"/>
        <v>46.193607912775093</v>
      </c>
      <c r="I31" s="5">
        <f t="shared" si="11"/>
        <v>1.4432412323646948</v>
      </c>
      <c r="J31" s="5"/>
      <c r="K31" s="5"/>
      <c r="L31" s="5"/>
      <c r="M31" s="5"/>
      <c r="N31" s="5"/>
      <c r="O31" s="3"/>
      <c r="P31" s="3"/>
      <c r="Q31" s="3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-0.98852445832865299</v>
      </c>
      <c r="D33" s="5">
        <f>HLOOKUP("QTE-0.75-RMSE-IPS-exp",Point!$D$1:$DR$96,$R$2,FALSE)</f>
        <v>5.1830671957435097</v>
      </c>
      <c r="E33" s="5">
        <f t="shared" ref="E33:E38" si="12">(D33/$D$37)^2</f>
        <v>0.57609178606486811</v>
      </c>
      <c r="F33" s="5">
        <f>HLOOKUP("QTE-0.75-Empcov-IPS-exp",inference!$D$1:$DR$96,$R$2,FALSE)</f>
        <v>0.95599999999999996</v>
      </c>
      <c r="G33" s="5">
        <f>HLOOKUP("QTE-0.75-ASSD-IPS-exp",inference!$D$1:$DR$96,$R$2,FALSE)*2*1.96/SQRT(G$3)</f>
        <v>22.502309550781593</v>
      </c>
      <c r="H33" s="5">
        <f t="shared" ref="H33:H38" si="13">G33/(2*1.96/SQRT(G$3))</f>
        <v>128.35891277114899</v>
      </c>
      <c r="I33" s="5">
        <f t="shared" ref="I33:I38" si="14">($H$37/H33)^2</f>
        <v>1.511948243626291</v>
      </c>
      <c r="J33" s="5"/>
    </row>
    <row r="34" spans="1:10" x14ac:dyDescent="0.45">
      <c r="B34" s="1" t="s">
        <v>5</v>
      </c>
      <c r="C34" s="5">
        <f>HLOOKUP("QTE-0.75-bias-IPS-ind",Point!$D$1:$DR$96,$R$2,FALSE)</f>
        <v>0.33904694822494003</v>
      </c>
      <c r="D34" s="5">
        <f>HLOOKUP("QTE-0.75-RMSE-IPS-ind",Point!$D$1:$DR$96,$R$2,FALSE)</f>
        <v>7.7540775646772202</v>
      </c>
      <c r="E34" s="5">
        <f t="shared" si="12"/>
        <v>1.2893721533368467</v>
      </c>
      <c r="F34" s="5">
        <f>HLOOKUP("QTE-0.75-Empcov-IPS-ind",inference!$D$1:$DR$96,$R$2,FALSE)</f>
        <v>0.98099999999999998</v>
      </c>
      <c r="G34" s="5">
        <f>HLOOKUP("QTE-0.75-ASSD-IPS-ind",inference!$D$1:$DR$96,$R$2,FALSE)*2*1.96/SQRT(G$3)</f>
        <v>42.506159461509412</v>
      </c>
      <c r="H34" s="5">
        <f t="shared" si="13"/>
        <v>242.46597453668599</v>
      </c>
      <c r="I34" s="5">
        <f t="shared" si="14"/>
        <v>0.42372821153446144</v>
      </c>
      <c r="J34" s="5"/>
    </row>
    <row r="35" spans="1:10" x14ac:dyDescent="0.45">
      <c r="B35" s="1" t="s">
        <v>4</v>
      </c>
      <c r="C35" s="5">
        <f>HLOOKUP("QTE-0.75-bias-IPS-proj",Point!$D$1:$DR$96,$R$2,FALSE)</f>
        <v>3.0539089369218302</v>
      </c>
      <c r="D35" s="5">
        <f>HLOOKUP("QTE-0.75-RMSE-IPS-proj",Point!$D$1:$DR$96,$R$2,FALSE)</f>
        <v>5.7282762686705002</v>
      </c>
      <c r="E35" s="5">
        <f t="shared" si="12"/>
        <v>0.70366494381853273</v>
      </c>
      <c r="F35" s="6">
        <f>HLOOKUP("QTE-0.75-Empcov-IPS-proj",inference!$D$1:$DR$96,$R$2,FALSE)</f>
        <v>0.86199999999999999</v>
      </c>
      <c r="G35" s="6">
        <f>HLOOKUP("QTE-0.75-ASSD-IPS-proj",inference!$D$1:$DR$96,$R$2,FALSE)*2*1.96/SQRT(G$3)</f>
        <v>17.694925531769787</v>
      </c>
      <c r="H35" s="5">
        <f t="shared" si="13"/>
        <v>100.93636822916801</v>
      </c>
      <c r="I35" s="5">
        <f t="shared" si="14"/>
        <v>2.4450831666626844</v>
      </c>
      <c r="J35" s="5"/>
    </row>
    <row r="36" spans="1:10" x14ac:dyDescent="0.45">
      <c r="B36" s="1" t="s">
        <v>88</v>
      </c>
      <c r="C36" s="5">
        <f>HLOOKUP("QTE-0.75-bias-CBPS-just",Point!$D$1:$DR$96,$R$2,FALSE)</f>
        <v>-0.96855069630201196</v>
      </c>
      <c r="D36" s="5">
        <f>HLOOKUP("QTE-0.75-RMSE-CBPS-just",Point!$D$1:$DR$96,$R$2,FALSE)</f>
        <v>5.3661973937830503</v>
      </c>
      <c r="E36" s="5">
        <f t="shared" si="12"/>
        <v>0.61752037627193324</v>
      </c>
      <c r="F36" s="5">
        <f>HLOOKUP("QTE-0.75-Empcov-CBPS-just",inference!$D$1:$DR$96,$R$2,FALSE)</f>
        <v>0.88500000000000001</v>
      </c>
      <c r="G36" s="5">
        <f>HLOOKUP("QTE-0.75-ASSD-CBPS-just",inference!$D$1:$DR$96,$R$2,FALSE)*2*1.96/SQRT(G$3)</f>
        <v>18.653759599977363</v>
      </c>
      <c r="H36" s="5">
        <f t="shared" si="13"/>
        <v>106.405802299716</v>
      </c>
      <c r="I36" s="5">
        <f t="shared" si="14"/>
        <v>2.2001807635644588</v>
      </c>
      <c r="J36" s="5"/>
    </row>
    <row r="37" spans="1:10" x14ac:dyDescent="0.45">
      <c r="B37" s="1" t="s">
        <v>89</v>
      </c>
      <c r="C37" s="5">
        <f>HLOOKUP("QTE-0.75-bias-CBPS-over",Point!$D$1:$DR$96,$R$2,FALSE)</f>
        <v>4.1691812017137</v>
      </c>
      <c r="D37" s="5">
        <f>HLOOKUP("QTE-0.75-RMSE-CBPS-over",Point!$D$1:$DR$96,$R$2,FALSE)</f>
        <v>6.8287466069698004</v>
      </c>
      <c r="E37" s="5">
        <f t="shared" si="12"/>
        <v>1</v>
      </c>
      <c r="F37" s="5">
        <f>HLOOKUP("QTE-0.75-Empcov-CBPS-over",inference!$D$1:$DR$96,$R$2,FALSE)</f>
        <v>0.93400000000000005</v>
      </c>
      <c r="G37" s="5">
        <f>HLOOKUP("QTE-0.75-ASSD-CBPS-over",inference!$D$1:$DR$96,$R$2,FALSE)*2*1.96/SQRT(G$3)</f>
        <v>27.66913339547753</v>
      </c>
      <c r="H37" s="5">
        <f t="shared" si="13"/>
        <v>157.83179375203403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-3.67161457815121</v>
      </c>
      <c r="D38" s="5">
        <f>HLOOKUP("QTE-0.75-RMSE-GLM",Point!$D$1:$DR$96,$R$2,FALSE)</f>
        <v>21.195965690752502</v>
      </c>
      <c r="E38" s="5">
        <f t="shared" si="12"/>
        <v>9.6343943856052601</v>
      </c>
      <c r="F38" s="5">
        <f>HLOOKUP("QTE-0.75-Empcov-GLM",inference!$D$1:$DR$96,$R$2,FALSE)</f>
        <v>0.92300000000000004</v>
      </c>
      <c r="G38" s="5">
        <f>HLOOKUP("QTE-0.75-ASSD-GLM",inference!$D$1:$DR$96,$R$2,FALSE)*2*1.96/SQRT(G$3)</f>
        <v>29.39392702351488</v>
      </c>
      <c r="H38" s="5">
        <f t="shared" si="13"/>
        <v>167.670456505733</v>
      </c>
      <c r="I38" s="5">
        <f t="shared" si="14"/>
        <v>0.88608603306485401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-9.9999912765222394</v>
      </c>
      <c r="D40" s="5">
        <f>HLOOKUP("QTE-0.9-RMSE-IPS-exp",Point!$D$1:$DR$96,$R$2,FALSE)</f>
        <v>16.293158284906301</v>
      </c>
      <c r="E40" s="5">
        <f t="shared" ref="E40:E45" si="15">(D40/$D$44)^2</f>
        <v>2.2326256649873608</v>
      </c>
      <c r="F40" s="5">
        <f>HLOOKUP("QTE-0.9-Empcov-IPS-exp",inference!$D$1:$DR$96,$R$2,FALSE)</f>
        <v>0.877</v>
      </c>
      <c r="G40" s="5">
        <f>HLOOKUP("QTE-0.9-ASSD-IPS-exp",inference!$D$1:$DR$96,$R$2,FALSE)*2*1.96/SQRT(G$3)</f>
        <v>64.19720737903296</v>
      </c>
      <c r="H40" s="5">
        <f t="shared" ref="H40:H45" si="16">G40/(2*1.96/SQRT(G$3))</f>
        <v>366.19724404379804</v>
      </c>
      <c r="I40" s="5">
        <f t="shared" ref="I40:I45" si="17">($H$44/H40)^2</f>
        <v>1.106001119002042</v>
      </c>
      <c r="J40" s="5"/>
    </row>
    <row r="41" spans="1:10" x14ac:dyDescent="0.45">
      <c r="B41" s="1" t="s">
        <v>5</v>
      </c>
      <c r="C41" s="5">
        <f>HLOOKUP("QTE-0.9-bias-IPS-ind",Point!$D$1:$DR$96,$R$2,FALSE)</f>
        <v>-4.8763257576761498</v>
      </c>
      <c r="D41" s="5">
        <f>HLOOKUP("QTE-0.9-RMSE-IPS-ind",Point!$D$1:$DR$96,$R$2,FALSE)</f>
        <v>16.154976136094099</v>
      </c>
      <c r="E41" s="5">
        <f t="shared" si="15"/>
        <v>2.1949164897319373</v>
      </c>
      <c r="F41" s="5">
        <f>HLOOKUP("QTE-0.9-Empcov-IPS-ind",inference!$D$1:$DR$96,$R$2,FALSE)</f>
        <v>0.96699999999999997</v>
      </c>
      <c r="G41" s="5">
        <f>HLOOKUP("QTE-0.9-ASSD-IPS-ind",inference!$D$1:$DR$96,$R$2,FALSE)*2*1.96/SQRT(G$3)</f>
        <v>95.673435771622906</v>
      </c>
      <c r="H41" s="5">
        <f t="shared" si="16"/>
        <v>545.74567863854304</v>
      </c>
      <c r="I41" s="5">
        <f t="shared" si="17"/>
        <v>0.49797220002992471</v>
      </c>
      <c r="J41" s="5"/>
    </row>
    <row r="42" spans="1:10" x14ac:dyDescent="0.45">
      <c r="B42" s="1" t="s">
        <v>4</v>
      </c>
      <c r="C42" s="5">
        <f>HLOOKUP("QTE-0.9-bias-IPS-proj",Point!$D$1:$DR$96,$R$2,FALSE)</f>
        <v>2.4304835889767902</v>
      </c>
      <c r="D42" s="5">
        <f>HLOOKUP("QTE-0.9-RMSE-IPS-proj",Point!$D$1:$DR$96,$R$2,FALSE)</f>
        <v>10.636606036965</v>
      </c>
      <c r="E42" s="5">
        <f t="shared" si="15"/>
        <v>0.95150594809801992</v>
      </c>
      <c r="F42" s="6">
        <f>HLOOKUP("QTE-0.9-Empcov-IPS-proj",inference!$D$1:$DR$96,$R$2,FALSE)</f>
        <v>0.91300000000000003</v>
      </c>
      <c r="G42" s="6">
        <f>HLOOKUP("QTE-0.9-ASSD-IPS-proj",inference!$D$1:$DR$96,$R$2,FALSE)*2*1.96/SQRT(G$3)</f>
        <v>47.761103426296415</v>
      </c>
      <c r="H42" s="5">
        <f t="shared" si="16"/>
        <v>272.44151515713497</v>
      </c>
      <c r="I42" s="5">
        <f t="shared" si="17"/>
        <v>1.9982008327184859</v>
      </c>
      <c r="J42" s="5"/>
    </row>
    <row r="43" spans="1:10" x14ac:dyDescent="0.45">
      <c r="B43" s="1" t="s">
        <v>88</v>
      </c>
      <c r="C43" s="5">
        <f>HLOOKUP("QTE-0.9-bias-CBPS-just",Point!$D$1:$DR$96,$R$2,FALSE)</f>
        <v>-11.041472823118101</v>
      </c>
      <c r="D43" s="5">
        <f>HLOOKUP("QTE-0.9-RMSE-CBPS-just",Point!$D$1:$DR$96,$R$2,FALSE)</f>
        <v>16.896531624398399</v>
      </c>
      <c r="E43" s="5">
        <f t="shared" si="15"/>
        <v>2.4010460559032993</v>
      </c>
      <c r="F43" s="5">
        <f>HLOOKUP("QTE-0.9-Empcov-CBPS-just",inference!$D$1:$DR$96,$R$2,FALSE)</f>
        <v>0.80300000000000005</v>
      </c>
      <c r="G43" s="5">
        <f>HLOOKUP("QTE-0.9-ASSD-CBPS-just",inference!$D$1:$DR$96,$R$2,FALSE)*2*1.96/SQRT(G$3)</f>
        <v>56.88985000964913</v>
      </c>
      <c r="H43" s="5">
        <f t="shared" si="16"/>
        <v>324.51421390648608</v>
      </c>
      <c r="I43" s="5">
        <f t="shared" si="17"/>
        <v>1.4083748518279673</v>
      </c>
      <c r="J43" s="5"/>
    </row>
    <row r="44" spans="1:10" x14ac:dyDescent="0.45">
      <c r="B44" s="1" t="s">
        <v>89</v>
      </c>
      <c r="C44" s="5">
        <f>HLOOKUP("QTE-0.9-bias-CBPS-over",Point!$D$1:$DR$96,$R$2,FALSE)</f>
        <v>-0.41578046850225697</v>
      </c>
      <c r="D44" s="5">
        <f>HLOOKUP("QTE-0.9-RMSE-CBPS-over",Point!$D$1:$DR$96,$R$2,FALSE)</f>
        <v>10.904288170747</v>
      </c>
      <c r="E44" s="5">
        <f t="shared" si="15"/>
        <v>1</v>
      </c>
      <c r="F44" s="5">
        <f>HLOOKUP("QTE-0.9-Empcov-CBPS-over",inference!$D$1:$DR$96,$R$2,FALSE)</f>
        <v>0.95799999999999996</v>
      </c>
      <c r="G44" s="5">
        <f>HLOOKUP("QTE-0.9-ASSD-CBPS-over",inference!$D$1:$DR$96,$R$2,FALSE)*2*1.96/SQRT(G$3)</f>
        <v>67.51401246502212</v>
      </c>
      <c r="H44" s="5">
        <f t="shared" si="16"/>
        <v>385.11714618764699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-23.996272287188599</v>
      </c>
      <c r="D45" s="5">
        <f>HLOOKUP("QTE-0.9-RMSE-GLM",Point!$D$1:$DR$96,$R$2,FALSE)</f>
        <v>62.001649449187099</v>
      </c>
      <c r="E45" s="5">
        <f t="shared" si="15"/>
        <v>32.330457201923792</v>
      </c>
      <c r="F45" s="5">
        <f>HLOOKUP("QTE-0.9-Empcov-GLM",inference!$D$1:$DR$96,$R$2,FALSE)</f>
        <v>0.78700000000000003</v>
      </c>
      <c r="G45" s="5">
        <f>HLOOKUP("QTE-0.9-ASSD-GLM",inference!$D$1:$DR$96,$R$2,FALSE)*2*1.96/SQRT(G$3)</f>
        <v>72.385732605341772</v>
      </c>
      <c r="H45" s="5">
        <f t="shared" si="16"/>
        <v>412.90668037415094</v>
      </c>
      <c r="I45" s="5">
        <f t="shared" si="17"/>
        <v>0.86992515810312687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J114" s="7"/>
    </row>
    <row r="115" spans="8:10" x14ac:dyDescent="0.45">
      <c r="J115" s="7"/>
    </row>
    <row r="116" spans="8:10" x14ac:dyDescent="0.45">
      <c r="J116" s="7"/>
    </row>
    <row r="117" spans="8:10" x14ac:dyDescent="0.45">
      <c r="J117" s="7"/>
    </row>
    <row r="118" spans="8:10" x14ac:dyDescent="0.45">
      <c r="J118" s="7"/>
    </row>
    <row r="119" spans="8:10" x14ac:dyDescent="0.45">
      <c r="J119" s="7"/>
    </row>
    <row r="120" spans="8:10" x14ac:dyDescent="0.45"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6640625" style="1" bestFit="1" customWidth="1"/>
    <col min="3" max="4" width="6.53125" style="1" bestFit="1" customWidth="1"/>
    <col min="5" max="5" width="6.53125" style="1" customWidth="1"/>
    <col min="6" max="7" width="8.33203125" style="1" bestFit="1" customWidth="1"/>
    <col min="8" max="10" width="8.33203125" style="1" customWidth="1"/>
    <col min="11" max="17" width="9.33203125" style="1"/>
    <col min="18" max="18" width="14" style="1" bestFit="1" customWidth="1"/>
    <col min="19" max="16384" width="9.33203125" style="1"/>
  </cols>
  <sheetData>
    <row r="1" spans="1:18" x14ac:dyDescent="0.4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216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6</v>
      </c>
    </row>
    <row r="3" spans="1:18" x14ac:dyDescent="0.4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0.92395193060332503</v>
      </c>
      <c r="D5" s="5">
        <f>HLOOKUP("ATE-RMSE-IPS-exp",Point!$D$1:$DR$96,$R$2,FALSE)</f>
        <v>2.6457743093708901</v>
      </c>
      <c r="E5" s="5">
        <f t="shared" ref="E5:E10" si="0">(D5/$D$9)^2</f>
        <v>1.2212687182803326</v>
      </c>
      <c r="F5" s="5">
        <f>HLOOKUP("ATE-Empcov-IPS-exp",inference!$D$1:$DR$96,$R$2,FALSE)</f>
        <v>0.996</v>
      </c>
      <c r="G5" s="5">
        <f>HLOOKUP("ATE-ASSD-IPS-exp",inference!$D$1:$DR$96,$R$2,FALSE)*2*1.96/SQRT(G$3)</f>
        <v>16.198300138980414</v>
      </c>
      <c r="H5" s="5">
        <f t="shared" ref="H5:H10" si="1">G5/(2*1.96/SQRT(G$3))</f>
        <v>130.67225168928601</v>
      </c>
      <c r="I5" s="5">
        <f t="shared" ref="I5:I10" si="2">($H$9/H5)^2</f>
        <v>0.71503679980021539</v>
      </c>
      <c r="J5" s="5"/>
      <c r="K5" s="5">
        <f>HLOOKUP("ks-IPS-exp",balance!$D$1:$DR$96,$R$2,FALSE)</f>
        <v>2.7979651230261502</v>
      </c>
      <c r="L5" s="5">
        <f>HLOOKUP("cvm-IPS-exp",balance!$D$1:$DR$96,$R$2,FALSE)</f>
        <v>0.58093971381075304</v>
      </c>
      <c r="M5" s="5">
        <f>HLOOKUP("ks-IPS-exp_1",balance!$D$1:$DR$96,$R$2,FALSE)</f>
        <v>2.22227136520543</v>
      </c>
      <c r="N5" s="5">
        <f>HLOOKUP("cvm-IPS-exp_1",balance!$D$1:$DR$96,$R$2,FALSE)</f>
        <v>0.41887229209759302</v>
      </c>
      <c r="O5" s="5">
        <f>HLOOKUP("ks-IPS-exp_0",balance!$D$1:$DR$96,$R$2,FALSE)</f>
        <v>0.99459513226546703</v>
      </c>
      <c r="P5" s="5">
        <f>HLOOKUP("cvm-IPS-exp_0",balance!$D$1:$DR$96,$R$2,FALSE)</f>
        <v>3.2431769516400699E-2</v>
      </c>
    </row>
    <row r="6" spans="1:18" x14ac:dyDescent="0.45">
      <c r="B6" s="1" t="s">
        <v>5</v>
      </c>
      <c r="C6" s="5">
        <f>HLOOKUP("ATE-bias-IPS-ind",Point!$D$1:$DR$96,$R$2,FALSE)</f>
        <v>2.87969452277654</v>
      </c>
      <c r="D6" s="5">
        <f>HLOOKUP("ATE-RMSE-IPS-ind",Point!$D$1:$DR$96,$R$2,FALSE)</f>
        <v>5.3926693428270296</v>
      </c>
      <c r="E6" s="5">
        <f t="shared" si="0"/>
        <v>5.0735649766154687</v>
      </c>
      <c r="F6" s="5">
        <f>HLOOKUP("ATE-Empcov-IPS-ind",inference!$D$1:$DR$96,$R$2,FALSE)</f>
        <v>1</v>
      </c>
      <c r="G6" s="5">
        <f>HLOOKUP("ATE-ASSD-IPS-ind",inference!$D$1:$DR$96,$R$2,FALSE)*2*1.96/SQRT(G$3)</f>
        <v>62.884991001119019</v>
      </c>
      <c r="H6" s="5">
        <f t="shared" si="1"/>
        <v>507.29541378247001</v>
      </c>
      <c r="I6" s="5">
        <f t="shared" si="2"/>
        <v>4.7443123183112293E-2</v>
      </c>
      <c r="J6" s="5"/>
      <c r="K6" s="5">
        <f>HLOOKUP("ks-IPS-ind",balance!$D$1:$DR$96,$R$2,FALSE)</f>
        <v>2.48321588033272</v>
      </c>
      <c r="L6" s="5">
        <f>HLOOKUP("cvm-IPS-ind",balance!$D$1:$DR$96,$R$2,FALSE)</f>
        <v>0.354634160976941</v>
      </c>
      <c r="M6" s="5">
        <f>HLOOKUP("ks-IPS-ind_1",balance!$D$1:$DR$96,$R$2,FALSE)</f>
        <v>1.9125385044147101</v>
      </c>
      <c r="N6" s="5">
        <f>HLOOKUP("cvm-IPS-ind_1",balance!$D$1:$DR$96,$R$2,FALSE)</f>
        <v>0.23834614138756999</v>
      </c>
      <c r="O6" s="5">
        <f>HLOOKUP("ks-IPS-ind_0",balance!$D$1:$DR$96,$R$2,FALSE)</f>
        <v>1.13370451165631</v>
      </c>
      <c r="P6" s="5">
        <f>HLOOKUP("cvm-IPS-ind_0",balance!$D$1:$DR$96,$R$2,FALSE)</f>
        <v>3.3008915167467602E-2</v>
      </c>
    </row>
    <row r="7" spans="1:18" x14ac:dyDescent="0.45">
      <c r="B7" s="1" t="s">
        <v>4</v>
      </c>
      <c r="C7" s="5">
        <f>HLOOKUP("ATE-bias-IPS-proj",Point!$D$1:$DR$96,$R$2,FALSE)</f>
        <v>3.1204559821940599E-2</v>
      </c>
      <c r="D7" s="5">
        <f>HLOOKUP("ATE-RMSE-IPS-proj",Point!$D$1:$DR$96,$R$2,FALSE)</f>
        <v>2.2023051502873598</v>
      </c>
      <c r="E7" s="5">
        <f t="shared" si="0"/>
        <v>0.84617586065021266</v>
      </c>
      <c r="F7" s="6">
        <f>HLOOKUP("ATE-Empcov-IPS-proj",inference!$D$1:$DR$96,$R$2,FALSE)</f>
        <v>1</v>
      </c>
      <c r="G7" s="6">
        <f>HLOOKUP("ATE-ASSD-IPS-proj",inference!$D$1:$DR$96,$R$2,FALSE)*2*1.96/SQRT(G$3)</f>
        <v>28.316441942339317</v>
      </c>
      <c r="H7" s="5">
        <f t="shared" si="1"/>
        <v>228.429723902333</v>
      </c>
      <c r="I7" s="5">
        <f t="shared" si="2"/>
        <v>0.2339860216642318</v>
      </c>
      <c r="J7" s="5"/>
      <c r="K7" s="5">
        <f>HLOOKUP("ks-IPS-proj",balance!$D$1:$DR$96,$R$2,FALSE)</f>
        <v>3.2220593976940202</v>
      </c>
      <c r="L7" s="5">
        <f>HLOOKUP("cvm-IPS-proj",balance!$D$1:$DR$96,$R$2,FALSE)</f>
        <v>0.77790587544003897</v>
      </c>
      <c r="M7" s="5">
        <f>HLOOKUP("ks-IPS-proj_1",balance!$D$1:$DR$96,$R$2,FALSE)</f>
        <v>2.5538735489659499</v>
      </c>
      <c r="N7" s="5">
        <f>HLOOKUP("cvm-IPS-proj_1",balance!$D$1:$DR$96,$R$2,FALSE)</f>
        <v>0.57200738464961798</v>
      </c>
      <c r="O7" s="5">
        <f>HLOOKUP("ks-IPS-proj_0",balance!$D$1:$DR$96,$R$2,FALSE)</f>
        <v>1.0277802691485201</v>
      </c>
      <c r="P7" s="5">
        <f>HLOOKUP("cvm-IPS-proj_0",balance!$D$1:$DR$96,$R$2,FALSE)</f>
        <v>3.5076390322302503E-2</v>
      </c>
    </row>
    <row r="8" spans="1:18" x14ac:dyDescent="0.45">
      <c r="B8" s="1" t="s">
        <v>88</v>
      </c>
      <c r="C8" s="5">
        <f>HLOOKUP("ATE-bias-CBPS-just",Point!$D$1:$DR$96,$R$2,FALSE)</f>
        <v>0.554691894464582</v>
      </c>
      <c r="D8" s="5">
        <f>HLOOKUP("ATE-RMSE-CBPS-just",Point!$D$1:$DR$96,$R$2,FALSE)</f>
        <v>2.2127469191556299</v>
      </c>
      <c r="E8" s="5">
        <f t="shared" si="0"/>
        <v>0.85421881397756572</v>
      </c>
      <c r="F8" s="5">
        <f>HLOOKUP("ATE-Empcov-CBPS-just",inference!$D$1:$DR$96,$R$2,FALSE)</f>
        <v>0.88300000000000001</v>
      </c>
      <c r="G8" s="5">
        <f>HLOOKUP("ATE-ASSD-CBPS-just",inference!$D$1:$DR$96,$R$2,FALSE)*2*1.96/SQRT(G$3)</f>
        <v>6.6965202439926284</v>
      </c>
      <c r="H8" s="5">
        <f t="shared" si="1"/>
        <v>54.0210621643959</v>
      </c>
      <c r="I8" s="5">
        <f t="shared" si="2"/>
        <v>4.183780630828438</v>
      </c>
      <c r="J8" s="5"/>
      <c r="K8" s="5">
        <f>HLOOKUP("ks-CBPS-Just",balance!$D$1:$DR$96,$R$2,FALSE)</f>
        <v>3.1569241263397201</v>
      </c>
      <c r="L8" s="5">
        <f>HLOOKUP("cvm-CBPS-Just",balance!$D$1:$DR$96,$R$2,FALSE)</f>
        <v>0.80824979200838798</v>
      </c>
      <c r="M8" s="5">
        <f>HLOOKUP("ks-CBPS-Just_1",balance!$D$1:$DR$96,$R$2,FALSE)</f>
        <v>2.60897850045016</v>
      </c>
      <c r="N8" s="5">
        <f>HLOOKUP("cvm-CBPS-Just_1",balance!$D$1:$DR$96,$R$2,FALSE)</f>
        <v>0.64559258105087702</v>
      </c>
      <c r="O8" s="5">
        <f>HLOOKUP("ks-CBPS-Just_0",balance!$D$1:$DR$96,$R$2,FALSE)</f>
        <v>1.0847027001075</v>
      </c>
      <c r="P8" s="5">
        <f>HLOOKUP("cvm-CBPS-Just_0",balance!$D$1:$DR$96,$R$2,FALSE)</f>
        <v>3.7609464914858497E-2</v>
      </c>
    </row>
    <row r="9" spans="1:18" x14ac:dyDescent="0.45">
      <c r="B9" s="1" t="s">
        <v>89</v>
      </c>
      <c r="C9" s="5">
        <f>HLOOKUP("ATE-bias-CBPS-over",Point!$D$1:$DR$96,$R$2,FALSE)</f>
        <v>1.2541555782789899</v>
      </c>
      <c r="D9" s="5">
        <f>HLOOKUP("ATE-RMSE-CBPS-over",Point!$D$1:$DR$96,$R$2,FALSE)</f>
        <v>2.3941269672266698</v>
      </c>
      <c r="E9" s="5">
        <f t="shared" si="0"/>
        <v>1</v>
      </c>
      <c r="F9" s="5">
        <f>HLOOKUP("ATE-Empcov-CBPS-over",inference!$D$1:$DR$96,$R$2,FALSE)</f>
        <v>0.997</v>
      </c>
      <c r="G9" s="5">
        <f>HLOOKUP("ATE-ASSD-CBPS-over",inference!$D$1:$DR$96,$R$2,FALSE)*2*1.96/SQRT(G$3)</f>
        <v>13.69725807592673</v>
      </c>
      <c r="H9" s="5">
        <f t="shared" si="1"/>
        <v>110.496258211898</v>
      </c>
      <c r="I9" s="5">
        <f t="shared" si="2"/>
        <v>1</v>
      </c>
      <c r="J9" s="5"/>
      <c r="K9" s="5">
        <f>HLOOKUP("ks-CBPS-over",balance!$D$1:$DR$96,$R$2,FALSE)</f>
        <v>3.0646025495393099</v>
      </c>
      <c r="L9" s="5">
        <f>HLOOKUP("cvm-CBPS-over",balance!$D$1:$DR$96,$R$2,FALSE)</f>
        <v>0.70929174954926</v>
      </c>
      <c r="M9" s="5">
        <f>HLOOKUP("ks-CBPS-over_1",balance!$D$1:$DR$96,$R$2,FALSE)</f>
        <v>2.4060959044552699</v>
      </c>
      <c r="N9" s="5">
        <f>HLOOKUP("cvm-CBPS-over_1",balance!$D$1:$DR$96,$R$2,FALSE)</f>
        <v>0.49493292577207598</v>
      </c>
      <c r="O9" s="5">
        <f>HLOOKUP("ks-CBPS-over_0",balance!$D$1:$DR$96,$R$2,FALSE)</f>
        <v>0.97636807246298296</v>
      </c>
      <c r="P9" s="5">
        <f>HLOOKUP("cvm-CBPS-over_0",balance!$D$1:$DR$96,$R$2,FALSE)</f>
        <v>3.4992653254125698E-2</v>
      </c>
    </row>
    <row r="10" spans="1:18" s="3" customFormat="1" x14ac:dyDescent="0.45">
      <c r="B10" s="3" t="s">
        <v>2</v>
      </c>
      <c r="C10" s="5">
        <f>HLOOKUP("ATE-bias-GLM",Point!$D$1:$DR$96,$R$2,FALSE)</f>
        <v>0.129284668898942</v>
      </c>
      <c r="D10" s="5">
        <f>HLOOKUP("ATE-RMSE-GLM",Point!$D$1:$DR$96,$R$2,FALSE)</f>
        <v>1.98807233445327</v>
      </c>
      <c r="E10" s="5">
        <f t="shared" si="0"/>
        <v>0.68955673805853612</v>
      </c>
      <c r="F10" s="5">
        <f>HLOOKUP("ATE-Empcov-GLM",inference!$D$1:$DR$96,$R$2,FALSE)</f>
        <v>0.95399999999999996</v>
      </c>
      <c r="G10" s="5">
        <f>HLOOKUP("ATE-ASSD-GLM",inference!$D$1:$DR$96,$R$2,FALSE)*2*1.96/SQRT(G$3)</f>
        <v>7.6105647900596471</v>
      </c>
      <c r="H10" s="5">
        <f t="shared" si="1"/>
        <v>61.3946913695655</v>
      </c>
      <c r="I10" s="5">
        <f t="shared" si="2"/>
        <v>3.2391682141754394</v>
      </c>
      <c r="J10" s="5"/>
      <c r="K10" s="5">
        <f>HLOOKUP("ks-GLM",balance!$D$1:$DR$96,$R$2,FALSE)</f>
        <v>3.2647587710122399</v>
      </c>
      <c r="L10" s="5">
        <f>HLOOKUP("cvm-GLM",balance!$D$1:$DR$96,$R$2,FALSE)</f>
        <v>0.88984081936815296</v>
      </c>
      <c r="M10" s="5">
        <f>HLOOKUP("ks-GLM_1",balance!$D$1:$DR$96,$R$2,FALSE)</f>
        <v>2.6801570455207</v>
      </c>
      <c r="N10" s="5">
        <f>HLOOKUP("cvm-GLM_1",balance!$D$1:$DR$96,$R$2,FALSE)</f>
        <v>0.68902331324882704</v>
      </c>
      <c r="O10" s="5">
        <f>HLOOKUP("ks-GLM_0",balance!$D$1:$DR$96,$R$2,FALSE)</f>
        <v>0.97512116088187795</v>
      </c>
      <c r="P10" s="5">
        <f>HLOOKUP("cvm-GLM_0",balance!$D$1:$DR$96,$R$2,FALSE)</f>
        <v>3.2512804212376102E-2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0.21946878060883501</v>
      </c>
      <c r="D12" s="5">
        <f>HLOOKUP("QTE-0.10-RMSE-IPS-exp",Point!$D$1:$DR$96,$R$2,FALSE)</f>
        <v>1.6201761067493601</v>
      </c>
      <c r="E12" s="5">
        <f t="shared" ref="E12:E17" si="3">(D12/$D$16)^2</f>
        <v>0.97751107282944971</v>
      </c>
      <c r="F12" s="5">
        <f>HLOOKUP("QTE-0.1-Empcov-IPS-exp",inference!$D$1:$DR$96,$R$2,FALSE)</f>
        <v>0.91500000000000004</v>
      </c>
      <c r="G12" s="5">
        <f>HLOOKUP("QTE-0.1-ASSD-IPS-exp",inference!$D$1:$DR$96,$R$2,FALSE)*2*1.96/SQRT(G$3)</f>
        <v>5.9879137857318678</v>
      </c>
      <c r="H12" s="5">
        <f t="shared" ref="H12:H17" si="4">G12/(2*1.96/SQRT(G$3))</f>
        <v>48.304709172536107</v>
      </c>
      <c r="I12" s="5">
        <f t="shared" ref="I12:I17" si="5">($H$16/H12)^2</f>
        <v>1.0707270754236935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0.67837780709565199</v>
      </c>
      <c r="D13" s="5">
        <f>HLOOKUP("QTE-0.10-RMSE-IPS-ind",Point!$D$1:$DR$96,$R$2,FALSE)</f>
        <v>1.6915770661420999</v>
      </c>
      <c r="E13" s="5">
        <f t="shared" si="3"/>
        <v>1.0655671324578229</v>
      </c>
      <c r="F13" s="5">
        <f>HLOOKUP("QTE-0.1-Empcov-IPS-ind",inference!$D$1:$DR$96,$R$2,FALSE)</f>
        <v>0.91600000000000004</v>
      </c>
      <c r="G13" s="5">
        <f>HLOOKUP("QTE-0.1-ASSD-IPS-ind",inference!$D$1:$DR$96,$R$2,FALSE)*2*1.96/SQRT(G$3)</f>
        <v>6.4741386639374188</v>
      </c>
      <c r="H13" s="5">
        <f t="shared" si="4"/>
        <v>52.227102208677699</v>
      </c>
      <c r="I13" s="5">
        <f t="shared" si="5"/>
        <v>0.91593755956530898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0.19839199071018099</v>
      </c>
      <c r="D14" s="5">
        <f>HLOOKUP("QTE-0.10-RMSE-IPS-proj",Point!$D$1:$DR$96,$R$2,FALSE)</f>
        <v>1.70936106247802</v>
      </c>
      <c r="E14" s="5">
        <f t="shared" si="3"/>
        <v>1.0880900854559699</v>
      </c>
      <c r="F14" s="6">
        <f>HLOOKUP("QTE-0.1-Empcov-IPS-proj",inference!$D$1:$DR$96,$R$2,FALSE)</f>
        <v>0.90500000000000003</v>
      </c>
      <c r="G14" s="6">
        <f>HLOOKUP("QTE-0.1-ASSD-IPS-proj",inference!$D$1:$DR$96,$R$2,FALSE)*2*1.96/SQRT(G$3)</f>
        <v>6.0302302763208919</v>
      </c>
      <c r="H14" s="5">
        <f t="shared" si="4"/>
        <v>48.646077776736099</v>
      </c>
      <c r="I14" s="5">
        <f t="shared" si="5"/>
        <v>1.0557523785431626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0.33458392262234399</v>
      </c>
      <c r="D15" s="5">
        <f>HLOOKUP("QTE-0.10-RMSE-CBPS-just",Point!$D$1:$DR$96,$R$2,FALSE)</f>
        <v>1.88268106651804</v>
      </c>
      <c r="E15" s="5">
        <f t="shared" si="3"/>
        <v>1.3199295426372064</v>
      </c>
      <c r="F15" s="5">
        <f>HLOOKUP("QTE-0.1-Empcov-CBPS-just",inference!$D$1:$DR$96,$R$2,FALSE)</f>
        <v>0.86699999999999999</v>
      </c>
      <c r="G15" s="5">
        <f>HLOOKUP("QTE-0.1-ASSD-CBPS-just",inference!$D$1:$DR$96,$R$2,FALSE)*2*1.96/SQRT(G$3)</f>
        <v>5.9197034704846221</v>
      </c>
      <c r="H15" s="5">
        <f t="shared" si="4"/>
        <v>47.754454182486597</v>
      </c>
      <c r="I15" s="5">
        <f t="shared" si="5"/>
        <v>1.0955443338476705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0.56049227382281397</v>
      </c>
      <c r="D16" s="5">
        <f>HLOOKUP("QTE-0.10-RMSE-CBPS-over",Point!$D$1:$DR$96,$R$2,FALSE)</f>
        <v>1.63870726990869</v>
      </c>
      <c r="E16" s="5">
        <f t="shared" si="3"/>
        <v>1</v>
      </c>
      <c r="F16" s="5">
        <f>HLOOKUP("QTE-0.1-Empcov-CBPS-over",inference!$D$1:$DR$96,$R$2,FALSE)</f>
        <v>0.91</v>
      </c>
      <c r="G16" s="5">
        <f>HLOOKUP("QTE-0.1-ASSD-CBPS-over",inference!$D$1:$DR$96,$R$2,FALSE)*2*1.96/SQRT(G$3)</f>
        <v>6.1960502484342497</v>
      </c>
      <c r="H16" s="5">
        <f t="shared" si="4"/>
        <v>49.983753270164193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45">
      <c r="B17" s="3" t="s">
        <v>2</v>
      </c>
      <c r="C17" s="5">
        <f>HLOOKUP("QTE-0.10-bias-GLM",Point!$D$1:$DR$96,$R$2,FALSE)</f>
        <v>0.14806356835448201</v>
      </c>
      <c r="D17" s="5">
        <f>HLOOKUP("QTE-0.10-RMSE-GLM",Point!$D$1:$DR$96,$R$2,FALSE)</f>
        <v>1.89681219342965</v>
      </c>
      <c r="E17" s="5">
        <f t="shared" si="3"/>
        <v>1.3398182982444842</v>
      </c>
      <c r="F17" s="5">
        <f>HLOOKUP("QTE-0.1-Empcov-GLM",inference!$D$1:$DR$96,$R$2,FALSE)</f>
        <v>0.90500000000000003</v>
      </c>
      <c r="G17" s="5">
        <f>HLOOKUP("QTE-0.1-ASSD-GLM",inference!$D$1:$DR$96,$R$2,FALSE)*2*1.96/SQRT(G$3)</f>
        <v>6.4200919659960887</v>
      </c>
      <c r="H17" s="5">
        <f t="shared" si="4"/>
        <v>51.7911056129998</v>
      </c>
      <c r="I17" s="5">
        <f t="shared" si="5"/>
        <v>0.93142387029250651</v>
      </c>
      <c r="J17" s="5"/>
      <c r="K17" s="5"/>
      <c r="L17" s="5"/>
      <c r="M17" s="5"/>
      <c r="N17" s="5"/>
    </row>
    <row r="18" spans="1:18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45">
      <c r="A19" s="2" t="s">
        <v>59</v>
      </c>
      <c r="B19" s="1" t="s">
        <v>3</v>
      </c>
      <c r="C19" s="5">
        <f>HLOOKUP("QTE-0.25-bias-IPS-exp",Point!$D$1:$DR$96,$R$2,FALSE)</f>
        <v>-1.24469577869419E-2</v>
      </c>
      <c r="D19" s="5">
        <f>HLOOKUP("QTE-0.25-RMSE-IPS-exp",Point!$D$1:$DR$96,$R$2,FALSE)</f>
        <v>1.0976449684068299</v>
      </c>
      <c r="E19" s="5">
        <f t="shared" ref="E19:E24" si="6">(D19/$D$23)^2</f>
        <v>0.9039628161018326</v>
      </c>
      <c r="F19" s="5">
        <f>HLOOKUP("QTE-0.25-Empcov-IPS-exp",inference!$D$1:$DR$96,$R$2,FALSE)</f>
        <v>0.97699999999999998</v>
      </c>
      <c r="G19" s="5">
        <f>HLOOKUP("QTE-0.25-ASSD-IPS-exp",inference!$D$1:$DR$96,$R$2,FALSE)*2*1.96/SQRT(G$3)</f>
        <v>4.9430754118348226</v>
      </c>
      <c r="H19" s="5">
        <f t="shared" ref="H19:H24" si="7">G19/(2*1.96/SQRT(G$3))</f>
        <v>39.875961600440995</v>
      </c>
      <c r="I19" s="5">
        <f t="shared" ref="I19:I24" si="8">($H$23/H19)^2</f>
        <v>1.3754286425442539</v>
      </c>
      <c r="J19" s="5"/>
      <c r="K19" s="5"/>
      <c r="L19" s="5"/>
      <c r="M19" s="5"/>
      <c r="N19" s="5"/>
    </row>
    <row r="20" spans="1:18" x14ac:dyDescent="0.45">
      <c r="B20" s="1" t="s">
        <v>5</v>
      </c>
      <c r="C20" s="5">
        <f>HLOOKUP("QTE-0.25-bias-IPS-ind",Point!$D$1:$DR$96,$R$2,FALSE)</f>
        <v>0.36159748474970999</v>
      </c>
      <c r="D20" s="5">
        <f>HLOOKUP("QTE-0.25-RMSE-IPS-ind",Point!$D$1:$DR$96,$R$2,FALSE)</f>
        <v>1.2074291155243799</v>
      </c>
      <c r="E20" s="5">
        <f t="shared" si="6"/>
        <v>1.0938306102348125</v>
      </c>
      <c r="F20" s="5">
        <f>HLOOKUP("QTE-0.25-Empcov-IPS-ind",inference!$D$1:$DR$96,$R$2,FALSE)</f>
        <v>0.97799999999999998</v>
      </c>
      <c r="G20" s="5">
        <f>HLOOKUP("QTE-0.25-ASSD-IPS-ind",inference!$D$1:$DR$96,$R$2,FALSE)*2*1.96/SQRT(G$3)</f>
        <v>5.9716901554684387</v>
      </c>
      <c r="H20" s="5">
        <f t="shared" si="7"/>
        <v>48.173832581850206</v>
      </c>
      <c r="I20" s="5">
        <f t="shared" si="8"/>
        <v>0.94240591710092525</v>
      </c>
      <c r="J20" s="5"/>
      <c r="K20" s="5"/>
      <c r="L20" s="5"/>
      <c r="M20" s="5"/>
      <c r="N20" s="5"/>
    </row>
    <row r="21" spans="1:18" x14ac:dyDescent="0.45">
      <c r="B21" s="1" t="s">
        <v>4</v>
      </c>
      <c r="C21" s="5">
        <f>HLOOKUP("QTE-0.25-bias-IPS-proj",Point!$D$1:$DR$96,$R$2,FALSE)</f>
        <v>5.4547813254287397E-2</v>
      </c>
      <c r="D21" s="5">
        <f>HLOOKUP("QTE-0.25-RMSE-IPS-proj",Point!$D$1:$DR$96,$R$2,FALSE)</f>
        <v>1.1514874156564701</v>
      </c>
      <c r="E21" s="5">
        <f t="shared" si="6"/>
        <v>0.99482153198404777</v>
      </c>
      <c r="F21" s="6">
        <f>HLOOKUP("QTE-0.25-Empcov-IPS-proj",inference!$D$1:$DR$96,$R$2,FALSE)</f>
        <v>0.96799999999999997</v>
      </c>
      <c r="G21" s="6">
        <f>HLOOKUP("QTE-0.25-ASSD-IPS-proj",inference!$D$1:$DR$96,$R$2,FALSE)*2*1.96/SQRT(G$3)</f>
        <v>4.9357059631257609</v>
      </c>
      <c r="H21" s="5">
        <f t="shared" si="7"/>
        <v>39.816512000899102</v>
      </c>
      <c r="I21" s="5">
        <f t="shared" si="8"/>
        <v>1.3795389837996213</v>
      </c>
      <c r="J21" s="5"/>
      <c r="K21" s="5"/>
      <c r="L21" s="5"/>
      <c r="M21" s="5"/>
      <c r="N21" s="5"/>
    </row>
    <row r="22" spans="1:18" x14ac:dyDescent="0.45">
      <c r="B22" s="1" t="s">
        <v>88</v>
      </c>
      <c r="C22" s="5">
        <f>HLOOKUP("QTE-0.25-bias-CBPS-just",Point!$D$1:$DR$96,$R$2,FALSE)</f>
        <v>0.21086353013786199</v>
      </c>
      <c r="D22" s="5">
        <f>HLOOKUP("QTE-0.25-RMSE-CBPS-just",Point!$D$1:$DR$96,$R$2,FALSE)</f>
        <v>1.2982295570468301</v>
      </c>
      <c r="E22" s="5">
        <f t="shared" si="6"/>
        <v>1.2645318419436546</v>
      </c>
      <c r="F22" s="5">
        <f>HLOOKUP("QTE-0.25-Empcov-CBPS-just",inference!$D$1:$DR$96,$R$2,FALSE)</f>
        <v>0.94099999999999995</v>
      </c>
      <c r="G22" s="5">
        <f>HLOOKUP("QTE-0.25-ASSD-CBPS-just",inference!$D$1:$DR$96,$R$2,FALSE)*2*1.96/SQRT(G$3)</f>
        <v>5.0349967190549743</v>
      </c>
      <c r="H22" s="5">
        <f t="shared" si="7"/>
        <v>40.617493989001609</v>
      </c>
      <c r="I22" s="5">
        <f t="shared" si="8"/>
        <v>1.3256661058053856</v>
      </c>
      <c r="J22" s="5"/>
      <c r="K22" s="5"/>
      <c r="L22" s="5"/>
      <c r="M22" s="5"/>
      <c r="N22" s="5"/>
    </row>
    <row r="23" spans="1:18" x14ac:dyDescent="0.45">
      <c r="B23" s="1" t="s">
        <v>89</v>
      </c>
      <c r="C23" s="5">
        <f>HLOOKUP("QTE-0.25-bias-CBPS-over",Point!$D$1:$DR$96,$R$2,FALSE)</f>
        <v>0.40045333351130002</v>
      </c>
      <c r="D23" s="5">
        <f>HLOOKUP("QTE-0.25-RMSE-CBPS-over",Point!$D$1:$DR$96,$R$2,FALSE)</f>
        <v>1.1544805158175</v>
      </c>
      <c r="E23" s="5">
        <f t="shared" si="6"/>
        <v>1</v>
      </c>
      <c r="F23" s="5">
        <f>HLOOKUP("QTE-0.25-Empcov-CBPS-over",inference!$D$1:$DR$96,$R$2,FALSE)</f>
        <v>0.98499999999999999</v>
      </c>
      <c r="G23" s="5">
        <f>HLOOKUP("QTE-0.25-ASSD-CBPS-over",inference!$D$1:$DR$96,$R$2,FALSE)*2*1.96/SQRT(G$3)</f>
        <v>5.7971730976678293</v>
      </c>
      <c r="H23" s="5">
        <f t="shared" si="7"/>
        <v>46.7659973951125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45">
      <c r="B24" s="3" t="s">
        <v>2</v>
      </c>
      <c r="C24" s="5">
        <f>HLOOKUP("QTE-0.25-bias-GLM",Point!$D$1:$DR$96,$R$2,FALSE)</f>
        <v>1.27931372715375E-2</v>
      </c>
      <c r="D24" s="5">
        <f>HLOOKUP("QTE-0.25-RMSE-GLM",Point!$D$1:$DR$96,$R$2,FALSE)</f>
        <v>1.2912598650684399</v>
      </c>
      <c r="E24" s="5">
        <f t="shared" si="6"/>
        <v>1.2509907243072322</v>
      </c>
      <c r="F24" s="5">
        <f>HLOOKUP("QTE-0.25-Empcov-GLM",inference!$D$1:$DR$96,$R$2,FALSE)</f>
        <v>0.97</v>
      </c>
      <c r="G24" s="5">
        <f>HLOOKUP("QTE-0.25-ASSD-GLM",inference!$D$1:$DR$96,$R$2,FALSE)*2*1.96/SQRT(G$3)</f>
        <v>5.4524299717121814</v>
      </c>
      <c r="H24" s="5">
        <f t="shared" si="7"/>
        <v>43.984942584637601</v>
      </c>
      <c r="I24" s="5">
        <f t="shared" si="8"/>
        <v>1.1304525646242265</v>
      </c>
      <c r="J24" s="5"/>
      <c r="K24" s="5"/>
      <c r="L24" s="5"/>
      <c r="M24" s="5"/>
      <c r="N24" s="5"/>
    </row>
    <row r="25" spans="1:18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45">
      <c r="A26" s="2" t="s">
        <v>60</v>
      </c>
      <c r="B26" s="1" t="s">
        <v>3</v>
      </c>
      <c r="C26" s="5">
        <f>HLOOKUP("QTE-0.5-bias-IPS-exp",Point!$D$1:$DR$96,$R$2,FALSE)</f>
        <v>-9.8981221471912101E-2</v>
      </c>
      <c r="D26" s="5">
        <f>HLOOKUP("QTE-0.5-RMSE-IPS-exp",Point!$D$1:$DR$96,$R$2,FALSE)</f>
        <v>1.31490204443652</v>
      </c>
      <c r="E26" s="5">
        <f t="shared" ref="E26:E31" si="9">(D26/$D$30)^2</f>
        <v>0.80613094235801608</v>
      </c>
      <c r="F26" s="5">
        <f>HLOOKUP("QTE-0.5-Empcov-IPS-exp",inference!$D$1:$DR$96,$R$2,FALSE)</f>
        <v>0.95499999999999996</v>
      </c>
      <c r="G26" s="5">
        <f>HLOOKUP("QTE-0.5-ASSD-IPS-exp",inference!$D$1:$DR$96,$R$2,FALSE)*2*1.96/SQRT(G$3)</f>
        <v>5.5954536751528936</v>
      </c>
      <c r="H26" s="5">
        <f t="shared" ref="H26:H31" si="10">G26/(2*1.96/SQRT(G$3))</f>
        <v>45.1387197842935</v>
      </c>
      <c r="I26" s="5">
        <f t="shared" ref="I26:I31" si="11">($H$30/H26)^2</f>
        <v>1.6472710665231765</v>
      </c>
      <c r="J26" s="5"/>
      <c r="K26"/>
      <c r="L26"/>
      <c r="M26"/>
      <c r="N26"/>
      <c r="O26"/>
      <c r="P26"/>
      <c r="Q26"/>
    </row>
    <row r="27" spans="1:18" x14ac:dyDescent="0.45">
      <c r="B27" s="1" t="s">
        <v>5</v>
      </c>
      <c r="C27" s="5">
        <f>HLOOKUP("QTE-0.5-bias-IPS-ind",Point!$D$1:$DR$96,$R$2,FALSE)</f>
        <v>0.49128451636514903</v>
      </c>
      <c r="D27" s="5">
        <f>HLOOKUP("QTE-0.5-RMSE-IPS-ind",Point!$D$1:$DR$96,$R$2,FALSE)</f>
        <v>1.6193530213150999</v>
      </c>
      <c r="E27" s="5">
        <f t="shared" si="9"/>
        <v>1.2226491827472854</v>
      </c>
      <c r="F27" s="5">
        <f>HLOOKUP("QTE-0.5-Empcov-IPS-ind",inference!$D$1:$DR$96,$R$2,FALSE)</f>
        <v>0.98599999999999999</v>
      </c>
      <c r="G27" s="5">
        <f>HLOOKUP("QTE-0.5-ASSD-IPS-ind",inference!$D$1:$DR$96,$R$2,FALSE)*2*1.96/SQRT(G$3)</f>
        <v>8.431220761318011</v>
      </c>
      <c r="H27" s="5">
        <f t="shared" si="10"/>
        <v>68.014951687407603</v>
      </c>
      <c r="I27" s="5">
        <f t="shared" si="11"/>
        <v>0.72552896887524654</v>
      </c>
      <c r="J27" s="5"/>
      <c r="K27" s="5"/>
      <c r="L27" s="5"/>
      <c r="M27" s="5"/>
      <c r="N27" s="5"/>
    </row>
    <row r="28" spans="1:18" x14ac:dyDescent="0.45">
      <c r="B28" s="1" t="s">
        <v>4</v>
      </c>
      <c r="C28" s="5">
        <f>HLOOKUP("QTE-0.5-bias-IPS-proj",Point!$D$1:$DR$96,$R$2,FALSE)</f>
        <v>-3.1590091728843597E-2</v>
      </c>
      <c r="D28" s="5">
        <f>HLOOKUP("QTE-0.5-RMSE-IPS-proj",Point!$D$1:$DR$96,$R$2,FALSE)</f>
        <v>1.3490582772614601</v>
      </c>
      <c r="E28" s="5">
        <f t="shared" si="9"/>
        <v>0.84855542035104847</v>
      </c>
      <c r="F28" s="6">
        <f>HLOOKUP("QTE-0.5-Empcov-IPS-proj",inference!$D$1:$DR$96,$R$2,FALSE)</f>
        <v>0.94799999999999995</v>
      </c>
      <c r="G28" s="6">
        <f>HLOOKUP("QTE-0.5-ASSD-IPS-proj",inference!$D$1:$DR$96,$R$2,FALSE)*2*1.96/SQRT(G$3)</f>
        <v>5.7610174677107144</v>
      </c>
      <c r="H28" s="5">
        <f t="shared" si="10"/>
        <v>46.474328668319899</v>
      </c>
      <c r="I28" s="5">
        <f t="shared" si="11"/>
        <v>1.5539509109456808</v>
      </c>
      <c r="J28" s="5"/>
      <c r="K28" s="5"/>
      <c r="L28" s="5"/>
      <c r="M28" s="5"/>
      <c r="N28" s="5"/>
    </row>
    <row r="29" spans="1:18" x14ac:dyDescent="0.45">
      <c r="B29" s="1" t="s">
        <v>88</v>
      </c>
      <c r="C29" s="5">
        <f>HLOOKUP("QTE-0.5-bias-CBPS-just",Point!$D$1:$DR$96,$R$2,FALSE)</f>
        <v>0.30402859109541802</v>
      </c>
      <c r="D29" s="5">
        <f>HLOOKUP("QTE-0.5-RMSE-CBPS-just",Point!$D$1:$DR$96,$R$2,FALSE)</f>
        <v>1.59121018387771</v>
      </c>
      <c r="E29" s="5">
        <f t="shared" si="9"/>
        <v>1.1805214684675522</v>
      </c>
      <c r="F29" s="5">
        <f>HLOOKUP("QTE-0.5-Empcov-CBPS-just",inference!$D$1:$DR$96,$R$2,FALSE)</f>
        <v>0.91100000000000003</v>
      </c>
      <c r="G29" s="5">
        <f>HLOOKUP("QTE-0.5-ASSD-CBPS-just",inference!$D$1:$DR$96,$R$2,FALSE)*2*1.96/SQRT(G$3)</f>
        <v>5.2900845606278422</v>
      </c>
      <c r="H29" s="5">
        <f t="shared" si="10"/>
        <v>42.675296496109901</v>
      </c>
      <c r="I29" s="5">
        <f t="shared" si="11"/>
        <v>1.8429368378971107</v>
      </c>
      <c r="J29" s="5"/>
      <c r="K29" s="5"/>
      <c r="L29" s="5"/>
      <c r="M29" s="5"/>
      <c r="N29" s="5"/>
    </row>
    <row r="30" spans="1:18" x14ac:dyDescent="0.45">
      <c r="B30" s="1" t="s">
        <v>89</v>
      </c>
      <c r="C30" s="5">
        <f>HLOOKUP("QTE-0.5-bias-CBPS-over",Point!$D$1:$DR$96,$R$2,FALSE)</f>
        <v>0.61554338299404698</v>
      </c>
      <c r="D30" s="5">
        <f>HLOOKUP("QTE-0.5-RMSE-CBPS-over",Point!$D$1:$DR$96,$R$2,FALSE)</f>
        <v>1.46450414414746</v>
      </c>
      <c r="E30" s="5">
        <f t="shared" si="9"/>
        <v>1</v>
      </c>
      <c r="F30" s="5">
        <f>HLOOKUP("QTE-0.5-Empcov-CBPS-over",inference!$D$1:$DR$96,$R$2,FALSE)</f>
        <v>0.98799999999999999</v>
      </c>
      <c r="G30" s="5">
        <f>HLOOKUP("QTE-0.5-ASSD-CBPS-over",inference!$D$1:$DR$96,$R$2,FALSE)*2*1.96/SQRT(G$3)</f>
        <v>7.1815442325919738</v>
      </c>
      <c r="H30" s="5">
        <f t="shared" si="10"/>
        <v>57.933767582236392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45">
      <c r="A31" s="3"/>
      <c r="B31" s="3" t="s">
        <v>2</v>
      </c>
      <c r="C31" s="5">
        <f>HLOOKUP("QTE-0.5-bias-GLM",Point!$D$1:$DR$96,$R$2,FALSE)</f>
        <v>5.5496098964341399E-2</v>
      </c>
      <c r="D31" s="5">
        <f>HLOOKUP("QTE-0.5-RMSE-GLM",Point!$D$1:$DR$96,$R$2,FALSE)</f>
        <v>1.50213391314637</v>
      </c>
      <c r="E31" s="5">
        <f t="shared" si="9"/>
        <v>1.0520493015539638</v>
      </c>
      <c r="F31" s="5">
        <f>HLOOKUP("QTE-0.5-Empcov-GLM",inference!$D$1:$DR$96,$R$2,FALSE)</f>
        <v>0.94599999999999995</v>
      </c>
      <c r="G31" s="5">
        <f>HLOOKUP("QTE-0.5-ASSD-GLM",inference!$D$1:$DR$96,$R$2,FALSE)*2*1.96/SQRT(G$3)</f>
        <v>5.7612226359024623</v>
      </c>
      <c r="H31" s="5">
        <f t="shared" si="10"/>
        <v>46.475983767272304</v>
      </c>
      <c r="I31" s="5">
        <f t="shared" si="11"/>
        <v>1.5538402345696083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-0.39917842368661699</v>
      </c>
      <c r="D33" s="5">
        <f>HLOOKUP("QTE-0.75-RMSE-IPS-exp",Point!$D$1:$DR$96,$R$2,FALSE)</f>
        <v>3.4630279998968398</v>
      </c>
      <c r="E33" s="5">
        <f t="shared" ref="E33:E38" si="12">(D33/$D$37)^2</f>
        <v>0.78711843344279164</v>
      </c>
      <c r="F33" s="5">
        <f>HLOOKUP("QTE-0.75-Empcov-IPS-exp",inference!$D$1:$DR$96,$R$2,FALSE)</f>
        <v>0.95699999999999996</v>
      </c>
      <c r="G33" s="5">
        <f>HLOOKUP("QTE-0.75-ASSD-IPS-exp",inference!$D$1:$DR$96,$R$2,FALSE)*2*1.96/SQRT(G$3)</f>
        <v>15.624115285915712</v>
      </c>
      <c r="H33" s="5">
        <f t="shared" ref="H33:H38" si="13">G33/(2*1.96/SQRT(G$3))</f>
        <v>126.04028247078202</v>
      </c>
      <c r="I33" s="5">
        <f t="shared" ref="I33:I38" si="14">($H$37/H33)^2</f>
        <v>1.6716324733640697</v>
      </c>
      <c r="J33" s="5"/>
    </row>
    <row r="34" spans="1:10" x14ac:dyDescent="0.45">
      <c r="B34" s="1" t="s">
        <v>5</v>
      </c>
      <c r="C34" s="5">
        <f>HLOOKUP("QTE-0.75-bias-IPS-ind",Point!$D$1:$DR$96,$R$2,FALSE)</f>
        <v>1.5265473559592</v>
      </c>
      <c r="D34" s="5">
        <f>HLOOKUP("QTE-0.75-RMSE-IPS-ind",Point!$D$1:$DR$96,$R$2,FALSE)</f>
        <v>5.4065230105867004</v>
      </c>
      <c r="E34" s="5">
        <f t="shared" si="12"/>
        <v>1.9185105363266677</v>
      </c>
      <c r="F34" s="5">
        <f>HLOOKUP("QTE-0.75-Empcov-IPS-ind",inference!$D$1:$DR$96,$R$2,FALSE)</f>
        <v>0.99399999999999999</v>
      </c>
      <c r="G34" s="5">
        <f>HLOOKUP("QTE-0.75-ASSD-IPS-ind",inference!$D$1:$DR$96,$R$2,FALSE)*2*1.96/SQRT(G$3)</f>
        <v>33.419254037899314</v>
      </c>
      <c r="H34" s="5">
        <f t="shared" si="13"/>
        <v>269.59428689678805</v>
      </c>
      <c r="I34" s="5">
        <f t="shared" si="14"/>
        <v>0.36537444241153183</v>
      </c>
      <c r="J34" s="5"/>
    </row>
    <row r="35" spans="1:10" x14ac:dyDescent="0.45">
      <c r="B35" s="1" t="s">
        <v>4</v>
      </c>
      <c r="C35" s="5">
        <f>HLOOKUP("QTE-0.75-bias-IPS-proj",Point!$D$1:$DR$96,$R$2,FALSE)</f>
        <v>-0.56485857363555203</v>
      </c>
      <c r="D35" s="5">
        <f>HLOOKUP("QTE-0.75-RMSE-IPS-proj",Point!$D$1:$DR$96,$R$2,FALSE)</f>
        <v>3.56205943014296</v>
      </c>
      <c r="E35" s="5">
        <f t="shared" si="12"/>
        <v>0.83278021605536878</v>
      </c>
      <c r="F35" s="6">
        <f>HLOOKUP("QTE-0.75-Empcov-IPS-proj",inference!$D$1:$DR$96,$R$2,FALSE)</f>
        <v>0.96199999999999997</v>
      </c>
      <c r="G35" s="6">
        <f>HLOOKUP("QTE-0.75-ASSD-IPS-proj",inference!$D$1:$DR$96,$R$2,FALSE)*2*1.96/SQRT(G$3)</f>
        <v>16.949529087655151</v>
      </c>
      <c r="H35" s="5">
        <f t="shared" si="13"/>
        <v>136.73244179659699</v>
      </c>
      <c r="I35" s="5">
        <f t="shared" si="14"/>
        <v>1.4204187472241152</v>
      </c>
      <c r="J35" s="5"/>
    </row>
    <row r="36" spans="1:10" x14ac:dyDescent="0.45">
      <c r="B36" s="1" t="s">
        <v>88</v>
      </c>
      <c r="C36" s="5">
        <f>HLOOKUP("QTE-0.75-bias-CBPS-just",Point!$D$1:$DR$96,$R$2,FALSE)</f>
        <v>6.6586306844245199E-2</v>
      </c>
      <c r="D36" s="5">
        <f>HLOOKUP("QTE-0.75-RMSE-CBPS-just",Point!$D$1:$DR$96,$R$2,FALSE)</f>
        <v>3.8287270290495199</v>
      </c>
      <c r="E36" s="5">
        <f t="shared" si="12"/>
        <v>0.96213693225119834</v>
      </c>
      <c r="F36" s="5">
        <f>HLOOKUP("QTE-0.75-Empcov-CBPS-just",inference!$D$1:$DR$96,$R$2,FALSE)</f>
        <v>0.877</v>
      </c>
      <c r="G36" s="5">
        <f>HLOOKUP("QTE-0.75-ASSD-CBPS-just",inference!$D$1:$DR$96,$R$2,FALSE)*2*1.96/SQRT(G$3)</f>
        <v>12.038748631811389</v>
      </c>
      <c r="H36" s="5">
        <f t="shared" si="13"/>
        <v>97.117004731530102</v>
      </c>
      <c r="I36" s="5">
        <f t="shared" si="14"/>
        <v>2.8155871589635888</v>
      </c>
      <c r="J36" s="5"/>
    </row>
    <row r="37" spans="1:10" x14ac:dyDescent="0.45">
      <c r="B37" s="1" t="s">
        <v>89</v>
      </c>
      <c r="C37" s="5">
        <f>HLOOKUP("QTE-0.75-bias-CBPS-over",Point!$D$1:$DR$96,$R$2,FALSE)</f>
        <v>1.5680700433695201</v>
      </c>
      <c r="D37" s="5">
        <f>HLOOKUP("QTE-0.75-RMSE-CBPS-over",Point!$D$1:$DR$96,$R$2,FALSE)</f>
        <v>3.9033362187732501</v>
      </c>
      <c r="E37" s="5">
        <f t="shared" si="12"/>
        <v>1</v>
      </c>
      <c r="F37" s="5">
        <f>HLOOKUP("QTE-0.75-Empcov-CBPS-over",inference!$D$1:$DR$96,$R$2,FALSE)</f>
        <v>0.99</v>
      </c>
      <c r="G37" s="5">
        <f>HLOOKUP("QTE-0.75-ASSD-CBPS-over",inference!$D$1:$DR$96,$R$2,FALSE)*2*1.96/SQRT(G$3)</f>
        <v>20.200672809984304</v>
      </c>
      <c r="H37" s="5">
        <f t="shared" si="13"/>
        <v>162.95953149842899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-0.197442409669145</v>
      </c>
      <c r="D38" s="5">
        <f>HLOOKUP("QTE-0.75-RMSE-GLM",Point!$D$1:$DR$96,$R$2,FALSE)</f>
        <v>3.65549408316999</v>
      </c>
      <c r="E38" s="5">
        <f t="shared" si="12"/>
        <v>0.8770417098467822</v>
      </c>
      <c r="F38" s="5">
        <f>HLOOKUP("QTE-0.75-Empcov-GLM",inference!$D$1:$DR$96,$R$2,FALSE)</f>
        <v>0.88800000000000001</v>
      </c>
      <c r="G38" s="5">
        <f>HLOOKUP("QTE-0.75-ASSD-GLM",inference!$D$1:$DR$96,$R$2,FALSE)*2*1.96/SQRT(G$3)</f>
        <v>14.135851992825359</v>
      </c>
      <c r="H38" s="5">
        <f t="shared" si="13"/>
        <v>114.034410623363</v>
      </c>
      <c r="I38" s="5">
        <f t="shared" si="14"/>
        <v>2.0421502423029056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0.40391514105170701</v>
      </c>
      <c r="D40" s="5">
        <f>HLOOKUP("QTE-0.9-RMSE-IPS-exp",Point!$D$1:$DR$96,$R$2,FALSE)</f>
        <v>6.9191877616529496</v>
      </c>
      <c r="E40" s="5">
        <f t="shared" ref="E40:E45" si="15">(D40/$D$44)^2</f>
        <v>0.90622717028310229</v>
      </c>
      <c r="F40" s="5">
        <f>HLOOKUP("QTE-0.9-Empcov-IPS-exp",inference!$D$1:$DR$96,$R$2,FALSE)</f>
        <v>0.97399999999999998</v>
      </c>
      <c r="G40" s="5">
        <f>HLOOKUP("QTE-0.9-ASSD-IPS-exp",inference!$D$1:$DR$96,$R$2,FALSE)*2*1.96/SQRT(G$3)</f>
        <v>37.112679598022922</v>
      </c>
      <c r="H40" s="5">
        <f t="shared" ref="H40:H45" si="16">G40/(2*1.96/SQRT(G$3))</f>
        <v>299.389279596466</v>
      </c>
      <c r="I40" s="5">
        <f t="shared" ref="I40:I45" si="17">($H$44/H40)^2</f>
        <v>0.99849292400374123</v>
      </c>
      <c r="J40" s="5"/>
    </row>
    <row r="41" spans="1:10" x14ac:dyDescent="0.45">
      <c r="B41" s="1" t="s">
        <v>5</v>
      </c>
      <c r="C41" s="5">
        <f>HLOOKUP("QTE-0.9-bias-IPS-ind",Point!$D$1:$DR$96,$R$2,FALSE)</f>
        <v>4.37107100047721</v>
      </c>
      <c r="D41" s="5">
        <f>HLOOKUP("QTE-0.9-RMSE-IPS-ind",Point!$D$1:$DR$96,$R$2,FALSE)</f>
        <v>10.8938008403733</v>
      </c>
      <c r="E41" s="5">
        <f t="shared" si="15"/>
        <v>2.2463928575961911</v>
      </c>
      <c r="F41" s="5">
        <f>HLOOKUP("QTE-0.9-Empcov-IPS-ind",inference!$D$1:$DR$96,$R$2,FALSE)</f>
        <v>0.99299999999999999</v>
      </c>
      <c r="G41" s="5">
        <f>HLOOKUP("QTE-0.9-ASSD-IPS-ind",inference!$D$1:$DR$96,$R$2,FALSE)*2*1.96/SQRT(G$3)</f>
        <v>86.005072302109539</v>
      </c>
      <c r="H41" s="5">
        <f t="shared" si="16"/>
        <v>693.80591531154914</v>
      </c>
      <c r="I41" s="5">
        <f t="shared" si="17"/>
        <v>0.18592658200574666</v>
      </c>
      <c r="J41" s="5"/>
    </row>
    <row r="42" spans="1:10" x14ac:dyDescent="0.45">
      <c r="B42" s="1" t="s">
        <v>4</v>
      </c>
      <c r="C42" s="5">
        <f>HLOOKUP("QTE-0.9-bias-IPS-proj",Point!$D$1:$DR$96,$R$2,FALSE)</f>
        <v>-0.89762037354792801</v>
      </c>
      <c r="D42" s="5">
        <f>HLOOKUP("QTE-0.9-RMSE-IPS-proj",Point!$D$1:$DR$96,$R$2,FALSE)</f>
        <v>7.0148954665875696</v>
      </c>
      <c r="E42" s="5">
        <f t="shared" si="15"/>
        <v>0.93147082023699201</v>
      </c>
      <c r="F42" s="6">
        <f>HLOOKUP("QTE-0.9-Empcov-IPS-proj",inference!$D$1:$DR$96,$R$2,FALSE)</f>
        <v>0.99399999999999999</v>
      </c>
      <c r="G42" s="6">
        <f>HLOOKUP("QTE-0.9-ASSD-IPS-proj",inference!$D$1:$DR$96,$R$2,FALSE)*2*1.96/SQRT(G$3)</f>
        <v>49.397068509509978</v>
      </c>
      <c r="H42" s="5">
        <f t="shared" si="16"/>
        <v>398.48787302405702</v>
      </c>
      <c r="I42" s="5">
        <f t="shared" si="17"/>
        <v>0.56362112630444283</v>
      </c>
      <c r="J42" s="5"/>
    </row>
    <row r="43" spans="1:10" x14ac:dyDescent="0.45">
      <c r="B43" s="1" t="s">
        <v>88</v>
      </c>
      <c r="C43" s="5">
        <f>HLOOKUP("QTE-0.9-bias-CBPS-just",Point!$D$1:$DR$96,$R$2,FALSE)</f>
        <v>5.4736446896908902E-2</v>
      </c>
      <c r="D43" s="5">
        <f>HLOOKUP("QTE-0.9-RMSE-CBPS-just",Point!$D$1:$DR$96,$R$2,FALSE)</f>
        <v>7.2135117123481303</v>
      </c>
      <c r="E43" s="5">
        <f t="shared" si="15"/>
        <v>0.984963936756731</v>
      </c>
      <c r="F43" s="5">
        <f>HLOOKUP("QTE-0.9-Empcov-CBPS-just",inference!$D$1:$DR$96,$R$2,FALSE)</f>
        <v>0.91400000000000003</v>
      </c>
      <c r="G43" s="5">
        <f>HLOOKUP("QTE-0.9-ASSD-CBPS-just",inference!$D$1:$DR$96,$R$2,FALSE)*2*1.96/SQRT(G$3)</f>
        <v>29.674953288573946</v>
      </c>
      <c r="H43" s="5">
        <f t="shared" si="16"/>
        <v>239.388882272953</v>
      </c>
      <c r="I43" s="5">
        <f t="shared" si="17"/>
        <v>1.5617428562156905</v>
      </c>
      <c r="J43" s="5"/>
    </row>
    <row r="44" spans="1:10" x14ac:dyDescent="0.45">
      <c r="B44" s="1" t="s">
        <v>89</v>
      </c>
      <c r="C44" s="5">
        <f>HLOOKUP("QTE-0.9-bias-CBPS-over",Point!$D$1:$DR$96,$R$2,FALSE)</f>
        <v>2.1173255423552799</v>
      </c>
      <c r="D44" s="5">
        <f>HLOOKUP("QTE-0.9-RMSE-CBPS-over",Point!$D$1:$DR$96,$R$2,FALSE)</f>
        <v>7.2683624568866501</v>
      </c>
      <c r="E44" s="5">
        <f t="shared" si="15"/>
        <v>1</v>
      </c>
      <c r="F44" s="5">
        <f>HLOOKUP("QTE-0.9-Empcov-CBPS-over",inference!$D$1:$DR$96,$R$2,FALSE)</f>
        <v>0.98099999999999998</v>
      </c>
      <c r="G44" s="5">
        <f>HLOOKUP("QTE-0.9-ASSD-CBPS-over",inference!$D$1:$DR$96,$R$2,FALSE)*2*1.96/SQRT(G$3)</f>
        <v>37.084703239134292</v>
      </c>
      <c r="H44" s="5">
        <f t="shared" si="16"/>
        <v>299.16359333440897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7.9526885493846705E-2</v>
      </c>
      <c r="D45" s="5">
        <f>HLOOKUP("QTE-0.9-RMSE-GLM",Point!$D$1:$DR$96,$R$2,FALSE)</f>
        <v>6.9385172315989303</v>
      </c>
      <c r="E45" s="5">
        <f t="shared" si="15"/>
        <v>0.91129752220411042</v>
      </c>
      <c r="F45" s="5">
        <f>HLOOKUP("QTE-0.9-Empcov-GLM",inference!$D$1:$DR$96,$R$2,FALSE)</f>
        <v>0.92300000000000004</v>
      </c>
      <c r="G45" s="5">
        <f>HLOOKUP("QTE-0.9-ASSD-GLM",inference!$D$1:$DR$96,$R$2,FALSE)*2*1.96/SQRT(G$3)</f>
        <v>26.357538444602696</v>
      </c>
      <c r="H45" s="5">
        <f t="shared" si="16"/>
        <v>212.62718112345999</v>
      </c>
      <c r="I45" s="5">
        <f t="shared" si="17"/>
        <v>1.9796112753475379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H114" s="7"/>
      <c r="I114" s="7"/>
      <c r="J114" s="7"/>
    </row>
    <row r="115" spans="8:10" x14ac:dyDescent="0.45">
      <c r="H115" s="7"/>
      <c r="I115" s="7"/>
      <c r="J115" s="7"/>
    </row>
    <row r="116" spans="8:10" x14ac:dyDescent="0.45">
      <c r="H116" s="7"/>
      <c r="I116" s="7"/>
      <c r="J116" s="7"/>
    </row>
    <row r="117" spans="8:10" x14ac:dyDescent="0.45">
      <c r="H117" s="7"/>
      <c r="I117" s="7"/>
      <c r="J117" s="7"/>
    </row>
    <row r="118" spans="8:10" x14ac:dyDescent="0.45">
      <c r="H118" s="7"/>
      <c r="I118" s="7"/>
      <c r="J118" s="7"/>
    </row>
    <row r="119" spans="8:10" x14ac:dyDescent="0.45">
      <c r="H119" s="7"/>
      <c r="I119" s="7"/>
      <c r="J119" s="7"/>
    </row>
    <row r="120" spans="8:10" x14ac:dyDescent="0.4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6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10.46484375" style="1" bestFit="1" customWidth="1"/>
    <col min="9" max="9" width="5.1328125" style="1" bestFit="1" customWidth="1"/>
    <col min="10" max="10" width="8.33203125" style="1" customWidth="1"/>
    <col min="11" max="17" width="9.33203125" style="1"/>
    <col min="18" max="18" width="28" style="1" bestFit="1" customWidth="1"/>
    <col min="19" max="16384" width="9.33203125" style="1"/>
  </cols>
  <sheetData>
    <row r="1" spans="1:18" x14ac:dyDescent="0.4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217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7</v>
      </c>
    </row>
    <row r="3" spans="1:18" x14ac:dyDescent="0.4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-5.7529756514127701</v>
      </c>
      <c r="D5" s="5">
        <f>HLOOKUP("ATE-RMSE-IPS-exp",Point!$D$1:$DR$96,$R$2,FALSE)</f>
        <v>7.7165029693855001</v>
      </c>
      <c r="E5" s="5">
        <f t="shared" ref="E5:E10" si="0">(D5/$D$9)^2</f>
        <v>5.3262818900446929</v>
      </c>
      <c r="F5" s="5">
        <f>HLOOKUP("ATE-Empcov-IPS-exp",inference!$D$1:$DR$96,$R$2,FALSE)</f>
        <v>0.91800000000000004</v>
      </c>
      <c r="G5" s="5">
        <f>HLOOKUP("ATE-ASSD-IPS-exp",inference!$D$1:$DR$96,$R$2,FALSE)*2*1.96/SQRT(G$3)</f>
        <v>18.000953167044376</v>
      </c>
      <c r="H5" s="5">
        <f t="shared" ref="H5:H10" si="1">G5/(2*1.96/SQRT(G$3))</f>
        <v>145.21431648439201</v>
      </c>
      <c r="I5" s="5">
        <f t="shared" ref="I5:I10" si="2">($H$9/H5)^2</f>
        <v>0.93085403813541912</v>
      </c>
      <c r="J5" s="5"/>
      <c r="K5" s="5">
        <f>HLOOKUP("ks-IPS-exp",balance!$D$1:$DR$96,$R$2,FALSE)</f>
        <v>3.63038743047706</v>
      </c>
      <c r="L5" s="5">
        <f>HLOOKUP("cvm-IPS-exp",balance!$D$1:$DR$96,$R$2,FALSE)</f>
        <v>0.83640241455059305</v>
      </c>
      <c r="M5" s="5">
        <f>HLOOKUP("ks-IPS-exp_1",balance!$D$1:$DR$96,$R$2,FALSE)</f>
        <v>2.5759777364940102</v>
      </c>
      <c r="N5" s="5">
        <f>HLOOKUP("cvm-IPS-exp_1",balance!$D$1:$DR$96,$R$2,FALSE)</f>
        <v>0.48601038440514399</v>
      </c>
      <c r="O5" s="5">
        <f>HLOOKUP("ks-IPS-exp_0",balance!$D$1:$DR$96,$R$2,FALSE)</f>
        <v>1.4924503205145501</v>
      </c>
      <c r="P5" s="5">
        <f>HLOOKUP("cvm-IPS-exp_0",balance!$D$1:$DR$96,$R$2,FALSE)</f>
        <v>6.4349655643689205E-2</v>
      </c>
    </row>
    <row r="6" spans="1:18" x14ac:dyDescent="0.45">
      <c r="B6" s="1" t="s">
        <v>5</v>
      </c>
      <c r="C6" s="5">
        <f>HLOOKUP("ATE-bias-IPS-ind",Point!$D$1:$DR$96,$R$2,FALSE)</f>
        <v>-3.00227352094339</v>
      </c>
      <c r="D6" s="5">
        <f>HLOOKUP("ATE-RMSE-IPS-ind",Point!$D$1:$DR$96,$R$2,FALSE)</f>
        <v>5.6751886270281702</v>
      </c>
      <c r="E6" s="5">
        <f t="shared" si="0"/>
        <v>2.8810028891423709</v>
      </c>
      <c r="F6" s="5">
        <f>HLOOKUP("ATE-Empcov-IPS-ind",inference!$D$1:$DR$96,$R$2,FALSE)</f>
        <v>1</v>
      </c>
      <c r="G6" s="5">
        <f>HLOOKUP("ATE-ASSD-IPS-ind",inference!$D$1:$DR$96,$R$2,FALSE)*2*1.96/SQRT(G$3)</f>
        <v>30.400510237485285</v>
      </c>
      <c r="H6" s="5">
        <f t="shared" si="1"/>
        <v>245.24197546357101</v>
      </c>
      <c r="I6" s="5">
        <f t="shared" si="2"/>
        <v>0.32637046144279142</v>
      </c>
      <c r="J6" s="5"/>
      <c r="K6" s="5">
        <f>HLOOKUP("ks-IPS-ind",balance!$D$1:$DR$96,$R$2,FALSE)</f>
        <v>3.30685293782442</v>
      </c>
      <c r="L6" s="5">
        <f>HLOOKUP("cvm-IPS-ind",balance!$D$1:$DR$96,$R$2,FALSE)</f>
        <v>0.51585298108185995</v>
      </c>
      <c r="M6" s="5">
        <f>HLOOKUP("ks-IPS-ind_1",balance!$D$1:$DR$96,$R$2,FALSE)</f>
        <v>2.3740290162561202</v>
      </c>
      <c r="N6" s="5">
        <f>HLOOKUP("cvm-IPS-ind_1",balance!$D$1:$DR$96,$R$2,FALSE)</f>
        <v>0.32847695403489902</v>
      </c>
      <c r="O6" s="5">
        <f>HLOOKUP("ks-IPS-ind_0",balance!$D$1:$DR$96,$R$2,FALSE)</f>
        <v>1.5643552689268501</v>
      </c>
      <c r="P6" s="5">
        <f>HLOOKUP("cvm-IPS-ind_0",balance!$D$1:$DR$96,$R$2,FALSE)</f>
        <v>5.2911039589246103E-2</v>
      </c>
    </row>
    <row r="7" spans="1:18" x14ac:dyDescent="0.45">
      <c r="B7" s="1" t="s">
        <v>4</v>
      </c>
      <c r="C7" s="5">
        <f>HLOOKUP("ATE-bias-IPS-proj",Point!$D$1:$DR$96,$R$2,FALSE)</f>
        <v>-0.233269753068157</v>
      </c>
      <c r="D7" s="5">
        <f>HLOOKUP("ATE-RMSE-IPS-proj",Point!$D$1:$DR$96,$R$2,FALSE)</f>
        <v>2.8802878720641898</v>
      </c>
      <c r="E7" s="5">
        <f t="shared" si="0"/>
        <v>0.74208710262129951</v>
      </c>
      <c r="F7" s="6">
        <f>HLOOKUP("ATE-Empcov-IPS-proj",inference!$D$1:$DR$96,$R$2,FALSE)</f>
        <v>0.97099999999999997</v>
      </c>
      <c r="G7" s="6">
        <f>HLOOKUP("ATE-ASSD-IPS-proj",inference!$D$1:$DR$96,$R$2,FALSE)*2*1.96/SQRT(G$3)</f>
        <v>10.909150644118558</v>
      </c>
      <c r="H7" s="5">
        <f t="shared" si="1"/>
        <v>88.00449840129491</v>
      </c>
      <c r="I7" s="5">
        <f t="shared" si="2"/>
        <v>2.534490765542873</v>
      </c>
      <c r="J7" s="5"/>
      <c r="K7" s="5">
        <f>HLOOKUP("ks-IPS-proj",balance!$D$1:$DR$96,$R$2,FALSE)</f>
        <v>3.6499006586093401</v>
      </c>
      <c r="L7" s="5">
        <f>HLOOKUP("cvm-IPS-proj",balance!$D$1:$DR$96,$R$2,FALSE)</f>
        <v>0.83406120183312205</v>
      </c>
      <c r="M7" s="5">
        <f>HLOOKUP("ks-IPS-proj_1",balance!$D$1:$DR$96,$R$2,FALSE)</f>
        <v>2.6946544510094999</v>
      </c>
      <c r="N7" s="5">
        <f>HLOOKUP("cvm-IPS-proj_1",balance!$D$1:$DR$96,$R$2,FALSE)</f>
        <v>0.50210070434551901</v>
      </c>
      <c r="O7" s="5">
        <f>HLOOKUP("ks-IPS-proj_0",balance!$D$1:$DR$96,$R$2,FALSE)</f>
        <v>1.2373866053550699</v>
      </c>
      <c r="P7" s="5">
        <f>HLOOKUP("cvm-IPS-proj_0",balance!$D$1:$DR$96,$R$2,FALSE)</f>
        <v>5.4417525426593699E-2</v>
      </c>
    </row>
    <row r="8" spans="1:18" x14ac:dyDescent="0.45">
      <c r="B8" s="1" t="s">
        <v>88</v>
      </c>
      <c r="C8" s="5">
        <f>HLOOKUP("ATE-bias-CBPS-just",Point!$D$1:$DR$96,$R$2,FALSE)</f>
        <v>-5.0883974954893203</v>
      </c>
      <c r="D8" s="5">
        <f>HLOOKUP("ATE-RMSE-CBPS-just",Point!$D$1:$DR$96,$R$2,FALSE)</f>
        <v>6.8498981709302704</v>
      </c>
      <c r="E8" s="5">
        <f t="shared" si="0"/>
        <v>4.1971193881868638</v>
      </c>
      <c r="F8" s="5">
        <f>HLOOKUP("ATE-Empcov-CBPS-just",inference!$D$1:$DR$96,$R$2,FALSE)</f>
        <v>0.65600000000000003</v>
      </c>
      <c r="G8" s="5">
        <f>HLOOKUP("ATE-ASSD-CBPS-just",inference!$D$1:$DR$96,$R$2,FALSE)*2*1.96/SQRT(G$3)</f>
        <v>12.014184364803041</v>
      </c>
      <c r="H8" s="5">
        <f t="shared" si="1"/>
        <v>96.918843933573697</v>
      </c>
      <c r="I8" s="5">
        <f t="shared" si="2"/>
        <v>2.0897003082216146</v>
      </c>
      <c r="J8" s="5"/>
      <c r="K8" s="5">
        <f>HLOOKUP("ks-CBPS-Just",balance!$D$1:$DR$96,$R$2,FALSE)</f>
        <v>3.44759449197824</v>
      </c>
      <c r="L8" s="5">
        <f>HLOOKUP("cvm-CBPS-Just",balance!$D$1:$DR$96,$R$2,FALSE)</f>
        <v>0.78675835564618801</v>
      </c>
      <c r="M8" s="5">
        <f>HLOOKUP("ks-CBPS-Just_1",balance!$D$1:$DR$96,$R$2,FALSE)</f>
        <v>2.6322230833233</v>
      </c>
      <c r="N8" s="5">
        <f>HLOOKUP("cvm-CBPS-Just_1",balance!$D$1:$DR$96,$R$2,FALSE)</f>
        <v>0.52738752709227299</v>
      </c>
      <c r="O8" s="5">
        <f>HLOOKUP("ks-CBPS-Just_0",balance!$D$1:$DR$96,$R$2,FALSE)</f>
        <v>1.43581431726332</v>
      </c>
      <c r="P8" s="5">
        <f>HLOOKUP("cvm-CBPS-Just_0",balance!$D$1:$DR$96,$R$2,FALSE)</f>
        <v>4.8857545033469403E-2</v>
      </c>
    </row>
    <row r="9" spans="1:18" x14ac:dyDescent="0.45">
      <c r="B9" s="1" t="s">
        <v>89</v>
      </c>
      <c r="C9" s="5">
        <f>HLOOKUP("ATE-bias-CBPS-over",Point!$D$1:$DR$96,$R$2,FALSE)</f>
        <v>-0.73714407217555</v>
      </c>
      <c r="D9" s="5">
        <f>HLOOKUP("ATE-RMSE-CBPS-over",Point!$D$1:$DR$96,$R$2,FALSE)</f>
        <v>3.34355486421574</v>
      </c>
      <c r="E9" s="5">
        <f t="shared" si="0"/>
        <v>1</v>
      </c>
      <c r="F9" s="5">
        <f>HLOOKUP("ATE-Empcov-CBPS-over",inference!$D$1:$DR$96,$R$2,FALSE)</f>
        <v>0.997</v>
      </c>
      <c r="G9" s="5">
        <f>HLOOKUP("ATE-ASSD-CBPS-over",inference!$D$1:$DR$96,$R$2,FALSE)*2*1.96/SQRT(G$3)</f>
        <v>17.367459530389127</v>
      </c>
      <c r="H9" s="5">
        <f t="shared" si="1"/>
        <v>140.10390124190803</v>
      </c>
      <c r="I9" s="5">
        <f t="shared" si="2"/>
        <v>1</v>
      </c>
      <c r="J9" s="5"/>
      <c r="K9" s="5">
        <f>HLOOKUP("ks-CBPS-over",balance!$D$1:$DR$96,$R$2,FALSE)</f>
        <v>3.9559496782238499</v>
      </c>
      <c r="L9" s="5">
        <f>HLOOKUP("cvm-CBPS-over",balance!$D$1:$DR$96,$R$2,FALSE)</f>
        <v>1.1763549808877301</v>
      </c>
      <c r="M9" s="5">
        <f>HLOOKUP("ks-CBPS-over_1",balance!$D$1:$DR$96,$R$2,FALSE)</f>
        <v>3.00816444414379</v>
      </c>
      <c r="N9" s="5">
        <f>HLOOKUP("cvm-CBPS-over_1",balance!$D$1:$DR$96,$R$2,FALSE)</f>
        <v>0.73960296479923504</v>
      </c>
      <c r="O9" s="5">
        <f>HLOOKUP("ks-CBPS-over_0",balance!$D$1:$DR$96,$R$2,FALSE)</f>
        <v>1.17296579473229</v>
      </c>
      <c r="P9" s="5">
        <f>HLOOKUP("cvm-CBPS-over_0",balance!$D$1:$DR$96,$R$2,FALSE)</f>
        <v>6.1135244700406197E-2</v>
      </c>
    </row>
    <row r="10" spans="1:18" s="3" customFormat="1" x14ac:dyDescent="0.45">
      <c r="B10" s="3" t="s">
        <v>2</v>
      </c>
      <c r="C10" s="5">
        <f>HLOOKUP("ATE-bias-GLM",Point!$D$1:$DR$96,$R$2,FALSE)</f>
        <v>-8.3686991213855304</v>
      </c>
      <c r="D10" s="5">
        <f>HLOOKUP("ATE-RMSE-GLM",Point!$D$1:$DR$96,$R$2,FALSE)</f>
        <v>16.005829853136099</v>
      </c>
      <c r="E10" s="5">
        <f t="shared" si="0"/>
        <v>22.916035374477463</v>
      </c>
      <c r="F10" s="5">
        <f>HLOOKUP("ATE-Empcov-GLM",inference!$D$1:$DR$96,$R$2,FALSE)</f>
        <v>0.85799999999999998</v>
      </c>
      <c r="G10" s="5">
        <f>HLOOKUP("ATE-ASSD-GLM",inference!$D$1:$DR$96,$R$2,FALSE)*2*1.96/SQRT(G$3)</f>
        <v>24.277965543646804</v>
      </c>
      <c r="H10" s="5">
        <f t="shared" si="1"/>
        <v>195.85119406380599</v>
      </c>
      <c r="I10" s="5">
        <f t="shared" si="2"/>
        <v>0.51173840323947972</v>
      </c>
      <c r="J10" s="5"/>
      <c r="K10" s="5">
        <f>HLOOKUP("ks-GLM",balance!$D$1:$DR$96,$R$2,FALSE)</f>
        <v>3.4475499280592201</v>
      </c>
      <c r="L10" s="5">
        <f>HLOOKUP("cvm-GLM",balance!$D$1:$DR$96,$R$2,FALSE)</f>
        <v>0.773635653548297</v>
      </c>
      <c r="M10" s="5">
        <f>HLOOKUP("ks-GLM_1",balance!$D$1:$DR$96,$R$2,FALSE)</f>
        <v>2.6414591903017</v>
      </c>
      <c r="N10" s="5">
        <f>HLOOKUP("cvm-GLM_1",balance!$D$1:$DR$96,$R$2,FALSE)</f>
        <v>0.55255787638502996</v>
      </c>
      <c r="O10" s="5">
        <f>HLOOKUP("ks-GLM_0",balance!$D$1:$DR$96,$R$2,FALSE)</f>
        <v>1.6180472030692801</v>
      </c>
      <c r="P10" s="5">
        <f>HLOOKUP("cvm-GLM_0",balance!$D$1:$DR$96,$R$2,FALSE)</f>
        <v>6.2137514306567998E-2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1.2239863178144901</v>
      </c>
      <c r="D12" s="5">
        <f>HLOOKUP("QTE-0.10-RMSE-IPS-exp",Point!$D$1:$DR$96,$R$2,FALSE)</f>
        <v>1.8870015294028699</v>
      </c>
      <c r="E12" s="5">
        <f t="shared" ref="E12:E17" si="3">(D12/$D$16)^2</f>
        <v>0.82739001972550696</v>
      </c>
      <c r="F12" s="5">
        <f>HLOOKUP("QTE-0.1-Empcov-IPS-exp",inference!$D$1:$DR$96,$R$2,FALSE)</f>
        <v>0.81200000000000006</v>
      </c>
      <c r="G12" s="5">
        <f>HLOOKUP("QTE-0.1-ASSD-IPS-exp",inference!$D$1:$DR$96,$R$2,FALSE)*2*1.96/SQRT(G$3)</f>
        <v>5.4231404964700625</v>
      </c>
      <c r="H12" s="5">
        <f t="shared" ref="H12:H17" si="4">G12/(2*1.96/SQRT(G$3))</f>
        <v>43.748663367198297</v>
      </c>
      <c r="I12" s="5">
        <f t="shared" ref="I12:I17" si="5">($H$16/H12)^2</f>
        <v>0.95708990702311636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1.20576698768042</v>
      </c>
      <c r="D13" s="5">
        <f>HLOOKUP("QTE-0.10-RMSE-IPS-ind",Point!$D$1:$DR$96,$R$2,FALSE)</f>
        <v>1.8697663189343201</v>
      </c>
      <c r="E13" s="5">
        <f t="shared" si="3"/>
        <v>0.81234486275384155</v>
      </c>
      <c r="F13" s="5">
        <f>HLOOKUP("QTE-0.1-Empcov-IPS-ind",inference!$D$1:$DR$96,$R$2,FALSE)</f>
        <v>0.82899999999999996</v>
      </c>
      <c r="G13" s="5">
        <f>HLOOKUP("QTE-0.1-ASSD-IPS-ind",inference!$D$1:$DR$96,$R$2,FALSE)*2*1.96/SQRT(G$3)</f>
        <v>5.7724791279114962</v>
      </c>
      <c r="H13" s="5">
        <f t="shared" si="4"/>
        <v>46.566790280568298</v>
      </c>
      <c r="I13" s="5">
        <f t="shared" si="5"/>
        <v>0.84475292735155072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1.4680719956272199</v>
      </c>
      <c r="D14" s="5">
        <f>HLOOKUP("QTE-0.10-RMSE-IPS-proj",Point!$D$1:$DR$96,$R$2,FALSE)</f>
        <v>1.9672795355272901</v>
      </c>
      <c r="E14" s="5">
        <f t="shared" si="3"/>
        <v>0.89928618589083009</v>
      </c>
      <c r="F14" s="6">
        <f>HLOOKUP("QTE-0.1-Empcov-IPS-proj",inference!$D$1:$DR$96,$R$2,FALSE)</f>
        <v>0.74299999999999999</v>
      </c>
      <c r="G14" s="6">
        <f>HLOOKUP("QTE-0.1-ASSD-IPS-proj",inference!$D$1:$DR$96,$R$2,FALSE)*2*1.96/SQRT(G$3)</f>
        <v>5.0119571203111626</v>
      </c>
      <c r="H14" s="5">
        <f t="shared" si="4"/>
        <v>40.431632743065897</v>
      </c>
      <c r="I14" s="5">
        <f t="shared" si="5"/>
        <v>1.1205719691461031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1.31950473581945</v>
      </c>
      <c r="D15" s="5">
        <f>HLOOKUP("QTE-0.10-RMSE-CBPS-just",Point!$D$1:$DR$96,$R$2,FALSE)</f>
        <v>1.9061560211659101</v>
      </c>
      <c r="E15" s="5">
        <f t="shared" si="3"/>
        <v>0.84427254033073806</v>
      </c>
      <c r="F15" s="5">
        <f>HLOOKUP("QTE-0.1-Empcov-CBPS-just",inference!$D$1:$DR$96,$R$2,FALSE)</f>
        <v>0.78400000000000003</v>
      </c>
      <c r="G15" s="5">
        <f>HLOOKUP("QTE-0.1-ASSD-CBPS-just",inference!$D$1:$DR$96,$R$2,FALSE)*2*1.96/SQRT(G$3)</f>
        <v>5.2582886333217171</v>
      </c>
      <c r="H15" s="5">
        <f t="shared" si="4"/>
        <v>42.418797642527004</v>
      </c>
      <c r="I15" s="5">
        <f t="shared" si="5"/>
        <v>1.0180417886258311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1.6032907292712899</v>
      </c>
      <c r="D16" s="5">
        <f>HLOOKUP("QTE-0.10-RMSE-CBPS-over",Point!$D$1:$DR$96,$R$2,FALSE)</f>
        <v>2.07451754974185</v>
      </c>
      <c r="E16" s="5">
        <f t="shared" si="3"/>
        <v>1</v>
      </c>
      <c r="F16" s="5">
        <f>HLOOKUP("QTE-0.1-Empcov-CBPS-over",inference!$D$1:$DR$96,$R$2,FALSE)</f>
        <v>0.73199999999999998</v>
      </c>
      <c r="G16" s="5">
        <f>HLOOKUP("QTE-0.1-ASSD-CBPS-over",inference!$D$1:$DR$96,$R$2,FALSE)*2*1.96/SQRT(G$3)</f>
        <v>5.3055110572315094</v>
      </c>
      <c r="H16" s="5">
        <f t="shared" si="4"/>
        <v>42.799742581784493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1.26737129115706</v>
      </c>
      <c r="D17" s="5">
        <f>HLOOKUP("QTE-0.10-RMSE-GLM",Point!$D$1:$DR$96,$R$2,FALSE)</f>
        <v>1.8955265737022</v>
      </c>
      <c r="E17" s="5">
        <f t="shared" si="3"/>
        <v>0.83488282733469843</v>
      </c>
      <c r="F17" s="5">
        <f>HLOOKUP("QTE-0.1-Empcov-GLM",inference!$D$1:$DR$96,$R$2,FALSE)</f>
        <v>0.80100000000000005</v>
      </c>
      <c r="G17" s="5">
        <f>HLOOKUP("QTE-0.1-ASSD-GLM",inference!$D$1:$DR$96,$R$2,FALSE)*2*1.96/SQRT(G$3)</f>
        <v>5.399733360617601</v>
      </c>
      <c r="H17" s="5">
        <f t="shared" si="4"/>
        <v>43.55983718659941</v>
      </c>
      <c r="I17" s="5">
        <f t="shared" si="5"/>
        <v>0.96540561020061733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0.81484174657141395</v>
      </c>
      <c r="D19" s="5">
        <f>HLOOKUP("QTE-0.25-RMSE-IPS-exp",Point!$D$1:$DR$96,$R$2,FALSE)</f>
        <v>1.28549524475851</v>
      </c>
      <c r="E19" s="5">
        <f t="shared" ref="E19:E24" si="6">(D19/$D$23)^2</f>
        <v>0.51673504804817494</v>
      </c>
      <c r="F19" s="5">
        <f>HLOOKUP("QTE-0.25-Empcov-IPS-exp",inference!$D$1:$DR$96,$R$2,FALSE)</f>
        <v>0.94899999999999995</v>
      </c>
      <c r="G19" s="5">
        <f>HLOOKUP("QTE-0.25-ASSD-IPS-exp",inference!$D$1:$DR$96,$R$2,FALSE)*2*1.96/SQRT(G$3)</f>
        <v>4.8768228873283679</v>
      </c>
      <c r="H19" s="5">
        <f t="shared" ref="H19:H24" si="7">G19/(2*1.96/SQRT(G$3))</f>
        <v>39.341500176521308</v>
      </c>
      <c r="I19" s="5">
        <f t="shared" ref="I19:I24" si="8">($H$23/H19)^2</f>
        <v>1.1331389815177684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0.73717979697200198</v>
      </c>
      <c r="D20" s="5">
        <f>HLOOKUP("QTE-0.25-RMSE-IPS-ind",Point!$D$1:$DR$96,$R$2,FALSE)</f>
        <v>1.2805602334380199</v>
      </c>
      <c r="E20" s="5">
        <f t="shared" si="6"/>
        <v>0.51277517589312571</v>
      </c>
      <c r="F20" s="5">
        <f>HLOOKUP("QTE-0.25-Empcov-IPS-ind",inference!$D$1:$DR$96,$R$2,FALSE)</f>
        <v>0.96199999999999997</v>
      </c>
      <c r="G20" s="5">
        <f>HLOOKUP("QTE-0.25-ASSD-IPS-ind",inference!$D$1:$DR$96,$R$2,FALSE)*2*1.96/SQRT(G$3)</f>
        <v>5.5119803120905067</v>
      </c>
      <c r="H20" s="5">
        <f t="shared" si="7"/>
        <v>44.465337255642197</v>
      </c>
      <c r="I20" s="5">
        <f t="shared" si="8"/>
        <v>0.8870371967651155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1.1563054562724</v>
      </c>
      <c r="D21" s="5">
        <f>HLOOKUP("QTE-0.25-RMSE-IPS-proj",Point!$D$1:$DR$96,$R$2,FALSE)</f>
        <v>1.51254207513981</v>
      </c>
      <c r="E21" s="5">
        <f t="shared" si="6"/>
        <v>0.71538840860037023</v>
      </c>
      <c r="F21" s="6">
        <f>HLOOKUP("QTE-0.25-Empcov-IPS-proj",inference!$D$1:$DR$96,$R$2,FALSE)</f>
        <v>0.875</v>
      </c>
      <c r="G21" s="6">
        <f>HLOOKUP("QTE-0.25-ASSD-IPS-proj",inference!$D$1:$DR$96,$R$2,FALSE)*2*1.96/SQRT(G$3)</f>
        <v>4.624421029147026</v>
      </c>
      <c r="H21" s="5">
        <f t="shared" si="7"/>
        <v>37.305365591031901</v>
      </c>
      <c r="I21" s="5">
        <f t="shared" si="8"/>
        <v>1.2602085223453408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0.94419305312420798</v>
      </c>
      <c r="D22" s="5">
        <f>HLOOKUP("QTE-0.25-RMSE-CBPS-just",Point!$D$1:$DR$96,$R$2,FALSE)</f>
        <v>1.3662313452458299</v>
      </c>
      <c r="E22" s="5">
        <f t="shared" si="6"/>
        <v>0.58368087073972674</v>
      </c>
      <c r="F22" s="5">
        <f>HLOOKUP("QTE-0.25-Empcov-CBPS-just",inference!$D$1:$DR$96,$R$2,FALSE)</f>
        <v>0.91700000000000004</v>
      </c>
      <c r="G22" s="5">
        <f>HLOOKUP("QTE-0.25-ASSD-CBPS-just",inference!$D$1:$DR$96,$R$2,FALSE)*2*1.96/SQRT(G$3)</f>
        <v>4.7382023978736578</v>
      </c>
      <c r="H22" s="5">
        <f t="shared" si="7"/>
        <v>38.223243857530903</v>
      </c>
      <c r="I22" s="5">
        <f t="shared" si="8"/>
        <v>1.2004109014220616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1.4554515507816701</v>
      </c>
      <c r="D23" s="5">
        <f>HLOOKUP("QTE-0.25-RMSE-CBPS-over",Point!$D$1:$DR$96,$R$2,FALSE)</f>
        <v>1.7882840991942099</v>
      </c>
      <c r="E23" s="5">
        <f t="shared" si="6"/>
        <v>1</v>
      </c>
      <c r="F23" s="5">
        <f>HLOOKUP("QTE-0.25-Empcov-CBPS-over",inference!$D$1:$DR$96,$R$2,FALSE)</f>
        <v>0.86099999999999999</v>
      </c>
      <c r="G23" s="5">
        <f>HLOOKUP("QTE-0.25-ASSD-CBPS-over",inference!$D$1:$DR$96,$R$2,FALSE)*2*1.96/SQRT(G$3)</f>
        <v>5.1913292443935388</v>
      </c>
      <c r="H23" s="5">
        <f t="shared" si="7"/>
        <v>41.878633918684898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0.874183496030143</v>
      </c>
      <c r="D24" s="5">
        <f>HLOOKUP("QTE-0.25-RMSE-GLM",Point!$D$1:$DR$96,$R$2,FALSE)</f>
        <v>1.3345072952724299</v>
      </c>
      <c r="E24" s="5">
        <f t="shared" si="6"/>
        <v>0.55688930140292747</v>
      </c>
      <c r="F24" s="5">
        <f>HLOOKUP("QTE-0.25-Empcov-GLM",inference!$D$1:$DR$96,$R$2,FALSE)</f>
        <v>0.92500000000000004</v>
      </c>
      <c r="G24" s="5">
        <f>HLOOKUP("QTE-0.25-ASSD-GLM",inference!$D$1:$DR$96,$R$2,FALSE)*2*1.96/SQRT(G$3)</f>
        <v>4.8421890296378001</v>
      </c>
      <c r="H24" s="5">
        <f t="shared" si="7"/>
        <v>39.0621076396327</v>
      </c>
      <c r="I24" s="5">
        <f t="shared" si="8"/>
        <v>1.1494065515095389</v>
      </c>
      <c r="J24" s="5"/>
      <c r="K24" s="5"/>
      <c r="L24" s="5"/>
      <c r="M24" s="5"/>
      <c r="N24" s="5"/>
    </row>
    <row r="25" spans="1:17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0.761568005319602</v>
      </c>
      <c r="D26" s="5">
        <f>HLOOKUP("QTE-0.5-RMSE-IPS-exp",Point!$D$1:$DR$96,$R$2,FALSE)</f>
        <v>1.51974440720379</v>
      </c>
      <c r="E26" s="5">
        <f t="shared" ref="E26:E31" si="9">(D26/$D$30)^2</f>
        <v>0.35808827212240124</v>
      </c>
      <c r="F26" s="5">
        <f>HLOOKUP("QTE-0.5-Empcov-IPS-exp",inference!$D$1:$DR$96,$R$2,FALSE)</f>
        <v>0.93300000000000005</v>
      </c>
      <c r="G26" s="5">
        <f>HLOOKUP("QTE-0.5-ASSD-IPS-exp",inference!$D$1:$DR$96,$R$2,FALSE)*2*1.96/SQRT(G$3)</f>
        <v>5.393397095787769</v>
      </c>
      <c r="H26" s="5">
        <f t="shared" ref="H26:H31" si="10">G26/(2*1.96/SQRT(G$3))</f>
        <v>43.508722317415</v>
      </c>
      <c r="I26" s="5">
        <f t="shared" ref="I26:I31" si="11">($H$30/H26)^2</f>
        <v>1.542593310440457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0.75544628346578602</v>
      </c>
      <c r="D27" s="5">
        <f>HLOOKUP("QTE-0.5-RMSE-IPS-ind",Point!$D$1:$DR$96,$R$2,FALSE)</f>
        <v>1.6926516208979601</v>
      </c>
      <c r="E27" s="5">
        <f t="shared" si="9"/>
        <v>0.44420572628665672</v>
      </c>
      <c r="F27" s="5">
        <f>HLOOKUP("QTE-0.5-Empcov-IPS-ind",inference!$D$1:$DR$96,$R$2,FALSE)</f>
        <v>0.98199999999999998</v>
      </c>
      <c r="G27" s="5">
        <f>HLOOKUP("QTE-0.5-ASSD-IPS-ind",inference!$D$1:$DR$96,$R$2,FALSE)*2*1.96/SQRT(G$3)</f>
        <v>7.9633740153823549</v>
      </c>
      <c r="H27" s="5">
        <f t="shared" si="10"/>
        <v>64.240815684716793</v>
      </c>
      <c r="I27" s="5">
        <f t="shared" si="11"/>
        <v>0.70759052721094806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1.5151592377832801</v>
      </c>
      <c r="D28" s="5">
        <f>HLOOKUP("QTE-0.5-RMSE-IPS-proj",Point!$D$1:$DR$96,$R$2,FALSE)</f>
        <v>1.98032215225453</v>
      </c>
      <c r="E28" s="5">
        <f t="shared" si="9"/>
        <v>0.60802394250798841</v>
      </c>
      <c r="F28" s="6">
        <f>HLOOKUP("QTE-0.5-Empcov-IPS-proj",inference!$D$1:$DR$96,$R$2,FALSE)</f>
        <v>0.84099999999999997</v>
      </c>
      <c r="G28" s="6">
        <f>HLOOKUP("QTE-0.5-ASSD-IPS-proj",inference!$D$1:$DR$96,$R$2,FALSE)*2*1.96/SQRT(G$3)</f>
        <v>5.1855042299454821</v>
      </c>
      <c r="H28" s="5">
        <f t="shared" si="10"/>
        <v>41.831643324146</v>
      </c>
      <c r="I28" s="5">
        <f t="shared" si="11"/>
        <v>1.6687614242138005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0.99117080859859696</v>
      </c>
      <c r="D29" s="5">
        <f>HLOOKUP("QTE-0.5-RMSE-CBPS-just",Point!$D$1:$DR$96,$R$2,FALSE)</f>
        <v>1.6387788086985899</v>
      </c>
      <c r="E29" s="5">
        <f t="shared" si="9"/>
        <v>0.41637981572985816</v>
      </c>
      <c r="F29" s="5">
        <f>HLOOKUP("QTE-0.5-Empcov-CBPS-just",inference!$D$1:$DR$96,$R$2,FALSE)</f>
        <v>0.89800000000000002</v>
      </c>
      <c r="G29" s="5">
        <f>HLOOKUP("QTE-0.5-ASSD-CBPS-just",inference!$D$1:$DR$96,$R$2,FALSE)*2*1.96/SQRT(G$3)</f>
        <v>5.1713513840535184</v>
      </c>
      <c r="H29" s="5">
        <f t="shared" si="10"/>
        <v>41.717471823146099</v>
      </c>
      <c r="I29" s="5">
        <f t="shared" si="11"/>
        <v>1.677907985627076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2.1179141209660202</v>
      </c>
      <c r="D30" s="5">
        <f>HLOOKUP("QTE-0.5-RMSE-CBPS-over",Point!$D$1:$DR$96,$R$2,FALSE)</f>
        <v>2.5396595686662802</v>
      </c>
      <c r="E30" s="5">
        <f t="shared" si="9"/>
        <v>1</v>
      </c>
      <c r="F30" s="5">
        <f>HLOOKUP("QTE-0.5-Empcov-CBPS-over",inference!$D$1:$DR$96,$R$2,FALSE)</f>
        <v>0.82099999999999995</v>
      </c>
      <c r="G30" s="5">
        <f>HLOOKUP("QTE-0.5-ASSD-CBPS-over",inference!$D$1:$DR$96,$R$2,FALSE)*2*1.96/SQRT(G$3)</f>
        <v>6.698662833102671</v>
      </c>
      <c r="H30" s="5">
        <f t="shared" si="10"/>
        <v>54.03834650541021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45">
      <c r="A31" s="3"/>
      <c r="B31" s="3" t="s">
        <v>2</v>
      </c>
      <c r="C31" s="5">
        <f>HLOOKUP("QTE-0.5-bias-GLM",Point!$D$1:$DR$96,$R$2,FALSE)</f>
        <v>0.76056855876077301</v>
      </c>
      <c r="D31" s="5">
        <f>HLOOKUP("QTE-0.5-RMSE-GLM",Point!$D$1:$DR$96,$R$2,FALSE)</f>
        <v>1.54365261784065</v>
      </c>
      <c r="E31" s="5">
        <f t="shared" si="9"/>
        <v>0.36944359139390381</v>
      </c>
      <c r="F31" s="5">
        <f>HLOOKUP("QTE-0.5-Empcov-GLM",inference!$D$1:$DR$96,$R$2,FALSE)</f>
        <v>0.93400000000000005</v>
      </c>
      <c r="G31" s="5">
        <f>HLOOKUP("QTE-0.5-ASSD-GLM",inference!$D$1:$DR$96,$R$2,FALSE)*2*1.96/SQRT(G$3)</f>
        <v>5.3484806104296947</v>
      </c>
      <c r="H31" s="5">
        <f t="shared" si="10"/>
        <v>43.146379464810103</v>
      </c>
      <c r="I31" s="5">
        <f t="shared" si="11"/>
        <v>1.5686114693608186</v>
      </c>
      <c r="J31" s="5"/>
      <c r="K31" s="5"/>
      <c r="L31" s="5"/>
      <c r="M31" s="5"/>
      <c r="N31" s="5"/>
      <c r="O31" s="3"/>
      <c r="P31" s="3"/>
      <c r="Q31" s="3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-0.76013226148364099</v>
      </c>
      <c r="D33" s="5">
        <f>HLOOKUP("QTE-0.75-RMSE-IPS-exp",Point!$D$1:$DR$96,$R$2,FALSE)</f>
        <v>3.55633255371347</v>
      </c>
      <c r="E33" s="5">
        <f t="shared" ref="E33:E38" si="12">(D33/$D$37)^2</f>
        <v>0.40939553138014373</v>
      </c>
      <c r="F33" s="5">
        <f>HLOOKUP("QTE-0.75-Empcov-IPS-exp",inference!$D$1:$DR$96,$R$2,FALSE)</f>
        <v>0.97599999999999998</v>
      </c>
      <c r="G33" s="5">
        <f>HLOOKUP("QTE-0.75-ASSD-IPS-exp",inference!$D$1:$DR$96,$R$2,FALSE)*2*1.96/SQRT(G$3)</f>
        <v>16.520274680923706</v>
      </c>
      <c r="H33" s="5">
        <f t="shared" ref="H33:H38" si="13">G33/(2*1.96/SQRT(G$3))</f>
        <v>133.26963153910799</v>
      </c>
      <c r="I33" s="5">
        <f t="shared" ref="I33:I38" si="14">($H$37/H33)^2</f>
        <v>1.4789037793742024</v>
      </c>
      <c r="J33" s="5"/>
    </row>
    <row r="34" spans="1:10" x14ac:dyDescent="0.45">
      <c r="B34" s="1" t="s">
        <v>5</v>
      </c>
      <c r="C34" s="5">
        <f>HLOOKUP("QTE-0.75-bias-IPS-ind",Point!$D$1:$DR$96,$R$2,FALSE)</f>
        <v>0.22363915338915599</v>
      </c>
      <c r="D34" s="5">
        <f>HLOOKUP("QTE-0.75-RMSE-IPS-ind",Point!$D$1:$DR$96,$R$2,FALSE)</f>
        <v>5.4038313944196696</v>
      </c>
      <c r="E34" s="5">
        <f t="shared" si="12"/>
        <v>0.94523968704039807</v>
      </c>
      <c r="F34" s="5">
        <f>HLOOKUP("QTE-0.75-Empcov-IPS-ind",inference!$D$1:$DR$96,$R$2,FALSE)</f>
        <v>0.996</v>
      </c>
      <c r="G34" s="5">
        <f>HLOOKUP("QTE-0.75-ASSD-IPS-ind",inference!$D$1:$DR$96,$R$2,FALSE)*2*1.96/SQRT(G$3)</f>
        <v>32.02123310620393</v>
      </c>
      <c r="H34" s="5">
        <f t="shared" si="13"/>
        <v>258.31640332345103</v>
      </c>
      <c r="I34" s="5">
        <f t="shared" si="14"/>
        <v>0.3936392018066896</v>
      </c>
      <c r="J34" s="5"/>
    </row>
    <row r="35" spans="1:10" x14ac:dyDescent="0.45">
      <c r="B35" s="1" t="s">
        <v>4</v>
      </c>
      <c r="C35" s="5">
        <f>HLOOKUP("QTE-0.75-bias-IPS-proj",Point!$D$1:$DR$96,$R$2,FALSE)</f>
        <v>2.67364912338014</v>
      </c>
      <c r="D35" s="5">
        <f>HLOOKUP("QTE-0.75-RMSE-IPS-proj",Point!$D$1:$DR$96,$R$2,FALSE)</f>
        <v>4.2747064699040704</v>
      </c>
      <c r="E35" s="5">
        <f t="shared" si="12"/>
        <v>0.59149484575195266</v>
      </c>
      <c r="F35" s="6">
        <f>HLOOKUP("QTE-0.75-Empcov-IPS-proj",inference!$D$1:$DR$96,$R$2,FALSE)</f>
        <v>0.88200000000000001</v>
      </c>
      <c r="G35" s="6">
        <f>HLOOKUP("QTE-0.75-ASSD-IPS-proj",inference!$D$1:$DR$96,$R$2,FALSE)*2*1.96/SQRT(G$3)</f>
        <v>13.235516213261395</v>
      </c>
      <c r="H35" s="5">
        <f t="shared" si="13"/>
        <v>106.771370515288</v>
      </c>
      <c r="I35" s="5">
        <f t="shared" si="14"/>
        <v>2.3040541308411711</v>
      </c>
      <c r="J35" s="5"/>
    </row>
    <row r="36" spans="1:10" x14ac:dyDescent="0.45">
      <c r="B36" s="1" t="s">
        <v>88</v>
      </c>
      <c r="C36" s="5">
        <f>HLOOKUP("QTE-0.75-bias-CBPS-just",Point!$D$1:$DR$96,$R$2,FALSE)</f>
        <v>-0.186327545876738</v>
      </c>
      <c r="D36" s="5">
        <f>HLOOKUP("QTE-0.75-RMSE-CBPS-just",Point!$D$1:$DR$96,$R$2,FALSE)</f>
        <v>3.53208626237168</v>
      </c>
      <c r="E36" s="5">
        <f t="shared" si="12"/>
        <v>0.40383222399176877</v>
      </c>
      <c r="F36" s="5">
        <f>HLOOKUP("QTE-0.75-Empcov-CBPS-just",inference!$D$1:$DR$96,$R$2,FALSE)</f>
        <v>0.93200000000000005</v>
      </c>
      <c r="G36" s="5">
        <f>HLOOKUP("QTE-0.75-ASSD-CBPS-just",inference!$D$1:$DR$96,$R$2,FALSE)*2*1.96/SQRT(G$3)</f>
        <v>13.028636012955028</v>
      </c>
      <c r="H36" s="5">
        <f t="shared" si="13"/>
        <v>105.102460730186</v>
      </c>
      <c r="I36" s="5">
        <f t="shared" si="14"/>
        <v>2.3778066893294576</v>
      </c>
      <c r="J36" s="5"/>
    </row>
    <row r="37" spans="1:10" x14ac:dyDescent="0.45">
      <c r="B37" s="1" t="s">
        <v>89</v>
      </c>
      <c r="C37" s="5">
        <f>HLOOKUP("QTE-0.75-bias-CBPS-over",Point!$D$1:$DR$96,$R$2,FALSE)</f>
        <v>4.2893159133788101</v>
      </c>
      <c r="D37" s="5">
        <f>HLOOKUP("QTE-0.75-RMSE-CBPS-over",Point!$D$1:$DR$96,$R$2,FALSE)</f>
        <v>5.5581570792533199</v>
      </c>
      <c r="E37" s="5">
        <f t="shared" si="12"/>
        <v>1</v>
      </c>
      <c r="F37" s="5">
        <f>HLOOKUP("QTE-0.75-Empcov-CBPS-over",inference!$D$1:$DR$96,$R$2,FALSE)</f>
        <v>0.93</v>
      </c>
      <c r="G37" s="5">
        <f>HLOOKUP("QTE-0.75-ASSD-CBPS-over",inference!$D$1:$DR$96,$R$2,FALSE)*2*1.96/SQRT(G$3)</f>
        <v>20.090337076087806</v>
      </c>
      <c r="H37" s="5">
        <f t="shared" si="13"/>
        <v>162.069449288176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-2.0178209871905102</v>
      </c>
      <c r="D38" s="5">
        <f>HLOOKUP("QTE-0.75-RMSE-GLM",Point!$D$1:$DR$96,$R$2,FALSE)</f>
        <v>5.4919374028367001</v>
      </c>
      <c r="E38" s="5">
        <f t="shared" si="12"/>
        <v>0.97631401700280951</v>
      </c>
      <c r="F38" s="5">
        <f>HLOOKUP("QTE-0.75-Empcov-GLM",inference!$D$1:$DR$96,$R$2,FALSE)</f>
        <v>0.94399999999999995</v>
      </c>
      <c r="G38" s="5">
        <f>HLOOKUP("QTE-0.75-ASSD-GLM",inference!$D$1:$DR$96,$R$2,FALSE)*2*1.96/SQRT(G$3)</f>
        <v>17.642768167873626</v>
      </c>
      <c r="H38" s="5">
        <f t="shared" si="13"/>
        <v>142.32482561427699</v>
      </c>
      <c r="I38" s="5">
        <f t="shared" si="14"/>
        <v>1.2967044225798707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-11.397012447654401</v>
      </c>
      <c r="D40" s="5">
        <f>HLOOKUP("QTE-0.9-RMSE-IPS-exp",Point!$D$1:$DR$96,$R$2,FALSE)</f>
        <v>15.137950125356999</v>
      </c>
      <c r="E40" s="5">
        <f t="shared" ref="E40:E45" si="15">(D40/$D$44)^2</f>
        <v>4.009439867513513</v>
      </c>
      <c r="F40" s="5">
        <f>HLOOKUP("QTE-0.9-Empcov-IPS-exp",inference!$D$1:$DR$96,$R$2,FALSE)</f>
        <v>0.83599999999999997</v>
      </c>
      <c r="G40" s="5">
        <f>HLOOKUP("QTE-0.9-ASSD-IPS-exp",inference!$D$1:$DR$96,$R$2,FALSE)*2*1.96/SQRT(G$3)</f>
        <v>54.438283025771291</v>
      </c>
      <c r="H40" s="5">
        <f t="shared" ref="H40:H45" si="16">G40/(2*1.96/SQRT(G$3))</f>
        <v>439.15552619979604</v>
      </c>
      <c r="I40" s="5">
        <f t="shared" ref="I40:I45" si="17">($H$44/H40)^2</f>
        <v>0.66666250427876173</v>
      </c>
      <c r="J40" s="5"/>
    </row>
    <row r="41" spans="1:10" x14ac:dyDescent="0.45">
      <c r="B41" s="1" t="s">
        <v>5</v>
      </c>
      <c r="C41" s="5">
        <f>HLOOKUP("QTE-0.9-bias-IPS-ind",Point!$D$1:$DR$96,$R$2,FALSE)</f>
        <v>-5.6971053775841902</v>
      </c>
      <c r="D41" s="5">
        <f>HLOOKUP("QTE-0.9-RMSE-IPS-ind",Point!$D$1:$DR$96,$R$2,FALSE)</f>
        <v>13.018556281284701</v>
      </c>
      <c r="E41" s="5">
        <f t="shared" si="15"/>
        <v>2.9653449048394345</v>
      </c>
      <c r="F41" s="5">
        <f>HLOOKUP("QTE-0.9-Empcov-IPS-ind",inference!$D$1:$DR$96,$R$2,FALSE)</f>
        <v>0.97</v>
      </c>
      <c r="G41" s="5">
        <f>HLOOKUP("QTE-0.9-ASSD-IPS-ind",inference!$D$1:$DR$96,$R$2,FALSE)*2*1.96/SQRT(G$3)</f>
        <v>74.515577079150034</v>
      </c>
      <c r="H41" s="5">
        <f t="shared" si="16"/>
        <v>601.11975696926299</v>
      </c>
      <c r="I41" s="5">
        <f t="shared" si="17"/>
        <v>0.35581211350976033</v>
      </c>
      <c r="J41" s="5"/>
    </row>
    <row r="42" spans="1:10" x14ac:dyDescent="0.45">
      <c r="B42" s="1" t="s">
        <v>4</v>
      </c>
      <c r="C42" s="5">
        <f>HLOOKUP("QTE-0.9-bias-IPS-proj",Point!$D$1:$DR$96,$R$2,FALSE)</f>
        <v>0.51574772428895199</v>
      </c>
      <c r="D42" s="5">
        <f>HLOOKUP("QTE-0.9-RMSE-IPS-proj",Point!$D$1:$DR$96,$R$2,FALSE)</f>
        <v>7.55114084273076</v>
      </c>
      <c r="E42" s="5">
        <f t="shared" si="15"/>
        <v>0.99764195746431061</v>
      </c>
      <c r="F42" s="6">
        <f>HLOOKUP("QTE-0.9-Empcov-IPS-proj",inference!$D$1:$DR$96,$R$2,FALSE)</f>
        <v>0.92700000000000005</v>
      </c>
      <c r="G42" s="6">
        <f>HLOOKUP("QTE-0.9-ASSD-IPS-proj",inference!$D$1:$DR$96,$R$2,FALSE)*2*1.96/SQRT(G$3)</f>
        <v>33.271701622673127</v>
      </c>
      <c r="H42" s="5">
        <f t="shared" si="16"/>
        <v>268.40397642134502</v>
      </c>
      <c r="I42" s="5">
        <f t="shared" si="17"/>
        <v>1.7846984333035316</v>
      </c>
      <c r="J42" s="5"/>
    </row>
    <row r="43" spans="1:10" x14ac:dyDescent="0.45">
      <c r="B43" s="1" t="s">
        <v>88</v>
      </c>
      <c r="C43" s="5">
        <f>HLOOKUP("QTE-0.9-bias-CBPS-just",Point!$D$1:$DR$96,$R$2,FALSE)</f>
        <v>-10.053174183616299</v>
      </c>
      <c r="D43" s="5">
        <f>HLOOKUP("QTE-0.9-RMSE-CBPS-just",Point!$D$1:$DR$96,$R$2,FALSE)</f>
        <v>13.6984368092529</v>
      </c>
      <c r="E43" s="5">
        <f t="shared" si="15"/>
        <v>3.2831565053815863</v>
      </c>
      <c r="F43" s="5">
        <f>HLOOKUP("QTE-0.9-Empcov-CBPS-just",inference!$D$1:$DR$96,$R$2,FALSE)</f>
        <v>0.77600000000000002</v>
      </c>
      <c r="G43" s="5">
        <f>HLOOKUP("QTE-0.9-ASSD-CBPS-just",inference!$D$1:$DR$96,$R$2,FALSE)*2*1.96/SQRT(G$3)</f>
        <v>37.601490758278466</v>
      </c>
      <c r="H43" s="5">
        <f t="shared" si="16"/>
        <v>303.33253626003</v>
      </c>
      <c r="I43" s="5">
        <f t="shared" si="17"/>
        <v>1.397348525177641</v>
      </c>
      <c r="J43" s="5"/>
    </row>
    <row r="44" spans="1:10" x14ac:dyDescent="0.45">
      <c r="B44" s="1" t="s">
        <v>89</v>
      </c>
      <c r="C44" s="5">
        <f>HLOOKUP("QTE-0.9-bias-CBPS-over",Point!$D$1:$DR$96,$R$2,FALSE)</f>
        <v>-0.31100966144135</v>
      </c>
      <c r="D44" s="5">
        <f>HLOOKUP("QTE-0.9-RMSE-CBPS-over",Point!$D$1:$DR$96,$R$2,FALSE)</f>
        <v>7.56005957454569</v>
      </c>
      <c r="E44" s="5">
        <f t="shared" si="15"/>
        <v>1</v>
      </c>
      <c r="F44" s="5">
        <f>HLOOKUP("QTE-0.9-Empcov-CBPS-over",inference!$D$1:$DR$96,$R$2,FALSE)</f>
        <v>0.97599999999999998</v>
      </c>
      <c r="G44" s="5">
        <f>HLOOKUP("QTE-0.9-ASSD-CBPS-over",inference!$D$1:$DR$96,$R$2,FALSE)*2*1.96/SQRT(G$3)</f>
        <v>44.448533202440615</v>
      </c>
      <c r="H44" s="5">
        <f t="shared" si="16"/>
        <v>358.567866258496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-21.4898511479931</v>
      </c>
      <c r="D45" s="5">
        <f>HLOOKUP("QTE-0.9-RMSE-GLM",Point!$D$1:$DR$96,$R$2,FALSE)</f>
        <v>70.316504706165404</v>
      </c>
      <c r="E45" s="5">
        <f t="shared" si="15"/>
        <v>86.509562106588206</v>
      </c>
      <c r="F45" s="5">
        <f>HLOOKUP("QTE-0.9-Empcov-GLM",inference!$D$1:$DR$96,$R$2,FALSE)</f>
        <v>0.76700000000000002</v>
      </c>
      <c r="G45" s="5">
        <f>HLOOKUP("QTE-0.9-ASSD-GLM",inference!$D$1:$DR$96,$R$2,FALSE)*2*1.96/SQRT(G$3)</f>
        <v>52.980421854015887</v>
      </c>
      <c r="H45" s="5">
        <f t="shared" si="16"/>
        <v>427.39490932461996</v>
      </c>
      <c r="I45" s="5">
        <f t="shared" si="17"/>
        <v>0.70385636722849665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J114" s="7"/>
    </row>
    <row r="115" spans="8:10" x14ac:dyDescent="0.45">
      <c r="J115" s="7"/>
    </row>
    <row r="116" spans="8:10" x14ac:dyDescent="0.45">
      <c r="J116" s="7"/>
    </row>
    <row r="117" spans="8:10" x14ac:dyDescent="0.45">
      <c r="J117" s="7"/>
    </row>
    <row r="118" spans="8:10" x14ac:dyDescent="0.45">
      <c r="J118" s="7"/>
    </row>
    <row r="119" spans="8:10" x14ac:dyDescent="0.45">
      <c r="J119" s="7"/>
    </row>
    <row r="120" spans="8:10" x14ac:dyDescent="0.45">
      <c r="J120" s="7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4932-4DF2-474B-AAD7-0F3B4624A884}">
  <dimension ref="A1:AN7"/>
  <sheetViews>
    <sheetView workbookViewId="0">
      <selection activeCell="M20" sqref="M20"/>
    </sheetView>
  </sheetViews>
  <sheetFormatPr defaultRowHeight="14.25" x14ac:dyDescent="0.45"/>
  <sheetData>
    <row r="1" spans="1:40" x14ac:dyDescent="0.45">
      <c r="B1" t="s">
        <v>168</v>
      </c>
      <c r="C1" t="s">
        <v>7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</row>
    <row r="2" spans="1:40" x14ac:dyDescent="0.45">
      <c r="A2">
        <v>1</v>
      </c>
      <c r="B2">
        <v>1000</v>
      </c>
      <c r="C2">
        <v>200</v>
      </c>
      <c r="D2">
        <v>1</v>
      </c>
      <c r="E2">
        <v>2.38182911169099</v>
      </c>
      <c r="F2">
        <v>1.86007690656033</v>
      </c>
      <c r="G2">
        <v>2.7352807378648101</v>
      </c>
      <c r="H2">
        <v>2.85791663764445</v>
      </c>
      <c r="I2">
        <v>2.60706161004078</v>
      </c>
      <c r="J2">
        <v>3.59880950429742</v>
      </c>
      <c r="K2">
        <v>1.92251361933979</v>
      </c>
      <c r="L2">
        <v>1.5793141821874901</v>
      </c>
      <c r="M2">
        <v>2.2043292065573699</v>
      </c>
      <c r="N2">
        <v>2.4541445098835899</v>
      </c>
      <c r="O2">
        <v>2.0187629510732599</v>
      </c>
      <c r="P2">
        <v>3.07787397418591</v>
      </c>
      <c r="Q2">
        <v>0.81238992379674102</v>
      </c>
      <c r="R2">
        <v>0.73616450008254297</v>
      </c>
      <c r="S2">
        <v>0.85902180188434596</v>
      </c>
      <c r="T2">
        <v>1.13691393488013</v>
      </c>
      <c r="U2">
        <v>0.88517992150571401</v>
      </c>
      <c r="V2">
        <v>1.1967850919998699</v>
      </c>
      <c r="W2">
        <v>0.58493259566251798</v>
      </c>
      <c r="X2">
        <v>0.318867589692794</v>
      </c>
      <c r="Y2">
        <v>0.78048984673983701</v>
      </c>
      <c r="Z2">
        <v>0.91843752910537102</v>
      </c>
      <c r="AA2">
        <v>0.70897668497535504</v>
      </c>
      <c r="AB2">
        <v>8.13233254320496</v>
      </c>
      <c r="AC2">
        <v>0.42596563361771</v>
      </c>
      <c r="AD2">
        <v>0.23938811046328201</v>
      </c>
      <c r="AE2">
        <v>0.58345130823260405</v>
      </c>
      <c r="AF2">
        <v>0.787515498026512</v>
      </c>
      <c r="AG2">
        <v>0.47563864555281199</v>
      </c>
      <c r="AH2">
        <v>6.0370218834016898</v>
      </c>
      <c r="AI2">
        <v>3.8234275013476801E-2</v>
      </c>
      <c r="AJ2">
        <v>2.9313312150514199E-2</v>
      </c>
      <c r="AK2">
        <v>4.2422240164473199E-2</v>
      </c>
      <c r="AL2">
        <v>7.1090052202279194E-2</v>
      </c>
      <c r="AM2">
        <v>5.2825220634606498E-2</v>
      </c>
      <c r="AN2">
        <v>1.88073337135227</v>
      </c>
    </row>
    <row r="3" spans="1:40" x14ac:dyDescent="0.45">
      <c r="A3">
        <v>2</v>
      </c>
      <c r="B3">
        <v>1000</v>
      </c>
      <c r="C3">
        <v>200</v>
      </c>
      <c r="D3">
        <v>2</v>
      </c>
      <c r="E3">
        <v>2.5358587619902302</v>
      </c>
      <c r="F3">
        <v>2.0102949027840999</v>
      </c>
      <c r="G3">
        <v>2.5421895051210401</v>
      </c>
      <c r="H3">
        <v>2.68687077944693</v>
      </c>
      <c r="I3">
        <v>2.7163044772107998</v>
      </c>
      <c r="J3">
        <v>2.73266073610549</v>
      </c>
      <c r="K3">
        <v>1.9560297662097801</v>
      </c>
      <c r="L3">
        <v>1.66727461692297</v>
      </c>
      <c r="M3">
        <v>1.9527312835584401</v>
      </c>
      <c r="N3">
        <v>2.1034298417767698</v>
      </c>
      <c r="O3">
        <v>2.0308556494079801</v>
      </c>
      <c r="P3">
        <v>2.1263231933320901</v>
      </c>
      <c r="Q3">
        <v>0.87629986438100704</v>
      </c>
      <c r="R3">
        <v>0.81681525235661401</v>
      </c>
      <c r="S3">
        <v>0.83419825265649805</v>
      </c>
      <c r="T3">
        <v>0.99992739666220198</v>
      </c>
      <c r="U3">
        <v>0.88105112692306398</v>
      </c>
      <c r="V3">
        <v>1.0451085696164399</v>
      </c>
      <c r="W3">
        <v>0.61580881339722404</v>
      </c>
      <c r="X3">
        <v>0.35057702541246799</v>
      </c>
      <c r="Y3">
        <v>0.60212827298316496</v>
      </c>
      <c r="Z3">
        <v>0.68169916390273999</v>
      </c>
      <c r="AA3">
        <v>0.71713902563701104</v>
      </c>
      <c r="AB3">
        <v>0.70601103660717601</v>
      </c>
      <c r="AC3">
        <v>0.40669954176821299</v>
      </c>
      <c r="AD3">
        <v>0.261961593650132</v>
      </c>
      <c r="AE3">
        <v>0.39837941273031802</v>
      </c>
      <c r="AF3">
        <v>0.46844713087587497</v>
      </c>
      <c r="AG3">
        <v>0.43663640686933097</v>
      </c>
      <c r="AH3">
        <v>0.49085239120421997</v>
      </c>
      <c r="AI3">
        <v>4.0517129337569999E-2</v>
      </c>
      <c r="AJ3">
        <v>3.2378256301387201E-2</v>
      </c>
      <c r="AK3">
        <v>3.7919986884370101E-2</v>
      </c>
      <c r="AL3">
        <v>4.7746693969724599E-2</v>
      </c>
      <c r="AM3">
        <v>4.9431407161735601E-2</v>
      </c>
      <c r="AN3">
        <v>5.2852269877306401E-2</v>
      </c>
    </row>
    <row r="4" spans="1:40" x14ac:dyDescent="0.45">
      <c r="A4">
        <v>3</v>
      </c>
      <c r="B4">
        <v>1000</v>
      </c>
      <c r="C4">
        <v>500</v>
      </c>
      <c r="D4">
        <v>1</v>
      </c>
      <c r="E4">
        <v>2.64411793770573</v>
      </c>
      <c r="F4">
        <v>2.2357222137758699</v>
      </c>
      <c r="G4">
        <v>3.0466057502327901</v>
      </c>
      <c r="H4">
        <v>3.0265044364177598</v>
      </c>
      <c r="I4">
        <v>2.8660105962281102</v>
      </c>
      <c r="J4">
        <v>3.1686713935652202</v>
      </c>
      <c r="K4">
        <v>2.1302678121895999</v>
      </c>
      <c r="L4">
        <v>1.80104582758425</v>
      </c>
      <c r="M4">
        <v>2.4499004805675102</v>
      </c>
      <c r="N4">
        <v>2.5446458717084299</v>
      </c>
      <c r="O4">
        <v>2.2384555748163701</v>
      </c>
      <c r="P4">
        <v>2.6427327823441198</v>
      </c>
      <c r="Q4">
        <v>0.91273731939032399</v>
      </c>
      <c r="R4">
        <v>0.98049750337465602</v>
      </c>
      <c r="S4">
        <v>0.94251177510749795</v>
      </c>
      <c r="T4">
        <v>1.04995983037333</v>
      </c>
      <c r="U4">
        <v>0.92048830075348498</v>
      </c>
      <c r="V4">
        <v>0.92655885403722404</v>
      </c>
      <c r="W4">
        <v>0.58929091309924997</v>
      </c>
      <c r="X4">
        <v>0.34772748142508098</v>
      </c>
      <c r="Y4">
        <v>0.78932248143005002</v>
      </c>
      <c r="Z4">
        <v>0.83555164528027503</v>
      </c>
      <c r="AA4">
        <v>0.70400297176866899</v>
      </c>
      <c r="AB4">
        <v>0.99105090838075505</v>
      </c>
      <c r="AC4">
        <v>0.430171235831943</v>
      </c>
      <c r="AD4">
        <v>0.24648551470541899</v>
      </c>
      <c r="AE4">
        <v>0.58405470486774402</v>
      </c>
      <c r="AF4">
        <v>0.68155959303964397</v>
      </c>
      <c r="AG4">
        <v>0.48278565344088298</v>
      </c>
      <c r="AH4">
        <v>0.78285280292956905</v>
      </c>
      <c r="AI4">
        <v>3.3293521438729601E-2</v>
      </c>
      <c r="AJ4">
        <v>3.2295313927658803E-2</v>
      </c>
      <c r="AK4">
        <v>3.6533856977441902E-2</v>
      </c>
      <c r="AL4">
        <v>4.19822908468259E-2</v>
      </c>
      <c r="AM4">
        <v>3.7809757466489E-2</v>
      </c>
      <c r="AN4">
        <v>3.4904679574080701E-2</v>
      </c>
    </row>
    <row r="5" spans="1:40" x14ac:dyDescent="0.45">
      <c r="A5">
        <v>4</v>
      </c>
      <c r="B5">
        <v>1000</v>
      </c>
      <c r="C5">
        <v>500</v>
      </c>
      <c r="D5">
        <v>2</v>
      </c>
      <c r="E5">
        <v>3.06257426441947</v>
      </c>
      <c r="F5">
        <v>2.62837394144583</v>
      </c>
      <c r="G5">
        <v>3.07609438380205</v>
      </c>
      <c r="H5">
        <v>3.01678127392851</v>
      </c>
      <c r="I5">
        <v>3.28215564063288</v>
      </c>
      <c r="J5">
        <v>3.0194622566621501</v>
      </c>
      <c r="K5">
        <v>2.2719497259774699</v>
      </c>
      <c r="L5">
        <v>2.0077539508059701</v>
      </c>
      <c r="M5">
        <v>2.3198024037940099</v>
      </c>
      <c r="N5">
        <v>2.3190919019212202</v>
      </c>
      <c r="O5">
        <v>2.4686463970464398</v>
      </c>
      <c r="P5">
        <v>2.33616835771562</v>
      </c>
      <c r="Q5">
        <v>1.13278693654115</v>
      </c>
      <c r="R5">
        <v>1.1928994806092901</v>
      </c>
      <c r="S5">
        <v>1.0100768857664899</v>
      </c>
      <c r="T5">
        <v>1.15676544236078</v>
      </c>
      <c r="U5">
        <v>1.0007111656276499</v>
      </c>
      <c r="V5">
        <v>1.2634613583640899</v>
      </c>
      <c r="W5">
        <v>0.70807272821895595</v>
      </c>
      <c r="X5">
        <v>0.42635469974434298</v>
      </c>
      <c r="Y5">
        <v>0.70358106031963497</v>
      </c>
      <c r="Z5">
        <v>0.68613078629341195</v>
      </c>
      <c r="AA5">
        <v>0.88436208468579003</v>
      </c>
      <c r="AB5">
        <v>0.67832942040710198</v>
      </c>
      <c r="AC5">
        <v>0.43690916597072299</v>
      </c>
      <c r="AD5">
        <v>0.29272588537737598</v>
      </c>
      <c r="AE5">
        <v>0.44335451648353702</v>
      </c>
      <c r="AF5">
        <v>0.45605904793662799</v>
      </c>
      <c r="AG5">
        <v>0.54337486368133603</v>
      </c>
      <c r="AH5">
        <v>0.47287599621143001</v>
      </c>
      <c r="AI5">
        <v>4.8484801820612697E-2</v>
      </c>
      <c r="AJ5">
        <v>4.3311045197867402E-2</v>
      </c>
      <c r="AK5">
        <v>4.3049136536916298E-2</v>
      </c>
      <c r="AL5">
        <v>4.3903715534984601E-2</v>
      </c>
      <c r="AM5">
        <v>5.1997136308890003E-2</v>
      </c>
      <c r="AN5">
        <v>5.2824805337901001E-2</v>
      </c>
    </row>
    <row r="6" spans="1:40" x14ac:dyDescent="0.45">
      <c r="A6">
        <v>5</v>
      </c>
      <c r="B6">
        <v>1000</v>
      </c>
      <c r="C6">
        <v>1000</v>
      </c>
      <c r="D6">
        <v>1</v>
      </c>
      <c r="E6">
        <v>2.7979651230261502</v>
      </c>
      <c r="F6">
        <v>2.48321588033272</v>
      </c>
      <c r="G6">
        <v>3.2220593976940202</v>
      </c>
      <c r="H6">
        <v>3.1569241263397201</v>
      </c>
      <c r="I6">
        <v>3.0646025495393099</v>
      </c>
      <c r="J6">
        <v>3.2647587710122399</v>
      </c>
      <c r="K6">
        <v>2.22227136520543</v>
      </c>
      <c r="L6">
        <v>1.9125385044147101</v>
      </c>
      <c r="M6">
        <v>2.5538735489659499</v>
      </c>
      <c r="N6">
        <v>2.60897850045016</v>
      </c>
      <c r="O6">
        <v>2.4060959044552699</v>
      </c>
      <c r="P6">
        <v>2.6801570455207</v>
      </c>
      <c r="Q6">
        <v>0.99459513226546703</v>
      </c>
      <c r="R6">
        <v>1.13370451165631</v>
      </c>
      <c r="S6">
        <v>1.0277802691485201</v>
      </c>
      <c r="T6">
        <v>1.0847027001075</v>
      </c>
      <c r="U6">
        <v>0.97636807246298296</v>
      </c>
      <c r="V6">
        <v>0.97512116088187795</v>
      </c>
      <c r="W6">
        <v>0.58093971381075304</v>
      </c>
      <c r="X6">
        <v>0.354634160976941</v>
      </c>
      <c r="Y6">
        <v>0.77790587544003897</v>
      </c>
      <c r="Z6">
        <v>0.80824979200838798</v>
      </c>
      <c r="AA6">
        <v>0.70929174954926</v>
      </c>
      <c r="AB6">
        <v>0.88984081936815296</v>
      </c>
      <c r="AC6">
        <v>0.41887229209759302</v>
      </c>
      <c r="AD6">
        <v>0.23834614138756999</v>
      </c>
      <c r="AE6">
        <v>0.57200738464961798</v>
      </c>
      <c r="AF6">
        <v>0.64559258105087702</v>
      </c>
      <c r="AG6">
        <v>0.49493292577207598</v>
      </c>
      <c r="AH6">
        <v>0.68902331324882704</v>
      </c>
      <c r="AI6">
        <v>3.2431769516400699E-2</v>
      </c>
      <c r="AJ6">
        <v>3.3008915167467602E-2</v>
      </c>
      <c r="AK6">
        <v>3.5076390322302503E-2</v>
      </c>
      <c r="AL6">
        <v>3.7609464914858497E-2</v>
      </c>
      <c r="AM6">
        <v>3.4992653254125698E-2</v>
      </c>
      <c r="AN6">
        <v>3.2512804212376102E-2</v>
      </c>
    </row>
    <row r="7" spans="1:40" x14ac:dyDescent="0.45">
      <c r="A7">
        <v>6</v>
      </c>
      <c r="B7">
        <v>1000</v>
      </c>
      <c r="C7">
        <v>1000</v>
      </c>
      <c r="D7">
        <v>2</v>
      </c>
      <c r="E7">
        <v>3.63038743047706</v>
      </c>
      <c r="F7">
        <v>3.30685293782442</v>
      </c>
      <c r="G7">
        <v>3.6499006586093401</v>
      </c>
      <c r="H7">
        <v>3.44759449197824</v>
      </c>
      <c r="I7">
        <v>3.9559496782238499</v>
      </c>
      <c r="J7">
        <v>3.4475499280592201</v>
      </c>
      <c r="K7">
        <v>2.5759777364940102</v>
      </c>
      <c r="L7">
        <v>2.3740290162561202</v>
      </c>
      <c r="M7">
        <v>2.6946544510094999</v>
      </c>
      <c r="N7">
        <v>2.6322230833233</v>
      </c>
      <c r="O7">
        <v>3.00816444414379</v>
      </c>
      <c r="P7">
        <v>2.6414591903017</v>
      </c>
      <c r="Q7">
        <v>1.4924503205145501</v>
      </c>
      <c r="R7">
        <v>1.5643552689268501</v>
      </c>
      <c r="S7">
        <v>1.2373866053550699</v>
      </c>
      <c r="T7">
        <v>1.43581431726332</v>
      </c>
      <c r="U7">
        <v>1.17296579473229</v>
      </c>
      <c r="V7">
        <v>1.6180472030692801</v>
      </c>
      <c r="W7">
        <v>0.83640241455059305</v>
      </c>
      <c r="X7">
        <v>0.51585298108185995</v>
      </c>
      <c r="Y7">
        <v>0.83406120183312205</v>
      </c>
      <c r="Z7">
        <v>0.78675835564618801</v>
      </c>
      <c r="AA7">
        <v>1.1763549808877301</v>
      </c>
      <c r="AB7">
        <v>0.773635653548297</v>
      </c>
      <c r="AC7">
        <v>0.48601038440514399</v>
      </c>
      <c r="AD7">
        <v>0.32847695403489902</v>
      </c>
      <c r="AE7">
        <v>0.50210070434551901</v>
      </c>
      <c r="AF7">
        <v>0.52738752709227299</v>
      </c>
      <c r="AG7">
        <v>0.73960296479923504</v>
      </c>
      <c r="AH7">
        <v>0.55255787638502996</v>
      </c>
      <c r="AI7">
        <v>6.4349655643689205E-2</v>
      </c>
      <c r="AJ7">
        <v>5.2911039589246103E-2</v>
      </c>
      <c r="AK7">
        <v>5.4417525426593699E-2</v>
      </c>
      <c r="AL7">
        <v>4.8857545033469403E-2</v>
      </c>
      <c r="AM7">
        <v>6.1135244700406197E-2</v>
      </c>
      <c r="AN7">
        <v>6.2137514306567998E-2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7"/>
  <sheetViews>
    <sheetView workbookViewId="0">
      <selection sqref="A1:XFD1048576"/>
    </sheetView>
  </sheetViews>
  <sheetFormatPr defaultRowHeight="14.25" x14ac:dyDescent="0.45"/>
  <sheetData>
    <row r="1" spans="1:76" x14ac:dyDescent="0.45">
      <c r="B1" t="s">
        <v>168</v>
      </c>
      <c r="C1" t="s">
        <v>7</v>
      </c>
      <c r="D1" t="s">
        <v>169</v>
      </c>
      <c r="E1" t="s">
        <v>8</v>
      </c>
      <c r="F1" t="s">
        <v>9</v>
      </c>
      <c r="G1" t="s">
        <v>10</v>
      </c>
      <c r="H1" t="s">
        <v>140</v>
      </c>
      <c r="I1" t="s">
        <v>141</v>
      </c>
      <c r="J1" t="s">
        <v>11</v>
      </c>
      <c r="K1" t="s">
        <v>72</v>
      </c>
      <c r="L1" t="s">
        <v>73</v>
      </c>
      <c r="M1" t="s">
        <v>74</v>
      </c>
      <c r="N1" t="s">
        <v>142</v>
      </c>
      <c r="O1" t="s">
        <v>143</v>
      </c>
      <c r="P1" t="s">
        <v>75</v>
      </c>
      <c r="Q1" t="s">
        <v>12</v>
      </c>
      <c r="R1" t="s">
        <v>13</v>
      </c>
      <c r="S1" t="s">
        <v>14</v>
      </c>
      <c r="T1" t="s">
        <v>144</v>
      </c>
      <c r="U1" t="s">
        <v>145</v>
      </c>
      <c r="V1" t="s">
        <v>15</v>
      </c>
      <c r="W1" t="s">
        <v>16</v>
      </c>
      <c r="X1" t="s">
        <v>17</v>
      </c>
      <c r="Y1" t="s">
        <v>18</v>
      </c>
      <c r="Z1" t="s">
        <v>146</v>
      </c>
      <c r="AA1" t="s">
        <v>147</v>
      </c>
      <c r="AB1" t="s">
        <v>19</v>
      </c>
      <c r="AC1" t="s">
        <v>20</v>
      </c>
      <c r="AD1" t="s">
        <v>21</v>
      </c>
      <c r="AE1" t="s">
        <v>22</v>
      </c>
      <c r="AF1" t="s">
        <v>148</v>
      </c>
      <c r="AG1" t="s">
        <v>149</v>
      </c>
      <c r="AH1" t="s">
        <v>23</v>
      </c>
      <c r="AI1" t="s">
        <v>76</v>
      </c>
      <c r="AJ1" t="s">
        <v>77</v>
      </c>
      <c r="AK1" t="s">
        <v>78</v>
      </c>
      <c r="AL1" t="s">
        <v>150</v>
      </c>
      <c r="AM1" t="s">
        <v>151</v>
      </c>
      <c r="AN1" t="s">
        <v>79</v>
      </c>
      <c r="AO1" t="s">
        <v>24</v>
      </c>
      <c r="AP1" t="s">
        <v>25</v>
      </c>
      <c r="AQ1" t="s">
        <v>26</v>
      </c>
      <c r="AR1" t="s">
        <v>152</v>
      </c>
      <c r="AS1" t="s">
        <v>153</v>
      </c>
      <c r="AT1" t="s">
        <v>27</v>
      </c>
      <c r="AU1" t="s">
        <v>80</v>
      </c>
      <c r="AV1" t="s">
        <v>81</v>
      </c>
      <c r="AW1" t="s">
        <v>82</v>
      </c>
      <c r="AX1" t="s">
        <v>154</v>
      </c>
      <c r="AY1" t="s">
        <v>155</v>
      </c>
      <c r="AZ1" t="s">
        <v>83</v>
      </c>
      <c r="BA1" t="s">
        <v>28</v>
      </c>
      <c r="BB1" t="s">
        <v>29</v>
      </c>
      <c r="BC1" t="s">
        <v>30</v>
      </c>
      <c r="BD1" t="s">
        <v>156</v>
      </c>
      <c r="BE1" t="s">
        <v>157</v>
      </c>
      <c r="BF1" t="s">
        <v>31</v>
      </c>
      <c r="BG1" t="s">
        <v>32</v>
      </c>
      <c r="BH1" t="s">
        <v>33</v>
      </c>
      <c r="BI1" t="s">
        <v>34</v>
      </c>
      <c r="BJ1" t="s">
        <v>158</v>
      </c>
      <c r="BK1" t="s">
        <v>159</v>
      </c>
      <c r="BL1" t="s">
        <v>35</v>
      </c>
      <c r="BM1" t="s">
        <v>36</v>
      </c>
      <c r="BN1" t="s">
        <v>37</v>
      </c>
      <c r="BO1" t="s">
        <v>38</v>
      </c>
      <c r="BP1" t="s">
        <v>160</v>
      </c>
      <c r="BQ1" t="s">
        <v>161</v>
      </c>
      <c r="BR1" t="s">
        <v>39</v>
      </c>
      <c r="BS1" t="s">
        <v>84</v>
      </c>
      <c r="BT1" t="s">
        <v>85</v>
      </c>
      <c r="BU1" t="s">
        <v>86</v>
      </c>
      <c r="BV1" t="s">
        <v>162</v>
      </c>
      <c r="BW1" t="s">
        <v>163</v>
      </c>
      <c r="BX1" t="s">
        <v>87</v>
      </c>
    </row>
    <row r="2" spans="1:76" x14ac:dyDescent="0.45">
      <c r="A2">
        <v>1</v>
      </c>
      <c r="B2">
        <v>1000</v>
      </c>
      <c r="C2">
        <v>200</v>
      </c>
      <c r="D2">
        <v>1</v>
      </c>
      <c r="E2">
        <v>0.97562051736714905</v>
      </c>
      <c r="F2">
        <v>3.3054352993242899</v>
      </c>
      <c r="G2">
        <v>-9.7695936443038506E-2</v>
      </c>
      <c r="H2">
        <v>0.62283336005738998</v>
      </c>
      <c r="I2">
        <v>3.0236309947709201</v>
      </c>
      <c r="J2">
        <v>0.70768903879009704</v>
      </c>
      <c r="K2">
        <v>0.593209942335855</v>
      </c>
      <c r="L2">
        <v>1.7992628419163501</v>
      </c>
      <c r="M2">
        <v>0.17051963510415999</v>
      </c>
      <c r="N2">
        <v>0.82965245376653296</v>
      </c>
      <c r="O2">
        <v>1.26328025538169</v>
      </c>
      <c r="P2">
        <v>0.59282203414300205</v>
      </c>
      <c r="Q2">
        <v>0.214439587958908</v>
      </c>
      <c r="R2">
        <v>1.4608648948273799</v>
      </c>
      <c r="S2">
        <v>0.10227506577569299</v>
      </c>
      <c r="T2">
        <v>0.30587727791103703</v>
      </c>
      <c r="U2">
        <v>0.98763276010438406</v>
      </c>
      <c r="V2">
        <v>0.19375041812635099</v>
      </c>
      <c r="W2">
        <v>0.13128177022934601</v>
      </c>
      <c r="X2">
        <v>1.87536349848255</v>
      </c>
      <c r="Y2">
        <v>-9.8029663934354999E-2</v>
      </c>
      <c r="Z2">
        <v>0.23919838437570401</v>
      </c>
      <c r="AA2">
        <v>1.58240931406693</v>
      </c>
      <c r="AB2">
        <v>0.13413331958817501</v>
      </c>
      <c r="AC2">
        <v>-0.26439405778146402</v>
      </c>
      <c r="AD2">
        <v>3.5934364617639099</v>
      </c>
      <c r="AE2">
        <v>-1.2957889906998299</v>
      </c>
      <c r="AF2">
        <v>-0.179874464688035</v>
      </c>
      <c r="AG2">
        <v>4.0354295015021302</v>
      </c>
      <c r="AH2">
        <v>-0.77710319085298896</v>
      </c>
      <c r="AI2">
        <v>7.1379948611516794E-2</v>
      </c>
      <c r="AJ2">
        <v>4.3397658917212496</v>
      </c>
      <c r="AK2">
        <v>-2.32093200999183</v>
      </c>
      <c r="AL2">
        <v>-1.1372233604264801</v>
      </c>
      <c r="AM2">
        <v>5.2664649321064303</v>
      </c>
      <c r="AN2">
        <v>-0.482965580238227</v>
      </c>
      <c r="AO2">
        <v>4.5523110281839196</v>
      </c>
      <c r="AP2">
        <v>7.6575973513858804</v>
      </c>
      <c r="AQ2">
        <v>4.1638609881866602</v>
      </c>
      <c r="AR2">
        <v>4.4232952749398402</v>
      </c>
      <c r="AS2">
        <v>5.76896964670867</v>
      </c>
      <c r="AT2">
        <v>11.8537912747988</v>
      </c>
      <c r="AU2">
        <v>3.8170157189107301</v>
      </c>
      <c r="AV2">
        <v>3.4476816088581499</v>
      </c>
      <c r="AW2">
        <v>4.4823701939745799</v>
      </c>
      <c r="AX2">
        <v>5.0653700909556099</v>
      </c>
      <c r="AY2">
        <v>3.8043481955837</v>
      </c>
      <c r="AZ2">
        <v>4.9790834440667799</v>
      </c>
      <c r="BA2">
        <v>2.4175682246043699</v>
      </c>
      <c r="BB2">
        <v>2.88237089561563</v>
      </c>
      <c r="BC2">
        <v>2.6611456050614501</v>
      </c>
      <c r="BD2">
        <v>2.93889855992159</v>
      </c>
      <c r="BE2">
        <v>2.6541286180082002</v>
      </c>
      <c r="BF2">
        <v>3.3811390389076301</v>
      </c>
      <c r="BG2">
        <v>2.86016585213993</v>
      </c>
      <c r="BH2">
        <v>4.10378941831571</v>
      </c>
      <c r="BI2">
        <v>3.0830496001225698</v>
      </c>
      <c r="BJ2">
        <v>3.4591759533961799</v>
      </c>
      <c r="BK2">
        <v>3.5793298944678602</v>
      </c>
      <c r="BL2">
        <v>4.1033518102766298</v>
      </c>
      <c r="BM2">
        <v>6.6747169432368398</v>
      </c>
      <c r="BN2">
        <v>11.1956546649151</v>
      </c>
      <c r="BO2">
        <v>6.6985237346083304</v>
      </c>
      <c r="BP2">
        <v>8.4057639483561104</v>
      </c>
      <c r="BQ2">
        <v>8.9913378338928904</v>
      </c>
      <c r="BR2">
        <v>9.1285630967991604</v>
      </c>
      <c r="BS2">
        <v>15.1415794796544</v>
      </c>
      <c r="BT2">
        <v>21.965797811972799</v>
      </c>
      <c r="BU2">
        <v>14.6448102826694</v>
      </c>
      <c r="BV2">
        <v>19.013753041180699</v>
      </c>
      <c r="BW2">
        <v>18.5021835582398</v>
      </c>
      <c r="BX2">
        <v>16.953189948741599</v>
      </c>
    </row>
    <row r="3" spans="1:76" x14ac:dyDescent="0.45">
      <c r="A3">
        <v>2</v>
      </c>
      <c r="B3">
        <v>1000</v>
      </c>
      <c r="C3">
        <v>200</v>
      </c>
      <c r="D3">
        <v>2</v>
      </c>
      <c r="E3">
        <v>-1.8533955785637499</v>
      </c>
      <c r="F3">
        <v>0.64043663364620196</v>
      </c>
      <c r="G3">
        <v>2.8019738202817299</v>
      </c>
      <c r="H3">
        <v>-3.5129288809163199</v>
      </c>
      <c r="I3">
        <v>0.75743065846209701</v>
      </c>
      <c r="J3">
        <v>-5.3186967228700102</v>
      </c>
      <c r="K3">
        <v>1.2803684080218301</v>
      </c>
      <c r="L3">
        <v>1.8010519145955499</v>
      </c>
      <c r="M3">
        <v>1.58024661139669</v>
      </c>
      <c r="N3">
        <v>1.5147193515694599</v>
      </c>
      <c r="O3">
        <v>1.65193511110918</v>
      </c>
      <c r="P3">
        <v>1.59004174919731</v>
      </c>
      <c r="Q3">
        <v>0.92511135334296002</v>
      </c>
      <c r="R3">
        <v>1.5300468267999101</v>
      </c>
      <c r="S3">
        <v>1.4698225900253299</v>
      </c>
      <c r="T3">
        <v>0.87177225633565902</v>
      </c>
      <c r="U3">
        <v>1.54560652368402</v>
      </c>
      <c r="V3">
        <v>0.86371478686061498</v>
      </c>
      <c r="W3">
        <v>0.96974565576622396</v>
      </c>
      <c r="X3">
        <v>1.9587273015490101</v>
      </c>
      <c r="Y3">
        <v>2.1009154486677799</v>
      </c>
      <c r="Z3">
        <v>0.719423593357289</v>
      </c>
      <c r="AA3">
        <v>2.2585235034698399</v>
      </c>
      <c r="AB3">
        <v>0.522854086382181</v>
      </c>
      <c r="AC3">
        <v>-9.2112439534211901E-2</v>
      </c>
      <c r="AD3">
        <v>2.2853145746138201</v>
      </c>
      <c r="AE3">
        <v>4.5831926793722797</v>
      </c>
      <c r="AF3">
        <v>-1.68284013193763</v>
      </c>
      <c r="AG3">
        <v>4.0917458847251096</v>
      </c>
      <c r="AH3">
        <v>-5.41563610397976</v>
      </c>
      <c r="AI3">
        <v>-6.9591061184951899</v>
      </c>
      <c r="AJ3">
        <v>-2.05703556796237</v>
      </c>
      <c r="AK3">
        <v>4.9044186921278898</v>
      </c>
      <c r="AL3">
        <v>-13.598594899285199</v>
      </c>
      <c r="AM3">
        <v>-0.80747023989954403</v>
      </c>
      <c r="AN3">
        <v>-25.0172016281441</v>
      </c>
      <c r="AO3">
        <v>7.1149658164118899</v>
      </c>
      <c r="AP3">
        <v>7.8316137259760996</v>
      </c>
      <c r="AQ3">
        <v>6.47569524004426</v>
      </c>
      <c r="AR3">
        <v>8.0559244758942299</v>
      </c>
      <c r="AS3">
        <v>6.1785989742562704</v>
      </c>
      <c r="AT3">
        <v>15.767302101463001</v>
      </c>
      <c r="AU3">
        <v>3.6830587327550601</v>
      </c>
      <c r="AV3">
        <v>3.5164083034521099</v>
      </c>
      <c r="AW3">
        <v>3.4517915361552798</v>
      </c>
      <c r="AX3">
        <v>4.3088918741988396</v>
      </c>
      <c r="AY3">
        <v>3.59015229691264</v>
      </c>
      <c r="AZ3">
        <v>5.2349610620138902</v>
      </c>
      <c r="BA3">
        <v>2.5623523102032499</v>
      </c>
      <c r="BB3">
        <v>2.8277038446728802</v>
      </c>
      <c r="BC3">
        <v>2.7462880811584802</v>
      </c>
      <c r="BD3">
        <v>2.6511049712266801</v>
      </c>
      <c r="BE3">
        <v>2.8885531639790498</v>
      </c>
      <c r="BF3">
        <v>2.8697661686061799</v>
      </c>
      <c r="BG3">
        <v>3.0808024221760602</v>
      </c>
      <c r="BH3">
        <v>3.9171817947769498</v>
      </c>
      <c r="BI3">
        <v>3.6820242129560898</v>
      </c>
      <c r="BJ3">
        <v>3.2049019454562302</v>
      </c>
      <c r="BK3">
        <v>3.95657061119062</v>
      </c>
      <c r="BL3">
        <v>4.2294014739246002</v>
      </c>
      <c r="BM3">
        <v>7.3787191746670002</v>
      </c>
      <c r="BN3">
        <v>11.3417733374403</v>
      </c>
      <c r="BO3">
        <v>8.8018999943832892</v>
      </c>
      <c r="BP3">
        <v>8.7420035631502309</v>
      </c>
      <c r="BQ3">
        <v>9.0835266772268799</v>
      </c>
      <c r="BR3">
        <v>34.471695874970898</v>
      </c>
      <c r="BS3">
        <v>19.474834999592499</v>
      </c>
      <c r="BT3">
        <v>22.3409366309272</v>
      </c>
      <c r="BU3">
        <v>17.4361953728841</v>
      </c>
      <c r="BV3">
        <v>31.453467244199398</v>
      </c>
      <c r="BW3">
        <v>18.652970333252899</v>
      </c>
      <c r="BX3">
        <v>71.950369874264794</v>
      </c>
    </row>
    <row r="4" spans="1:76" x14ac:dyDescent="0.45">
      <c r="A4">
        <v>3</v>
      </c>
      <c r="B4">
        <v>1000</v>
      </c>
      <c r="C4">
        <v>500</v>
      </c>
      <c r="D4">
        <v>1</v>
      </c>
      <c r="E4">
        <v>0.907959150395236</v>
      </c>
      <c r="F4">
        <v>2.8730341442038201</v>
      </c>
      <c r="G4">
        <v>2.92309041541188E-2</v>
      </c>
      <c r="H4">
        <v>0.62489042528419603</v>
      </c>
      <c r="I4">
        <v>1.98747281015676</v>
      </c>
      <c r="J4">
        <v>0.200007858939699</v>
      </c>
      <c r="K4">
        <v>0.40122029266490999</v>
      </c>
      <c r="L4">
        <v>1.16035608165333</v>
      </c>
      <c r="M4">
        <v>0.226752291107057</v>
      </c>
      <c r="N4">
        <v>0.40205883499258399</v>
      </c>
      <c r="O4">
        <v>0.83198175482778702</v>
      </c>
      <c r="P4">
        <v>-3.9218256125517402E-2</v>
      </c>
      <c r="Q4">
        <v>7.2789547173668402E-3</v>
      </c>
      <c r="R4">
        <v>0.65444117507820898</v>
      </c>
      <c r="S4">
        <v>2.7975177645076101E-2</v>
      </c>
      <c r="T4">
        <v>0.17250751525166</v>
      </c>
      <c r="U4">
        <v>0.59066028837578999</v>
      </c>
      <c r="V4">
        <v>-7.6348331082262397E-2</v>
      </c>
      <c r="W4">
        <v>-6.4717460231887194E-2</v>
      </c>
      <c r="X4">
        <v>0.873954751968395</v>
      </c>
      <c r="Y4">
        <v>-4.52829932878425E-2</v>
      </c>
      <c r="Z4">
        <v>0.29944102061523298</v>
      </c>
      <c r="AA4">
        <v>0.963356385219579</v>
      </c>
      <c r="AB4">
        <v>7.7061951432202E-2</v>
      </c>
      <c r="AC4">
        <v>-0.34414466721000803</v>
      </c>
      <c r="AD4">
        <v>1.9758750188204299</v>
      </c>
      <c r="AE4">
        <v>-0.58244362479634404</v>
      </c>
      <c r="AF4">
        <v>0.28054573425171903</v>
      </c>
      <c r="AG4">
        <v>2.5361718279612702</v>
      </c>
      <c r="AH4">
        <v>-0.197758367825111</v>
      </c>
      <c r="AI4">
        <v>0.23195188786080001</v>
      </c>
      <c r="AJ4">
        <v>4.5688468237228701</v>
      </c>
      <c r="AK4">
        <v>-1.37799552313622</v>
      </c>
      <c r="AL4">
        <v>-4.6172356599981902E-2</v>
      </c>
      <c r="AM4">
        <v>3.4295049354813201</v>
      </c>
      <c r="AN4">
        <v>-0.152682368593826</v>
      </c>
      <c r="AO4">
        <v>3.4094333530221199</v>
      </c>
      <c r="AP4">
        <v>5.8221678488590598</v>
      </c>
      <c r="AQ4">
        <v>3.13929066990789</v>
      </c>
      <c r="AR4">
        <v>2.89338564185161</v>
      </c>
      <c r="AS4">
        <v>3.6914267990690699</v>
      </c>
      <c r="AT4">
        <v>2.9268596061471102</v>
      </c>
      <c r="AU4">
        <v>2.4637795716893498</v>
      </c>
      <c r="AV4">
        <v>2.4122877099850801</v>
      </c>
      <c r="AW4">
        <v>2.63433299567287</v>
      </c>
      <c r="AX4">
        <v>2.8655782636367699</v>
      </c>
      <c r="AY4">
        <v>2.3201355730347699</v>
      </c>
      <c r="AZ4">
        <v>3.8980845216989799</v>
      </c>
      <c r="BA4">
        <v>1.5889223393327401</v>
      </c>
      <c r="BB4">
        <v>1.6758304933310899</v>
      </c>
      <c r="BC4">
        <v>1.67031611886936</v>
      </c>
      <c r="BD4">
        <v>1.91239007385735</v>
      </c>
      <c r="BE4">
        <v>1.65555938541988</v>
      </c>
      <c r="BF4">
        <v>2.2750427005519298</v>
      </c>
      <c r="BG4">
        <v>1.80646739377385</v>
      </c>
      <c r="BH4">
        <v>2.27166426634495</v>
      </c>
      <c r="BI4">
        <v>1.93276999332108</v>
      </c>
      <c r="BJ4">
        <v>2.1167600665633599</v>
      </c>
      <c r="BK4">
        <v>2.1090818883265299</v>
      </c>
      <c r="BL4">
        <v>2.1939919057520898</v>
      </c>
      <c r="BM4">
        <v>4.6719464333889897</v>
      </c>
      <c r="BN4">
        <v>7.0299449663595999</v>
      </c>
      <c r="BO4">
        <v>4.86559793439059</v>
      </c>
      <c r="BP4">
        <v>5.3565378457264803</v>
      </c>
      <c r="BQ4">
        <v>5.6234187395422799</v>
      </c>
      <c r="BR4">
        <v>5.2949130996560996</v>
      </c>
      <c r="BS4">
        <v>9.6781901828357508</v>
      </c>
      <c r="BT4">
        <v>14.285204205136701</v>
      </c>
      <c r="BU4">
        <v>9.7518924968066507</v>
      </c>
      <c r="BV4">
        <v>10.4528488324198</v>
      </c>
      <c r="BW4">
        <v>10.6457060419214</v>
      </c>
      <c r="BX4">
        <v>9.8978721589956997</v>
      </c>
    </row>
    <row r="5" spans="1:76" x14ac:dyDescent="0.45">
      <c r="A5">
        <v>4</v>
      </c>
      <c r="B5">
        <v>1000</v>
      </c>
      <c r="C5">
        <v>500</v>
      </c>
      <c r="D5">
        <v>2</v>
      </c>
      <c r="E5">
        <v>-4.1220459724619403</v>
      </c>
      <c r="F5">
        <v>-1.7914601913139601</v>
      </c>
      <c r="G5">
        <v>1.0146514347058999</v>
      </c>
      <c r="H5">
        <v>-4.4834384514443197</v>
      </c>
      <c r="I5">
        <v>-9.5987571027075405E-2</v>
      </c>
      <c r="J5">
        <v>-7.5355619563688796</v>
      </c>
      <c r="K5">
        <v>1.2695777922681299</v>
      </c>
      <c r="L5">
        <v>1.47382822158444</v>
      </c>
      <c r="M5">
        <v>1.5224816896482001</v>
      </c>
      <c r="N5">
        <v>1.3620994033505001</v>
      </c>
      <c r="O5">
        <v>1.6440949003921199</v>
      </c>
      <c r="P5">
        <v>1.2763866314674199</v>
      </c>
      <c r="Q5">
        <v>0.83466822414304098</v>
      </c>
      <c r="R5">
        <v>1.0261206538288901</v>
      </c>
      <c r="S5">
        <v>1.2407199057356</v>
      </c>
      <c r="T5">
        <v>0.92322434968489298</v>
      </c>
      <c r="U5">
        <v>1.5109737051170899</v>
      </c>
      <c r="V5">
        <v>0.88235786093514201</v>
      </c>
      <c r="W5">
        <v>0.731050537046388</v>
      </c>
      <c r="X5">
        <v>1.0189733727941801</v>
      </c>
      <c r="Y5">
        <v>1.6366148698962699</v>
      </c>
      <c r="Z5">
        <v>0.81851601702793997</v>
      </c>
      <c r="AA5">
        <v>2.1213536540455702</v>
      </c>
      <c r="AB5">
        <v>0.586845009561348</v>
      </c>
      <c r="AC5">
        <v>-0.98852445832865299</v>
      </c>
      <c r="AD5">
        <v>0.33904694822494003</v>
      </c>
      <c r="AE5">
        <v>3.0539089369218302</v>
      </c>
      <c r="AF5">
        <v>-0.96855069630201196</v>
      </c>
      <c r="AG5">
        <v>4.1691812017137</v>
      </c>
      <c r="AH5">
        <v>-3.67161457815121</v>
      </c>
      <c r="AI5">
        <v>-9.9999912765222394</v>
      </c>
      <c r="AJ5">
        <v>-4.8763257576761498</v>
      </c>
      <c r="AK5">
        <v>2.4304835889767902</v>
      </c>
      <c r="AL5">
        <v>-11.041472823118101</v>
      </c>
      <c r="AM5">
        <v>-0.41578046850225697</v>
      </c>
      <c r="AN5">
        <v>-23.996272287188599</v>
      </c>
      <c r="AO5">
        <v>6.9588642686541702</v>
      </c>
      <c r="AP5">
        <v>6.2766628481400604</v>
      </c>
      <c r="AQ5">
        <v>3.9185012133694799</v>
      </c>
      <c r="AR5">
        <v>7.1513089607357099</v>
      </c>
      <c r="AS5">
        <v>4.4452657196524603</v>
      </c>
      <c r="AT5">
        <v>16.695743346047301</v>
      </c>
      <c r="AU5">
        <v>2.3114877429888301</v>
      </c>
      <c r="AV5">
        <v>2.40004607497234</v>
      </c>
      <c r="AW5">
        <v>2.3345209130334901</v>
      </c>
      <c r="AX5">
        <v>2.3475313122503101</v>
      </c>
      <c r="AY5">
        <v>2.4437473843615001</v>
      </c>
      <c r="AZ5">
        <v>2.3662056851284801</v>
      </c>
      <c r="BA5">
        <v>1.6557962369796699</v>
      </c>
      <c r="BB5">
        <v>1.78817268005887</v>
      </c>
      <c r="BC5">
        <v>1.86219766900246</v>
      </c>
      <c r="BD5">
        <v>1.69962782245371</v>
      </c>
      <c r="BE5">
        <v>2.1028543469055898</v>
      </c>
      <c r="BF5">
        <v>1.70945657093752</v>
      </c>
      <c r="BG5">
        <v>1.97497902629833</v>
      </c>
      <c r="BH5">
        <v>2.3720510540585802</v>
      </c>
      <c r="BI5">
        <v>2.4716907201342901</v>
      </c>
      <c r="BJ5">
        <v>2.05063655600327</v>
      </c>
      <c r="BK5">
        <v>2.9386150191096401</v>
      </c>
      <c r="BL5">
        <v>2.2904052413486302</v>
      </c>
      <c r="BM5">
        <v>5.1830671957435097</v>
      </c>
      <c r="BN5">
        <v>7.7540775646772202</v>
      </c>
      <c r="BO5">
        <v>5.7282762686705002</v>
      </c>
      <c r="BP5">
        <v>5.3661973937830503</v>
      </c>
      <c r="BQ5">
        <v>6.8287466069698004</v>
      </c>
      <c r="BR5">
        <v>21.195965690752502</v>
      </c>
      <c r="BS5">
        <v>16.293158284906301</v>
      </c>
      <c r="BT5">
        <v>16.154976136094099</v>
      </c>
      <c r="BU5">
        <v>10.636606036965</v>
      </c>
      <c r="BV5">
        <v>16.896531624398399</v>
      </c>
      <c r="BW5">
        <v>10.904288170747</v>
      </c>
      <c r="BX5">
        <v>62.001649449187099</v>
      </c>
    </row>
    <row r="6" spans="1:76" x14ac:dyDescent="0.45">
      <c r="A6">
        <v>5</v>
      </c>
      <c r="B6">
        <v>1000</v>
      </c>
      <c r="C6">
        <v>1000</v>
      </c>
      <c r="D6">
        <v>1</v>
      </c>
      <c r="E6">
        <v>0.92395193060332503</v>
      </c>
      <c r="F6">
        <v>2.87969452277654</v>
      </c>
      <c r="G6">
        <v>3.1204559821940599E-2</v>
      </c>
      <c r="H6">
        <v>0.554691894464582</v>
      </c>
      <c r="I6">
        <v>1.2541555782789899</v>
      </c>
      <c r="J6">
        <v>0.129284668898942</v>
      </c>
      <c r="K6">
        <v>0.21946878060883501</v>
      </c>
      <c r="L6">
        <v>0.67837780709565199</v>
      </c>
      <c r="M6">
        <v>0.19839199071018099</v>
      </c>
      <c r="N6">
        <v>0.33458392262234399</v>
      </c>
      <c r="O6">
        <v>0.56049227382281397</v>
      </c>
      <c r="P6">
        <v>0.14806356835448201</v>
      </c>
      <c r="Q6">
        <v>-1.24469577869419E-2</v>
      </c>
      <c r="R6">
        <v>0.36159748474970999</v>
      </c>
      <c r="S6">
        <v>5.4547813254287397E-2</v>
      </c>
      <c r="T6">
        <v>0.21086353013786199</v>
      </c>
      <c r="U6">
        <v>0.40045333351130002</v>
      </c>
      <c r="V6">
        <v>1.27931372715375E-2</v>
      </c>
      <c r="W6">
        <v>-9.8981221471912101E-2</v>
      </c>
      <c r="X6">
        <v>0.49128451636514903</v>
      </c>
      <c r="Y6">
        <v>-3.1590091728843597E-2</v>
      </c>
      <c r="Z6">
        <v>0.30402859109541802</v>
      </c>
      <c r="AA6">
        <v>0.61554338299404698</v>
      </c>
      <c r="AB6">
        <v>5.5496098964341399E-2</v>
      </c>
      <c r="AC6">
        <v>-0.39917842368661699</v>
      </c>
      <c r="AD6">
        <v>1.5265473559592</v>
      </c>
      <c r="AE6">
        <v>-0.56485857363555203</v>
      </c>
      <c r="AF6">
        <v>6.6586306844245199E-2</v>
      </c>
      <c r="AG6">
        <v>1.5680700433695201</v>
      </c>
      <c r="AH6">
        <v>-0.197442409669145</v>
      </c>
      <c r="AI6">
        <v>0.40391514105170701</v>
      </c>
      <c r="AJ6">
        <v>4.37107100047721</v>
      </c>
      <c r="AK6">
        <v>-0.89762037354792801</v>
      </c>
      <c r="AL6">
        <v>5.4736446896908902E-2</v>
      </c>
      <c r="AM6">
        <v>2.1173255423552799</v>
      </c>
      <c r="AN6">
        <v>7.9526885493846705E-2</v>
      </c>
      <c r="AO6">
        <v>2.6457743093708901</v>
      </c>
      <c r="AP6">
        <v>5.3926693428270296</v>
      </c>
      <c r="AQ6">
        <v>2.2023051502873598</v>
      </c>
      <c r="AR6">
        <v>2.2127469191556299</v>
      </c>
      <c r="AS6">
        <v>2.3941269672266698</v>
      </c>
      <c r="AT6">
        <v>1.98807233445327</v>
      </c>
      <c r="AU6">
        <v>1.6201761067493601</v>
      </c>
      <c r="AV6">
        <v>1.6915770661420999</v>
      </c>
      <c r="AW6">
        <v>1.70936106247802</v>
      </c>
      <c r="AX6">
        <v>1.88268106651804</v>
      </c>
      <c r="AY6">
        <v>1.63870726990869</v>
      </c>
      <c r="AZ6">
        <v>1.89681219342965</v>
      </c>
      <c r="BA6">
        <v>1.0976449684068299</v>
      </c>
      <c r="BB6">
        <v>1.2074291155243799</v>
      </c>
      <c r="BC6">
        <v>1.1514874156564701</v>
      </c>
      <c r="BD6">
        <v>1.2982295570468301</v>
      </c>
      <c r="BE6">
        <v>1.1544805158175</v>
      </c>
      <c r="BF6">
        <v>1.2912598650684399</v>
      </c>
      <c r="BG6">
        <v>1.31490204443652</v>
      </c>
      <c r="BH6">
        <v>1.6193530213150999</v>
      </c>
      <c r="BI6">
        <v>1.3490582772614601</v>
      </c>
      <c r="BJ6">
        <v>1.59121018387771</v>
      </c>
      <c r="BK6">
        <v>1.46450414414746</v>
      </c>
      <c r="BL6">
        <v>1.50213391314637</v>
      </c>
      <c r="BM6">
        <v>3.4630279998968398</v>
      </c>
      <c r="BN6">
        <v>5.4065230105867004</v>
      </c>
      <c r="BO6">
        <v>3.56205943014296</v>
      </c>
      <c r="BP6">
        <v>3.8287270290495199</v>
      </c>
      <c r="BQ6">
        <v>3.9033362187732501</v>
      </c>
      <c r="BR6">
        <v>3.65549408316999</v>
      </c>
      <c r="BS6">
        <v>6.9191877616529496</v>
      </c>
      <c r="BT6">
        <v>10.8938008403733</v>
      </c>
      <c r="BU6">
        <v>7.0148954665875696</v>
      </c>
      <c r="BV6">
        <v>7.2135117123481303</v>
      </c>
      <c r="BW6">
        <v>7.2683624568866501</v>
      </c>
      <c r="BX6">
        <v>6.9385172315989303</v>
      </c>
    </row>
    <row r="7" spans="1:76" x14ac:dyDescent="0.45">
      <c r="A7">
        <v>6</v>
      </c>
      <c r="B7">
        <v>1000</v>
      </c>
      <c r="C7">
        <v>1000</v>
      </c>
      <c r="D7">
        <v>2</v>
      </c>
      <c r="E7">
        <v>-5.7529756514127701</v>
      </c>
      <c r="F7">
        <v>-3.00227352094339</v>
      </c>
      <c r="G7">
        <v>-0.233269753068157</v>
      </c>
      <c r="H7">
        <v>-5.0883974954893203</v>
      </c>
      <c r="I7">
        <v>-0.73714407217555</v>
      </c>
      <c r="J7">
        <v>-8.3686991213855304</v>
      </c>
      <c r="K7">
        <v>1.2239863178144901</v>
      </c>
      <c r="L7">
        <v>1.20576698768042</v>
      </c>
      <c r="M7">
        <v>1.4680719956272199</v>
      </c>
      <c r="N7">
        <v>1.31950473581945</v>
      </c>
      <c r="O7">
        <v>1.6032907292712899</v>
      </c>
      <c r="P7">
        <v>1.26737129115706</v>
      </c>
      <c r="Q7">
        <v>0.81484174657141395</v>
      </c>
      <c r="R7">
        <v>0.73717979697200198</v>
      </c>
      <c r="S7">
        <v>1.1563054562724</v>
      </c>
      <c r="T7">
        <v>0.94419305312420798</v>
      </c>
      <c r="U7">
        <v>1.4554515507816701</v>
      </c>
      <c r="V7">
        <v>0.874183496030143</v>
      </c>
      <c r="W7">
        <v>0.761568005319602</v>
      </c>
      <c r="X7">
        <v>0.75544628346578602</v>
      </c>
      <c r="Y7">
        <v>1.5151592377832801</v>
      </c>
      <c r="Z7">
        <v>0.99117080859859696</v>
      </c>
      <c r="AA7">
        <v>2.1179141209660202</v>
      </c>
      <c r="AB7">
        <v>0.76056855876077301</v>
      </c>
      <c r="AC7">
        <v>-0.76013226148364099</v>
      </c>
      <c r="AD7">
        <v>0.22363915338915599</v>
      </c>
      <c r="AE7">
        <v>2.67364912338014</v>
      </c>
      <c r="AF7">
        <v>-0.186327545876738</v>
      </c>
      <c r="AG7">
        <v>4.2893159133788101</v>
      </c>
      <c r="AH7">
        <v>-2.0178209871905102</v>
      </c>
      <c r="AI7">
        <v>-11.397012447654401</v>
      </c>
      <c r="AJ7">
        <v>-5.6971053775841902</v>
      </c>
      <c r="AK7">
        <v>0.51574772428895199</v>
      </c>
      <c r="AL7">
        <v>-10.053174183616299</v>
      </c>
      <c r="AM7">
        <v>-0.31100966144135</v>
      </c>
      <c r="AN7">
        <v>-21.4898511479931</v>
      </c>
      <c r="AO7">
        <v>7.7165029693855001</v>
      </c>
      <c r="AP7">
        <v>5.6751886270281702</v>
      </c>
      <c r="AQ7">
        <v>2.8802878720641898</v>
      </c>
      <c r="AR7">
        <v>6.8498981709302704</v>
      </c>
      <c r="AS7">
        <v>3.34355486421574</v>
      </c>
      <c r="AT7">
        <v>16.005829853136099</v>
      </c>
      <c r="AU7">
        <v>1.8870015294028699</v>
      </c>
      <c r="AV7">
        <v>1.8697663189343201</v>
      </c>
      <c r="AW7">
        <v>1.9672795355272901</v>
      </c>
      <c r="AX7">
        <v>1.9061560211659101</v>
      </c>
      <c r="AY7">
        <v>2.07451754974185</v>
      </c>
      <c r="AZ7">
        <v>1.8955265737022</v>
      </c>
      <c r="BA7">
        <v>1.28549524475851</v>
      </c>
      <c r="BB7">
        <v>1.2805602334380199</v>
      </c>
      <c r="BC7">
        <v>1.51254207513981</v>
      </c>
      <c r="BD7">
        <v>1.3662313452458299</v>
      </c>
      <c r="BE7">
        <v>1.7882840991942099</v>
      </c>
      <c r="BF7">
        <v>1.3345072952724299</v>
      </c>
      <c r="BG7">
        <v>1.51974440720379</v>
      </c>
      <c r="BH7">
        <v>1.6926516208979601</v>
      </c>
      <c r="BI7">
        <v>1.98032215225453</v>
      </c>
      <c r="BJ7">
        <v>1.6387788086985899</v>
      </c>
      <c r="BK7">
        <v>2.5396595686662802</v>
      </c>
      <c r="BL7">
        <v>1.54365261784065</v>
      </c>
      <c r="BM7">
        <v>3.55633255371347</v>
      </c>
      <c r="BN7">
        <v>5.4038313944196696</v>
      </c>
      <c r="BO7">
        <v>4.2747064699040704</v>
      </c>
      <c r="BP7">
        <v>3.53208626237168</v>
      </c>
      <c r="BQ7">
        <v>5.5581570792533199</v>
      </c>
      <c r="BR7">
        <v>5.4919374028367001</v>
      </c>
      <c r="BS7">
        <v>15.137950125356999</v>
      </c>
      <c r="BT7">
        <v>13.018556281284701</v>
      </c>
      <c r="BU7">
        <v>7.55114084273076</v>
      </c>
      <c r="BV7">
        <v>13.6984368092529</v>
      </c>
      <c r="BW7">
        <v>7.56005957454569</v>
      </c>
      <c r="BX7">
        <v>70.316504706165404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20"/>
  <sheetViews>
    <sheetView topLeftCell="B1" zoomScaleNormal="100" workbookViewId="0">
      <selection activeCell="Z14" sqref="Z14:AE14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5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5.1328125" style="1" bestFit="1" customWidth="1"/>
    <col min="9" max="9" width="2.86328125" style="1" customWidth="1"/>
    <col min="10" max="10" width="5.86328125" style="1" bestFit="1" customWidth="1"/>
    <col min="11" max="11" width="6.1328125" style="1" bestFit="1" customWidth="1"/>
    <col min="12" max="12" width="7.53125" style="1" bestFit="1" customWidth="1"/>
    <col min="13" max="13" width="8" style="1" bestFit="1" customWidth="1"/>
    <col min="14" max="14" width="7.6640625" style="1" bestFit="1" customWidth="1"/>
    <col min="15" max="15" width="5.1328125" style="1" bestFit="1" customWidth="1"/>
    <col min="16" max="18" width="9.33203125" style="1"/>
    <col min="19" max="19" width="6" style="1" bestFit="1" customWidth="1"/>
    <col min="20" max="20" width="7.53125" style="1" bestFit="1" customWidth="1"/>
    <col min="21" max="21" width="7" style="1" bestFit="1" customWidth="1"/>
    <col min="22" max="22" width="8.53125" style="1" bestFit="1" customWidth="1"/>
    <col min="23" max="23" width="7" style="1" bestFit="1" customWidth="1"/>
    <col min="24" max="24" width="8.53125" style="1" bestFit="1" customWidth="1"/>
    <col min="25" max="25" width="2.86328125" style="1" customWidth="1"/>
    <col min="26" max="26" width="6" style="1" bestFit="1" customWidth="1"/>
    <col min="27" max="27" width="7.53125" style="1" bestFit="1" customWidth="1"/>
    <col min="28" max="28" width="7" style="1" bestFit="1" customWidth="1"/>
    <col min="29" max="29" width="8.53125" style="1" bestFit="1" customWidth="1"/>
    <col min="30" max="30" width="7" style="1" bestFit="1" customWidth="1"/>
    <col min="31" max="31" width="8.53125" style="1" bestFit="1" customWidth="1"/>
    <col min="32" max="16384" width="9.33203125" style="1"/>
  </cols>
  <sheetData>
    <row r="1" spans="1:31" x14ac:dyDescent="0.45">
      <c r="C1" s="16" t="s">
        <v>61</v>
      </c>
      <c r="D1" s="16"/>
      <c r="E1" s="16"/>
      <c r="F1" s="16"/>
      <c r="G1" s="16"/>
      <c r="H1" s="9"/>
      <c r="J1" s="16" t="s">
        <v>71</v>
      </c>
      <c r="K1" s="16"/>
      <c r="L1" s="16"/>
      <c r="M1" s="16"/>
      <c r="N1" s="16"/>
      <c r="O1" s="9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45">
      <c r="C2" s="8" t="s">
        <v>0</v>
      </c>
      <c r="D2" s="8" t="s">
        <v>1</v>
      </c>
      <c r="E2" s="9" t="s">
        <v>90</v>
      </c>
      <c r="F2" s="8" t="s">
        <v>49</v>
      </c>
      <c r="G2" s="8" t="s">
        <v>48</v>
      </c>
      <c r="H2" s="9" t="s">
        <v>91</v>
      </c>
      <c r="J2" s="8" t="s">
        <v>0</v>
      </c>
      <c r="K2" s="8" t="s">
        <v>1</v>
      </c>
      <c r="L2" s="9" t="s">
        <v>90</v>
      </c>
      <c r="M2" s="8" t="s">
        <v>49</v>
      </c>
      <c r="N2" s="8" t="s">
        <v>48</v>
      </c>
      <c r="O2" s="9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45">
      <c r="B3" s="1" t="s">
        <v>6</v>
      </c>
      <c r="C3" s="8">
        <v>200</v>
      </c>
      <c r="D3" s="8">
        <v>200</v>
      </c>
      <c r="E3" s="9">
        <v>200</v>
      </c>
      <c r="F3" s="9">
        <v>200</v>
      </c>
      <c r="G3" s="9">
        <v>200</v>
      </c>
      <c r="H3" s="9">
        <v>200</v>
      </c>
      <c r="J3" s="8">
        <v>200</v>
      </c>
      <c r="K3" s="8">
        <v>200</v>
      </c>
      <c r="L3" s="11">
        <v>200</v>
      </c>
      <c r="M3" s="8">
        <v>200</v>
      </c>
      <c r="N3" s="8">
        <v>200</v>
      </c>
      <c r="O3" s="9">
        <v>200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45">
      <c r="C4" s="8"/>
      <c r="D4" s="8"/>
      <c r="E4" s="9"/>
      <c r="F4" s="8"/>
      <c r="G4" s="8"/>
      <c r="H4" s="9"/>
      <c r="J4" s="8"/>
      <c r="K4" s="8"/>
      <c r="L4" s="9"/>
      <c r="M4" s="8"/>
      <c r="N4" s="8"/>
      <c r="O4" s="9"/>
    </row>
    <row r="5" spans="1:31" x14ac:dyDescent="0.45">
      <c r="A5" s="2" t="s">
        <v>58</v>
      </c>
      <c r="B5" s="1" t="s">
        <v>3</v>
      </c>
      <c r="C5" s="12">
        <f>'Table-n=200-corr'!C5</f>
        <v>0.97562051736714905</v>
      </c>
      <c r="D5" s="12">
        <f>'Table-n=200-corr'!D5</f>
        <v>4.5523110281839196</v>
      </c>
      <c r="E5" s="12">
        <f>'Table-n=200-corr'!E5</f>
        <v>0.62268348252468475</v>
      </c>
      <c r="F5" s="12">
        <f>'Table-n=200-corr'!F5</f>
        <v>0.98697394789579196</v>
      </c>
      <c r="G5" s="12">
        <f>'Table-n=200-corr'!G5</f>
        <v>22.69524335743694</v>
      </c>
      <c r="H5" s="12">
        <f>'Table-n=200-corr'!I5</f>
        <v>1.8684286591540724</v>
      </c>
      <c r="I5" s="12"/>
      <c r="J5" s="12">
        <f>'Table-n=200-miss'!C5</f>
        <v>-1.8533955785637499</v>
      </c>
      <c r="K5" s="12">
        <f>'Table-n=200-miss'!D5</f>
        <v>7.1149658164118899</v>
      </c>
      <c r="L5" s="12">
        <f>'Table-n=200-miss'!E5</f>
        <v>1.3260674649762789</v>
      </c>
      <c r="M5" s="12">
        <f>'Table-n=200-miss'!F5</f>
        <v>0.96399999999999997</v>
      </c>
      <c r="N5" s="12">
        <f>'Table-n=200-miss'!G5</f>
        <v>22.140191496174566</v>
      </c>
      <c r="O5" s="12">
        <f>'Table-n=200-miss'!I5</f>
        <v>2.1181005589868409</v>
      </c>
      <c r="P5" s="5"/>
      <c r="Q5" s="5"/>
      <c r="R5" s="1" t="s">
        <v>3</v>
      </c>
      <c r="S5" s="7">
        <f>100*'Table-n=200-corr'!K5/SQRT(C$3)</f>
        <v>16.842075165042296</v>
      </c>
      <c r="T5" s="7">
        <f>100*SQRT('Table-n=200-corr'!L5/D$3)</f>
        <v>5.408015327560185</v>
      </c>
      <c r="U5" s="7">
        <f>100*'Table-n=200-corr'!M5/SQRT(E$3)</f>
        <v>13.594224171586584</v>
      </c>
      <c r="V5" s="7">
        <f>100*SQRT('Table-n=200-corr'!N5/F$3)</f>
        <v>4.6150061409369219</v>
      </c>
      <c r="W5" s="7">
        <f>100*'Table-n=200-corr'!O5/SQRT(G$3)</f>
        <v>5.7444642408429818</v>
      </c>
      <c r="X5" s="7">
        <f>100*SQRT('Table-n=200-corr'!P5/H$3)</f>
        <v>1.3826473703276045</v>
      </c>
      <c r="Y5" s="12"/>
      <c r="Z5" s="7">
        <f>100*'Table-n=200-miss'!K5/SQRT(J$3)</f>
        <v>17.931229267346147</v>
      </c>
      <c r="AA5" s="7">
        <f>100*SQRT('Table-n=200-miss'!L5/K$3)</f>
        <v>5.5489134675052556</v>
      </c>
      <c r="AB5" s="7">
        <f>100*'Table-n=200-miss'!M5/SQRT(L$3)</f>
        <v>13.831219118896726</v>
      </c>
      <c r="AC5" s="7">
        <f>100*SQRT('Table-n=200-miss'!N5/M$3)</f>
        <v>4.5094320139470607</v>
      </c>
      <c r="AD5" s="7">
        <f>100*'Table-n=200-miss'!O5/SQRT(N$3)</f>
        <v>6.1963757645666195</v>
      </c>
      <c r="AE5" s="7">
        <f>100*SQRT('Table-n=200-miss'!P5/O$3)</f>
        <v>1.4233258470492622</v>
      </c>
    </row>
    <row r="6" spans="1:31" x14ac:dyDescent="0.45">
      <c r="B6" s="1" t="s">
        <v>5</v>
      </c>
      <c r="C6" s="12">
        <f>'Table-n=200-corr'!C6</f>
        <v>3.3054352993242899</v>
      </c>
      <c r="D6" s="12">
        <f>'Table-n=200-corr'!D6</f>
        <v>7.6575973513858804</v>
      </c>
      <c r="E6" s="12">
        <f>'Table-n=200-corr'!E6</f>
        <v>1.761929575258117</v>
      </c>
      <c r="F6" s="12">
        <f>'Table-n=200-corr'!F6</f>
        <v>0.99297188755020105</v>
      </c>
      <c r="G6" s="12">
        <f>'Table-n=200-corr'!G6</f>
        <v>45.099605881458537</v>
      </c>
      <c r="H6" s="12">
        <f>'Table-n=200-corr'!I6</f>
        <v>0.47315203769126607</v>
      </c>
      <c r="I6" s="12"/>
      <c r="J6" s="12">
        <f>'Table-n=200-miss'!C6</f>
        <v>0.64043663364620196</v>
      </c>
      <c r="K6" s="12">
        <f>'Table-n=200-miss'!D6</f>
        <v>7.8316137259760996</v>
      </c>
      <c r="L6" s="12">
        <f>'Table-n=200-miss'!E6</f>
        <v>1.6066545259955234</v>
      </c>
      <c r="M6" s="12">
        <f>'Table-n=200-miss'!F6</f>
        <v>0.99299299299299304</v>
      </c>
      <c r="N6" s="12">
        <f>'Table-n=200-miss'!G6</f>
        <v>43.117728438849532</v>
      </c>
      <c r="O6" s="12">
        <f>'Table-n=200-miss'!I6</f>
        <v>0.5584670759992888</v>
      </c>
      <c r="P6" s="5"/>
      <c r="Q6" s="5"/>
      <c r="R6" s="1" t="s">
        <v>5</v>
      </c>
      <c r="S6" s="7">
        <f>100*'Table-n=200-corr'!K6/SQRT(C$3)</f>
        <v>13.152729941573053</v>
      </c>
      <c r="T6" s="7">
        <f>100*SQRT('Table-n=200-corr'!L6/D$3)</f>
        <v>3.9929161629866088</v>
      </c>
      <c r="U6" s="7">
        <f>100*'Table-n=200-corr'!M6/SQRT(E$3)</f>
        <v>11.167437678488607</v>
      </c>
      <c r="V6" s="7">
        <f>100*SQRT('Table-n=200-corr'!N6/F$3)</f>
        <v>3.4596828645360116</v>
      </c>
      <c r="W6" s="7">
        <f>100*'Table-n=200-corr'!O6/SQRT(G$3)</f>
        <v>5.2054691007717091</v>
      </c>
      <c r="X6" s="7">
        <f>100*SQRT('Table-n=200-corr'!P6/H$3)</f>
        <v>1.2106467724013101</v>
      </c>
      <c r="Y6" s="12"/>
      <c r="Z6" s="7">
        <f>100*'Table-n=200-miss'!K6/SQRT(J$3)</f>
        <v>14.214931579433882</v>
      </c>
      <c r="AA6" s="7">
        <f>100*SQRT('Table-n=200-miss'!L6/K$3)</f>
        <v>4.1867470989568254</v>
      </c>
      <c r="AB6" s="7">
        <f>100*'Table-n=200-miss'!M6/SQRT(L$3)</f>
        <v>11.789411877264353</v>
      </c>
      <c r="AC6" s="7">
        <f>100*SQRT('Table-n=200-miss'!N6/M$3)</f>
        <v>3.6191269226854423</v>
      </c>
      <c r="AD6" s="7">
        <f>100*'Table-n=200-miss'!O6/SQRT(N$3)</f>
        <v>5.7757560391796279</v>
      </c>
      <c r="AE6" s="7">
        <f>100*SQRT('Table-n=200-miss'!P6/O$3)</f>
        <v>1.2723650478810553</v>
      </c>
    </row>
    <row r="7" spans="1:31" x14ac:dyDescent="0.45">
      <c r="B7" s="1" t="s">
        <v>4</v>
      </c>
      <c r="C7" s="12">
        <f>'Table-n=200-corr'!C7</f>
        <v>-9.7695936443038506E-2</v>
      </c>
      <c r="D7" s="12">
        <f>'Table-n=200-corr'!D7</f>
        <v>4.1638609881866602</v>
      </c>
      <c r="E7" s="12">
        <f>'Table-n=200-corr'!E7</f>
        <v>0.52094987262049974</v>
      </c>
      <c r="F7" s="12">
        <f>'Table-n=200-corr'!F7</f>
        <v>0.99298597194388805</v>
      </c>
      <c r="G7" s="12">
        <f>'Table-n=200-corr'!G7</f>
        <v>32.807090573207773</v>
      </c>
      <c r="H7" s="12">
        <f>'Table-n=200-corr'!I7</f>
        <v>0.89415080704322858</v>
      </c>
      <c r="I7" s="12"/>
      <c r="J7" s="12">
        <f>'Table-n=200-miss'!C7</f>
        <v>2.8019738202817299</v>
      </c>
      <c r="K7" s="12">
        <f>'Table-n=200-miss'!D7</f>
        <v>6.47569524004426</v>
      </c>
      <c r="L7" s="12">
        <f>'Table-n=200-miss'!E7</f>
        <v>1.0984816020505375</v>
      </c>
      <c r="M7" s="12">
        <f>'Table-n=200-miss'!F7</f>
        <v>0.9</v>
      </c>
      <c r="N7" s="12">
        <f>'Table-n=200-miss'!G7</f>
        <v>19.030202237563547</v>
      </c>
      <c r="O7" s="12">
        <f>'Table-n=200-miss'!I7</f>
        <v>2.8669658068285644</v>
      </c>
      <c r="P7" s="5"/>
      <c r="Q7" s="5"/>
      <c r="R7" s="1" t="s">
        <v>4</v>
      </c>
      <c r="S7" s="7">
        <f>100*'Table-n=200-corr'!K7/SQRT(C$3)</f>
        <v>19.341355581931506</v>
      </c>
      <c r="T7" s="7">
        <f>100*SQRT('Table-n=200-corr'!L7/D$3)</f>
        <v>6.2469586469730896</v>
      </c>
      <c r="U7" s="7">
        <f>100*'Table-n=200-corr'!M7/SQRT(E$3)</f>
        <v>15.586961299242779</v>
      </c>
      <c r="V7" s="7">
        <f>100*SQRT('Table-n=200-corr'!N7/F$3)</f>
        <v>5.4011633387289999</v>
      </c>
      <c r="W7" s="7">
        <f>100*'Table-n=200-corr'!O7/SQRT(G$3)</f>
        <v>6.0742014129950803</v>
      </c>
      <c r="X7" s="7">
        <f>100*SQRT('Table-n=200-corr'!P7/H$3)</f>
        <v>1.4564037929858806</v>
      </c>
      <c r="Y7" s="12"/>
      <c r="Z7" s="7">
        <f>100*'Table-n=200-miss'!K7/SQRT(J$3)</f>
        <v>17.975994381323609</v>
      </c>
      <c r="AA7" s="7">
        <f>100*SQRT('Table-n=200-miss'!L7/K$3)</f>
        <v>5.4869311686185975</v>
      </c>
      <c r="AB7" s="7">
        <f>100*'Table-n=200-miss'!M7/SQRT(L$3)</f>
        <v>13.807895324392838</v>
      </c>
      <c r="AC7" s="7">
        <f>100*SQRT('Table-n=200-miss'!N7/M$3)</f>
        <v>4.4630674021927899</v>
      </c>
      <c r="AD7" s="7">
        <f>100*'Table-n=200-miss'!O7/SQRT(N$3)</f>
        <v>5.8986724130737862</v>
      </c>
      <c r="AE7" s="7">
        <f>100*SQRT('Table-n=200-miss'!P7/O$3)</f>
        <v>1.3769529201169171</v>
      </c>
    </row>
    <row r="8" spans="1:31" x14ac:dyDescent="0.45">
      <c r="B8" s="1" t="s">
        <v>88</v>
      </c>
      <c r="C8" s="12">
        <f>'Table-n=200-corr'!C8</f>
        <v>0.62283336005738998</v>
      </c>
      <c r="D8" s="12">
        <f>'Table-n=200-corr'!D8</f>
        <v>4.4232952749398402</v>
      </c>
      <c r="E8" s="12">
        <f>'Table-n=200-corr'!E8</f>
        <v>0.58788902824825229</v>
      </c>
      <c r="F8" s="12">
        <f>'Table-n=200-corr'!F8</f>
        <v>0.86673346693386799</v>
      </c>
      <c r="G8" s="12">
        <f>'Table-n=200-corr'!G8</f>
        <v>13.050247194674181</v>
      </c>
      <c r="H8" s="12">
        <f>'Table-n=200-corr'!I8</f>
        <v>5.6507843277396885</v>
      </c>
      <c r="I8" s="12"/>
      <c r="J8" s="12">
        <f>'Table-n=200-miss'!C8</f>
        <v>-3.5129288809163199</v>
      </c>
      <c r="K8" s="12">
        <f>'Table-n=200-miss'!D8</f>
        <v>8.0559244758942299</v>
      </c>
      <c r="L8" s="12">
        <f>'Table-n=200-miss'!E8</f>
        <v>1.7000071821019549</v>
      </c>
      <c r="M8" s="12">
        <f>'Table-n=200-miss'!F8</f>
        <v>0.83</v>
      </c>
      <c r="N8" s="12">
        <f>'Table-n=200-miss'!G8</f>
        <v>17.116227142777266</v>
      </c>
      <c r="O8" s="12">
        <f>'Table-n=200-miss'!I8</f>
        <v>3.5439961236668078</v>
      </c>
      <c r="P8" s="5"/>
      <c r="Q8" s="5"/>
      <c r="R8" s="1" t="s">
        <v>88</v>
      </c>
      <c r="S8" s="7">
        <f>100*'Table-n=200-corr'!K8/SQRT(C$3)</f>
        <v>20.208522345442475</v>
      </c>
      <c r="T8" s="7">
        <f>100*SQRT('Table-n=200-corr'!L8/D$3)</f>
        <v>6.7765681915899405</v>
      </c>
      <c r="U8" s="7">
        <f>100*'Table-n=200-corr'!M8/SQRT(E$3)</f>
        <v>17.353422249504224</v>
      </c>
      <c r="V8" s="7">
        <f>100*SQRT('Table-n=200-corr'!N8/F$3)</f>
        <v>6.275011944317364</v>
      </c>
      <c r="W8" s="7">
        <f>100*'Table-n=200-corr'!O8/SQRT(G$3)</f>
        <v>8.0391955297922078</v>
      </c>
      <c r="X8" s="7">
        <f>100*SQRT('Table-n=200-corr'!P8/H$3)</f>
        <v>1.8853388581668709</v>
      </c>
      <c r="Y8" s="12"/>
      <c r="Z8" s="7">
        <f>100*'Table-n=200-miss'!K8/SQRT(J$3)</f>
        <v>18.999045483189086</v>
      </c>
      <c r="AA8" s="7">
        <f>100*SQRT('Table-n=200-miss'!L8/K$3)</f>
        <v>5.8382324547021085</v>
      </c>
      <c r="AB8" s="7">
        <f>100*'Table-n=200-miss'!M8/SQRT(L$3)</f>
        <v>14.873495048705006</v>
      </c>
      <c r="AC8" s="7">
        <f>100*SQRT('Table-n=200-miss'!N8/M$3)</f>
        <v>4.8396649206111109</v>
      </c>
      <c r="AD8" s="7">
        <f>100*'Table-n=200-miss'!O8/SQRT(N$3)</f>
        <v>7.0705544287405377</v>
      </c>
      <c r="AE8" s="7">
        <f>100*SQRT('Table-n=200-miss'!P8/O$3)</f>
        <v>1.5451002227966411</v>
      </c>
    </row>
    <row r="9" spans="1:31" x14ac:dyDescent="0.45">
      <c r="B9" s="1" t="s">
        <v>89</v>
      </c>
      <c r="C9" s="12">
        <f>'Table-n=200-corr'!C9</f>
        <v>3.0236309947709201</v>
      </c>
      <c r="D9" s="12">
        <f>'Table-n=200-corr'!D9</f>
        <v>5.76896964670867</v>
      </c>
      <c r="E9" s="12">
        <f>'Table-n=200-corr'!E9</f>
        <v>1</v>
      </c>
      <c r="F9" s="12">
        <f>'Table-n=200-corr'!F9</f>
        <v>0.99699398797595196</v>
      </c>
      <c r="G9" s="12">
        <f>'Table-n=200-corr'!G9</f>
        <v>31.022236475520579</v>
      </c>
      <c r="H9" s="12">
        <f>'Table-n=200-corr'!I9</f>
        <v>1</v>
      </c>
      <c r="I9" s="12"/>
      <c r="J9" s="12">
        <f>'Table-n=200-miss'!C9</f>
        <v>0.75743065846209701</v>
      </c>
      <c r="K9" s="12">
        <f>'Table-n=200-miss'!D9</f>
        <v>6.1785989742562704</v>
      </c>
      <c r="L9" s="12">
        <f>'Table-n=200-miss'!E9</f>
        <v>1</v>
      </c>
      <c r="M9" s="12">
        <f>'Table-n=200-miss'!F9</f>
        <v>0.997</v>
      </c>
      <c r="N9" s="12">
        <f>'Table-n=200-miss'!G9</f>
        <v>32.222160777494345</v>
      </c>
      <c r="O9" s="12">
        <f>'Table-n=200-miss'!I9</f>
        <v>1</v>
      </c>
      <c r="P9" s="5"/>
      <c r="Q9" s="5"/>
      <c r="R9" s="1" t="s">
        <v>89</v>
      </c>
      <c r="S9" s="7">
        <f>100*'Table-n=200-corr'!K9/SQRT(C$3)</f>
        <v>18.434709434309543</v>
      </c>
      <c r="T9" s="7">
        <f>100*SQRT('Table-n=200-corr'!L9/D$3)</f>
        <v>5.9538923612010111</v>
      </c>
      <c r="U9" s="7">
        <f>100*'Table-n=200-corr'!M9/SQRT(E$3)</f>
        <v>14.274809723120683</v>
      </c>
      <c r="V9" s="7">
        <f>100*SQRT('Table-n=200-corr'!N9/F$3)</f>
        <v>4.87667225448262</v>
      </c>
      <c r="W9" s="7">
        <f>100*'Table-n=200-corr'!O9/SQRT(G$3)</f>
        <v>6.2591672506686624</v>
      </c>
      <c r="X9" s="7">
        <f>100*SQRT('Table-n=200-corr'!P9/H$3)</f>
        <v>1.6251956902878881</v>
      </c>
      <c r="Y9" s="12"/>
      <c r="Z9" s="7">
        <f>100*'Table-n=200-miss'!K9/SQRT(J$3)</f>
        <v>19.207173156031363</v>
      </c>
      <c r="AA9" s="7">
        <f>100*SQRT('Table-n=200-miss'!L9/K$3)</f>
        <v>5.9880674079247429</v>
      </c>
      <c r="AB9" s="7">
        <f>100*'Table-n=200-miss'!M9/SQRT(L$3)</f>
        <v>14.360318013073924</v>
      </c>
      <c r="AC9" s="7">
        <f>100*SQRT('Table-n=200-miss'!N9/M$3)</f>
        <v>4.6724533538031761</v>
      </c>
      <c r="AD9" s="7">
        <f>100*'Table-n=200-miss'!O9/SQRT(N$3)</f>
        <v>6.2299722641934805</v>
      </c>
      <c r="AE9" s="7">
        <f>100*SQRT('Table-n=200-miss'!P9/O$3)</f>
        <v>1.5721228826293381</v>
      </c>
    </row>
    <row r="10" spans="1:31" s="3" customFormat="1" x14ac:dyDescent="0.45">
      <c r="B10" s="3" t="s">
        <v>2</v>
      </c>
      <c r="C10" s="14">
        <f>'Table-n=200-corr'!C10</f>
        <v>0.70768903879009704</v>
      </c>
      <c r="D10" s="14">
        <f>'Table-n=200-corr'!D10</f>
        <v>11.8537912747988</v>
      </c>
      <c r="E10" s="14">
        <f>'Table-n=200-corr'!E10</f>
        <v>4.2219981987843012</v>
      </c>
      <c r="F10" s="14">
        <f>'Table-n=200-corr'!F10</f>
        <v>0.94789579158316595</v>
      </c>
      <c r="G10" s="14">
        <f>'Table-n=200-corr'!G10</f>
        <v>55.040950431187305</v>
      </c>
      <c r="H10" s="14">
        <f>'Table-n=200-corr'!I10</f>
        <v>0.31766865114916648</v>
      </c>
      <c r="I10" s="14"/>
      <c r="J10" s="14">
        <f>'Table-n=200-miss'!C10</f>
        <v>-5.3186967228700102</v>
      </c>
      <c r="K10" s="14">
        <f>'Table-n=200-miss'!D10</f>
        <v>15.767302101463001</v>
      </c>
      <c r="L10" s="14">
        <f>'Table-n=200-miss'!E10</f>
        <v>6.5123054396571032</v>
      </c>
      <c r="M10" s="14">
        <f>'Table-n=200-miss'!F10</f>
        <v>0.95299999999999996</v>
      </c>
      <c r="N10" s="14">
        <f>'Table-n=200-miss'!G10</f>
        <v>32.477835124354314</v>
      </c>
      <c r="O10" s="14">
        <f>'Table-n=200-miss'!I10</f>
        <v>0.98431742898475683</v>
      </c>
      <c r="P10" s="13"/>
      <c r="Q10" s="13"/>
      <c r="R10" s="3" t="s">
        <v>2</v>
      </c>
      <c r="S10" s="7">
        <f>100*'Table-n=200-corr'!K10/SQRT(C$3)</f>
        <v>25.44742604687303</v>
      </c>
      <c r="T10" s="7">
        <f>100*SQRT('Table-n=200-corr'!L10/D$3)</f>
        <v>20.164737220213112</v>
      </c>
      <c r="U10" s="7">
        <f>100*'Table-n=200-corr'!M10/SQRT(E$3)</f>
        <v>21.763855587844457</v>
      </c>
      <c r="V10" s="7">
        <f>100*SQRT('Table-n=200-corr'!N10/F$3)</f>
        <v>17.373862384918461</v>
      </c>
      <c r="W10" s="7">
        <f>100*'Table-n=200-corr'!O10/SQRT(G$3)</f>
        <v>8.4625485417607411</v>
      </c>
      <c r="X10" s="7">
        <f>100*SQRT('Table-n=200-corr'!P10/H$3)</f>
        <v>9.6972505674347467</v>
      </c>
      <c r="Y10" s="14"/>
      <c r="Z10" s="7">
        <f>100*'Table-n=200-miss'!K10/SQRT(J$3)</f>
        <v>19.322829371824142</v>
      </c>
      <c r="AA10" s="7">
        <f>100*SQRT('Table-n=200-miss'!L10/K$3)</f>
        <v>5.9414267503991667</v>
      </c>
      <c r="AB10" s="7">
        <f>100*'Table-n=200-miss'!M10/SQRT(L$3)</f>
        <v>15.035375489993552</v>
      </c>
      <c r="AC10" s="7">
        <f>100*SQRT('Table-n=200-miss'!N10/M$3)</f>
        <v>4.9540508233375036</v>
      </c>
      <c r="AD10" s="7">
        <f>100*'Table-n=200-miss'!O10/SQRT(N$3)</f>
        <v>7.3900335665195769</v>
      </c>
      <c r="AE10" s="7">
        <f>100*SQRT('Table-n=200-miss'!P10/O$3)</f>
        <v>1.6256117291239385</v>
      </c>
    </row>
    <row r="11" spans="1:31" s="4" customFormat="1" x14ac:dyDescent="0.4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 t="s">
        <v>219</v>
      </c>
      <c r="T11" s="16"/>
      <c r="U11" s="16"/>
      <c r="V11" s="16"/>
      <c r="W11" s="16"/>
      <c r="X11" s="16"/>
      <c r="Y11" s="7"/>
      <c r="Z11" s="16" t="s">
        <v>219</v>
      </c>
      <c r="AA11" s="16"/>
      <c r="AB11" s="16"/>
      <c r="AC11" s="16"/>
      <c r="AD11" s="16"/>
      <c r="AE11" s="16"/>
    </row>
    <row r="12" spans="1:31" x14ac:dyDescent="0.45">
      <c r="A12" s="2" t="s">
        <v>206</v>
      </c>
      <c r="B12" s="1" t="s">
        <v>3</v>
      </c>
      <c r="C12" s="12">
        <f>'Table-n=200-corr'!C12</f>
        <v>0.593209942335855</v>
      </c>
      <c r="D12" s="12">
        <f>'Table-n=200-corr'!D12</f>
        <v>3.8170157189107301</v>
      </c>
      <c r="E12" s="12">
        <f>'Table-n=200-corr'!E12</f>
        <v>1.006670584557011</v>
      </c>
      <c r="F12" s="12">
        <f>'Table-n=200-corr'!F12</f>
        <v>0.84468937875751504</v>
      </c>
      <c r="G12" s="12">
        <f>'Table-n=200-corr'!G12</f>
        <v>10.518537545440921</v>
      </c>
      <c r="H12" s="12">
        <f>'Table-n=200-corr'!I12</f>
        <v>2.0020652213652088</v>
      </c>
      <c r="I12" s="12"/>
      <c r="J12" s="12">
        <f>'Table-n=200-miss'!C12</f>
        <v>1.2803684080218301</v>
      </c>
      <c r="K12" s="12">
        <f>'Table-n=200-miss'!D12</f>
        <v>3.6830587327550601</v>
      </c>
      <c r="L12" s="12">
        <f>'Table-n=200-miss'!E12</f>
        <v>1.0524259421746129</v>
      </c>
      <c r="M12" s="12">
        <f>'Table-n=200-miss'!F12</f>
        <v>0.86899999999999999</v>
      </c>
      <c r="N12" s="12">
        <f>'Table-n=200-miss'!G12</f>
        <v>11.49462710960516</v>
      </c>
      <c r="O12" s="12">
        <f>'Table-n=200-miss'!I12</f>
        <v>1.3335993364282133</v>
      </c>
      <c r="P12" s="5"/>
      <c r="Q12" s="5"/>
      <c r="R12" s="1" t="s">
        <v>3</v>
      </c>
      <c r="S12" s="15">
        <f t="shared" ref="S12:X12" si="0">100*S5/S$9</f>
        <v>91.360676039172418</v>
      </c>
      <c r="T12" s="15">
        <f t="shared" si="0"/>
        <v>90.831593846101825</v>
      </c>
      <c r="U12" s="15">
        <f t="shared" si="0"/>
        <v>95.23226183231175</v>
      </c>
      <c r="V12" s="15">
        <f t="shared" si="0"/>
        <v>94.634330545687675</v>
      </c>
      <c r="W12" s="15">
        <f t="shared" si="0"/>
        <v>91.776813285014953</v>
      </c>
      <c r="X12" s="15">
        <f t="shared" si="0"/>
        <v>85.075746791002231</v>
      </c>
      <c r="Y12" s="12"/>
      <c r="Z12" s="15">
        <f t="shared" ref="Z12:AE12" si="1">100*Z5/Z$9</f>
        <v>93.356940772491825</v>
      </c>
      <c r="AA12" s="15">
        <f t="shared" si="1"/>
        <v>92.666182417413992</v>
      </c>
      <c r="AB12" s="15">
        <f t="shared" si="1"/>
        <v>96.315548905703238</v>
      </c>
      <c r="AC12" s="15">
        <f t="shared" si="1"/>
        <v>96.511011935016469</v>
      </c>
      <c r="AD12" s="15">
        <f t="shared" si="1"/>
        <v>99.460727942242116</v>
      </c>
      <c r="AE12" s="15">
        <f t="shared" si="1"/>
        <v>90.535279574888179</v>
      </c>
    </row>
    <row r="13" spans="1:31" x14ac:dyDescent="0.45">
      <c r="B13" s="1" t="s">
        <v>5</v>
      </c>
      <c r="C13" s="12">
        <f>'Table-n=200-corr'!C13</f>
        <v>1.7992628419163501</v>
      </c>
      <c r="D13" s="12">
        <f>'Table-n=200-corr'!D13</f>
        <v>3.4476816088581499</v>
      </c>
      <c r="E13" s="12">
        <f>'Table-n=200-corr'!E13</f>
        <v>0.82128480161961981</v>
      </c>
      <c r="F13" s="12">
        <f>'Table-n=200-corr'!F13</f>
        <v>0.84236947791164696</v>
      </c>
      <c r="G13" s="12">
        <f>'Table-n=200-corr'!G13</f>
        <v>10.682610988398757</v>
      </c>
      <c r="H13" s="12">
        <f>'Table-n=200-corr'!I13</f>
        <v>1.94103835442485</v>
      </c>
      <c r="I13" s="12"/>
      <c r="J13" s="12">
        <f>'Table-n=200-miss'!C13</f>
        <v>1.8010519145955499</v>
      </c>
      <c r="K13" s="12">
        <f>'Table-n=200-miss'!D13</f>
        <v>3.5164083034521099</v>
      </c>
      <c r="L13" s="12">
        <f>'Table-n=200-miss'!E13</f>
        <v>0.95934065557870873</v>
      </c>
      <c r="M13" s="12">
        <f>'Table-n=200-miss'!F13</f>
        <v>0.865865865865866</v>
      </c>
      <c r="N13" s="12">
        <f>'Table-n=200-miss'!G13</f>
        <v>11.637441857789067</v>
      </c>
      <c r="O13" s="12">
        <f>'Table-n=200-miss'!I13</f>
        <v>1.3010683030521328</v>
      </c>
      <c r="P13" s="5"/>
      <c r="Q13" s="5"/>
      <c r="R13" s="1" t="s">
        <v>5</v>
      </c>
      <c r="S13" s="15">
        <f t="shared" ref="S13:X13" si="2">100*S6/S$9</f>
        <v>71.347639019978274</v>
      </c>
      <c r="T13" s="15">
        <f t="shared" si="2"/>
        <v>67.06396287925439</v>
      </c>
      <c r="U13" s="15">
        <f t="shared" si="2"/>
        <v>78.231779583029294</v>
      </c>
      <c r="V13" s="15">
        <f t="shared" si="2"/>
        <v>70.94351812049463</v>
      </c>
      <c r="W13" s="15">
        <f t="shared" si="2"/>
        <v>83.165521742778353</v>
      </c>
      <c r="X13" s="15">
        <f t="shared" si="2"/>
        <v>74.492369111984019</v>
      </c>
      <c r="Y13" s="12"/>
      <c r="Z13" s="15">
        <f t="shared" ref="Z13:AE13" si="3">100*Z6/Z$9</f>
        <v>74.008452279559762</v>
      </c>
      <c r="AA13" s="15">
        <f t="shared" si="3"/>
        <v>69.918169147795339</v>
      </c>
      <c r="AB13" s="15">
        <f t="shared" si="3"/>
        <v>82.097150401063786</v>
      </c>
      <c r="AC13" s="15">
        <f t="shared" si="3"/>
        <v>77.456673157360228</v>
      </c>
      <c r="AD13" s="15">
        <f t="shared" si="3"/>
        <v>92.709177412804181</v>
      </c>
      <c r="AE13" s="15">
        <f t="shared" si="3"/>
        <v>80.932925914356971</v>
      </c>
    </row>
    <row r="14" spans="1:31" x14ac:dyDescent="0.45">
      <c r="B14" s="1" t="s">
        <v>4</v>
      </c>
      <c r="C14" s="12">
        <f>'Table-n=200-corr'!C14</f>
        <v>0.17051963510415999</v>
      </c>
      <c r="D14" s="12">
        <f>'Table-n=200-corr'!D14</f>
        <v>4.4823701939745799</v>
      </c>
      <c r="E14" s="12">
        <f>'Table-n=200-corr'!E14</f>
        <v>1.3882092208922463</v>
      </c>
      <c r="F14" s="12">
        <f>'Table-n=200-corr'!F14</f>
        <v>0.80761523046092198</v>
      </c>
      <c r="G14" s="12">
        <f>'Table-n=200-corr'!G14</f>
        <v>10.692593353274555</v>
      </c>
      <c r="H14" s="12">
        <f>'Table-n=200-corr'!I14</f>
        <v>1.9374158265906085</v>
      </c>
      <c r="I14" s="12"/>
      <c r="J14" s="12">
        <f>'Table-n=200-miss'!C14</f>
        <v>1.58024661139669</v>
      </c>
      <c r="K14" s="12">
        <f>'Table-n=200-miss'!D14</f>
        <v>3.4517915361552798</v>
      </c>
      <c r="L14" s="12">
        <f>'Table-n=200-miss'!E14</f>
        <v>0.92440731805151821</v>
      </c>
      <c r="M14" s="12">
        <f>'Table-n=200-miss'!F14</f>
        <v>0.84899999999999998</v>
      </c>
      <c r="N14" s="12">
        <f>'Table-n=200-miss'!G14</f>
        <v>10.617788581168341</v>
      </c>
      <c r="O14" s="12">
        <f>'Table-n=200-miss'!I14</f>
        <v>1.5629568850796827</v>
      </c>
      <c r="P14" s="5"/>
      <c r="Q14" s="5"/>
      <c r="R14" s="1" t="s">
        <v>4</v>
      </c>
      <c r="S14" s="15">
        <f t="shared" ref="S14:X14" si="4">100*S7/S$9</f>
        <v>104.91814720949476</v>
      </c>
      <c r="T14" s="15">
        <f t="shared" si="4"/>
        <v>104.92226375609117</v>
      </c>
      <c r="U14" s="15">
        <f t="shared" si="4"/>
        <v>109.1920775237853</v>
      </c>
      <c r="V14" s="15">
        <f t="shared" si="4"/>
        <v>110.75510218600952</v>
      </c>
      <c r="W14" s="15">
        <f t="shared" si="4"/>
        <v>97.044881047813149</v>
      </c>
      <c r="X14" s="15">
        <f t="shared" si="4"/>
        <v>89.614057044902239</v>
      </c>
      <c r="Y14" s="12"/>
      <c r="Z14" s="15">
        <f t="shared" ref="Z14:AE14" si="5">100*Z7/Z$9</f>
        <v>93.590005334433386</v>
      </c>
      <c r="AA14" s="15">
        <f t="shared" si="5"/>
        <v>91.631085537832618</v>
      </c>
      <c r="AB14" s="15">
        <f t="shared" si="5"/>
        <v>96.153130535283779</v>
      </c>
      <c r="AC14" s="15">
        <f t="shared" si="5"/>
        <v>95.518714992843002</v>
      </c>
      <c r="AD14" s="15">
        <f t="shared" si="5"/>
        <v>94.682161700400712</v>
      </c>
      <c r="AE14" s="15">
        <f t="shared" si="5"/>
        <v>87.585578413183342</v>
      </c>
    </row>
    <row r="15" spans="1:31" x14ac:dyDescent="0.45">
      <c r="B15" s="1" t="s">
        <v>88</v>
      </c>
      <c r="C15" s="12">
        <f>'Table-n=200-corr'!C15</f>
        <v>0.82965245376653296</v>
      </c>
      <c r="D15" s="12">
        <f>'Table-n=200-corr'!D15</f>
        <v>5.0653700909556099</v>
      </c>
      <c r="E15" s="12">
        <f>'Table-n=200-corr'!E15</f>
        <v>1.7728085803365372</v>
      </c>
      <c r="F15" s="12">
        <f>'Table-n=200-corr'!F15</f>
        <v>0.81062124248497003</v>
      </c>
      <c r="G15" s="12">
        <f>'Table-n=200-corr'!G15</f>
        <v>12.249788595452467</v>
      </c>
      <c r="H15" s="12">
        <f>'Table-n=200-corr'!I15</f>
        <v>1.4761543028152624</v>
      </c>
      <c r="I15" s="12"/>
      <c r="J15" s="12">
        <f>'Table-n=200-miss'!C15</f>
        <v>1.5147193515694599</v>
      </c>
      <c r="K15" s="12">
        <f>'Table-n=200-miss'!D15</f>
        <v>4.3088918741988396</v>
      </c>
      <c r="L15" s="12">
        <f>'Table-n=200-miss'!E15</f>
        <v>1.4404740810114016</v>
      </c>
      <c r="M15" s="12">
        <f>'Table-n=200-miss'!F15</f>
        <v>0.872</v>
      </c>
      <c r="N15" s="12">
        <f>'Table-n=200-miss'!G15</f>
        <v>13.142920664364187</v>
      </c>
      <c r="O15" s="12">
        <f>'Table-n=200-miss'!I15</f>
        <v>1.0200732814364104</v>
      </c>
      <c r="P15" s="5"/>
      <c r="Q15" s="5"/>
      <c r="R15" s="1" t="s">
        <v>88</v>
      </c>
      <c r="S15" s="15">
        <f t="shared" ref="S15:X15" si="6">100*S8/S$9</f>
        <v>109.62213653246751</v>
      </c>
      <c r="T15" s="15">
        <f t="shared" si="6"/>
        <v>113.81744547062958</v>
      </c>
      <c r="U15" s="15">
        <f t="shared" si="6"/>
        <v>121.56675000295914</v>
      </c>
      <c r="V15" s="15">
        <f t="shared" si="6"/>
        <v>128.67405511103181</v>
      </c>
      <c r="W15" s="15">
        <f t="shared" si="6"/>
        <v>128.43873965715466</v>
      </c>
      <c r="X15" s="15">
        <f t="shared" si="6"/>
        <v>116.0068827054852</v>
      </c>
      <c r="Y15" s="12"/>
      <c r="Z15" s="15">
        <f t="shared" ref="Z15:AE15" si="7">100*Z8/Z$9</f>
        <v>98.916406536497945</v>
      </c>
      <c r="AA15" s="15">
        <f t="shared" si="7"/>
        <v>97.497774440141754</v>
      </c>
      <c r="AB15" s="15">
        <f t="shared" si="7"/>
        <v>103.57357709741439</v>
      </c>
      <c r="AC15" s="15">
        <f t="shared" si="7"/>
        <v>103.57866743970449</v>
      </c>
      <c r="AD15" s="15">
        <f t="shared" si="7"/>
        <v>113.49255067118469</v>
      </c>
      <c r="AE15" s="15">
        <f t="shared" si="7"/>
        <v>98.281135645866158</v>
      </c>
    </row>
    <row r="16" spans="1:31" x14ac:dyDescent="0.45">
      <c r="B16" s="1" t="s">
        <v>89</v>
      </c>
      <c r="C16" s="12">
        <f>'Table-n=200-corr'!C16</f>
        <v>1.26328025538169</v>
      </c>
      <c r="D16" s="12">
        <f>'Table-n=200-corr'!D16</f>
        <v>3.8043481955837</v>
      </c>
      <c r="E16" s="12">
        <f>'Table-n=200-corr'!E16</f>
        <v>1</v>
      </c>
      <c r="F16" s="12">
        <f>'Table-n=200-corr'!F16</f>
        <v>0.91983967935871702</v>
      </c>
      <c r="G16" s="12">
        <f>'Table-n=200-corr'!G16</f>
        <v>14.883136750085372</v>
      </c>
      <c r="H16" s="12">
        <f>'Table-n=200-corr'!I16</f>
        <v>1</v>
      </c>
      <c r="I16" s="12"/>
      <c r="J16" s="12">
        <f>'Table-n=200-miss'!C16</f>
        <v>1.65193511110918</v>
      </c>
      <c r="K16" s="12">
        <f>'Table-n=200-miss'!D16</f>
        <v>3.59015229691264</v>
      </c>
      <c r="L16" s="12">
        <f>'Table-n=200-miss'!E16</f>
        <v>1</v>
      </c>
      <c r="M16" s="12">
        <f>'Table-n=200-miss'!F16</f>
        <v>0.88700000000000001</v>
      </c>
      <c r="N16" s="12">
        <f>'Table-n=200-miss'!G16</f>
        <v>13.274176028304383</v>
      </c>
      <c r="O16" s="12">
        <f>'Table-n=200-miss'!I16</f>
        <v>1</v>
      </c>
      <c r="P16" s="5"/>
      <c r="Q16" s="5"/>
      <c r="R16" s="1" t="s">
        <v>89</v>
      </c>
      <c r="S16" s="15">
        <f t="shared" ref="S16:X16" si="8">100*S9/S$9</f>
        <v>100</v>
      </c>
      <c r="T16" s="15">
        <f t="shared" si="8"/>
        <v>100</v>
      </c>
      <c r="U16" s="15">
        <f t="shared" si="8"/>
        <v>100.00000000000001</v>
      </c>
      <c r="V16" s="15">
        <f t="shared" si="8"/>
        <v>100</v>
      </c>
      <c r="W16" s="15">
        <f t="shared" si="8"/>
        <v>100</v>
      </c>
      <c r="X16" s="15">
        <f t="shared" si="8"/>
        <v>100</v>
      </c>
      <c r="Y16" s="12"/>
      <c r="Z16" s="15">
        <f t="shared" ref="Z16:AE16" si="9">100*Z9/Z$9</f>
        <v>100</v>
      </c>
      <c r="AA16" s="15">
        <f t="shared" si="9"/>
        <v>100</v>
      </c>
      <c r="AB16" s="15">
        <f t="shared" si="9"/>
        <v>100.00000000000001</v>
      </c>
      <c r="AC16" s="15">
        <f t="shared" si="9"/>
        <v>100</v>
      </c>
      <c r="AD16" s="15">
        <f t="shared" si="9"/>
        <v>100</v>
      </c>
      <c r="AE16" s="15">
        <f t="shared" si="9"/>
        <v>100</v>
      </c>
    </row>
    <row r="17" spans="1:31" s="3" customFormat="1" x14ac:dyDescent="0.45">
      <c r="B17" s="3" t="s">
        <v>2</v>
      </c>
      <c r="C17" s="14">
        <f>'Table-n=200-corr'!C17</f>
        <v>0.59282203414300205</v>
      </c>
      <c r="D17" s="14">
        <f>'Table-n=200-corr'!D17</f>
        <v>4.9790834440667799</v>
      </c>
      <c r="E17" s="14">
        <f>'Table-n=200-corr'!E17</f>
        <v>1.7129247752271333</v>
      </c>
      <c r="F17" s="14">
        <f>'Table-n=200-corr'!F17</f>
        <v>0.87374749498997994</v>
      </c>
      <c r="G17" s="14">
        <f>'Table-n=200-corr'!G17</f>
        <v>197.36264151916086</v>
      </c>
      <c r="H17" s="14">
        <f>'Table-n=200-corr'!I17</f>
        <v>5.6866833477306469E-3</v>
      </c>
      <c r="I17" s="14"/>
      <c r="J17" s="14">
        <f>'Table-n=200-miss'!C17</f>
        <v>1.59004174919731</v>
      </c>
      <c r="K17" s="14">
        <f>'Table-n=200-miss'!D17</f>
        <v>5.2349610620138902</v>
      </c>
      <c r="L17" s="14">
        <f>'Table-n=200-miss'!E17</f>
        <v>2.1261855746716183</v>
      </c>
      <c r="M17" s="14">
        <f>'Table-n=200-miss'!F17</f>
        <v>0.88800000000000001</v>
      </c>
      <c r="N17" s="14">
        <f>'Table-n=200-miss'!G17</f>
        <v>13.948962020650756</v>
      </c>
      <c r="O17" s="14">
        <f>'Table-n=200-miss'!I17</f>
        <v>0.9055894646008118</v>
      </c>
      <c r="P17" s="13"/>
      <c r="Q17" s="13"/>
      <c r="R17" s="3" t="s">
        <v>2</v>
      </c>
      <c r="S17" s="15">
        <f t="shared" ref="S17:X17" si="10">100*S10/S$9</f>
        <v>138.04083073591522</v>
      </c>
      <c r="T17" s="15">
        <f t="shared" si="10"/>
        <v>338.68158839447864</v>
      </c>
      <c r="U17" s="15">
        <f t="shared" si="10"/>
        <v>152.46336735819241</v>
      </c>
      <c r="V17" s="15">
        <f t="shared" si="10"/>
        <v>356.26471245732102</v>
      </c>
      <c r="W17" s="15">
        <f t="shared" si="10"/>
        <v>135.20246708308829</v>
      </c>
      <c r="X17" s="15">
        <f t="shared" si="10"/>
        <v>596.68202576373858</v>
      </c>
      <c r="Y17" s="14"/>
      <c r="Z17" s="15">
        <f t="shared" ref="Z17:AE17" si="11">100*Z10/Z$9</f>
        <v>100.60215115911765</v>
      </c>
      <c r="AA17" s="15">
        <f t="shared" si="11"/>
        <v>99.221106671847892</v>
      </c>
      <c r="AB17" s="15">
        <f t="shared" si="11"/>
        <v>104.70085325620951</v>
      </c>
      <c r="AC17" s="15">
        <f t="shared" si="11"/>
        <v>106.02675828331425</v>
      </c>
      <c r="AD17" s="15">
        <f t="shared" si="11"/>
        <v>118.6206495491722</v>
      </c>
      <c r="AE17" s="15">
        <f t="shared" si="11"/>
        <v>103.40233241851564</v>
      </c>
    </row>
    <row r="18" spans="1:31" s="4" customForma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45">
      <c r="A19" s="2" t="s">
        <v>59</v>
      </c>
      <c r="B19" s="1" t="s">
        <v>3</v>
      </c>
      <c r="C19" s="12">
        <f>'Table-n=200-corr'!C19</f>
        <v>0.214439587958908</v>
      </c>
      <c r="D19" s="12">
        <f>'Table-n=200-corr'!D19</f>
        <v>2.4175682246043699</v>
      </c>
      <c r="E19" s="12">
        <f>'Table-n=200-corr'!E19</f>
        <v>0.82968559165331002</v>
      </c>
      <c r="F19" s="12">
        <f>'Table-n=200-corr'!F19</f>
        <v>0.95290581162324695</v>
      </c>
      <c r="G19" s="12">
        <f>'Table-n=200-corr'!G19</f>
        <v>9.5094108114065108</v>
      </c>
      <c r="H19" s="12">
        <f>'Table-n=200-corr'!I19</f>
        <v>2.5103957287850465</v>
      </c>
      <c r="I19" s="12"/>
      <c r="J19" s="12">
        <f>'Table-n=200-miss'!C19</f>
        <v>0.92511135334296002</v>
      </c>
      <c r="K19" s="12">
        <f>'Table-n=200-miss'!D19</f>
        <v>2.5623523102032499</v>
      </c>
      <c r="L19" s="12">
        <f>'Table-n=200-miss'!E19</f>
        <v>0.78689530697111509</v>
      </c>
      <c r="M19" s="12">
        <f>'Table-n=200-miss'!F19</f>
        <v>0.95199999999999996</v>
      </c>
      <c r="N19" s="12">
        <f>'Table-n=200-miss'!G19</f>
        <v>10.599751944711359</v>
      </c>
      <c r="O19" s="12">
        <f>'Table-n=200-miss'!I19</f>
        <v>1.5567249439789748</v>
      </c>
      <c r="P19" s="5"/>
      <c r="Q19" s="5"/>
      <c r="Y19" s="12"/>
    </row>
    <row r="20" spans="1:31" x14ac:dyDescent="0.45">
      <c r="B20" s="1" t="s">
        <v>5</v>
      </c>
      <c r="C20" s="12">
        <f>'Table-n=200-corr'!C20</f>
        <v>1.4608648948273799</v>
      </c>
      <c r="D20" s="12">
        <f>'Table-n=200-corr'!D20</f>
        <v>2.88237089561563</v>
      </c>
      <c r="E20" s="12">
        <f>'Table-n=200-corr'!E20</f>
        <v>1.1793855386418388</v>
      </c>
      <c r="F20" s="12">
        <f>'Table-n=200-corr'!F20</f>
        <v>0.94377510040160595</v>
      </c>
      <c r="G20" s="12">
        <f>'Table-n=200-corr'!G20</f>
        <v>10.900772701010338</v>
      </c>
      <c r="H20" s="12">
        <f>'Table-n=200-corr'!I20</f>
        <v>1.9104463161595044</v>
      </c>
      <c r="I20" s="12"/>
      <c r="J20" s="12">
        <f>'Table-n=200-miss'!C20</f>
        <v>1.5300468267999101</v>
      </c>
      <c r="K20" s="12">
        <f>'Table-n=200-miss'!D20</f>
        <v>2.8277038446728802</v>
      </c>
      <c r="L20" s="12">
        <f>'Table-n=200-miss'!E20</f>
        <v>0.95831241460608241</v>
      </c>
      <c r="M20" s="12">
        <f>'Table-n=200-miss'!F20</f>
        <v>0.94694694694694703</v>
      </c>
      <c r="N20" s="12">
        <f>'Table-n=200-miss'!G20</f>
        <v>11.573370301671538</v>
      </c>
      <c r="O20" s="12">
        <f>'Table-n=200-miss'!I20</f>
        <v>1.3058208248232879</v>
      </c>
      <c r="P20" s="5"/>
      <c r="Q20" s="5"/>
      <c r="Y20" s="12"/>
    </row>
    <row r="21" spans="1:31" x14ac:dyDescent="0.45">
      <c r="B21" s="1" t="s">
        <v>4</v>
      </c>
      <c r="C21" s="12">
        <f>'Table-n=200-corr'!C21</f>
        <v>0.10227506577569299</v>
      </c>
      <c r="D21" s="12">
        <f>'Table-n=200-corr'!D21</f>
        <v>2.6611456050614501</v>
      </c>
      <c r="E21" s="12">
        <f>'Table-n=200-corr'!E21</f>
        <v>1.005294591048195</v>
      </c>
      <c r="F21" s="12">
        <f>'Table-n=200-corr'!F21</f>
        <v>0.92484969939879802</v>
      </c>
      <c r="G21" s="12">
        <f>'Table-n=200-corr'!G21</f>
        <v>9.5488177903195304</v>
      </c>
      <c r="H21" s="12">
        <f>'Table-n=200-corr'!I21</f>
        <v>2.4897181993233031</v>
      </c>
      <c r="I21" s="12"/>
      <c r="J21" s="12">
        <f>'Table-n=200-miss'!C21</f>
        <v>1.4698225900253299</v>
      </c>
      <c r="K21" s="12">
        <f>'Table-n=200-miss'!D21</f>
        <v>2.7462880811584802</v>
      </c>
      <c r="L21" s="12">
        <f>'Table-n=200-miss'!E21</f>
        <v>0.903923035008392</v>
      </c>
      <c r="M21" s="12">
        <f>'Table-n=200-miss'!F21</f>
        <v>0.93799999999999994</v>
      </c>
      <c r="N21" s="12">
        <f>'Table-n=200-miss'!G21</f>
        <v>10.055365784834407</v>
      </c>
      <c r="O21" s="12">
        <f>'Table-n=200-miss'!I21</f>
        <v>1.729846396523288</v>
      </c>
      <c r="P21" s="5"/>
      <c r="Q21" s="5"/>
      <c r="Y21" s="12"/>
    </row>
    <row r="22" spans="1:31" x14ac:dyDescent="0.45">
      <c r="B22" s="1" t="s">
        <v>88</v>
      </c>
      <c r="C22" s="12">
        <f>'Table-n=200-corr'!C22</f>
        <v>0.30587727791103703</v>
      </c>
      <c r="D22" s="12">
        <f>'Table-n=200-corr'!D22</f>
        <v>2.93889855992159</v>
      </c>
      <c r="E22" s="12">
        <f>'Table-n=200-corr'!E22</f>
        <v>1.2260982218179692</v>
      </c>
      <c r="F22" s="12">
        <f>'Table-n=200-corr'!F22</f>
        <v>0.93386773547094204</v>
      </c>
      <c r="G22" s="12">
        <f>'Table-n=200-corr'!G22</f>
        <v>10.843952661793395</v>
      </c>
      <c r="H22" s="12">
        <f>'Table-n=200-corr'!I22</f>
        <v>1.9305194448253593</v>
      </c>
      <c r="I22" s="12"/>
      <c r="J22" s="12">
        <f>'Table-n=200-miss'!C22</f>
        <v>0.87177225633565902</v>
      </c>
      <c r="K22" s="12">
        <f>'Table-n=200-miss'!D22</f>
        <v>2.6511049712266801</v>
      </c>
      <c r="L22" s="12">
        <f>'Table-n=200-miss'!E22</f>
        <v>0.84235104278965545</v>
      </c>
      <c r="M22" s="12">
        <f>'Table-n=200-miss'!F22</f>
        <v>0.96</v>
      </c>
      <c r="N22" s="12">
        <f>'Table-n=200-miss'!G22</f>
        <v>11.319759919999131</v>
      </c>
      <c r="O22" s="12">
        <f>'Table-n=200-miss'!I22</f>
        <v>1.3649880721161662</v>
      </c>
      <c r="P22" s="5"/>
      <c r="Q22" s="5"/>
      <c r="Y22" s="12"/>
    </row>
    <row r="23" spans="1:31" x14ac:dyDescent="0.45">
      <c r="B23" s="1" t="s">
        <v>89</v>
      </c>
      <c r="C23" s="12">
        <f>'Table-n=200-corr'!C23</f>
        <v>0.98763276010438406</v>
      </c>
      <c r="D23" s="12">
        <f>'Table-n=200-corr'!D23</f>
        <v>2.6541286180082002</v>
      </c>
      <c r="E23" s="12">
        <f>'Table-n=200-corr'!E23</f>
        <v>1</v>
      </c>
      <c r="F23" s="12">
        <f>'Table-n=200-corr'!F23</f>
        <v>0.98797595190380805</v>
      </c>
      <c r="G23" s="12">
        <f>'Table-n=200-corr'!G23</f>
        <v>15.066927663143087</v>
      </c>
      <c r="H23" s="12">
        <f>'Table-n=200-corr'!I23</f>
        <v>1</v>
      </c>
      <c r="I23" s="12"/>
      <c r="J23" s="12">
        <f>'Table-n=200-miss'!C23</f>
        <v>1.54560652368402</v>
      </c>
      <c r="K23" s="12">
        <f>'Table-n=200-miss'!D23</f>
        <v>2.8885531639790498</v>
      </c>
      <c r="L23" s="12">
        <f>'Table-n=200-miss'!E23</f>
        <v>1</v>
      </c>
      <c r="M23" s="12">
        <f>'Table-n=200-miss'!F23</f>
        <v>0.96699999999999997</v>
      </c>
      <c r="N23" s="12">
        <f>'Table-n=200-miss'!G23</f>
        <v>13.225181599491648</v>
      </c>
      <c r="O23" s="12">
        <f>'Table-n=200-miss'!I23</f>
        <v>1</v>
      </c>
      <c r="P23" s="5"/>
      <c r="Q23" s="5"/>
      <c r="Y23" s="12"/>
    </row>
    <row r="24" spans="1:31" s="3" customFormat="1" x14ac:dyDescent="0.45">
      <c r="B24" s="3" t="s">
        <v>2</v>
      </c>
      <c r="C24" s="14">
        <f>'Table-n=200-corr'!C24</f>
        <v>0.19375041812635099</v>
      </c>
      <c r="D24" s="14">
        <f>'Table-n=200-corr'!D24</f>
        <v>3.3811390389076301</v>
      </c>
      <c r="E24" s="14">
        <f>'Table-n=200-corr'!E24</f>
        <v>1.6228640162656434</v>
      </c>
      <c r="F24" s="14">
        <f>'Table-n=200-corr'!F24</f>
        <v>0.96192384769539097</v>
      </c>
      <c r="G24" s="14">
        <f>'Table-n=200-corr'!G24</f>
        <v>25.757452193400013</v>
      </c>
      <c r="H24" s="14">
        <f>'Table-n=200-corr'!I24</f>
        <v>0.34217131714133708</v>
      </c>
      <c r="I24" s="14"/>
      <c r="J24" s="14">
        <f>'Table-n=200-miss'!C24</f>
        <v>0.86371478686061498</v>
      </c>
      <c r="K24" s="14">
        <f>'Table-n=200-miss'!D24</f>
        <v>2.8697661686061799</v>
      </c>
      <c r="L24" s="14">
        <f>'Table-n=200-miss'!E24</f>
        <v>0.98703440822931243</v>
      </c>
      <c r="M24" s="14">
        <f>'Table-n=200-miss'!F24</f>
        <v>0.96899999999999997</v>
      </c>
      <c r="N24" s="14">
        <f>'Table-n=200-miss'!G24</f>
        <v>12.474086003452301</v>
      </c>
      <c r="O24" s="14">
        <f>'Table-n=200-miss'!I24</f>
        <v>1.1240504928950321</v>
      </c>
      <c r="P24" s="13"/>
      <c r="Q24" s="13"/>
      <c r="Y24" s="14"/>
    </row>
    <row r="25" spans="1:31" s="4" customFormat="1" x14ac:dyDescent="0.4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45">
      <c r="A26" s="2" t="s">
        <v>60</v>
      </c>
      <c r="B26" s="1" t="s">
        <v>3</v>
      </c>
      <c r="C26" s="12">
        <f>'Table-n=200-corr'!C26</f>
        <v>0.13128177022934601</v>
      </c>
      <c r="D26" s="12">
        <f>'Table-n=200-corr'!D26</f>
        <v>2.86016585213993</v>
      </c>
      <c r="E26" s="12">
        <f>'Table-n=200-corr'!E26</f>
        <v>0.63852657822794767</v>
      </c>
      <c r="F26" s="12">
        <f>'Table-n=200-corr'!F26</f>
        <v>0.93286573146292595</v>
      </c>
      <c r="G26" s="12">
        <f>'Table-n=200-corr'!G26</f>
        <v>10.375240976306436</v>
      </c>
      <c r="H26" s="12">
        <f>'Table-n=200-corr'!I26</f>
        <v>2.9820925395950013</v>
      </c>
      <c r="I26" s="12"/>
      <c r="J26" s="12">
        <f>'Table-n=200-miss'!C26</f>
        <v>0.96974565576622396</v>
      </c>
      <c r="K26" s="12">
        <f>'Table-n=200-miss'!D26</f>
        <v>3.0808024221760602</v>
      </c>
      <c r="L26" s="12">
        <f>'Table-n=200-miss'!E26</f>
        <v>0.60630318902113267</v>
      </c>
      <c r="M26" s="12">
        <f>'Table-n=200-miss'!F26</f>
        <v>0.94</v>
      </c>
      <c r="N26" s="12">
        <f>'Table-n=200-miss'!G26</f>
        <v>11.333930760153718</v>
      </c>
      <c r="O26" s="12">
        <f>'Table-n=200-miss'!I26</f>
        <v>2.0583233774938812</v>
      </c>
      <c r="P26" s="5"/>
      <c r="Q26"/>
      <c r="R26"/>
      <c r="S26"/>
      <c r="T26"/>
      <c r="Y26" s="12"/>
    </row>
    <row r="27" spans="1:31" x14ac:dyDescent="0.45">
      <c r="B27" s="1" t="s">
        <v>5</v>
      </c>
      <c r="C27" s="12">
        <f>'Table-n=200-corr'!C27</f>
        <v>1.87536349848255</v>
      </c>
      <c r="D27" s="12">
        <f>'Table-n=200-corr'!D27</f>
        <v>4.10378941831571</v>
      </c>
      <c r="E27" s="12">
        <f>'Table-n=200-corr'!E27</f>
        <v>1.3145184295652839</v>
      </c>
      <c r="F27" s="12">
        <f>'Table-n=200-corr'!F27</f>
        <v>0.96586345381526095</v>
      </c>
      <c r="G27" s="12">
        <f>'Table-n=200-corr'!G27</f>
        <v>15.945053695696888</v>
      </c>
      <c r="H27" s="12">
        <f>'Table-n=200-corr'!I27</f>
        <v>1.262599255784473</v>
      </c>
      <c r="I27" s="12"/>
      <c r="J27" s="12">
        <f>'Table-n=200-miss'!C27</f>
        <v>1.9587273015490101</v>
      </c>
      <c r="K27" s="12">
        <f>'Table-n=200-miss'!D27</f>
        <v>3.9171817947769498</v>
      </c>
      <c r="L27" s="12">
        <f>'Table-n=200-miss'!E27</f>
        <v>0.98018852350817942</v>
      </c>
      <c r="M27" s="12">
        <f>'Table-n=200-miss'!F27</f>
        <v>0.96696696696696705</v>
      </c>
      <c r="N27" s="12">
        <f>'Table-n=200-miss'!G27</f>
        <v>16.743292093280289</v>
      </c>
      <c r="O27" s="12">
        <f>'Table-n=200-miss'!I27</f>
        <v>0.94317658260829895</v>
      </c>
      <c r="P27" s="5"/>
      <c r="Q27" s="5"/>
      <c r="Y27" s="12"/>
    </row>
    <row r="28" spans="1:31" x14ac:dyDescent="0.45">
      <c r="B28" s="1" t="s">
        <v>4</v>
      </c>
      <c r="C28" s="12">
        <f>'Table-n=200-corr'!C28</f>
        <v>-9.8029663934354999E-2</v>
      </c>
      <c r="D28" s="12">
        <f>'Table-n=200-corr'!D28</f>
        <v>3.0830496001225698</v>
      </c>
      <c r="E28" s="12">
        <f>'Table-n=200-corr'!E28</f>
        <v>0.74192083634263484</v>
      </c>
      <c r="F28" s="12">
        <f>'Table-n=200-corr'!F28</f>
        <v>0.90781563126252496</v>
      </c>
      <c r="G28" s="12">
        <f>'Table-n=200-corr'!G28</f>
        <v>10.5694968445966</v>
      </c>
      <c r="H28" s="12">
        <f>'Table-n=200-corr'!I28</f>
        <v>2.8734846024242149</v>
      </c>
      <c r="I28" s="12"/>
      <c r="J28" s="12">
        <f>'Table-n=200-miss'!C28</f>
        <v>2.1009154486677799</v>
      </c>
      <c r="K28" s="12">
        <f>'Table-n=200-miss'!D28</f>
        <v>3.6820242129560898</v>
      </c>
      <c r="L28" s="12">
        <f>'Table-n=200-miss'!E28</f>
        <v>0.86603498925875788</v>
      </c>
      <c r="M28" s="12">
        <f>'Table-n=200-miss'!F28</f>
        <v>0.89100000000000001</v>
      </c>
      <c r="N28" s="12">
        <f>'Table-n=200-miss'!G28</f>
        <v>10.967444690677508</v>
      </c>
      <c r="O28" s="12">
        <f>'Table-n=200-miss'!I28</f>
        <v>2.1981828291913903</v>
      </c>
      <c r="P28" s="5"/>
      <c r="Q28" s="5"/>
      <c r="Y28" s="12"/>
    </row>
    <row r="29" spans="1:31" x14ac:dyDescent="0.45">
      <c r="B29" s="1" t="s">
        <v>88</v>
      </c>
      <c r="C29" s="12">
        <f>'Table-n=200-corr'!C29</f>
        <v>0.23919838437570401</v>
      </c>
      <c r="D29" s="12">
        <f>'Table-n=200-corr'!D29</f>
        <v>3.4591759533961799</v>
      </c>
      <c r="E29" s="12">
        <f>'Table-n=200-corr'!E29</f>
        <v>0.93398919320900431</v>
      </c>
      <c r="F29" s="12">
        <f>'Table-n=200-corr'!F29</f>
        <v>0.88376753507014005</v>
      </c>
      <c r="G29" s="12">
        <f>'Table-n=200-corr'!G29</f>
        <v>10.792027516824927</v>
      </c>
      <c r="H29" s="12">
        <f>'Table-n=200-corr'!I29</f>
        <v>2.7562043459740506</v>
      </c>
      <c r="I29" s="12"/>
      <c r="J29" s="12">
        <f>'Table-n=200-miss'!C29</f>
        <v>0.719423593357289</v>
      </c>
      <c r="K29" s="12">
        <f>'Table-n=200-miss'!D29</f>
        <v>3.2049019454562302</v>
      </c>
      <c r="L29" s="12">
        <f>'Table-n=200-miss'!E29</f>
        <v>0.65613265384469066</v>
      </c>
      <c r="M29" s="12">
        <f>'Table-n=200-miss'!F29</f>
        <v>0.92800000000000005</v>
      </c>
      <c r="N29" s="12">
        <f>'Table-n=200-miss'!G29</f>
        <v>11.607492210837115</v>
      </c>
      <c r="O29" s="12">
        <f>'Table-n=200-miss'!I29</f>
        <v>1.9624469032447598</v>
      </c>
      <c r="P29" s="5"/>
      <c r="Q29" s="5"/>
      <c r="Y29" s="12"/>
    </row>
    <row r="30" spans="1:31" x14ac:dyDescent="0.45">
      <c r="B30" s="1" t="s">
        <v>89</v>
      </c>
      <c r="C30" s="12">
        <f>'Table-n=200-corr'!C30</f>
        <v>1.58240931406693</v>
      </c>
      <c r="D30" s="12">
        <f>'Table-n=200-corr'!D30</f>
        <v>3.5793298944678602</v>
      </c>
      <c r="E30" s="12">
        <f>'Table-n=200-corr'!E30</f>
        <v>1</v>
      </c>
      <c r="F30" s="12">
        <f>'Table-n=200-corr'!F30</f>
        <v>0.98997995991984</v>
      </c>
      <c r="G30" s="12">
        <f>'Table-n=200-corr'!G30</f>
        <v>17.916730063718632</v>
      </c>
      <c r="H30" s="12">
        <f>'Table-n=200-corr'!I30</f>
        <v>1</v>
      </c>
      <c r="I30" s="12"/>
      <c r="J30" s="12">
        <f>'Table-n=200-miss'!C30</f>
        <v>2.2585235034698399</v>
      </c>
      <c r="K30" s="12">
        <f>'Table-n=200-miss'!D30</f>
        <v>3.95657061119062</v>
      </c>
      <c r="L30" s="12">
        <f>'Table-n=200-miss'!E30</f>
        <v>1</v>
      </c>
      <c r="M30" s="12">
        <f>'Table-n=200-miss'!F30</f>
        <v>0.97099999999999997</v>
      </c>
      <c r="N30" s="12">
        <f>'Table-n=200-miss'!G30</f>
        <v>16.260629649225102</v>
      </c>
      <c r="O30" s="12">
        <f>'Table-n=200-miss'!I30</f>
        <v>1</v>
      </c>
      <c r="P30" s="5"/>
      <c r="Q30" s="5"/>
      <c r="Y30" s="12"/>
    </row>
    <row r="31" spans="1:31" s="3" customFormat="1" x14ac:dyDescent="0.45">
      <c r="B31" s="3" t="s">
        <v>2</v>
      </c>
      <c r="C31" s="14">
        <f>'Table-n=200-corr'!C31</f>
        <v>0.13413331958817501</v>
      </c>
      <c r="D31" s="14">
        <f>'Table-n=200-corr'!D31</f>
        <v>4.1033518102766298</v>
      </c>
      <c r="E31" s="14">
        <f>'Table-n=200-corr'!E31</f>
        <v>1.3142380968761187</v>
      </c>
      <c r="F31" s="14">
        <f>'Table-n=200-corr'!F31</f>
        <v>0.93186372745490997</v>
      </c>
      <c r="G31" s="14">
        <f>'Table-n=200-corr'!G31</f>
        <v>114.27598247780598</v>
      </c>
      <c r="H31" s="14">
        <f>'Table-n=200-corr'!I31</f>
        <v>2.4581454320097021E-2</v>
      </c>
      <c r="I31" s="14"/>
      <c r="J31" s="14">
        <f>'Table-n=200-miss'!C31</f>
        <v>0.522854086382181</v>
      </c>
      <c r="K31" s="14">
        <f>'Table-n=200-miss'!D31</f>
        <v>4.2294014739246002</v>
      </c>
      <c r="L31" s="14">
        <f>'Table-n=200-miss'!E31</f>
        <v>1.1426677835017958</v>
      </c>
      <c r="M31" s="14">
        <f>'Table-n=200-miss'!F31</f>
        <v>0.95599999999999996</v>
      </c>
      <c r="N31" s="14">
        <f>'Table-n=200-miss'!G31</f>
        <v>14.108998796554333</v>
      </c>
      <c r="O31" s="14">
        <f>'Table-n=200-miss'!I31</f>
        <v>1.3282576445665291</v>
      </c>
      <c r="P31" s="13"/>
      <c r="Q31" s="13"/>
      <c r="Y31" s="14"/>
    </row>
    <row r="32" spans="1:3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45">
      <c r="A33" s="2" t="s">
        <v>62</v>
      </c>
      <c r="B33" s="1" t="s">
        <v>3</v>
      </c>
      <c r="C33" s="12">
        <f>'Table-n=200-corr'!C33</f>
        <v>-0.26439405778146402</v>
      </c>
      <c r="D33" s="12">
        <f>'Table-n=200-corr'!D33</f>
        <v>6.6747169432368398</v>
      </c>
      <c r="E33" s="12">
        <f>'Table-n=200-corr'!E33</f>
        <v>0.55108307703193316</v>
      </c>
      <c r="F33" s="12">
        <f>'Table-n=200-corr'!F33</f>
        <v>0.93286573146292595</v>
      </c>
      <c r="G33" s="12">
        <f>'Table-n=200-corr'!G33</f>
        <v>28.36320513348884</v>
      </c>
      <c r="H33" s="12">
        <f>'Table-n=200-corr'!I33</f>
        <v>2.5230789147806636</v>
      </c>
      <c r="I33" s="12"/>
      <c r="J33" s="12">
        <f>'Table-n=200-miss'!C33</f>
        <v>-9.2112439534211901E-2</v>
      </c>
      <c r="K33" s="12">
        <f>'Table-n=200-miss'!D33</f>
        <v>7.3787191746670002</v>
      </c>
      <c r="L33" s="12">
        <f>'Table-n=200-miss'!E33</f>
        <v>0.65986177639635524</v>
      </c>
      <c r="M33" s="12">
        <f>'Table-n=200-miss'!F33</f>
        <v>0.93700000000000006</v>
      </c>
      <c r="N33" s="12">
        <f>'Table-n=200-miss'!G33</f>
        <v>31.825620535038901</v>
      </c>
      <c r="O33" s="12">
        <f>'Table-n=200-miss'!I33</f>
        <v>1.8415888167039287</v>
      </c>
      <c r="P33" s="5"/>
      <c r="Y33" s="12"/>
    </row>
    <row r="34" spans="1:25" x14ac:dyDescent="0.45">
      <c r="B34" s="1" t="s">
        <v>5</v>
      </c>
      <c r="C34" s="12">
        <f>'Table-n=200-corr'!C34</f>
        <v>3.5934364617639099</v>
      </c>
      <c r="D34" s="12">
        <f>'Table-n=200-corr'!D34</f>
        <v>11.1956546649151</v>
      </c>
      <c r="E34" s="12">
        <f>'Table-n=200-corr'!E34</f>
        <v>1.5504235495892458</v>
      </c>
      <c r="F34" s="12">
        <f>'Table-n=200-corr'!F34</f>
        <v>0.94678714859437796</v>
      </c>
      <c r="G34" s="12">
        <f>'Table-n=200-corr'!G34</f>
        <v>51.324425909959494</v>
      </c>
      <c r="H34" s="12">
        <f>'Table-n=200-corr'!I34</f>
        <v>0.77053655274999422</v>
      </c>
      <c r="I34" s="12"/>
      <c r="J34" s="12">
        <f>'Table-n=200-miss'!C34</f>
        <v>2.2853145746138201</v>
      </c>
      <c r="K34" s="12">
        <f>'Table-n=200-miss'!D34</f>
        <v>11.3417733374403</v>
      </c>
      <c r="L34" s="12">
        <f>'Table-n=200-miss'!E34</f>
        <v>1.5590244834079388</v>
      </c>
      <c r="M34" s="12">
        <f>'Table-n=200-miss'!F34</f>
        <v>0.95795795795795802</v>
      </c>
      <c r="N34" s="12">
        <f>'Table-n=200-miss'!G34</f>
        <v>54.737073312674795</v>
      </c>
      <c r="O34" s="12">
        <f>'Table-n=200-miss'!I34</f>
        <v>0.62256296802566502</v>
      </c>
      <c r="P34" s="5"/>
      <c r="Y34" s="12"/>
    </row>
    <row r="35" spans="1:25" x14ac:dyDescent="0.45">
      <c r="B35" s="1" t="s">
        <v>4</v>
      </c>
      <c r="C35" s="12">
        <f>'Table-n=200-corr'!C35</f>
        <v>-1.2957889906998299</v>
      </c>
      <c r="D35" s="12">
        <f>'Table-n=200-corr'!D35</f>
        <v>6.6985237346083304</v>
      </c>
      <c r="E35" s="12">
        <f>'Table-n=200-corr'!E35</f>
        <v>0.55502119657403215</v>
      </c>
      <c r="F35" s="12">
        <f>'Table-n=200-corr'!F35</f>
        <v>0.925851703406814</v>
      </c>
      <c r="G35" s="12">
        <f>'Table-n=200-corr'!G35</f>
        <v>28.765585446072802</v>
      </c>
      <c r="H35" s="12">
        <f>'Table-n=200-corr'!I35</f>
        <v>2.4529856718769336</v>
      </c>
      <c r="I35" s="12"/>
      <c r="J35" s="12">
        <f>'Table-n=200-miss'!C35</f>
        <v>4.5831926793722797</v>
      </c>
      <c r="K35" s="12">
        <f>'Table-n=200-miss'!D35</f>
        <v>8.8018999943832892</v>
      </c>
      <c r="L35" s="12">
        <f>'Table-n=200-miss'!E35</f>
        <v>0.93895303002474828</v>
      </c>
      <c r="M35" s="12">
        <f>'Table-n=200-miss'!F35</f>
        <v>0.83599999999999997</v>
      </c>
      <c r="N35" s="12">
        <f>'Table-n=200-miss'!G35</f>
        <v>26.115715719627847</v>
      </c>
      <c r="O35" s="12">
        <f>'Table-n=200-miss'!I35</f>
        <v>2.7349070109396241</v>
      </c>
      <c r="P35" s="5"/>
      <c r="Y35" s="12"/>
    </row>
    <row r="36" spans="1:25" x14ac:dyDescent="0.45">
      <c r="B36" s="1" t="s">
        <v>88</v>
      </c>
      <c r="C36" s="12">
        <f>'Table-n=200-corr'!C36</f>
        <v>-0.179874464688035</v>
      </c>
      <c r="D36" s="12">
        <f>'Table-n=200-corr'!D36</f>
        <v>8.4057639483561104</v>
      </c>
      <c r="E36" s="12">
        <f>'Table-n=200-corr'!E36</f>
        <v>0.87398856038193429</v>
      </c>
      <c r="F36" s="12">
        <f>'Table-n=200-corr'!F36</f>
        <v>0.81262525050100198</v>
      </c>
      <c r="G36" s="12">
        <f>'Table-n=200-corr'!G36</f>
        <v>26.746465360922286</v>
      </c>
      <c r="H36" s="12">
        <f>'Table-n=200-corr'!I36</f>
        <v>2.8373221791934085</v>
      </c>
      <c r="I36" s="12"/>
      <c r="J36" s="12">
        <f>'Table-n=200-miss'!C36</f>
        <v>-1.68284013193763</v>
      </c>
      <c r="K36" s="12">
        <f>'Table-n=200-miss'!D36</f>
        <v>8.7420035631502309</v>
      </c>
      <c r="L36" s="12">
        <f>'Table-n=200-miss'!E36</f>
        <v>0.92621746592141174</v>
      </c>
      <c r="M36" s="12">
        <f>'Table-n=200-miss'!F36</f>
        <v>0.84899999999999998</v>
      </c>
      <c r="N36" s="12">
        <f>'Table-n=200-miss'!G36</f>
        <v>31.080814951605131</v>
      </c>
      <c r="O36" s="12">
        <f>'Table-n=200-miss'!I36</f>
        <v>1.9309082326283293</v>
      </c>
      <c r="P36" s="5"/>
      <c r="Y36" s="12"/>
    </row>
    <row r="37" spans="1:25" x14ac:dyDescent="0.45">
      <c r="B37" s="1" t="s">
        <v>89</v>
      </c>
      <c r="C37" s="12">
        <f>'Table-n=200-corr'!C37</f>
        <v>4.0354295015021302</v>
      </c>
      <c r="D37" s="12">
        <f>'Table-n=200-corr'!D37</f>
        <v>8.9913378338928904</v>
      </c>
      <c r="E37" s="12">
        <f>'Table-n=200-corr'!E37</f>
        <v>1</v>
      </c>
      <c r="F37" s="12">
        <f>'Table-n=200-corr'!F37</f>
        <v>0.96593186372745499</v>
      </c>
      <c r="G37" s="12">
        <f>'Table-n=200-corr'!G37</f>
        <v>45.05268960473559</v>
      </c>
      <c r="H37" s="12">
        <f>'Table-n=200-corr'!I37</f>
        <v>1</v>
      </c>
      <c r="I37" s="12"/>
      <c r="J37" s="12">
        <f>'Table-n=200-miss'!C37</f>
        <v>4.0917458847251096</v>
      </c>
      <c r="K37" s="12">
        <f>'Table-n=200-miss'!D37</f>
        <v>9.0835266772268799</v>
      </c>
      <c r="L37" s="12">
        <f>'Table-n=200-miss'!E37</f>
        <v>1</v>
      </c>
      <c r="M37" s="12">
        <f>'Table-n=200-miss'!F37</f>
        <v>0.95</v>
      </c>
      <c r="N37" s="12">
        <f>'Table-n=200-miss'!G37</f>
        <v>43.189006590330102</v>
      </c>
      <c r="O37" s="12">
        <f>'Table-n=200-miss'!I37</f>
        <v>1</v>
      </c>
      <c r="P37" s="5"/>
      <c r="Y37" s="12"/>
    </row>
    <row r="38" spans="1:25" s="3" customFormat="1" x14ac:dyDescent="0.45">
      <c r="B38" s="3" t="s">
        <v>2</v>
      </c>
      <c r="C38" s="14">
        <f>'Table-n=200-corr'!C38</f>
        <v>-0.77710319085298896</v>
      </c>
      <c r="D38" s="14">
        <f>'Table-n=200-corr'!D38</f>
        <v>9.1285630967991604</v>
      </c>
      <c r="E38" s="14">
        <f>'Table-n=200-corr'!E38</f>
        <v>1.030756807798467</v>
      </c>
      <c r="F38" s="14">
        <f>'Table-n=200-corr'!F38</f>
        <v>0.87575150300601201</v>
      </c>
      <c r="G38" s="14">
        <f>'Table-n=200-corr'!G38</f>
        <v>83.107035338197079</v>
      </c>
      <c r="H38" s="14">
        <f>'Table-n=200-corr'!I38</f>
        <v>0.29387718150315928</v>
      </c>
      <c r="I38" s="14"/>
      <c r="J38" s="14">
        <f>'Table-n=200-miss'!C38</f>
        <v>-5.41563610397976</v>
      </c>
      <c r="K38" s="14">
        <f>'Table-n=200-miss'!D38</f>
        <v>34.471695874970898</v>
      </c>
      <c r="L38" s="14">
        <f>'Table-n=200-miss'!E38</f>
        <v>14.40178446709877</v>
      </c>
      <c r="M38" s="14">
        <f>'Table-n=200-miss'!F38</f>
        <v>0.88</v>
      </c>
      <c r="N38" s="14">
        <f>'Table-n=200-miss'!G38</f>
        <v>40.385850997744612</v>
      </c>
      <c r="O38" s="14">
        <f>'Table-n=200-miss'!I38</f>
        <v>1.1436363539290915</v>
      </c>
      <c r="P38" s="13"/>
      <c r="Q38" s="13"/>
      <c r="Y38" s="14"/>
    </row>
    <row r="39" spans="1:25" x14ac:dyDescent="0.4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45">
      <c r="A40" s="2" t="s">
        <v>207</v>
      </c>
      <c r="B40" s="1" t="s">
        <v>3</v>
      </c>
      <c r="C40" s="12">
        <f>'Table-n=200-corr'!C40</f>
        <v>7.1379948611516794E-2</v>
      </c>
      <c r="D40" s="12">
        <f>'Table-n=200-corr'!D40</f>
        <v>15.1415794796544</v>
      </c>
      <c r="E40" s="12">
        <f>'Table-n=200-corr'!E40</f>
        <v>0.66972481451984855</v>
      </c>
      <c r="F40" s="12">
        <f>'Table-n=200-corr'!F40</f>
        <v>0.91382765531062105</v>
      </c>
      <c r="G40" s="12">
        <f>'Table-n=200-corr'!G40</f>
        <v>70.457097010512214</v>
      </c>
      <c r="H40" s="12">
        <f>'Table-n=200-corr'!I40</f>
        <v>1.7281062726499725</v>
      </c>
      <c r="I40" s="12"/>
      <c r="J40" s="12">
        <f>'Table-n=200-miss'!C40</f>
        <v>-6.9591061184951899</v>
      </c>
      <c r="K40" s="12">
        <f>'Table-n=200-miss'!D40</f>
        <v>19.474834999592499</v>
      </c>
      <c r="L40" s="12">
        <f>'Table-n=200-miss'!E40</f>
        <v>1.0900629396646118</v>
      </c>
      <c r="M40" s="12">
        <f>'Table-n=200-miss'!F40</f>
        <v>0.83899999999999997</v>
      </c>
      <c r="N40" s="12">
        <f>'Table-n=200-miss'!G40</f>
        <v>73.016831002852129</v>
      </c>
      <c r="O40" s="12">
        <f>'Table-n=200-miss'!I40</f>
        <v>1.7177592220476561</v>
      </c>
      <c r="P40" s="5"/>
      <c r="Y40" s="12"/>
    </row>
    <row r="41" spans="1:25" x14ac:dyDescent="0.45">
      <c r="B41" s="1" t="s">
        <v>5</v>
      </c>
      <c r="C41" s="12">
        <f>'Table-n=200-corr'!C41</f>
        <v>4.3397658917212496</v>
      </c>
      <c r="D41" s="12">
        <f>'Table-n=200-corr'!D41</f>
        <v>21.965797811972799</v>
      </c>
      <c r="E41" s="12">
        <f>'Table-n=200-corr'!E41</f>
        <v>1.4094445447454194</v>
      </c>
      <c r="F41" s="12">
        <f>'Table-n=200-corr'!F41</f>
        <v>0.92269076305220898</v>
      </c>
      <c r="G41" s="12">
        <f>'Table-n=200-corr'!G41</f>
        <v>103.10013912654003</v>
      </c>
      <c r="H41" s="12">
        <f>'Table-n=200-corr'!I41</f>
        <v>0.80705184474439673</v>
      </c>
      <c r="I41" s="12"/>
      <c r="J41" s="12">
        <f>'Table-n=200-miss'!C41</f>
        <v>-2.05703556796237</v>
      </c>
      <c r="K41" s="12">
        <f>'Table-n=200-miss'!D41</f>
        <v>22.3409366309272</v>
      </c>
      <c r="L41" s="12">
        <f>'Table-n=200-miss'!E41</f>
        <v>1.434520485147081</v>
      </c>
      <c r="M41" s="12">
        <f>'Table-n=200-miss'!F41</f>
        <v>0.92592592592592604</v>
      </c>
      <c r="N41" s="12">
        <f>'Table-n=200-miss'!G41</f>
        <v>110.45704530467951</v>
      </c>
      <c r="O41" s="12">
        <f>'Table-n=200-miss'!I41</f>
        <v>0.75062220170281324</v>
      </c>
      <c r="P41" s="5"/>
      <c r="Y41" s="12"/>
    </row>
    <row r="42" spans="1:25" x14ac:dyDescent="0.45">
      <c r="B42" s="1" t="s">
        <v>4</v>
      </c>
      <c r="C42" s="12">
        <f>'Table-n=200-corr'!C42</f>
        <v>-2.32093200999183</v>
      </c>
      <c r="D42" s="12">
        <f>'Table-n=200-corr'!D42</f>
        <v>14.6448102826694</v>
      </c>
      <c r="E42" s="12">
        <f>'Table-n=200-corr'!E42</f>
        <v>0.62650065508712072</v>
      </c>
      <c r="F42" s="12">
        <f>'Table-n=200-corr'!F42</f>
        <v>0.95190380761522997</v>
      </c>
      <c r="G42" s="12">
        <f>'Table-n=200-corr'!G42</f>
        <v>85.438544618927125</v>
      </c>
      <c r="H42" s="12">
        <f>'Table-n=200-corr'!I42</f>
        <v>1.1752012737169644</v>
      </c>
      <c r="I42" s="12"/>
      <c r="J42" s="12">
        <f>'Table-n=200-miss'!C42</f>
        <v>4.9044186921278898</v>
      </c>
      <c r="K42" s="12">
        <f>'Table-n=200-miss'!D42</f>
        <v>17.4361953728841</v>
      </c>
      <c r="L42" s="12">
        <f>'Table-n=200-miss'!E42</f>
        <v>0.87379077286522566</v>
      </c>
      <c r="M42" s="12">
        <f>'Table-n=200-miss'!F42</f>
        <v>0.83099999999999996</v>
      </c>
      <c r="N42" s="12">
        <f>'Table-n=200-miss'!G42</f>
        <v>64.007237590605598</v>
      </c>
      <c r="O42" s="12">
        <f>'Table-n=200-miss'!I42</f>
        <v>2.2353734089528712</v>
      </c>
      <c r="P42" s="5"/>
      <c r="Y42" s="12"/>
    </row>
    <row r="43" spans="1:25" x14ac:dyDescent="0.45">
      <c r="B43" s="1" t="s">
        <v>88</v>
      </c>
      <c r="C43" s="12">
        <f>'Table-n=200-corr'!C43</f>
        <v>-1.1372233604264801</v>
      </c>
      <c r="D43" s="12">
        <f>'Table-n=200-corr'!D43</f>
        <v>19.013753041180699</v>
      </c>
      <c r="E43" s="12">
        <f>'Table-n=200-corr'!E43</f>
        <v>1.0560627571014845</v>
      </c>
      <c r="F43" s="12">
        <f>'Table-n=200-corr'!F43</f>
        <v>0.76853707414829697</v>
      </c>
      <c r="G43" s="12">
        <f>'Table-n=200-corr'!G43</f>
        <v>65.066968571269484</v>
      </c>
      <c r="H43" s="12">
        <f>'Table-n=200-corr'!I43</f>
        <v>2.0262768832656612</v>
      </c>
      <c r="I43" s="12"/>
      <c r="J43" s="12">
        <f>'Table-n=200-miss'!C43</f>
        <v>-13.598594899285199</v>
      </c>
      <c r="K43" s="12">
        <f>'Table-n=200-miss'!D43</f>
        <v>31.453467244199398</v>
      </c>
      <c r="L43" s="12">
        <f>'Table-n=200-miss'!E43</f>
        <v>2.8434202626626819</v>
      </c>
      <c r="M43" s="12">
        <f>'Table-n=200-miss'!F43</f>
        <v>0.76800000000000002</v>
      </c>
      <c r="N43" s="12">
        <f>'Table-n=200-miss'!G43</f>
        <v>73.831246562230334</v>
      </c>
      <c r="O43" s="12">
        <f>'Table-n=200-miss'!I43</f>
        <v>1.6800718188232204</v>
      </c>
      <c r="P43" s="5"/>
      <c r="Y43" s="12"/>
    </row>
    <row r="44" spans="1:25" x14ac:dyDescent="0.45">
      <c r="B44" s="1" t="s">
        <v>89</v>
      </c>
      <c r="C44" s="12">
        <f>'Table-n=200-corr'!C44</f>
        <v>5.2664649321064303</v>
      </c>
      <c r="D44" s="12">
        <f>'Table-n=200-corr'!D44</f>
        <v>18.5021835582398</v>
      </c>
      <c r="E44" s="12">
        <f>'Table-n=200-corr'!E44</f>
        <v>1</v>
      </c>
      <c r="F44" s="12">
        <f>'Table-n=200-corr'!F44</f>
        <v>0.91883767535070104</v>
      </c>
      <c r="G44" s="12">
        <f>'Table-n=200-corr'!G44</f>
        <v>92.621107270674074</v>
      </c>
      <c r="H44" s="12">
        <f>'Table-n=200-corr'!I44</f>
        <v>1</v>
      </c>
      <c r="I44" s="12"/>
      <c r="J44" s="12">
        <f>'Table-n=200-miss'!C44</f>
        <v>-0.80747023989954403</v>
      </c>
      <c r="K44" s="12">
        <f>'Table-n=200-miss'!D44</f>
        <v>18.652970333252899</v>
      </c>
      <c r="L44" s="12">
        <f>'Table-n=200-miss'!E44</f>
        <v>1</v>
      </c>
      <c r="M44" s="12">
        <f>'Table-n=200-miss'!F44</f>
        <v>0.90900000000000003</v>
      </c>
      <c r="N44" s="12">
        <f>'Table-n=200-miss'!G44</f>
        <v>95.698278333608101</v>
      </c>
      <c r="O44" s="12">
        <f>'Table-n=200-miss'!I44</f>
        <v>1</v>
      </c>
      <c r="P44" s="5"/>
      <c r="Y44" s="12"/>
    </row>
    <row r="45" spans="1:25" s="3" customFormat="1" x14ac:dyDescent="0.45">
      <c r="B45" s="3" t="s">
        <v>2</v>
      </c>
      <c r="C45" s="14">
        <f>'Table-n=200-corr'!C45</f>
        <v>-0.482965580238227</v>
      </c>
      <c r="D45" s="14">
        <f>'Table-n=200-corr'!D45</f>
        <v>16.953189948741599</v>
      </c>
      <c r="E45" s="14">
        <f>'Table-n=200-corr'!E45</f>
        <v>0.83956994942150542</v>
      </c>
      <c r="F45" s="14">
        <f>'Table-n=200-corr'!F45</f>
        <v>0.846693386773547</v>
      </c>
      <c r="G45" s="14">
        <f>'Table-n=200-corr'!G45</f>
        <v>83.128486874669875</v>
      </c>
      <c r="H45" s="14">
        <f>'Table-n=200-corr'!I45</f>
        <v>1.2414241405148609</v>
      </c>
      <c r="I45" s="14"/>
      <c r="J45" s="14">
        <f>'Table-n=200-miss'!C45</f>
        <v>-25.0172016281441</v>
      </c>
      <c r="K45" s="14">
        <f>'Table-n=200-miss'!D45</f>
        <v>71.950369874264794</v>
      </c>
      <c r="L45" s="14">
        <f>'Table-n=200-miss'!E45</f>
        <v>14.878873886225444</v>
      </c>
      <c r="M45" s="14">
        <f>'Table-n=200-miss'!F45</f>
        <v>0.745</v>
      </c>
      <c r="N45" s="14">
        <f>'Table-n=200-miss'!G45</f>
        <v>80.495472887986494</v>
      </c>
      <c r="O45" s="14">
        <f>'Table-n=200-miss'!I45</f>
        <v>1.4134008140862004</v>
      </c>
      <c r="P45" s="13"/>
      <c r="Q45" s="13"/>
      <c r="Y45" s="14"/>
    </row>
    <row r="46" spans="1:25" x14ac:dyDescent="0.45">
      <c r="G46" s="7"/>
      <c r="H46" s="7"/>
      <c r="O46" s="7"/>
    </row>
    <row r="47" spans="1:25" x14ac:dyDescent="0.45">
      <c r="G47" s="7"/>
      <c r="H47" s="7"/>
      <c r="O47" s="7"/>
    </row>
    <row r="48" spans="1:25" x14ac:dyDescent="0.45">
      <c r="G48" s="7"/>
      <c r="H48" s="7"/>
      <c r="O48" s="7"/>
    </row>
    <row r="49" spans="7:15" x14ac:dyDescent="0.45">
      <c r="G49" s="7"/>
      <c r="H49" s="7"/>
      <c r="O49" s="7"/>
    </row>
    <row r="50" spans="7:15" x14ac:dyDescent="0.45">
      <c r="G50" s="7"/>
      <c r="H50" s="7"/>
      <c r="O50" s="7"/>
    </row>
    <row r="51" spans="7:15" x14ac:dyDescent="0.45">
      <c r="G51" s="7"/>
      <c r="H51" s="7"/>
      <c r="O51" s="7"/>
    </row>
    <row r="52" spans="7:15" x14ac:dyDescent="0.45">
      <c r="G52" s="7"/>
      <c r="H52" s="7"/>
      <c r="O52" s="7"/>
    </row>
    <row r="53" spans="7:15" x14ac:dyDescent="0.45">
      <c r="G53" s="7"/>
      <c r="H53" s="7"/>
      <c r="O53" s="7"/>
    </row>
    <row r="54" spans="7:15" x14ac:dyDescent="0.45">
      <c r="G54" s="7"/>
      <c r="H54" s="7"/>
      <c r="O54" s="7"/>
    </row>
    <row r="55" spans="7:15" x14ac:dyDescent="0.45">
      <c r="G55" s="7"/>
      <c r="H55" s="7"/>
      <c r="O55" s="7"/>
    </row>
    <row r="56" spans="7:15" x14ac:dyDescent="0.45">
      <c r="G56" s="7"/>
      <c r="H56" s="7"/>
      <c r="O56" s="7"/>
    </row>
    <row r="57" spans="7:15" x14ac:dyDescent="0.45">
      <c r="G57" s="7"/>
      <c r="H57" s="7"/>
      <c r="O57" s="7"/>
    </row>
    <row r="58" spans="7:15" x14ac:dyDescent="0.45">
      <c r="G58" s="7"/>
      <c r="H58" s="7"/>
      <c r="O58" s="7"/>
    </row>
    <row r="59" spans="7:15" x14ac:dyDescent="0.45">
      <c r="G59" s="7"/>
      <c r="H59" s="7"/>
      <c r="O59" s="7"/>
    </row>
    <row r="60" spans="7:15" x14ac:dyDescent="0.45">
      <c r="G60" s="7"/>
      <c r="H60" s="7"/>
      <c r="O60" s="7"/>
    </row>
    <row r="61" spans="7:15" x14ac:dyDescent="0.45">
      <c r="G61" s="7"/>
      <c r="H61" s="7"/>
      <c r="O61" s="7"/>
    </row>
    <row r="62" spans="7:15" x14ac:dyDescent="0.45">
      <c r="G62" s="7"/>
      <c r="H62" s="7"/>
      <c r="O62" s="7"/>
    </row>
    <row r="63" spans="7:15" x14ac:dyDescent="0.45">
      <c r="G63" s="7"/>
      <c r="H63" s="7"/>
      <c r="O63" s="7"/>
    </row>
    <row r="64" spans="7:15" x14ac:dyDescent="0.45">
      <c r="G64" s="7"/>
      <c r="H64" s="7"/>
      <c r="O64" s="7"/>
    </row>
    <row r="65" spans="7:15" x14ac:dyDescent="0.45">
      <c r="G65" s="7"/>
      <c r="H65" s="7"/>
      <c r="O65" s="7"/>
    </row>
    <row r="66" spans="7:15" x14ac:dyDescent="0.45">
      <c r="G66" s="7"/>
      <c r="H66" s="7"/>
      <c r="O66" s="7"/>
    </row>
    <row r="67" spans="7:15" x14ac:dyDescent="0.45">
      <c r="G67" s="7"/>
      <c r="H67" s="7"/>
      <c r="O67" s="7"/>
    </row>
    <row r="68" spans="7:15" x14ac:dyDescent="0.45">
      <c r="G68" s="7"/>
      <c r="H68" s="7"/>
      <c r="O68" s="7"/>
    </row>
    <row r="69" spans="7:15" x14ac:dyDescent="0.45">
      <c r="G69" s="7"/>
      <c r="H69" s="7"/>
      <c r="O69" s="7"/>
    </row>
    <row r="70" spans="7:15" x14ac:dyDescent="0.45">
      <c r="G70" s="7"/>
      <c r="H70" s="7"/>
      <c r="O70" s="7"/>
    </row>
    <row r="71" spans="7:15" x14ac:dyDescent="0.45">
      <c r="G71" s="7"/>
      <c r="H71" s="7"/>
      <c r="O71" s="7"/>
    </row>
    <row r="72" spans="7:15" x14ac:dyDescent="0.45">
      <c r="G72" s="7"/>
      <c r="H72" s="7"/>
      <c r="O72" s="7"/>
    </row>
    <row r="73" spans="7:15" x14ac:dyDescent="0.45">
      <c r="G73" s="7"/>
      <c r="H73" s="7"/>
      <c r="O73" s="7"/>
    </row>
    <row r="74" spans="7:15" x14ac:dyDescent="0.45">
      <c r="G74" s="7"/>
      <c r="H74" s="7"/>
      <c r="O74" s="7"/>
    </row>
    <row r="75" spans="7:15" x14ac:dyDescent="0.45">
      <c r="G75" s="7"/>
      <c r="H75" s="7"/>
      <c r="O75" s="7"/>
    </row>
    <row r="76" spans="7:15" x14ac:dyDescent="0.45">
      <c r="G76" s="7"/>
      <c r="H76" s="7"/>
      <c r="O76" s="7"/>
    </row>
    <row r="77" spans="7:15" x14ac:dyDescent="0.45">
      <c r="G77" s="7"/>
      <c r="H77" s="7"/>
      <c r="O77" s="7"/>
    </row>
    <row r="78" spans="7:15" x14ac:dyDescent="0.45">
      <c r="G78" s="7"/>
      <c r="H78" s="7"/>
      <c r="O78" s="7"/>
    </row>
    <row r="79" spans="7:15" x14ac:dyDescent="0.45">
      <c r="G79" s="7"/>
      <c r="H79" s="7"/>
      <c r="O79" s="7"/>
    </row>
    <row r="80" spans="7:15" x14ac:dyDescent="0.45">
      <c r="G80" s="7"/>
      <c r="H80" s="7"/>
      <c r="O80" s="7"/>
    </row>
    <row r="81" spans="7:15" x14ac:dyDescent="0.45">
      <c r="G81" s="7"/>
      <c r="H81" s="7"/>
      <c r="O81" s="7"/>
    </row>
    <row r="82" spans="7:15" x14ac:dyDescent="0.45">
      <c r="G82" s="7"/>
      <c r="H82" s="7"/>
      <c r="O82" s="7"/>
    </row>
    <row r="83" spans="7:15" x14ac:dyDescent="0.45">
      <c r="G83" s="7"/>
      <c r="H83" s="7"/>
      <c r="O83" s="7"/>
    </row>
    <row r="84" spans="7:15" x14ac:dyDescent="0.45">
      <c r="G84" s="7"/>
      <c r="H84" s="7"/>
      <c r="O84" s="7"/>
    </row>
    <row r="85" spans="7:15" x14ac:dyDescent="0.45">
      <c r="G85" s="7"/>
      <c r="H85" s="7"/>
      <c r="O85" s="7"/>
    </row>
    <row r="86" spans="7:15" x14ac:dyDescent="0.45">
      <c r="G86" s="7"/>
      <c r="H86" s="7"/>
      <c r="O86" s="7"/>
    </row>
    <row r="87" spans="7:15" x14ac:dyDescent="0.45">
      <c r="G87" s="7"/>
      <c r="H87" s="7"/>
      <c r="O87" s="7"/>
    </row>
    <row r="88" spans="7:15" x14ac:dyDescent="0.45">
      <c r="G88" s="7"/>
      <c r="H88" s="7"/>
      <c r="O88" s="7"/>
    </row>
    <row r="89" spans="7:15" x14ac:dyDescent="0.45">
      <c r="G89" s="7"/>
      <c r="H89" s="7"/>
      <c r="O89" s="7"/>
    </row>
    <row r="90" spans="7:15" x14ac:dyDescent="0.45">
      <c r="G90" s="7"/>
      <c r="H90" s="7"/>
      <c r="O90" s="7"/>
    </row>
    <row r="91" spans="7:15" x14ac:dyDescent="0.45">
      <c r="G91" s="7"/>
      <c r="H91" s="7"/>
      <c r="O91" s="7"/>
    </row>
    <row r="92" spans="7:15" x14ac:dyDescent="0.45">
      <c r="G92" s="7"/>
      <c r="H92" s="7"/>
      <c r="O92" s="7"/>
    </row>
    <row r="93" spans="7:15" x14ac:dyDescent="0.45">
      <c r="G93" s="7"/>
      <c r="H93" s="7"/>
      <c r="O93" s="7"/>
    </row>
    <row r="94" spans="7:15" x14ac:dyDescent="0.45">
      <c r="G94" s="7"/>
      <c r="H94" s="7"/>
      <c r="O94" s="7"/>
    </row>
    <row r="95" spans="7:15" x14ac:dyDescent="0.45">
      <c r="G95" s="7"/>
      <c r="H95" s="7"/>
      <c r="O95" s="7"/>
    </row>
    <row r="96" spans="7:15" x14ac:dyDescent="0.45">
      <c r="G96" s="7"/>
      <c r="H96" s="7"/>
      <c r="O96" s="7"/>
    </row>
    <row r="97" spans="7:15" x14ac:dyDescent="0.45">
      <c r="G97" s="7"/>
      <c r="H97" s="7"/>
      <c r="O97" s="7"/>
    </row>
    <row r="98" spans="7:15" x14ac:dyDescent="0.45">
      <c r="G98" s="7"/>
      <c r="H98" s="7"/>
      <c r="O98" s="7"/>
    </row>
    <row r="99" spans="7:15" x14ac:dyDescent="0.45">
      <c r="G99" s="7"/>
      <c r="H99" s="7"/>
      <c r="O99" s="7"/>
    </row>
    <row r="100" spans="7:15" x14ac:dyDescent="0.45">
      <c r="G100" s="7"/>
      <c r="H100" s="7"/>
      <c r="O100" s="7"/>
    </row>
    <row r="101" spans="7:15" x14ac:dyDescent="0.45">
      <c r="G101" s="7"/>
      <c r="H101" s="7"/>
      <c r="O101" s="7"/>
    </row>
    <row r="102" spans="7:15" x14ac:dyDescent="0.45">
      <c r="G102" s="7"/>
      <c r="H102" s="7"/>
      <c r="O102" s="7"/>
    </row>
    <row r="103" spans="7:15" x14ac:dyDescent="0.45">
      <c r="G103" s="7"/>
      <c r="H103" s="7"/>
      <c r="O103" s="7"/>
    </row>
    <row r="104" spans="7:15" x14ac:dyDescent="0.45">
      <c r="G104" s="7"/>
      <c r="H104" s="7"/>
      <c r="O104" s="7"/>
    </row>
    <row r="105" spans="7:15" x14ac:dyDescent="0.45">
      <c r="G105" s="7"/>
      <c r="H105" s="7"/>
      <c r="O105" s="7"/>
    </row>
    <row r="106" spans="7:15" x14ac:dyDescent="0.45">
      <c r="G106" s="7"/>
      <c r="H106" s="7"/>
      <c r="O106" s="7"/>
    </row>
    <row r="107" spans="7:15" x14ac:dyDescent="0.45">
      <c r="G107" s="7"/>
      <c r="H107" s="7"/>
      <c r="O107" s="7"/>
    </row>
    <row r="108" spans="7:15" x14ac:dyDescent="0.45">
      <c r="G108" s="7"/>
      <c r="H108" s="7"/>
      <c r="O108" s="7"/>
    </row>
    <row r="109" spans="7:15" x14ac:dyDescent="0.45">
      <c r="G109" s="7"/>
      <c r="H109" s="7"/>
      <c r="O109" s="7"/>
    </row>
    <row r="110" spans="7:15" x14ac:dyDescent="0.45">
      <c r="G110" s="7"/>
      <c r="H110" s="7"/>
      <c r="O110" s="7"/>
    </row>
    <row r="111" spans="7:15" x14ac:dyDescent="0.45">
      <c r="G111" s="7"/>
      <c r="H111" s="7"/>
      <c r="O111" s="7"/>
    </row>
    <row r="112" spans="7:15" x14ac:dyDescent="0.45">
      <c r="G112" s="7"/>
      <c r="H112" s="7"/>
      <c r="O112" s="7"/>
    </row>
    <row r="113" spans="7:15" x14ac:dyDescent="0.45">
      <c r="G113" s="7"/>
      <c r="H113" s="7"/>
      <c r="O113" s="7"/>
    </row>
    <row r="114" spans="7:15" x14ac:dyDescent="0.45">
      <c r="G114" s="7"/>
      <c r="H114" s="7"/>
      <c r="O114" s="7"/>
    </row>
    <row r="115" spans="7:15" x14ac:dyDescent="0.45">
      <c r="G115" s="7"/>
      <c r="H115" s="7"/>
      <c r="O115" s="7"/>
    </row>
    <row r="116" spans="7:15" x14ac:dyDescent="0.45">
      <c r="G116" s="7"/>
      <c r="H116" s="7"/>
      <c r="O116" s="7"/>
    </row>
    <row r="117" spans="7:15" x14ac:dyDescent="0.45">
      <c r="G117" s="7"/>
      <c r="H117" s="7"/>
      <c r="O117" s="7"/>
    </row>
    <row r="118" spans="7:15" x14ac:dyDescent="0.45">
      <c r="G118" s="7"/>
      <c r="H118" s="7"/>
      <c r="O118" s="7"/>
    </row>
    <row r="119" spans="7:15" x14ac:dyDescent="0.45">
      <c r="G119" s="7"/>
      <c r="H119" s="7"/>
      <c r="O119" s="7"/>
    </row>
    <row r="120" spans="7:15" x14ac:dyDescent="0.4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topLeftCell="D1" workbookViewId="0">
      <selection activeCell="Z5" sqref="Z5:AE10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5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5.1328125" style="1" bestFit="1" customWidth="1"/>
    <col min="9" max="9" width="2.86328125" style="1" customWidth="1"/>
    <col min="10" max="10" width="5.86328125" style="1" bestFit="1" customWidth="1"/>
    <col min="11" max="11" width="6.1328125" style="1" bestFit="1" customWidth="1"/>
    <col min="12" max="12" width="7.53125" style="1" bestFit="1" customWidth="1"/>
    <col min="13" max="13" width="8" style="1" bestFit="1" customWidth="1"/>
    <col min="14" max="14" width="7.6640625" style="1" bestFit="1" customWidth="1"/>
    <col min="15" max="15" width="5.1328125" style="1" bestFit="1" customWidth="1"/>
    <col min="16" max="18" width="9.33203125" style="1"/>
    <col min="19" max="19" width="6" style="1" bestFit="1" customWidth="1"/>
    <col min="20" max="20" width="7.53125" style="1" bestFit="1" customWidth="1"/>
    <col min="21" max="21" width="7" style="1" bestFit="1" customWidth="1"/>
    <col min="22" max="22" width="8.53125" style="1" bestFit="1" customWidth="1"/>
    <col min="23" max="23" width="7" style="1" bestFit="1" customWidth="1"/>
    <col min="24" max="24" width="8.53125" style="1" bestFit="1" customWidth="1"/>
    <col min="25" max="25" width="2.86328125" style="1" customWidth="1"/>
    <col min="26" max="26" width="6" style="1" bestFit="1" customWidth="1"/>
    <col min="27" max="27" width="7.53125" style="1" bestFit="1" customWidth="1"/>
    <col min="28" max="28" width="7" style="1" bestFit="1" customWidth="1"/>
    <col min="29" max="29" width="8.53125" style="1" bestFit="1" customWidth="1"/>
    <col min="30" max="30" width="7" style="1" bestFit="1" customWidth="1"/>
    <col min="31" max="31" width="8.53125" style="1" bestFit="1" customWidth="1"/>
    <col min="32" max="16384" width="9.33203125" style="1"/>
  </cols>
  <sheetData>
    <row r="1" spans="1:31" x14ac:dyDescent="0.4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45">
      <c r="C2" s="11" t="s">
        <v>0</v>
      </c>
      <c r="D2" s="11" t="s">
        <v>1</v>
      </c>
      <c r="E2" s="11" t="s">
        <v>167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167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4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J3" s="11">
        <v>500</v>
      </c>
      <c r="K3" s="11">
        <v>500</v>
      </c>
      <c r="L3" s="11">
        <v>500</v>
      </c>
      <c r="M3" s="11">
        <v>500</v>
      </c>
      <c r="N3" s="11">
        <v>500</v>
      </c>
      <c r="O3" s="11">
        <v>500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4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45">
      <c r="A5" s="2" t="s">
        <v>58</v>
      </c>
      <c r="B5" s="1" t="s">
        <v>3</v>
      </c>
      <c r="C5" s="12">
        <f>'Table-n=500-corr'!C5</f>
        <v>0.907959150395236</v>
      </c>
      <c r="D5" s="12">
        <f>'Table-n=500-corr'!D5</f>
        <v>3.4094333530221199</v>
      </c>
      <c r="E5" s="12">
        <f>'Table-n=500-corr'!E5</f>
        <v>0.85305275348437881</v>
      </c>
      <c r="F5" s="12">
        <f>'Table-n=500-corr'!F5</f>
        <v>0.99299999999999999</v>
      </c>
      <c r="G5" s="12">
        <f>'Table-n=500-corr'!G5</f>
        <v>19.265735057497409</v>
      </c>
      <c r="H5" s="12">
        <f>'Table-n=500-corr'!I5</f>
        <v>0.96395731524424777</v>
      </c>
      <c r="I5" s="12"/>
      <c r="J5" s="12">
        <f>'Table-n=500-miss'!C5</f>
        <v>-4.1220459724619403</v>
      </c>
      <c r="K5" s="12">
        <f>'Table-n=500-miss'!D5</f>
        <v>6.9588642686541702</v>
      </c>
      <c r="L5" s="12">
        <f>'Table-n=500-miss'!E5</f>
        <v>2.4506499356246136</v>
      </c>
      <c r="M5" s="12">
        <f>'Table-n=500-miss'!F5</f>
        <v>0.96799999999999997</v>
      </c>
      <c r="N5" s="12">
        <f>'Table-n=500-miss'!G5</f>
        <v>19.243537974581745</v>
      </c>
      <c r="O5" s="12">
        <f>'Table-n=500-miss'!I5</f>
        <v>1.3324378841768196</v>
      </c>
      <c r="P5" s="5"/>
      <c r="Q5" s="5"/>
      <c r="R5" s="1" t="s">
        <v>3</v>
      </c>
      <c r="S5" s="7">
        <f>100*'Table-n=500-corr'!K5/SQRT(C$3)</f>
        <v>11.824854898473133</v>
      </c>
      <c r="T5" s="7">
        <f>100*SQRT('Table-n=500-corr'!L5/D$3)</f>
        <v>3.4330479550954425</v>
      </c>
      <c r="U5" s="7">
        <f>100*'Table-n=500-corr'!M5/SQRT(E$3)</f>
        <v>9.5268472766714005</v>
      </c>
      <c r="V5" s="7">
        <f>100*SQRT('Table-n=500-corr'!N5/F$3)</f>
        <v>2.9331595109435935</v>
      </c>
      <c r="W5" s="7">
        <f>100*'Table-n=500-corr'!O5/SQRT(G$3)</f>
        <v>4.0818853835154023</v>
      </c>
      <c r="X5" s="7">
        <f>100*SQRT('Table-n=500-corr'!P5/H$3)</f>
        <v>0.81600884111300653</v>
      </c>
      <c r="Y5" s="12"/>
      <c r="Z5" s="7">
        <f>100*'Table-n=500-miss'!K5/SQRT(J$3)</f>
        <v>13.6962484827667</v>
      </c>
      <c r="AA5" s="7">
        <f>100*SQRT('Table-n=500-miss'!L5/K$3)</f>
        <v>3.7631708125434753</v>
      </c>
      <c r="AB5" s="7">
        <f>100*'Table-n=500-miss'!M5/SQRT(L$3)</f>
        <v>10.160468057495285</v>
      </c>
      <c r="AC5" s="7">
        <f>100*SQRT('Table-n=500-miss'!N5/M$3)</f>
        <v>2.9560418331638099</v>
      </c>
      <c r="AD5" s="7">
        <f>100*'Table-n=500-miss'!O5/SQRT(N$3)</f>
        <v>5.0659771882595033</v>
      </c>
      <c r="AE5" s="7">
        <f>100*SQRT('Table-n=500-miss'!P5/O$3)</f>
        <v>0.98473145395699335</v>
      </c>
    </row>
    <row r="6" spans="1:31" x14ac:dyDescent="0.45">
      <c r="B6" s="1" t="s">
        <v>5</v>
      </c>
      <c r="C6" s="12">
        <f>'Table-n=500-corr'!C6</f>
        <v>2.8730341442038201</v>
      </c>
      <c r="D6" s="12">
        <f>'Table-n=500-corr'!D6</f>
        <v>5.8221678488590598</v>
      </c>
      <c r="E6" s="12">
        <f>'Table-n=500-corr'!E6</f>
        <v>2.4876021401146673</v>
      </c>
      <c r="F6" s="12">
        <f>'Table-n=500-corr'!F6</f>
        <v>1</v>
      </c>
      <c r="G6" s="12">
        <f>'Table-n=500-corr'!G6</f>
        <v>54.495864108457134</v>
      </c>
      <c r="H6" s="12">
        <f>'Table-n=500-corr'!I6</f>
        <v>0.12047637287068332</v>
      </c>
      <c r="I6" s="12"/>
      <c r="J6" s="12">
        <f>'Table-n=500-miss'!C6</f>
        <v>-1.7914601913139601</v>
      </c>
      <c r="K6" s="12">
        <f>'Table-n=500-miss'!D6</f>
        <v>6.2766628481400604</v>
      </c>
      <c r="L6" s="12">
        <f>'Table-n=500-miss'!E6</f>
        <v>1.9937107443588558</v>
      </c>
      <c r="M6" s="12">
        <f>'Table-n=500-miss'!F6</f>
        <v>1</v>
      </c>
      <c r="N6" s="12">
        <f>'Table-n=500-miss'!G6</f>
        <v>36.579996436069401</v>
      </c>
      <c r="O6" s="12">
        <f>'Table-n=500-miss'!I6</f>
        <v>0.36874785009014005</v>
      </c>
      <c r="P6" s="5"/>
      <c r="Q6" s="5"/>
      <c r="R6" s="1" t="s">
        <v>5</v>
      </c>
      <c r="S6" s="7">
        <f>100*'Table-n=500-corr'!K6/SQRT(C$3)</f>
        <v>9.9984536976183236</v>
      </c>
      <c r="T6" s="7">
        <f>100*SQRT('Table-n=500-corr'!L6/D$3)</f>
        <v>2.6371480103516411</v>
      </c>
      <c r="U6" s="7">
        <f>100*'Table-n=500-corr'!M6/SQRT(E$3)</f>
        <v>8.0545218021414975</v>
      </c>
      <c r="V6" s="7">
        <f>100*SQRT('Table-n=500-corr'!N6/F$3)</f>
        <v>2.2202950916732624</v>
      </c>
      <c r="W6" s="7">
        <f>100*'Table-n=500-corr'!O6/SQRT(G$3)</f>
        <v>4.3849181386291205</v>
      </c>
      <c r="X6" s="7">
        <f>100*SQRT('Table-n=500-corr'!P6/H$3)</f>
        <v>0.80368294653624206</v>
      </c>
      <c r="Y6" s="12"/>
      <c r="Z6" s="7">
        <f>100*'Table-n=500-miss'!K6/SQRT(J$3)</f>
        <v>11.754445606723856</v>
      </c>
      <c r="AA6" s="7">
        <f>100*SQRT('Table-n=500-miss'!L6/K$3)</f>
        <v>2.9201188323229004</v>
      </c>
      <c r="AB6" s="7">
        <f>100*'Table-n=500-miss'!M6/SQRT(L$3)</f>
        <v>8.9789486321918357</v>
      </c>
      <c r="AC6" s="7">
        <f>100*SQRT('Table-n=500-miss'!N6/M$3)</f>
        <v>2.4196110653465612</v>
      </c>
      <c r="AD6" s="7">
        <f>100*'Table-n=500-miss'!O6/SQRT(N$3)</f>
        <v>5.3348086579331291</v>
      </c>
      <c r="AE6" s="7">
        <f>100*SQRT('Table-n=500-miss'!P6/O$3)</f>
        <v>0.93070989247850378</v>
      </c>
    </row>
    <row r="7" spans="1:31" x14ac:dyDescent="0.45">
      <c r="B7" s="1" t="s">
        <v>4</v>
      </c>
      <c r="C7" s="12">
        <f>'Table-n=500-corr'!C7</f>
        <v>2.92309041541188E-2</v>
      </c>
      <c r="D7" s="12">
        <f>'Table-n=500-corr'!D7</f>
        <v>3.13929066990789</v>
      </c>
      <c r="E7" s="12">
        <f>'Table-n=500-corr'!E7</f>
        <v>0.72322684325056175</v>
      </c>
      <c r="F7" s="12">
        <f>'Table-n=500-corr'!F7</f>
        <v>1</v>
      </c>
      <c r="G7" s="12">
        <f>'Table-n=500-corr'!G7</f>
        <v>31.188463542023911</v>
      </c>
      <c r="H7" s="12">
        <f>'Table-n=500-corr'!I7</f>
        <v>0.36782480202303164</v>
      </c>
      <c r="I7" s="12"/>
      <c r="J7" s="12">
        <f>'Table-n=500-miss'!C7</f>
        <v>1.0146514347058999</v>
      </c>
      <c r="K7" s="12">
        <f>'Table-n=500-miss'!D7</f>
        <v>3.9185012133694799</v>
      </c>
      <c r="L7" s="12">
        <f>'Table-n=500-miss'!E7</f>
        <v>0.77704204436037394</v>
      </c>
      <c r="M7" s="12">
        <f>'Table-n=500-miss'!F7</f>
        <v>0.94099999999999995</v>
      </c>
      <c r="N7" s="12">
        <f>'Table-n=500-miss'!G7</f>
        <v>13.659817548980847</v>
      </c>
      <c r="O7" s="12">
        <f>'Table-n=500-miss'!I7</f>
        <v>2.644399201537567</v>
      </c>
      <c r="P7" s="5"/>
      <c r="Q7" s="5"/>
      <c r="R7" s="1" t="s">
        <v>4</v>
      </c>
      <c r="S7" s="7">
        <f>100*'Table-n=500-corr'!K7/SQRT(C$3)</f>
        <v>13.62483511632453</v>
      </c>
      <c r="T7" s="7">
        <f>100*SQRT('Table-n=500-corr'!L7/D$3)</f>
        <v>3.9732165343209025</v>
      </c>
      <c r="U7" s="7">
        <f>100*'Table-n=500-corr'!M7/SQRT(E$3)</f>
        <v>10.956288025316709</v>
      </c>
      <c r="V7" s="7">
        <f>100*SQRT('Table-n=500-corr'!N7/F$3)</f>
        <v>3.4177615623906359</v>
      </c>
      <c r="W7" s="7">
        <f>100*'Table-n=500-corr'!O7/SQRT(G$3)</f>
        <v>4.2150407974687187</v>
      </c>
      <c r="X7" s="7">
        <f>100*SQRT('Table-n=500-corr'!P7/H$3)</f>
        <v>0.85479654862946086</v>
      </c>
      <c r="Y7" s="12"/>
      <c r="Z7" s="7">
        <f>100*'Table-n=500-miss'!K7/SQRT(J$3)</f>
        <v>13.756712294773424</v>
      </c>
      <c r="AA7" s="7">
        <f>100*SQRT('Table-n=500-miss'!L7/K$3)</f>
        <v>3.7512159637099938</v>
      </c>
      <c r="AB7" s="7">
        <f>100*'Table-n=500-miss'!M7/SQRT(L$3)</f>
        <v>10.374471738501644</v>
      </c>
      <c r="AC7" s="7">
        <f>100*SQRT('Table-n=500-miss'!N7/M$3)</f>
        <v>2.9777659964595506</v>
      </c>
      <c r="AD7" s="7">
        <f>100*'Table-n=500-miss'!O7/SQRT(N$3)</f>
        <v>4.5172011581503222</v>
      </c>
      <c r="AE7" s="7">
        <f>100*SQRT('Table-n=500-miss'!P7/O$3)</f>
        <v>0.92789155117304845</v>
      </c>
    </row>
    <row r="8" spans="1:31" x14ac:dyDescent="0.45">
      <c r="B8" s="1" t="s">
        <v>88</v>
      </c>
      <c r="C8" s="12">
        <f>'Table-n=500-corr'!C8</f>
        <v>0.62489042528419603</v>
      </c>
      <c r="D8" s="12">
        <f>'Table-n=500-corr'!D8</f>
        <v>2.89338564185161</v>
      </c>
      <c r="E8" s="12">
        <f>'Table-n=500-corr'!E8</f>
        <v>0.61436168434204019</v>
      </c>
      <c r="F8" s="12">
        <f>'Table-n=500-corr'!F8</f>
        <v>0.89800000000000002</v>
      </c>
      <c r="G8" s="12">
        <f>'Table-n=500-corr'!G8</f>
        <v>8.9875168288747425</v>
      </c>
      <c r="H8" s="12">
        <f>'Table-n=500-corr'!I8</f>
        <v>4.4294472839124097</v>
      </c>
      <c r="I8" s="12"/>
      <c r="J8" s="12">
        <f>'Table-n=500-miss'!C8</f>
        <v>-4.4834384514443197</v>
      </c>
      <c r="K8" s="12">
        <f>'Table-n=500-miss'!D8</f>
        <v>7.1513089607357099</v>
      </c>
      <c r="L8" s="12">
        <f>'Table-n=500-miss'!E8</f>
        <v>2.5880676845080073</v>
      </c>
      <c r="M8" s="12">
        <f>'Table-n=500-miss'!F8</f>
        <v>0.76900000000000002</v>
      </c>
      <c r="N8" s="12">
        <f>'Table-n=500-miss'!G8</f>
        <v>13.755307754288323</v>
      </c>
      <c r="O8" s="12">
        <f>'Table-n=500-miss'!I8</f>
        <v>2.6078114722894226</v>
      </c>
      <c r="P8" s="5"/>
      <c r="Q8" s="5"/>
      <c r="R8" s="1" t="s">
        <v>88</v>
      </c>
      <c r="S8" s="7">
        <f>100*'Table-n=500-corr'!K8/SQRT(C$3)</f>
        <v>13.5349393080696</v>
      </c>
      <c r="T8" s="7">
        <f>100*SQRT('Table-n=500-corr'!L8/D$3)</f>
        <v>4.0879130256899421</v>
      </c>
      <c r="U8" s="7">
        <f>100*'Table-n=500-corr'!M8/SQRT(E$3)</f>
        <v>11.380002295608517</v>
      </c>
      <c r="V8" s="7">
        <f>100*SQRT('Table-n=500-corr'!N8/F$3)</f>
        <v>3.692044401248836</v>
      </c>
      <c r="W8" s="7">
        <f>100*'Table-n=500-corr'!O8/SQRT(G$3)</f>
        <v>4.6955631087178276</v>
      </c>
      <c r="X8" s="7">
        <f>100*SQRT('Table-n=500-corr'!P8/H$3)</f>
        <v>0.91632189591677771</v>
      </c>
      <c r="Y8" s="12"/>
      <c r="Z8" s="7">
        <f>100*'Table-n=500-miss'!K8/SQRT(J$3)</f>
        <v>13.491456003505125</v>
      </c>
      <c r="AA8" s="7">
        <f>100*SQRT('Table-n=500-miss'!L8/K$3)</f>
        <v>3.7044049084661683</v>
      </c>
      <c r="AB8" s="7">
        <f>100*'Table-n=500-miss'!M8/SQRT(L$3)</f>
        <v>10.371294277530247</v>
      </c>
      <c r="AC8" s="7">
        <f>100*SQRT('Table-n=500-miss'!N8/M$3)</f>
        <v>3.0201292950356544</v>
      </c>
      <c r="AD8" s="7">
        <f>100*'Table-n=500-miss'!O8/SQRT(N$3)</f>
        <v>5.1732123262826377</v>
      </c>
      <c r="AE8" s="7">
        <f>100*SQRT('Table-n=500-miss'!P8/O$3)</f>
        <v>0.93705619399249052</v>
      </c>
    </row>
    <row r="9" spans="1:31" x14ac:dyDescent="0.45">
      <c r="B9" s="1" t="s">
        <v>89</v>
      </c>
      <c r="C9" s="12">
        <f>'Table-n=500-corr'!C9</f>
        <v>1.98747281015676</v>
      </c>
      <c r="D9" s="12">
        <f>'Table-n=500-corr'!D9</f>
        <v>3.6914267990690699</v>
      </c>
      <c r="E9" s="12">
        <f>'Table-n=500-corr'!E9</f>
        <v>1</v>
      </c>
      <c r="F9" s="12">
        <f>'Table-n=500-corr'!F9</f>
        <v>0.995</v>
      </c>
      <c r="G9" s="12">
        <f>'Table-n=500-corr'!G9</f>
        <v>18.915354513302031</v>
      </c>
      <c r="H9" s="12">
        <f>'Table-n=500-corr'!I9</f>
        <v>1</v>
      </c>
      <c r="I9" s="12"/>
      <c r="J9" s="12">
        <f>'Table-n=500-miss'!C9</f>
        <v>-9.5987571027075405E-2</v>
      </c>
      <c r="K9" s="12">
        <f>'Table-n=500-miss'!D9</f>
        <v>4.4452657196524603</v>
      </c>
      <c r="L9" s="12">
        <f>'Table-n=500-miss'!E9</f>
        <v>1</v>
      </c>
      <c r="M9" s="12">
        <f>'Table-n=500-miss'!F9</f>
        <v>0.999</v>
      </c>
      <c r="N9" s="12">
        <f>'Table-n=500-miss'!G9</f>
        <v>22.213060900449822</v>
      </c>
      <c r="O9" s="12">
        <f>'Table-n=500-miss'!I9</f>
        <v>1</v>
      </c>
      <c r="P9" s="5"/>
      <c r="Q9" s="5"/>
      <c r="R9" s="1" t="s">
        <v>89</v>
      </c>
      <c r="S9" s="7">
        <f>100*'Table-n=500-corr'!K9/SQRT(C$3)</f>
        <v>12.817189034801514</v>
      </c>
      <c r="T9" s="7">
        <f>100*SQRT('Table-n=500-corr'!L9/D$3)</f>
        <v>3.7523405276404991</v>
      </c>
      <c r="U9" s="7">
        <f>100*'Table-n=500-corr'!M9/SQRT(E$3)</f>
        <v>10.010677659805539</v>
      </c>
      <c r="V9" s="7">
        <f>100*SQRT('Table-n=500-corr'!N9/F$3)</f>
        <v>3.1073643283042398</v>
      </c>
      <c r="W9" s="7">
        <f>100*'Table-n=500-corr'!O9/SQRT(G$3)</f>
        <v>4.1165488259561265</v>
      </c>
      <c r="X9" s="7">
        <f>100*SQRT('Table-n=500-corr'!P9/H$3)</f>
        <v>0.86959481905642699</v>
      </c>
      <c r="Y9" s="12"/>
      <c r="Z9" s="7">
        <f>100*'Table-n=500-miss'!K9/SQRT(J$3)</f>
        <v>14.678246250378981</v>
      </c>
      <c r="AA9" s="7">
        <f>100*SQRT('Table-n=500-miss'!L9/K$3)</f>
        <v>4.2056202507734577</v>
      </c>
      <c r="AB9" s="7">
        <f>100*'Table-n=500-miss'!M9/SQRT(L$3)</f>
        <v>11.040122312411551</v>
      </c>
      <c r="AC9" s="7">
        <f>100*SQRT('Table-n=500-miss'!N9/M$3)</f>
        <v>3.2965887328610952</v>
      </c>
      <c r="AD9" s="7">
        <f>100*'Table-n=500-miss'!O9/SQRT(N$3)</f>
        <v>4.4753163843729524</v>
      </c>
      <c r="AE9" s="7">
        <f>100*SQRT('Table-n=500-miss'!P9/O$3)</f>
        <v>1.019775821530301</v>
      </c>
    </row>
    <row r="10" spans="1:31" s="3" customFormat="1" x14ac:dyDescent="0.45">
      <c r="B10" s="3" t="s">
        <v>2</v>
      </c>
      <c r="C10" s="14">
        <f>'Table-n=500-corr'!C10</f>
        <v>0.200007858939699</v>
      </c>
      <c r="D10" s="14">
        <f>'Table-n=500-corr'!D10</f>
        <v>2.9268596061471102</v>
      </c>
      <c r="E10" s="14">
        <f>'Table-n=500-corr'!E10</f>
        <v>0.62865917797787285</v>
      </c>
      <c r="F10" s="14">
        <f>'Table-n=500-corr'!F10</f>
        <v>0.95499999999999996</v>
      </c>
      <c r="G10" s="14">
        <f>'Table-n=500-corr'!G10</f>
        <v>10.705232790688278</v>
      </c>
      <c r="H10" s="14">
        <f>'Table-n=500-corr'!I10</f>
        <v>3.1220276081099509</v>
      </c>
      <c r="I10" s="14"/>
      <c r="J10" s="14">
        <f>'Table-n=500-miss'!C10</f>
        <v>-7.5355619563688796</v>
      </c>
      <c r="K10" s="14">
        <f>'Table-n=500-miss'!D10</f>
        <v>16.695743346047301</v>
      </c>
      <c r="L10" s="14">
        <f>'Table-n=500-miss'!E10</f>
        <v>14.106395860909647</v>
      </c>
      <c r="M10" s="14">
        <f>'Table-n=500-miss'!F10</f>
        <v>0.94</v>
      </c>
      <c r="N10" s="14">
        <f>'Table-n=500-miss'!G10</f>
        <v>27.245448955079834</v>
      </c>
      <c r="O10" s="14">
        <f>'Table-n=500-miss'!I10</f>
        <v>0.66470489534531452</v>
      </c>
      <c r="P10" s="13"/>
      <c r="Q10" s="13"/>
      <c r="R10" s="3" t="s">
        <v>2</v>
      </c>
      <c r="S10" s="7">
        <f>100*'Table-n=500-corr'!K10/SQRT(C$3)</f>
        <v>14.170729268741644</v>
      </c>
      <c r="T10" s="7">
        <f>100*SQRT('Table-n=500-corr'!L10/D$3)</f>
        <v>4.4520802067814431</v>
      </c>
      <c r="U10" s="7">
        <f>100*'Table-n=500-corr'!M10/SQRT(E$3)</f>
        <v>11.818660295377216</v>
      </c>
      <c r="V10" s="7">
        <f>100*SQRT('Table-n=500-corr'!N10/F$3)</f>
        <v>3.9568998039616039</v>
      </c>
      <c r="W10" s="7">
        <f>100*'Table-n=500-corr'!O10/SQRT(G$3)</f>
        <v>4.1436971655630765</v>
      </c>
      <c r="X10" s="7">
        <f>100*SQRT('Table-n=500-corr'!P10/H$3)</f>
        <v>0.83551995277289093</v>
      </c>
      <c r="Y10" s="14"/>
      <c r="Z10" s="7">
        <f>100*'Table-n=500-miss'!K10/SQRT(J$3)</f>
        <v>13.503445722782969</v>
      </c>
      <c r="AA10" s="7">
        <f>100*SQRT('Table-n=500-miss'!L10/K$3)</f>
        <v>3.6832850022964609</v>
      </c>
      <c r="AB10" s="7">
        <f>100*'Table-n=500-miss'!M10/SQRT(L$3)</f>
        <v>10.447662509472343</v>
      </c>
      <c r="AC10" s="7">
        <f>100*SQRT('Table-n=500-miss'!N10/M$3)</f>
        <v>3.0753081023254567</v>
      </c>
      <c r="AD10" s="7">
        <f>100*'Table-n=500-miss'!O10/SQRT(N$3)</f>
        <v>5.6503709684926546</v>
      </c>
      <c r="AE10" s="7">
        <f>100*SQRT('Table-n=500-miss'!P10/O$3)</f>
        <v>1.0278599645661952</v>
      </c>
    </row>
    <row r="11" spans="1:31" s="4" customFormat="1" x14ac:dyDescent="0.4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 t="s">
        <v>219</v>
      </c>
      <c r="T11" s="16"/>
      <c r="U11" s="16"/>
      <c r="V11" s="16"/>
      <c r="W11" s="16"/>
      <c r="X11" s="16"/>
      <c r="Y11" s="7"/>
      <c r="Z11" s="16" t="s">
        <v>219</v>
      </c>
      <c r="AA11" s="16"/>
      <c r="AB11" s="16"/>
      <c r="AC11" s="16"/>
      <c r="AD11" s="16"/>
      <c r="AE11" s="16"/>
    </row>
    <row r="12" spans="1:31" x14ac:dyDescent="0.45">
      <c r="A12" s="2" t="s">
        <v>206</v>
      </c>
      <c r="B12" s="1" t="s">
        <v>3</v>
      </c>
      <c r="C12" s="12">
        <f>'Table-n=500-corr'!C12</f>
        <v>0.40122029266490999</v>
      </c>
      <c r="D12" s="12">
        <f>'Table-n=500-corr'!D12</f>
        <v>2.4637795716893498</v>
      </c>
      <c r="E12" s="12">
        <f>'Table-n=500-corr'!E12</f>
        <v>1.1276568806798977</v>
      </c>
      <c r="F12" s="12">
        <f>'Table-n=500-corr'!F12</f>
        <v>0.89300000000000002</v>
      </c>
      <c r="G12" s="12">
        <f>'Table-n=500-corr'!G12</f>
        <v>7.8979642421716507</v>
      </c>
      <c r="H12" s="12">
        <f>'Table-n=500-corr'!I12</f>
        <v>1.2314575321638883</v>
      </c>
      <c r="I12" s="12"/>
      <c r="J12" s="12">
        <f>'Table-n=500-miss'!C12</f>
        <v>1.2695777922681299</v>
      </c>
      <c r="K12" s="12">
        <f>'Table-n=500-miss'!D12</f>
        <v>2.3114877429888301</v>
      </c>
      <c r="L12" s="12">
        <f>'Table-n=500-miss'!E12</f>
        <v>0.8946858524198027</v>
      </c>
      <c r="M12" s="12">
        <f>'Table-n=500-miss'!F12</f>
        <v>0.86</v>
      </c>
      <c r="N12" s="12">
        <f>'Table-n=500-miss'!G12</f>
        <v>7.5218156689375189</v>
      </c>
      <c r="O12" s="12">
        <f>'Table-n=500-miss'!I12</f>
        <v>1.0268748699249726</v>
      </c>
      <c r="P12" s="5"/>
      <c r="Q12" s="5"/>
      <c r="R12" s="1" t="s">
        <v>3</v>
      </c>
      <c r="S12" s="15">
        <f t="shared" ref="S12:X12" si="0">100*S5/S$9</f>
        <v>92.257786526874384</v>
      </c>
      <c r="T12" s="15">
        <f t="shared" si="0"/>
        <v>91.490842310470413</v>
      </c>
      <c r="U12" s="15">
        <f t="shared" si="0"/>
        <v>95.166856834509858</v>
      </c>
      <c r="V12" s="15">
        <f t="shared" si="0"/>
        <v>94.393807775488185</v>
      </c>
      <c r="W12" s="15">
        <f t="shared" si="0"/>
        <v>99.157948954178309</v>
      </c>
      <c r="X12" s="15">
        <f t="shared" si="0"/>
        <v>93.837822308835158</v>
      </c>
      <c r="Y12" s="12"/>
      <c r="Z12" s="15">
        <f t="shared" ref="Z12:AE12" si="1">100*Z5/Z$9</f>
        <v>93.309842668793451</v>
      </c>
      <c r="AA12" s="15">
        <f t="shared" si="1"/>
        <v>89.479567534690958</v>
      </c>
      <c r="AB12" s="15">
        <f t="shared" si="1"/>
        <v>92.032205531569716</v>
      </c>
      <c r="AC12" s="15">
        <f t="shared" si="1"/>
        <v>89.669718387900758</v>
      </c>
      <c r="AD12" s="15">
        <f t="shared" si="1"/>
        <v>113.19819099156963</v>
      </c>
      <c r="AE12" s="15">
        <f t="shared" si="1"/>
        <v>96.563522410178422</v>
      </c>
    </row>
    <row r="13" spans="1:31" x14ac:dyDescent="0.45">
      <c r="B13" s="1" t="s">
        <v>5</v>
      </c>
      <c r="C13" s="12">
        <f>'Table-n=500-corr'!C13</f>
        <v>1.16035608165333</v>
      </c>
      <c r="D13" s="12">
        <f>'Table-n=500-corr'!D13</f>
        <v>2.4122877099850801</v>
      </c>
      <c r="E13" s="12">
        <f>'Table-n=500-corr'!E13</f>
        <v>1.0810144088438678</v>
      </c>
      <c r="F13" s="12">
        <f>'Table-n=500-corr'!F13</f>
        <v>0.86699999999999999</v>
      </c>
      <c r="G13" s="12">
        <f>'Table-n=500-corr'!G13</f>
        <v>8.1298272752549714</v>
      </c>
      <c r="H13" s="12">
        <f>'Table-n=500-corr'!I13</f>
        <v>1.1622167445505653</v>
      </c>
      <c r="I13" s="12"/>
      <c r="J13" s="12">
        <f>'Table-n=500-miss'!C13</f>
        <v>1.47382822158444</v>
      </c>
      <c r="K13" s="12">
        <f>'Table-n=500-miss'!D13</f>
        <v>2.40004607497234</v>
      </c>
      <c r="L13" s="12">
        <f>'Table-n=500-miss'!E13</f>
        <v>0.96455398260801528</v>
      </c>
      <c r="M13" s="12">
        <f>'Table-n=500-miss'!F13</f>
        <v>0.84299999999999997</v>
      </c>
      <c r="N13" s="12">
        <f>'Table-n=500-miss'!G13</f>
        <v>7.7995219148980439</v>
      </c>
      <c r="O13" s="12">
        <f>'Table-n=500-miss'!I13</f>
        <v>0.95505181229600034</v>
      </c>
      <c r="P13" s="5"/>
      <c r="Q13" s="5"/>
      <c r="R13" s="1" t="s">
        <v>5</v>
      </c>
      <c r="S13" s="15">
        <f t="shared" ref="S13:X17" si="2">100*S6/S$9</f>
        <v>78.008162869957701</v>
      </c>
      <c r="T13" s="15">
        <f t="shared" si="2"/>
        <v>70.280082282667991</v>
      </c>
      <c r="U13" s="15">
        <f t="shared" si="2"/>
        <v>80.45930631131678</v>
      </c>
      <c r="V13" s="15">
        <f t="shared" si="2"/>
        <v>71.452680055863567</v>
      </c>
      <c r="W13" s="15">
        <f t="shared" si="2"/>
        <v>106.51927923169141</v>
      </c>
      <c r="X13" s="15">
        <f t="shared" si="2"/>
        <v>92.420392684525865</v>
      </c>
      <c r="Y13" s="12"/>
      <c r="Z13" s="15">
        <f t="shared" ref="Z13:AE17" si="3">100*Z6/Z$9</f>
        <v>80.080722221296455</v>
      </c>
      <c r="AA13" s="15">
        <f t="shared" si="3"/>
        <v>69.433725781253301</v>
      </c>
      <c r="AB13" s="15">
        <f t="shared" si="3"/>
        <v>81.330155392368269</v>
      </c>
      <c r="AC13" s="15">
        <f t="shared" si="3"/>
        <v>73.397419618266767</v>
      </c>
      <c r="AD13" s="15">
        <f t="shared" si="3"/>
        <v>119.20517343894117</v>
      </c>
      <c r="AE13" s="15">
        <f t="shared" si="3"/>
        <v>91.266126616127977</v>
      </c>
    </row>
    <row r="14" spans="1:31" x14ac:dyDescent="0.45">
      <c r="B14" s="1" t="s">
        <v>4</v>
      </c>
      <c r="C14" s="12">
        <f>'Table-n=500-corr'!C14</f>
        <v>0.226752291107057</v>
      </c>
      <c r="D14" s="12">
        <f>'Table-n=500-corr'!D14</f>
        <v>2.63433299567287</v>
      </c>
      <c r="E14" s="12">
        <f>'Table-n=500-corr'!E14</f>
        <v>1.2891831406605332</v>
      </c>
      <c r="F14" s="12">
        <f>'Table-n=500-corr'!F14</f>
        <v>0.878</v>
      </c>
      <c r="G14" s="12">
        <f>'Table-n=500-corr'!G14</f>
        <v>8.068409429817212</v>
      </c>
      <c r="H14" s="12">
        <f>'Table-n=500-corr'!I14</f>
        <v>1.1799779971089275</v>
      </c>
      <c r="I14" s="12"/>
      <c r="J14" s="12">
        <f>'Table-n=500-miss'!C14</f>
        <v>1.5224816896482001</v>
      </c>
      <c r="K14" s="12">
        <f>'Table-n=500-miss'!D14</f>
        <v>2.3345209130334901</v>
      </c>
      <c r="L14" s="12">
        <f>'Table-n=500-miss'!E14</f>
        <v>0.91260515523665742</v>
      </c>
      <c r="M14" s="12">
        <f>'Table-n=500-miss'!F14</f>
        <v>0.81599999999999995</v>
      </c>
      <c r="N14" s="12">
        <f>'Table-n=500-miss'!G14</f>
        <v>6.9529303641000526</v>
      </c>
      <c r="O14" s="12">
        <f>'Table-n=500-miss'!I14</f>
        <v>1.2017859953392038</v>
      </c>
      <c r="P14" s="5"/>
      <c r="Q14" s="5"/>
      <c r="R14" s="1" t="s">
        <v>4</v>
      </c>
      <c r="S14" s="15">
        <f t="shared" si="2"/>
        <v>106.30127307422929</v>
      </c>
      <c r="T14" s="15">
        <f t="shared" si="2"/>
        <v>105.8863529323468</v>
      </c>
      <c r="U14" s="15">
        <f t="shared" si="2"/>
        <v>109.44601751895325</v>
      </c>
      <c r="V14" s="15">
        <f t="shared" si="2"/>
        <v>109.98908403688174</v>
      </c>
      <c r="W14" s="15">
        <f t="shared" si="2"/>
        <v>102.39258601505148</v>
      </c>
      <c r="X14" s="15">
        <f t="shared" si="2"/>
        <v>98.29825683149501</v>
      </c>
      <c r="Y14" s="12"/>
      <c r="Z14" s="15">
        <f t="shared" si="3"/>
        <v>93.721770708256358</v>
      </c>
      <c r="AA14" s="15">
        <f t="shared" si="3"/>
        <v>89.195308659171161</v>
      </c>
      <c r="AB14" s="15">
        <f t="shared" si="3"/>
        <v>93.97062319534659</v>
      </c>
      <c r="AC14" s="15">
        <f t="shared" si="3"/>
        <v>90.328707575092636</v>
      </c>
      <c r="AD14" s="15">
        <f t="shared" si="3"/>
        <v>100.9359064294007</v>
      </c>
      <c r="AE14" s="15">
        <f t="shared" si="3"/>
        <v>90.989757903911794</v>
      </c>
    </row>
    <row r="15" spans="1:31" x14ac:dyDescent="0.45">
      <c r="B15" s="1" t="s">
        <v>88</v>
      </c>
      <c r="C15" s="12">
        <f>'Table-n=500-corr'!C15</f>
        <v>0.40205883499258399</v>
      </c>
      <c r="D15" s="12">
        <f>'Table-n=500-corr'!D15</f>
        <v>2.8655782636367699</v>
      </c>
      <c r="E15" s="12">
        <f>'Table-n=500-corr'!E15</f>
        <v>1.5254494573908473</v>
      </c>
      <c r="F15" s="12">
        <f>'Table-n=500-corr'!F15</f>
        <v>0.84599999999999997</v>
      </c>
      <c r="G15" s="12">
        <f>'Table-n=500-corr'!G15</f>
        <v>8.1816177201671376</v>
      </c>
      <c r="H15" s="12">
        <f>'Table-n=500-corr'!I15</f>
        <v>1.1475494221271565</v>
      </c>
      <c r="I15" s="12"/>
      <c r="J15" s="12">
        <f>'Table-n=500-miss'!C15</f>
        <v>1.3620994033505001</v>
      </c>
      <c r="K15" s="12">
        <f>'Table-n=500-miss'!D15</f>
        <v>2.3475313122503101</v>
      </c>
      <c r="L15" s="12">
        <f>'Table-n=500-miss'!E15</f>
        <v>0.92280548604646151</v>
      </c>
      <c r="M15" s="12">
        <f>'Table-n=500-miss'!F15</f>
        <v>0.84599999999999997</v>
      </c>
      <c r="N15" s="12">
        <f>'Table-n=500-miss'!G15</f>
        <v>7.4767556560899848</v>
      </c>
      <c r="O15" s="12">
        <f>'Table-n=500-miss'!I15</f>
        <v>1.0392894591406883</v>
      </c>
      <c r="P15" s="5"/>
      <c r="Q15" s="5"/>
      <c r="R15" s="1" t="s">
        <v>88</v>
      </c>
      <c r="S15" s="15">
        <f t="shared" si="2"/>
        <v>105.59990393618472</v>
      </c>
      <c r="T15" s="15">
        <f t="shared" si="2"/>
        <v>108.94301824627983</v>
      </c>
      <c r="U15" s="15">
        <f t="shared" si="2"/>
        <v>113.67864077075455</v>
      </c>
      <c r="V15" s="15">
        <f t="shared" si="2"/>
        <v>118.81594853937419</v>
      </c>
      <c r="W15" s="15">
        <f t="shared" si="2"/>
        <v>114.06552690717126</v>
      </c>
      <c r="X15" s="15">
        <f t="shared" si="2"/>
        <v>105.37343091706238</v>
      </c>
      <c r="Y15" s="12"/>
      <c r="Z15" s="15">
        <f t="shared" si="3"/>
        <v>91.914631852948958</v>
      </c>
      <c r="AA15" s="15">
        <f t="shared" si="3"/>
        <v>88.082249170853927</v>
      </c>
      <c r="AB15" s="15">
        <f t="shared" si="3"/>
        <v>93.941842164833687</v>
      </c>
      <c r="AC15" s="15">
        <f t="shared" si="3"/>
        <v>91.61377228922629</v>
      </c>
      <c r="AD15" s="15">
        <f t="shared" si="3"/>
        <v>115.5943375164853</v>
      </c>
      <c r="AE15" s="15">
        <f t="shared" si="3"/>
        <v>91.888449815011356</v>
      </c>
    </row>
    <row r="16" spans="1:31" x14ac:dyDescent="0.45">
      <c r="B16" s="1" t="s">
        <v>89</v>
      </c>
      <c r="C16" s="12">
        <f>'Table-n=500-corr'!C16</f>
        <v>0.83198175482778702</v>
      </c>
      <c r="D16" s="12">
        <f>'Table-n=500-corr'!D16</f>
        <v>2.3201355730347699</v>
      </c>
      <c r="E16" s="12">
        <f>'Table-n=500-corr'!E16</f>
        <v>1</v>
      </c>
      <c r="F16" s="12">
        <f>'Table-n=500-corr'!F16</f>
        <v>0.9</v>
      </c>
      <c r="G16" s="12">
        <f>'Table-n=500-corr'!G16</f>
        <v>8.7644543405034696</v>
      </c>
      <c r="H16" s="12">
        <f>'Table-n=500-corr'!I16</f>
        <v>1</v>
      </c>
      <c r="I16" s="12"/>
      <c r="J16" s="12">
        <f>'Table-n=500-miss'!C16</f>
        <v>1.6440949003921199</v>
      </c>
      <c r="K16" s="12">
        <f>'Table-n=500-miss'!D16</f>
        <v>2.4437473843615001</v>
      </c>
      <c r="L16" s="12">
        <f>'Table-n=500-miss'!E16</f>
        <v>1</v>
      </c>
      <c r="M16" s="12">
        <f>'Table-n=500-miss'!F16</f>
        <v>0.83199999999999996</v>
      </c>
      <c r="N16" s="12">
        <f>'Table-n=500-miss'!G16</f>
        <v>7.6222194654909252</v>
      </c>
      <c r="O16" s="12">
        <f>'Table-n=500-miss'!I16</f>
        <v>1</v>
      </c>
      <c r="P16" s="5"/>
      <c r="Q16" s="5"/>
      <c r="R16" s="1" t="s">
        <v>89</v>
      </c>
      <c r="S16" s="15">
        <f t="shared" si="2"/>
        <v>100</v>
      </c>
      <c r="T16" s="15">
        <f t="shared" si="2"/>
        <v>100</v>
      </c>
      <c r="U16" s="15">
        <f t="shared" si="2"/>
        <v>100</v>
      </c>
      <c r="V16" s="15">
        <f t="shared" si="2"/>
        <v>100.00000000000001</v>
      </c>
      <c r="W16" s="15">
        <f t="shared" si="2"/>
        <v>100</v>
      </c>
      <c r="X16" s="15">
        <f t="shared" si="2"/>
        <v>100</v>
      </c>
      <c r="Y16" s="12"/>
      <c r="Z16" s="15">
        <f t="shared" si="3"/>
        <v>100</v>
      </c>
      <c r="AA16" s="15">
        <f t="shared" si="3"/>
        <v>100</v>
      </c>
      <c r="AB16" s="15">
        <f t="shared" si="3"/>
        <v>100</v>
      </c>
      <c r="AC16" s="15">
        <f t="shared" si="3"/>
        <v>99.999999999999986</v>
      </c>
      <c r="AD16" s="15">
        <f t="shared" si="3"/>
        <v>100</v>
      </c>
      <c r="AE16" s="15">
        <f t="shared" si="3"/>
        <v>100</v>
      </c>
    </row>
    <row r="17" spans="1:31" s="3" customFormat="1" x14ac:dyDescent="0.45">
      <c r="B17" s="3" t="s">
        <v>2</v>
      </c>
      <c r="C17" s="14">
        <f>'Table-n=500-corr'!C17</f>
        <v>-3.9218256125517402E-2</v>
      </c>
      <c r="D17" s="14">
        <f>'Table-n=500-corr'!D17</f>
        <v>3.8980845216989799</v>
      </c>
      <c r="E17" s="14">
        <f>'Table-n=500-corr'!E17</f>
        <v>2.8227718483808868</v>
      </c>
      <c r="F17" s="14">
        <f>'Table-n=500-corr'!F17</f>
        <v>0.88900000000000001</v>
      </c>
      <c r="G17" s="14">
        <f>'Table-n=500-corr'!G17</f>
        <v>9.4772023662706335</v>
      </c>
      <c r="H17" s="14">
        <f>'Table-n=500-corr'!I17</f>
        <v>0.85524286034031405</v>
      </c>
      <c r="I17" s="14"/>
      <c r="J17" s="14">
        <f>'Table-n=500-miss'!C17</f>
        <v>1.2763866314674199</v>
      </c>
      <c r="K17" s="14">
        <f>'Table-n=500-miss'!D17</f>
        <v>2.3662056851284801</v>
      </c>
      <c r="L17" s="14">
        <f>'Table-n=500-miss'!E17</f>
        <v>0.93754552916380185</v>
      </c>
      <c r="M17" s="14">
        <f>'Table-n=500-miss'!F17</f>
        <v>0.86099999999999999</v>
      </c>
      <c r="N17" s="14">
        <f>'Table-n=500-miss'!G17</f>
        <v>7.7496940046763294</v>
      </c>
      <c r="O17" s="14">
        <f>'Table-n=500-miss'!I17</f>
        <v>0.96737261465513058</v>
      </c>
      <c r="P17" s="13"/>
      <c r="Q17" s="13"/>
      <c r="R17" s="3" t="s">
        <v>2</v>
      </c>
      <c r="S17" s="15">
        <f t="shared" si="2"/>
        <v>110.56035165171527</v>
      </c>
      <c r="T17" s="15">
        <f t="shared" si="2"/>
        <v>118.64808574772252</v>
      </c>
      <c r="U17" s="15">
        <f t="shared" si="2"/>
        <v>118.06054192346052</v>
      </c>
      <c r="V17" s="15">
        <f t="shared" si="2"/>
        <v>127.33942292891594</v>
      </c>
      <c r="W17" s="15">
        <f t="shared" si="2"/>
        <v>100.65949271476562</v>
      </c>
      <c r="X17" s="15">
        <f t="shared" si="2"/>
        <v>96.081523769827683</v>
      </c>
      <c r="Y17" s="14"/>
      <c r="Z17" s="15">
        <f t="shared" si="3"/>
        <v>91.99631544834125</v>
      </c>
      <c r="AA17" s="15">
        <f t="shared" si="3"/>
        <v>87.580066260596539</v>
      </c>
      <c r="AB17" s="15">
        <f t="shared" si="3"/>
        <v>94.633575732461296</v>
      </c>
      <c r="AC17" s="15">
        <f t="shared" si="3"/>
        <v>93.287587610493645</v>
      </c>
      <c r="AD17" s="15">
        <f t="shared" si="3"/>
        <v>126.25634666239004</v>
      </c>
      <c r="AE17" s="15">
        <f t="shared" si="3"/>
        <v>100.79273727276285</v>
      </c>
    </row>
    <row r="18" spans="1:31" s="4" customForma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45">
      <c r="A19" s="2" t="s">
        <v>59</v>
      </c>
      <c r="B19" s="1" t="s">
        <v>3</v>
      </c>
      <c r="C19" s="12">
        <f>'Table-n=500-corr'!C19</f>
        <v>7.2789547173668402E-3</v>
      </c>
      <c r="D19" s="12">
        <f>'Table-n=500-corr'!D19</f>
        <v>1.5889223393327401</v>
      </c>
      <c r="E19" s="12">
        <f>'Table-n=500-corr'!E19</f>
        <v>0.92111915719192516</v>
      </c>
      <c r="F19" s="12">
        <f>'Table-n=500-corr'!F19</f>
        <v>0.95099999999999996</v>
      </c>
      <c r="G19" s="12">
        <f>'Table-n=500-corr'!G19</f>
        <v>6.7511417425647622</v>
      </c>
      <c r="H19" s="12">
        <f>'Table-n=500-corr'!I19</f>
        <v>1.5954434734020138</v>
      </c>
      <c r="I19" s="12"/>
      <c r="J19" s="12">
        <f>'Table-n=500-miss'!C19</f>
        <v>0.83466822414304098</v>
      </c>
      <c r="K19" s="12">
        <f>'Table-n=500-miss'!D19</f>
        <v>1.6557962369796699</v>
      </c>
      <c r="L19" s="12">
        <f>'Table-n=500-miss'!E19</f>
        <v>0.62000529347562938</v>
      </c>
      <c r="M19" s="12">
        <f>'Table-n=500-miss'!F19</f>
        <v>0.95899999999999996</v>
      </c>
      <c r="N19" s="12">
        <f>'Table-n=500-miss'!G19</f>
        <v>6.8841417444571178</v>
      </c>
      <c r="O19" s="12">
        <f>'Table-n=500-miss'!I19</f>
        <v>1.2321444211767285</v>
      </c>
      <c r="P19" s="5"/>
      <c r="Q19" s="5"/>
      <c r="Y19" s="12"/>
    </row>
    <row r="20" spans="1:31" x14ac:dyDescent="0.45">
      <c r="B20" s="1" t="s">
        <v>5</v>
      </c>
      <c r="C20" s="12">
        <f>'Table-n=500-corr'!C20</f>
        <v>0.65444117507820898</v>
      </c>
      <c r="D20" s="12">
        <f>'Table-n=500-corr'!D20</f>
        <v>1.6758304933310899</v>
      </c>
      <c r="E20" s="12">
        <f>'Table-n=500-corr'!E20</f>
        <v>1.0246384521145253</v>
      </c>
      <c r="F20" s="12">
        <f>'Table-n=500-corr'!F20</f>
        <v>0.97099999999999997</v>
      </c>
      <c r="G20" s="12">
        <f>'Table-n=500-corr'!G20</f>
        <v>7.7751056792694992</v>
      </c>
      <c r="H20" s="12">
        <f>'Table-n=500-corr'!I20</f>
        <v>1.2028826834821345</v>
      </c>
      <c r="I20" s="12"/>
      <c r="J20" s="12">
        <f>'Table-n=500-miss'!C20</f>
        <v>1.0261206538288901</v>
      </c>
      <c r="K20" s="12">
        <f>'Table-n=500-miss'!D20</f>
        <v>1.78817268005887</v>
      </c>
      <c r="L20" s="12">
        <f>'Table-n=500-miss'!E20</f>
        <v>0.72310360329550893</v>
      </c>
      <c r="M20" s="12">
        <f>'Table-n=500-miss'!F20</f>
        <v>0.95299999999999996</v>
      </c>
      <c r="N20" s="12">
        <f>'Table-n=500-miss'!G20</f>
        <v>7.6444723369194589</v>
      </c>
      <c r="O20" s="12">
        <f>'Table-n=500-miss'!I20</f>
        <v>0.99923168300252097</v>
      </c>
      <c r="P20" s="5"/>
      <c r="Q20" s="5"/>
      <c r="Y20" s="12"/>
    </row>
    <row r="21" spans="1:31" x14ac:dyDescent="0.45">
      <c r="B21" s="1" t="s">
        <v>4</v>
      </c>
      <c r="C21" s="12">
        <f>'Table-n=500-corr'!C21</f>
        <v>2.7975177645076101E-2</v>
      </c>
      <c r="D21" s="12">
        <f>'Table-n=500-corr'!D21</f>
        <v>1.67031611886936</v>
      </c>
      <c r="E21" s="12">
        <f>'Table-n=500-corr'!E21</f>
        <v>1.017906334533017</v>
      </c>
      <c r="F21" s="12">
        <f>'Table-n=500-corr'!F21</f>
        <v>0.94399999999999995</v>
      </c>
      <c r="G21" s="12">
        <f>'Table-n=500-corr'!G21</f>
        <v>6.7503441203290828</v>
      </c>
      <c r="H21" s="12">
        <f>'Table-n=500-corr'!I21</f>
        <v>1.595820531623205</v>
      </c>
      <c r="I21" s="12"/>
      <c r="J21" s="12">
        <f>'Table-n=500-miss'!C21</f>
        <v>1.2407199057356</v>
      </c>
      <c r="K21" s="12">
        <f>'Table-n=500-miss'!D21</f>
        <v>1.86219766900246</v>
      </c>
      <c r="L21" s="12">
        <f>'Table-n=500-miss'!E21</f>
        <v>0.7842114378623859</v>
      </c>
      <c r="M21" s="12">
        <f>'Table-n=500-miss'!F21</f>
        <v>0.92100000000000004</v>
      </c>
      <c r="N21" s="12">
        <f>'Table-n=500-miss'!G21</f>
        <v>6.5257722501127633</v>
      </c>
      <c r="O21" s="12">
        <f>'Table-n=500-miss'!I21</f>
        <v>1.3711892416760609</v>
      </c>
      <c r="P21" s="5"/>
      <c r="Q21" s="5"/>
      <c r="Y21" s="12"/>
    </row>
    <row r="22" spans="1:31" x14ac:dyDescent="0.45">
      <c r="B22" s="1" t="s">
        <v>88</v>
      </c>
      <c r="C22" s="12">
        <f>'Table-n=500-corr'!C22</f>
        <v>0.17250751525166</v>
      </c>
      <c r="D22" s="12">
        <f>'Table-n=500-corr'!D22</f>
        <v>1.91239007385735</v>
      </c>
      <c r="E22" s="12">
        <f>'Table-n=500-corr'!E22</f>
        <v>1.3343305651828468</v>
      </c>
      <c r="F22" s="12">
        <f>'Table-n=500-corr'!F22</f>
        <v>0.92600000000000005</v>
      </c>
      <c r="G22" s="12">
        <f>'Table-n=500-corr'!G22</f>
        <v>7.0569794548509241</v>
      </c>
      <c r="H22" s="12">
        <f>'Table-n=500-corr'!I22</f>
        <v>1.460152337742866</v>
      </c>
      <c r="I22" s="12"/>
      <c r="J22" s="12">
        <f>'Table-n=500-miss'!C22</f>
        <v>0.92322434968489298</v>
      </c>
      <c r="K22" s="12">
        <f>'Table-n=500-miss'!D22</f>
        <v>1.69962782245371</v>
      </c>
      <c r="L22" s="12">
        <f>'Table-n=500-miss'!E22</f>
        <v>0.6532648312535656</v>
      </c>
      <c r="M22" s="12">
        <f>'Table-n=500-miss'!F22</f>
        <v>0.95</v>
      </c>
      <c r="N22" s="12">
        <f>'Table-n=500-miss'!G22</f>
        <v>6.8762640790269911</v>
      </c>
      <c r="O22" s="12">
        <f>'Table-n=500-miss'!I22</f>
        <v>1.2349692055048527</v>
      </c>
      <c r="P22" s="5"/>
      <c r="Q22" s="5"/>
      <c r="Y22" s="12"/>
    </row>
    <row r="23" spans="1:31" x14ac:dyDescent="0.45">
      <c r="B23" s="1" t="s">
        <v>89</v>
      </c>
      <c r="C23" s="12">
        <f>'Table-n=500-corr'!C23</f>
        <v>0.59066028837578999</v>
      </c>
      <c r="D23" s="12">
        <f>'Table-n=500-corr'!D23</f>
        <v>1.65555938541988</v>
      </c>
      <c r="E23" s="12">
        <f>'Table-n=500-corr'!E23</f>
        <v>1</v>
      </c>
      <c r="F23" s="12">
        <f>'Table-n=500-corr'!F23</f>
        <v>0.98</v>
      </c>
      <c r="G23" s="12">
        <f>'Table-n=500-corr'!G23</f>
        <v>8.5274255636695635</v>
      </c>
      <c r="H23" s="12">
        <f>'Table-n=500-corr'!I23</f>
        <v>1</v>
      </c>
      <c r="I23" s="12"/>
      <c r="J23" s="12">
        <f>'Table-n=500-miss'!C23</f>
        <v>1.5109737051170899</v>
      </c>
      <c r="K23" s="12">
        <f>'Table-n=500-miss'!D23</f>
        <v>2.1028543469055898</v>
      </c>
      <c r="L23" s="12">
        <f>'Table-n=500-miss'!E23</f>
        <v>1</v>
      </c>
      <c r="M23" s="12">
        <f>'Table-n=500-miss'!F23</f>
        <v>0.93100000000000005</v>
      </c>
      <c r="N23" s="12">
        <f>'Table-n=500-miss'!G23</f>
        <v>7.641535083609031</v>
      </c>
      <c r="O23" s="12">
        <f>'Table-n=500-miss'!I23</f>
        <v>1</v>
      </c>
      <c r="P23" s="5"/>
      <c r="Q23" s="5"/>
      <c r="Y23" s="12"/>
    </row>
    <row r="24" spans="1:31" s="3" customFormat="1" x14ac:dyDescent="0.45">
      <c r="B24" s="3" t="s">
        <v>2</v>
      </c>
      <c r="C24" s="14">
        <f>'Table-n=500-corr'!C24</f>
        <v>-7.6348331082262397E-2</v>
      </c>
      <c r="D24" s="14">
        <f>'Table-n=500-corr'!D24</f>
        <v>2.2750427005519298</v>
      </c>
      <c r="E24" s="14">
        <f>'Table-n=500-corr'!E24</f>
        <v>1.8883808060289218</v>
      </c>
      <c r="F24" s="14">
        <f>'Table-n=500-corr'!F24</f>
        <v>0.96299999999999997</v>
      </c>
      <c r="G24" s="14">
        <f>'Table-n=500-corr'!G24</f>
        <v>8.0626202860758873</v>
      </c>
      <c r="H24" s="14">
        <f>'Table-n=500-corr'!I24</f>
        <v>1.1186222679268076</v>
      </c>
      <c r="I24" s="14"/>
      <c r="J24" s="14">
        <f>'Table-n=500-miss'!C24</f>
        <v>0.88235786093514201</v>
      </c>
      <c r="K24" s="14">
        <f>'Table-n=500-miss'!D24</f>
        <v>1.70945657093752</v>
      </c>
      <c r="L24" s="14">
        <f>'Table-n=500-miss'!E24</f>
        <v>0.66084218546175633</v>
      </c>
      <c r="M24" s="14">
        <f>'Table-n=500-miss'!F24</f>
        <v>0.95099999999999996</v>
      </c>
      <c r="N24" s="14">
        <f>'Table-n=500-miss'!G24</f>
        <v>7.1113534182131195</v>
      </c>
      <c r="O24" s="14">
        <f>'Table-n=500-miss'!I24</f>
        <v>1.1546668497368495</v>
      </c>
      <c r="P24" s="13"/>
      <c r="Q24" s="13"/>
      <c r="Y24" s="14"/>
    </row>
    <row r="25" spans="1:31" s="4" customFormat="1" x14ac:dyDescent="0.4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45">
      <c r="A26" s="2" t="s">
        <v>60</v>
      </c>
      <c r="B26" s="1" t="s">
        <v>3</v>
      </c>
      <c r="C26" s="12">
        <f>'Table-n=500-corr'!C26</f>
        <v>-6.4717460231887194E-2</v>
      </c>
      <c r="D26" s="12">
        <f>'Table-n=500-corr'!D26</f>
        <v>1.80646739377385</v>
      </c>
      <c r="E26" s="12">
        <f>'Table-n=500-corr'!E26</f>
        <v>0.7336237283715813</v>
      </c>
      <c r="F26" s="12">
        <f>'Table-n=500-corr'!F26</f>
        <v>0.95499999999999996</v>
      </c>
      <c r="G26" s="12">
        <f>'Table-n=500-corr'!G26</f>
        <v>7.3931419553595132</v>
      </c>
      <c r="H26" s="12">
        <f>'Table-n=500-corr'!I26</f>
        <v>1.9564198541771491</v>
      </c>
      <c r="I26" s="12"/>
      <c r="J26" s="12">
        <f>'Table-n=500-miss'!C26</f>
        <v>0.731050537046388</v>
      </c>
      <c r="K26" s="12">
        <f>'Table-n=500-miss'!D26</f>
        <v>1.97497902629833</v>
      </c>
      <c r="L26" s="12">
        <f>'Table-n=500-miss'!E26</f>
        <v>0.45168907661728741</v>
      </c>
      <c r="M26" s="12">
        <f>'Table-n=500-miss'!F26</f>
        <v>0.95799999999999996</v>
      </c>
      <c r="N26" s="12">
        <f>'Table-n=500-miss'!G26</f>
        <v>7.4892461409790005</v>
      </c>
      <c r="O26" s="12">
        <f>'Table-n=500-miss'!I26</f>
        <v>1.6874410756776437</v>
      </c>
      <c r="P26" s="5"/>
      <c r="Q26"/>
      <c r="R26"/>
      <c r="S26"/>
      <c r="T26"/>
      <c r="Y26" s="12"/>
    </row>
    <row r="27" spans="1:31" x14ac:dyDescent="0.45">
      <c r="B27" s="1" t="s">
        <v>5</v>
      </c>
      <c r="C27" s="12">
        <f>'Table-n=500-corr'!C27</f>
        <v>0.873954751968395</v>
      </c>
      <c r="D27" s="12">
        <f>'Table-n=500-corr'!D27</f>
        <v>2.27166426634495</v>
      </c>
      <c r="E27" s="12">
        <f>'Table-n=500-corr'!E27</f>
        <v>1.1601159791357438</v>
      </c>
      <c r="F27" s="12">
        <f>'Table-n=500-corr'!F27</f>
        <v>0.98099999999999998</v>
      </c>
      <c r="G27" s="12">
        <f>'Table-n=500-corr'!G27</f>
        <v>11.02069891303827</v>
      </c>
      <c r="H27" s="12">
        <f>'Table-n=500-corr'!I27</f>
        <v>0.88044428066069902</v>
      </c>
      <c r="I27" s="12"/>
      <c r="J27" s="12">
        <f>'Table-n=500-miss'!C27</f>
        <v>1.0189733727941801</v>
      </c>
      <c r="K27" s="12">
        <f>'Table-n=500-miss'!D27</f>
        <v>2.3720510540585802</v>
      </c>
      <c r="L27" s="12">
        <f>'Table-n=500-miss'!E27</f>
        <v>0.65157239521621657</v>
      </c>
      <c r="M27" s="12">
        <f>'Table-n=500-miss'!F27</f>
        <v>0.98299999999999998</v>
      </c>
      <c r="N27" s="12">
        <f>'Table-n=500-miss'!G27</f>
        <v>11.101015914431802</v>
      </c>
      <c r="O27" s="12">
        <f>'Table-n=500-miss'!I27</f>
        <v>0.76803210493348772</v>
      </c>
      <c r="P27" s="5"/>
      <c r="Q27" s="5"/>
      <c r="Y27" s="12"/>
    </row>
    <row r="28" spans="1:31" x14ac:dyDescent="0.45">
      <c r="B28" s="1" t="s">
        <v>4</v>
      </c>
      <c r="C28" s="12">
        <f>'Table-n=500-corr'!C28</f>
        <v>-4.52829932878425E-2</v>
      </c>
      <c r="D28" s="12">
        <f>'Table-n=500-corr'!D28</f>
        <v>1.93276999332108</v>
      </c>
      <c r="E28" s="12">
        <f>'Table-n=500-corr'!E28</f>
        <v>0.83979534793563448</v>
      </c>
      <c r="F28" s="12">
        <f>'Table-n=500-corr'!F28</f>
        <v>0.93200000000000005</v>
      </c>
      <c r="G28" s="12">
        <f>'Table-n=500-corr'!G28</f>
        <v>7.6213853196428234</v>
      </c>
      <c r="H28" s="12">
        <f>'Table-n=500-corr'!I28</f>
        <v>1.8409937476400073</v>
      </c>
      <c r="I28" s="12"/>
      <c r="J28" s="12">
        <f>'Table-n=500-miss'!C28</f>
        <v>1.6366148698962699</v>
      </c>
      <c r="K28" s="12">
        <f>'Table-n=500-miss'!D28</f>
        <v>2.4716907201342901</v>
      </c>
      <c r="L28" s="12">
        <f>'Table-n=500-miss'!E28</f>
        <v>0.7074615906767272</v>
      </c>
      <c r="M28" s="12">
        <f>'Table-n=500-miss'!F28</f>
        <v>0.88100000000000001</v>
      </c>
      <c r="N28" s="12">
        <f>'Table-n=500-miss'!G28</f>
        <v>7.2183008142324452</v>
      </c>
      <c r="O28" s="12">
        <f>'Table-n=500-miss'!I28</f>
        <v>1.816497780205238</v>
      </c>
      <c r="P28" s="5"/>
      <c r="Q28" s="5"/>
      <c r="Y28" s="12"/>
    </row>
    <row r="29" spans="1:31" x14ac:dyDescent="0.45">
      <c r="B29" s="1" t="s">
        <v>88</v>
      </c>
      <c r="C29" s="12">
        <f>'Table-n=500-corr'!C29</f>
        <v>0.29944102061523298</v>
      </c>
      <c r="D29" s="12">
        <f>'Table-n=500-corr'!D29</f>
        <v>2.1167600665633599</v>
      </c>
      <c r="E29" s="12">
        <f>'Table-n=500-corr'!E29</f>
        <v>1.0072943156951761</v>
      </c>
      <c r="F29" s="12">
        <f>'Table-n=500-corr'!F29</f>
        <v>0.90800000000000003</v>
      </c>
      <c r="G29" s="12">
        <f>'Table-n=500-corr'!G29</f>
        <v>7.1870057632824409</v>
      </c>
      <c r="H29" s="12">
        <f>'Table-n=500-corr'!I29</f>
        <v>2.0702565413043494</v>
      </c>
      <c r="I29" s="12"/>
      <c r="J29" s="12">
        <f>'Table-n=500-miss'!C29</f>
        <v>0.81851601702793997</v>
      </c>
      <c r="K29" s="12">
        <f>'Table-n=500-miss'!D29</f>
        <v>2.05063655600327</v>
      </c>
      <c r="L29" s="12">
        <f>'Table-n=500-miss'!E29</f>
        <v>0.48695855767639756</v>
      </c>
      <c r="M29" s="12">
        <f>'Table-n=500-miss'!F29</f>
        <v>0.93500000000000005</v>
      </c>
      <c r="N29" s="12">
        <f>'Table-n=500-miss'!G29</f>
        <v>7.3143754909241441</v>
      </c>
      <c r="O29" s="12">
        <f>'Table-n=500-miss'!I29</f>
        <v>1.7690916068342262</v>
      </c>
      <c r="P29" s="5"/>
      <c r="Q29" s="5"/>
      <c r="Y29" s="12"/>
    </row>
    <row r="30" spans="1:31" x14ac:dyDescent="0.45">
      <c r="B30" s="1" t="s">
        <v>89</v>
      </c>
      <c r="C30" s="12">
        <f>'Table-n=500-corr'!C30</f>
        <v>0.963356385219579</v>
      </c>
      <c r="D30" s="12">
        <f>'Table-n=500-corr'!D30</f>
        <v>2.1090818883265299</v>
      </c>
      <c r="E30" s="12">
        <f>'Table-n=500-corr'!E30</f>
        <v>1</v>
      </c>
      <c r="F30" s="12">
        <f>'Table-n=500-corr'!F30</f>
        <v>0.98899999999999999</v>
      </c>
      <c r="G30" s="12">
        <f>'Table-n=500-corr'!G30</f>
        <v>10.340941371708134</v>
      </c>
      <c r="H30" s="12">
        <f>'Table-n=500-corr'!I30</f>
        <v>1</v>
      </c>
      <c r="I30" s="12"/>
      <c r="J30" s="12">
        <f>'Table-n=500-miss'!C30</f>
        <v>2.1213536540455702</v>
      </c>
      <c r="K30" s="12">
        <f>'Table-n=500-miss'!D30</f>
        <v>2.9386150191096401</v>
      </c>
      <c r="L30" s="12">
        <f>'Table-n=500-miss'!E30</f>
        <v>1</v>
      </c>
      <c r="M30" s="12">
        <f>'Table-n=500-miss'!F30</f>
        <v>0.92700000000000005</v>
      </c>
      <c r="N30" s="12">
        <f>'Table-n=500-miss'!G30</f>
        <v>9.7286462624712531</v>
      </c>
      <c r="O30" s="12">
        <f>'Table-n=500-miss'!I30</f>
        <v>1</v>
      </c>
      <c r="P30" s="5"/>
      <c r="Q30" s="5"/>
      <c r="Y30" s="12"/>
    </row>
    <row r="31" spans="1:31" s="3" customFormat="1" x14ac:dyDescent="0.45">
      <c r="B31" s="3" t="s">
        <v>2</v>
      </c>
      <c r="C31" s="14">
        <f>'Table-n=500-corr'!C31</f>
        <v>7.7061951432202E-2</v>
      </c>
      <c r="D31" s="14">
        <f>'Table-n=500-corr'!D31</f>
        <v>2.1939919057520898</v>
      </c>
      <c r="E31" s="14">
        <f>'Table-n=500-corr'!E31</f>
        <v>1.0821392701325558</v>
      </c>
      <c r="F31" s="14">
        <f>'Table-n=500-corr'!F31</f>
        <v>0.93799999999999994</v>
      </c>
      <c r="G31" s="14">
        <f>'Table-n=500-corr'!G31</f>
        <v>8.1812662154562492</v>
      </c>
      <c r="H31" s="14">
        <f>'Table-n=500-corr'!I31</f>
        <v>1.5976406512156862</v>
      </c>
      <c r="I31" s="14"/>
      <c r="J31" s="14">
        <f>'Table-n=500-miss'!C31</f>
        <v>0.586845009561348</v>
      </c>
      <c r="K31" s="14">
        <f>'Table-n=500-miss'!D31</f>
        <v>2.2904052413486302</v>
      </c>
      <c r="L31" s="14">
        <f>'Table-n=500-miss'!E31</f>
        <v>0.60749019097174273</v>
      </c>
      <c r="M31" s="14">
        <f>'Table-n=500-miss'!F31</f>
        <v>0.95499999999999996</v>
      </c>
      <c r="N31" s="14">
        <f>'Table-n=500-miss'!G31</f>
        <v>8.0980965176446826</v>
      </c>
      <c r="O31" s="14">
        <f>'Table-n=500-miss'!I31</f>
        <v>1.4432412323646948</v>
      </c>
      <c r="P31" s="13"/>
      <c r="Q31" s="13"/>
      <c r="Y31" s="14"/>
    </row>
    <row r="32" spans="1:3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45">
      <c r="A33" s="2" t="s">
        <v>62</v>
      </c>
      <c r="B33" s="1" t="s">
        <v>3</v>
      </c>
      <c r="C33" s="12">
        <f>'Table-n=500-corr'!C33</f>
        <v>-0.34414466721000803</v>
      </c>
      <c r="D33" s="12">
        <f>'Table-n=500-corr'!D33</f>
        <v>4.6719464333889897</v>
      </c>
      <c r="E33" s="12">
        <f>'Table-n=500-corr'!E33</f>
        <v>0.69023163750892869</v>
      </c>
      <c r="F33" s="12">
        <f>'Table-n=500-corr'!F33</f>
        <v>0.95699999999999996</v>
      </c>
      <c r="G33" s="12">
        <f>'Table-n=500-corr'!G33</f>
        <v>20.743643472146601</v>
      </c>
      <c r="H33" s="12">
        <f>'Table-n=500-corr'!I33</f>
        <v>1.7635330146697772</v>
      </c>
      <c r="I33" s="12"/>
      <c r="J33" s="12">
        <f>'Table-n=500-miss'!C33</f>
        <v>-0.98852445832865299</v>
      </c>
      <c r="K33" s="12">
        <f>'Table-n=500-miss'!D33</f>
        <v>5.1830671957435097</v>
      </c>
      <c r="L33" s="12">
        <f>'Table-n=500-miss'!E33</f>
        <v>0.57609178606486811</v>
      </c>
      <c r="M33" s="12">
        <f>'Table-n=500-miss'!F33</f>
        <v>0.95599999999999996</v>
      </c>
      <c r="N33" s="12">
        <f>'Table-n=500-miss'!G33</f>
        <v>22.502309550781593</v>
      </c>
      <c r="O33" s="12">
        <f>'Table-n=500-miss'!I33</f>
        <v>1.511948243626291</v>
      </c>
      <c r="P33" s="5"/>
      <c r="Y33" s="12"/>
    </row>
    <row r="34" spans="1:25" x14ac:dyDescent="0.45">
      <c r="B34" s="1" t="s">
        <v>5</v>
      </c>
      <c r="C34" s="12">
        <f>'Table-n=500-corr'!C34</f>
        <v>1.9758750188204299</v>
      </c>
      <c r="D34" s="12">
        <f>'Table-n=500-corr'!D34</f>
        <v>7.0299449663595999</v>
      </c>
      <c r="E34" s="12">
        <f>'Table-n=500-corr'!E34</f>
        <v>1.5627985612670636</v>
      </c>
      <c r="F34" s="12">
        <f>'Table-n=500-corr'!F34</f>
        <v>0.98099999999999998</v>
      </c>
      <c r="G34" s="12">
        <f>'Table-n=500-corr'!G34</f>
        <v>40.259993159610936</v>
      </c>
      <c r="H34" s="12">
        <f>'Table-n=500-corr'!I34</f>
        <v>0.46817290934801531</v>
      </c>
      <c r="I34" s="12"/>
      <c r="J34" s="12">
        <f>'Table-n=500-miss'!C34</f>
        <v>0.33904694822494003</v>
      </c>
      <c r="K34" s="12">
        <f>'Table-n=500-miss'!D34</f>
        <v>7.7540775646772202</v>
      </c>
      <c r="L34" s="12">
        <f>'Table-n=500-miss'!E34</f>
        <v>1.2893721533368467</v>
      </c>
      <c r="M34" s="12">
        <f>'Table-n=500-miss'!F34</f>
        <v>0.98099999999999998</v>
      </c>
      <c r="N34" s="12">
        <f>'Table-n=500-miss'!G34</f>
        <v>42.506159461509412</v>
      </c>
      <c r="O34" s="12">
        <f>'Table-n=500-miss'!I34</f>
        <v>0.42372821153446144</v>
      </c>
      <c r="P34" s="5"/>
      <c r="Y34" s="12"/>
    </row>
    <row r="35" spans="1:25" x14ac:dyDescent="0.45">
      <c r="B35" s="1" t="s">
        <v>4</v>
      </c>
      <c r="C35" s="12">
        <f>'Table-n=500-corr'!C35</f>
        <v>-0.58244362479634404</v>
      </c>
      <c r="D35" s="12">
        <f>'Table-n=500-corr'!D35</f>
        <v>4.86559793439059</v>
      </c>
      <c r="E35" s="12">
        <f>'Table-n=500-corr'!E35</f>
        <v>0.74863752011776519</v>
      </c>
      <c r="F35" s="12">
        <f>'Table-n=500-corr'!F35</f>
        <v>0.95599999999999996</v>
      </c>
      <c r="G35" s="12">
        <f>'Table-n=500-corr'!G35</f>
        <v>22.077480311245736</v>
      </c>
      <c r="H35" s="12">
        <f>'Table-n=500-corr'!I35</f>
        <v>1.5568782843561404</v>
      </c>
      <c r="I35" s="12"/>
      <c r="J35" s="12">
        <f>'Table-n=500-miss'!C35</f>
        <v>3.0539089369218302</v>
      </c>
      <c r="K35" s="12">
        <f>'Table-n=500-miss'!D35</f>
        <v>5.7282762686705002</v>
      </c>
      <c r="L35" s="12">
        <f>'Table-n=500-miss'!E35</f>
        <v>0.70366494381853273</v>
      </c>
      <c r="M35" s="12">
        <f>'Table-n=500-miss'!F35</f>
        <v>0.86199999999999999</v>
      </c>
      <c r="N35" s="12">
        <f>'Table-n=500-miss'!G35</f>
        <v>17.694925531769787</v>
      </c>
      <c r="O35" s="12">
        <f>'Table-n=500-miss'!I35</f>
        <v>2.4450831666626844</v>
      </c>
      <c r="P35" s="5"/>
      <c r="Y35" s="12"/>
    </row>
    <row r="36" spans="1:25" x14ac:dyDescent="0.45">
      <c r="B36" s="1" t="s">
        <v>88</v>
      </c>
      <c r="C36" s="12">
        <f>'Table-n=500-corr'!C36</f>
        <v>0.28054573425171903</v>
      </c>
      <c r="D36" s="12">
        <f>'Table-n=500-corr'!D36</f>
        <v>5.3565378457264803</v>
      </c>
      <c r="E36" s="12">
        <f>'Table-n=500-corr'!E36</f>
        <v>0.90733467382464239</v>
      </c>
      <c r="F36" s="12">
        <f>'Table-n=500-corr'!F36</f>
        <v>0.85799999999999998</v>
      </c>
      <c r="G36" s="12">
        <f>'Table-n=500-corr'!G36</f>
        <v>16.029946467172362</v>
      </c>
      <c r="H36" s="12">
        <f>'Table-n=500-corr'!I36</f>
        <v>2.9531773531102408</v>
      </c>
      <c r="I36" s="12"/>
      <c r="J36" s="12">
        <f>'Table-n=500-miss'!C36</f>
        <v>-0.96855069630201196</v>
      </c>
      <c r="K36" s="12">
        <f>'Table-n=500-miss'!D36</f>
        <v>5.3661973937830503</v>
      </c>
      <c r="L36" s="12">
        <f>'Table-n=500-miss'!E36</f>
        <v>0.61752037627193324</v>
      </c>
      <c r="M36" s="12">
        <f>'Table-n=500-miss'!F36</f>
        <v>0.88500000000000001</v>
      </c>
      <c r="N36" s="12">
        <f>'Table-n=500-miss'!G36</f>
        <v>18.653759599977363</v>
      </c>
      <c r="O36" s="12">
        <f>'Table-n=500-miss'!I36</f>
        <v>2.2001807635644588</v>
      </c>
      <c r="P36" s="5"/>
      <c r="Y36" s="12"/>
    </row>
    <row r="37" spans="1:25" x14ac:dyDescent="0.45">
      <c r="B37" s="1" t="s">
        <v>89</v>
      </c>
      <c r="C37" s="12">
        <f>'Table-n=500-corr'!C37</f>
        <v>2.5361718279612702</v>
      </c>
      <c r="D37" s="12">
        <f>'Table-n=500-corr'!D37</f>
        <v>5.6234187395422799</v>
      </c>
      <c r="E37" s="12">
        <f>'Table-n=500-corr'!E37</f>
        <v>1</v>
      </c>
      <c r="F37" s="12">
        <f>'Table-n=500-corr'!F37</f>
        <v>0.97699999999999998</v>
      </c>
      <c r="G37" s="12">
        <f>'Table-n=500-corr'!G37</f>
        <v>27.547160327261992</v>
      </c>
      <c r="H37" s="12">
        <f>'Table-n=500-corr'!I37</f>
        <v>1</v>
      </c>
      <c r="I37" s="12"/>
      <c r="J37" s="12">
        <f>'Table-n=500-miss'!C37</f>
        <v>4.1691812017137</v>
      </c>
      <c r="K37" s="12">
        <f>'Table-n=500-miss'!D37</f>
        <v>6.8287466069698004</v>
      </c>
      <c r="L37" s="12">
        <f>'Table-n=500-miss'!E37</f>
        <v>1</v>
      </c>
      <c r="M37" s="12">
        <f>'Table-n=500-miss'!F37</f>
        <v>0.93400000000000005</v>
      </c>
      <c r="N37" s="12">
        <f>'Table-n=500-miss'!G37</f>
        <v>27.66913339547753</v>
      </c>
      <c r="O37" s="12">
        <f>'Table-n=500-miss'!I37</f>
        <v>1</v>
      </c>
      <c r="P37" s="5"/>
      <c r="Y37" s="12"/>
    </row>
    <row r="38" spans="1:25" s="3" customFormat="1" x14ac:dyDescent="0.45">
      <c r="B38" s="3" t="s">
        <v>2</v>
      </c>
      <c r="C38" s="14">
        <f>'Table-n=500-corr'!C38</f>
        <v>-0.197758367825111</v>
      </c>
      <c r="D38" s="14">
        <f>'Table-n=500-corr'!D38</f>
        <v>5.2949130996560996</v>
      </c>
      <c r="E38" s="14">
        <f>'Table-n=500-corr'!E38</f>
        <v>0.88657774640581866</v>
      </c>
      <c r="F38" s="14">
        <f>'Table-n=500-corr'!F38</f>
        <v>0.874</v>
      </c>
      <c r="G38" s="14">
        <f>'Table-n=500-corr'!G38</f>
        <v>17.357250316211648</v>
      </c>
      <c r="H38" s="14">
        <f>'Table-n=500-corr'!I38</f>
        <v>2.5187891857370932</v>
      </c>
      <c r="I38" s="14"/>
      <c r="J38" s="14">
        <f>'Table-n=500-miss'!C38</f>
        <v>-3.67161457815121</v>
      </c>
      <c r="K38" s="14">
        <f>'Table-n=500-miss'!D38</f>
        <v>21.195965690752502</v>
      </c>
      <c r="L38" s="14">
        <f>'Table-n=500-miss'!E38</f>
        <v>9.6343943856052601</v>
      </c>
      <c r="M38" s="14">
        <f>'Table-n=500-miss'!F38</f>
        <v>0.92300000000000004</v>
      </c>
      <c r="N38" s="14">
        <f>'Table-n=500-miss'!G38</f>
        <v>29.39392702351488</v>
      </c>
      <c r="O38" s="14">
        <f>'Table-n=500-miss'!I38</f>
        <v>0.88608603306485401</v>
      </c>
      <c r="P38" s="13"/>
      <c r="Q38" s="13"/>
      <c r="Y38" s="14"/>
    </row>
    <row r="39" spans="1:25" x14ac:dyDescent="0.4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45">
      <c r="A40" s="2" t="s">
        <v>207</v>
      </c>
      <c r="B40" s="1" t="s">
        <v>3</v>
      </c>
      <c r="C40" s="12">
        <f>'Table-n=500-corr'!C40</f>
        <v>0.23195188786080001</v>
      </c>
      <c r="D40" s="12">
        <f>'Table-n=500-corr'!D40</f>
        <v>9.6781901828357508</v>
      </c>
      <c r="E40" s="12">
        <f>'Table-n=500-corr'!E40</f>
        <v>0.82649335130498425</v>
      </c>
      <c r="F40" s="12">
        <f>'Table-n=500-corr'!F40</f>
        <v>0.96</v>
      </c>
      <c r="G40" s="12">
        <f>'Table-n=500-corr'!G40</f>
        <v>54.976808629943029</v>
      </c>
      <c r="H40" s="12">
        <f>'Table-n=500-corr'!I40</f>
        <v>1.227111681278013</v>
      </c>
      <c r="I40" s="12"/>
      <c r="J40" s="12">
        <f>'Table-n=500-miss'!C40</f>
        <v>-9.9999912765222394</v>
      </c>
      <c r="K40" s="12">
        <f>'Table-n=500-miss'!D40</f>
        <v>16.293158284906301</v>
      </c>
      <c r="L40" s="12">
        <f>'Table-n=500-miss'!E40</f>
        <v>2.2326256649873608</v>
      </c>
      <c r="M40" s="12">
        <f>'Table-n=500-miss'!F40</f>
        <v>0.877</v>
      </c>
      <c r="N40" s="12">
        <f>'Table-n=500-miss'!G40</f>
        <v>64.19720737903296</v>
      </c>
      <c r="O40" s="12">
        <f>'Table-n=500-miss'!I40</f>
        <v>1.106001119002042</v>
      </c>
      <c r="P40" s="5"/>
      <c r="Y40" s="12"/>
    </row>
    <row r="41" spans="1:25" x14ac:dyDescent="0.45">
      <c r="B41" s="1" t="s">
        <v>5</v>
      </c>
      <c r="C41" s="12">
        <f>'Table-n=500-corr'!C41</f>
        <v>4.5688468237228701</v>
      </c>
      <c r="D41" s="12">
        <f>'Table-n=500-corr'!D41</f>
        <v>14.285204205136701</v>
      </c>
      <c r="E41" s="12">
        <f>'Table-n=500-corr'!E41</f>
        <v>1.8006278627275996</v>
      </c>
      <c r="F41" s="12">
        <f>'Table-n=500-corr'!F41</f>
        <v>0.98799999999999999</v>
      </c>
      <c r="G41" s="12">
        <f>'Table-n=500-corr'!G41</f>
        <v>100.2194656652461</v>
      </c>
      <c r="H41" s="12">
        <f>'Table-n=500-corr'!I41</f>
        <v>0.3692657057233748</v>
      </c>
      <c r="I41" s="12"/>
      <c r="J41" s="12">
        <f>'Table-n=500-miss'!C41</f>
        <v>-4.8763257576761498</v>
      </c>
      <c r="K41" s="12">
        <f>'Table-n=500-miss'!D41</f>
        <v>16.154976136094099</v>
      </c>
      <c r="L41" s="12">
        <f>'Table-n=500-miss'!E41</f>
        <v>2.1949164897319373</v>
      </c>
      <c r="M41" s="12">
        <f>'Table-n=500-miss'!F41</f>
        <v>0.96699999999999997</v>
      </c>
      <c r="N41" s="12">
        <f>'Table-n=500-miss'!G41</f>
        <v>95.673435771622906</v>
      </c>
      <c r="O41" s="12">
        <f>'Table-n=500-miss'!I41</f>
        <v>0.49797220002992471</v>
      </c>
      <c r="P41" s="5"/>
      <c r="Y41" s="12"/>
    </row>
    <row r="42" spans="1:25" x14ac:dyDescent="0.45">
      <c r="B42" s="1" t="s">
        <v>4</v>
      </c>
      <c r="C42" s="12">
        <f>'Table-n=500-corr'!C42</f>
        <v>-1.37799552313622</v>
      </c>
      <c r="D42" s="12">
        <f>'Table-n=500-corr'!D42</f>
        <v>9.7518924968066507</v>
      </c>
      <c r="E42" s="12">
        <f>'Table-n=500-corr'!E42</f>
        <v>0.83912927027007622</v>
      </c>
      <c r="F42" s="12">
        <f>'Table-n=500-corr'!F42</f>
        <v>0.98</v>
      </c>
      <c r="G42" s="12">
        <f>'Table-n=500-corr'!G42</f>
        <v>69.920297018750844</v>
      </c>
      <c r="H42" s="12">
        <f>'Table-n=500-corr'!I42</f>
        <v>0.75864152882261993</v>
      </c>
      <c r="I42" s="12"/>
      <c r="J42" s="12">
        <f>'Table-n=500-miss'!C42</f>
        <v>2.4304835889767902</v>
      </c>
      <c r="K42" s="12">
        <f>'Table-n=500-miss'!D42</f>
        <v>10.636606036965</v>
      </c>
      <c r="L42" s="12">
        <f>'Table-n=500-miss'!E42</f>
        <v>0.95150594809801992</v>
      </c>
      <c r="M42" s="12">
        <f>'Table-n=500-miss'!F42</f>
        <v>0.91300000000000003</v>
      </c>
      <c r="N42" s="12">
        <f>'Table-n=500-miss'!G42</f>
        <v>47.761103426296415</v>
      </c>
      <c r="O42" s="12">
        <f>'Table-n=500-miss'!I42</f>
        <v>1.9982008327184859</v>
      </c>
      <c r="P42" s="5"/>
      <c r="Y42" s="12"/>
    </row>
    <row r="43" spans="1:25" x14ac:dyDescent="0.45">
      <c r="B43" s="1" t="s">
        <v>88</v>
      </c>
      <c r="C43" s="12">
        <f>'Table-n=500-corr'!C43</f>
        <v>-4.6172356599981902E-2</v>
      </c>
      <c r="D43" s="12">
        <f>'Table-n=500-corr'!D43</f>
        <v>10.4528488324198</v>
      </c>
      <c r="E43" s="12">
        <f>'Table-n=500-corr'!E43</f>
        <v>0.96409626345514121</v>
      </c>
      <c r="F43" s="12">
        <f>'Table-n=500-corr'!F43</f>
        <v>0.89500000000000002</v>
      </c>
      <c r="G43" s="12">
        <f>'Table-n=500-corr'!G43</f>
        <v>44.301928272632644</v>
      </c>
      <c r="H43" s="12">
        <f>'Table-n=500-corr'!I43</f>
        <v>1.8897218407555467</v>
      </c>
      <c r="I43" s="12"/>
      <c r="J43" s="12">
        <f>'Table-n=500-miss'!C43</f>
        <v>-11.041472823118101</v>
      </c>
      <c r="K43" s="12">
        <f>'Table-n=500-miss'!D43</f>
        <v>16.896531624398399</v>
      </c>
      <c r="L43" s="12">
        <f>'Table-n=500-miss'!E43</f>
        <v>2.4010460559032993</v>
      </c>
      <c r="M43" s="12">
        <f>'Table-n=500-miss'!F43</f>
        <v>0.80300000000000005</v>
      </c>
      <c r="N43" s="12">
        <f>'Table-n=500-miss'!G43</f>
        <v>56.88985000964913</v>
      </c>
      <c r="O43" s="12">
        <f>'Table-n=500-miss'!I43</f>
        <v>1.4083748518279673</v>
      </c>
      <c r="P43" s="5"/>
      <c r="Y43" s="12"/>
    </row>
    <row r="44" spans="1:25" x14ac:dyDescent="0.45">
      <c r="B44" s="1" t="s">
        <v>89</v>
      </c>
      <c r="C44" s="12">
        <f>'Table-n=500-corr'!C44</f>
        <v>3.4295049354813201</v>
      </c>
      <c r="D44" s="12">
        <f>'Table-n=500-corr'!D44</f>
        <v>10.6457060419214</v>
      </c>
      <c r="E44" s="12">
        <f>'Table-n=500-corr'!E44</f>
        <v>1</v>
      </c>
      <c r="F44" s="12">
        <f>'Table-n=500-corr'!F44</f>
        <v>0.95299999999999996</v>
      </c>
      <c r="G44" s="12">
        <f>'Table-n=500-corr'!G44</f>
        <v>60.900599929180558</v>
      </c>
      <c r="H44" s="12">
        <f>'Table-n=500-corr'!I44</f>
        <v>1</v>
      </c>
      <c r="I44" s="12"/>
      <c r="J44" s="12">
        <f>'Table-n=500-miss'!C44</f>
        <v>-0.41578046850225697</v>
      </c>
      <c r="K44" s="12">
        <f>'Table-n=500-miss'!D44</f>
        <v>10.904288170747</v>
      </c>
      <c r="L44" s="12">
        <f>'Table-n=500-miss'!E44</f>
        <v>1</v>
      </c>
      <c r="M44" s="12">
        <f>'Table-n=500-miss'!F44</f>
        <v>0.95799999999999996</v>
      </c>
      <c r="N44" s="12">
        <f>'Table-n=500-miss'!G44</f>
        <v>67.51401246502212</v>
      </c>
      <c r="O44" s="12">
        <f>'Table-n=500-miss'!I44</f>
        <v>1</v>
      </c>
      <c r="P44" s="5"/>
      <c r="Y44" s="12"/>
    </row>
    <row r="45" spans="1:25" s="3" customFormat="1" x14ac:dyDescent="0.45">
      <c r="B45" s="3" t="s">
        <v>2</v>
      </c>
      <c r="C45" s="14">
        <f>'Table-n=500-corr'!C45</f>
        <v>-0.152682368593826</v>
      </c>
      <c r="D45" s="14">
        <f>'Table-n=500-corr'!D45</f>
        <v>9.8978721589956997</v>
      </c>
      <c r="E45" s="14">
        <f>'Table-n=500-corr'!E45</f>
        <v>0.86443977278513351</v>
      </c>
      <c r="F45" s="14">
        <f>'Table-n=500-corr'!F45</f>
        <v>0.90500000000000003</v>
      </c>
      <c r="G45" s="14">
        <f>'Table-n=500-corr'!G45</f>
        <v>41.000422019860608</v>
      </c>
      <c r="H45" s="14">
        <f>'Table-n=500-corr'!I45</f>
        <v>2.2063097683550321</v>
      </c>
      <c r="I45" s="14"/>
      <c r="J45" s="14">
        <f>'Table-n=500-miss'!C45</f>
        <v>-23.996272287188599</v>
      </c>
      <c r="K45" s="14">
        <f>'Table-n=500-miss'!D45</f>
        <v>62.001649449187099</v>
      </c>
      <c r="L45" s="14">
        <f>'Table-n=500-miss'!E45</f>
        <v>32.330457201923792</v>
      </c>
      <c r="M45" s="14">
        <f>'Table-n=500-miss'!F45</f>
        <v>0.78700000000000003</v>
      </c>
      <c r="N45" s="14">
        <f>'Table-n=500-miss'!G45</f>
        <v>72.385732605341772</v>
      </c>
      <c r="O45" s="14">
        <f>'Table-n=500-miss'!I45</f>
        <v>0.86992515810312687</v>
      </c>
      <c r="P45" s="13"/>
      <c r="Q45" s="13"/>
      <c r="Y45" s="14"/>
    </row>
    <row r="46" spans="1:25" x14ac:dyDescent="0.45">
      <c r="G46" s="7"/>
      <c r="H46" s="7"/>
      <c r="O46" s="7"/>
    </row>
    <row r="47" spans="1:25" x14ac:dyDescent="0.45">
      <c r="G47" s="7"/>
      <c r="H47" s="7"/>
      <c r="O47" s="7"/>
    </row>
    <row r="48" spans="1:25" x14ac:dyDescent="0.45">
      <c r="G48" s="7"/>
      <c r="H48" s="7"/>
      <c r="O48" s="7"/>
    </row>
    <row r="49" spans="7:15" x14ac:dyDescent="0.45">
      <c r="G49" s="7"/>
      <c r="H49" s="7"/>
      <c r="O49" s="7"/>
    </row>
    <row r="50" spans="7:15" x14ac:dyDescent="0.45">
      <c r="G50" s="7"/>
      <c r="H50" s="7"/>
      <c r="O50" s="7"/>
    </row>
    <row r="51" spans="7:15" x14ac:dyDescent="0.45">
      <c r="G51" s="7"/>
      <c r="H51" s="7"/>
      <c r="O51" s="7"/>
    </row>
    <row r="52" spans="7:15" x14ac:dyDescent="0.45">
      <c r="G52" s="7"/>
      <c r="H52" s="7"/>
      <c r="O52" s="7"/>
    </row>
    <row r="53" spans="7:15" x14ac:dyDescent="0.45">
      <c r="G53" s="7"/>
      <c r="H53" s="7"/>
      <c r="O53" s="7"/>
    </row>
    <row r="54" spans="7:15" x14ac:dyDescent="0.45">
      <c r="G54" s="7"/>
      <c r="H54" s="7"/>
      <c r="O54" s="7"/>
    </row>
    <row r="55" spans="7:15" x14ac:dyDescent="0.45">
      <c r="G55" s="7"/>
      <c r="H55" s="7"/>
      <c r="O55" s="7"/>
    </row>
    <row r="56" spans="7:15" x14ac:dyDescent="0.45">
      <c r="G56" s="7"/>
      <c r="H56" s="7"/>
      <c r="O56" s="7"/>
    </row>
    <row r="57" spans="7:15" x14ac:dyDescent="0.45">
      <c r="G57" s="7"/>
      <c r="H57" s="7"/>
      <c r="O57" s="7"/>
    </row>
    <row r="58" spans="7:15" x14ac:dyDescent="0.45">
      <c r="G58" s="7"/>
      <c r="H58" s="7"/>
      <c r="O58" s="7"/>
    </row>
    <row r="59" spans="7:15" x14ac:dyDescent="0.45">
      <c r="G59" s="7"/>
      <c r="H59" s="7"/>
      <c r="O59" s="7"/>
    </row>
    <row r="60" spans="7:15" x14ac:dyDescent="0.45">
      <c r="G60" s="7"/>
      <c r="H60" s="7"/>
      <c r="O60" s="7"/>
    </row>
    <row r="61" spans="7:15" x14ac:dyDescent="0.45">
      <c r="G61" s="7"/>
      <c r="H61" s="7"/>
      <c r="O61" s="7"/>
    </row>
    <row r="62" spans="7:15" x14ac:dyDescent="0.45">
      <c r="G62" s="7"/>
      <c r="H62" s="7"/>
      <c r="O62" s="7"/>
    </row>
    <row r="63" spans="7:15" x14ac:dyDescent="0.45">
      <c r="G63" s="7"/>
      <c r="H63" s="7"/>
      <c r="O63" s="7"/>
    </row>
    <row r="64" spans="7:15" x14ac:dyDescent="0.45">
      <c r="G64" s="7"/>
      <c r="H64" s="7"/>
      <c r="O64" s="7"/>
    </row>
    <row r="65" spans="7:15" x14ac:dyDescent="0.45">
      <c r="G65" s="7"/>
      <c r="H65" s="7"/>
      <c r="O65" s="7"/>
    </row>
    <row r="66" spans="7:15" x14ac:dyDescent="0.45">
      <c r="G66" s="7"/>
      <c r="H66" s="7"/>
      <c r="O66" s="7"/>
    </row>
    <row r="67" spans="7:15" x14ac:dyDescent="0.45">
      <c r="G67" s="7"/>
      <c r="H67" s="7"/>
      <c r="O67" s="7"/>
    </row>
    <row r="68" spans="7:15" x14ac:dyDescent="0.45">
      <c r="G68" s="7"/>
      <c r="H68" s="7"/>
      <c r="O68" s="7"/>
    </row>
    <row r="69" spans="7:15" x14ac:dyDescent="0.45">
      <c r="G69" s="7"/>
      <c r="H69" s="7"/>
      <c r="O69" s="7"/>
    </row>
    <row r="70" spans="7:15" x14ac:dyDescent="0.45">
      <c r="G70" s="7"/>
      <c r="H70" s="7"/>
      <c r="O70" s="7"/>
    </row>
    <row r="71" spans="7:15" x14ac:dyDescent="0.45">
      <c r="G71" s="7"/>
      <c r="H71" s="7"/>
      <c r="O71" s="7"/>
    </row>
    <row r="72" spans="7:15" x14ac:dyDescent="0.45">
      <c r="G72" s="7"/>
      <c r="H72" s="7"/>
      <c r="O72" s="7"/>
    </row>
    <row r="73" spans="7:15" x14ac:dyDescent="0.45">
      <c r="G73" s="7"/>
      <c r="H73" s="7"/>
      <c r="O73" s="7"/>
    </row>
    <row r="74" spans="7:15" x14ac:dyDescent="0.45">
      <c r="G74" s="7"/>
      <c r="H74" s="7"/>
      <c r="O74" s="7"/>
    </row>
    <row r="75" spans="7:15" x14ac:dyDescent="0.45">
      <c r="G75" s="7"/>
      <c r="H75" s="7"/>
      <c r="O75" s="7"/>
    </row>
    <row r="76" spans="7:15" x14ac:dyDescent="0.45">
      <c r="G76" s="7"/>
      <c r="H76" s="7"/>
      <c r="O76" s="7"/>
    </row>
    <row r="77" spans="7:15" x14ac:dyDescent="0.45">
      <c r="G77" s="7"/>
      <c r="H77" s="7"/>
      <c r="O77" s="7"/>
    </row>
    <row r="78" spans="7:15" x14ac:dyDescent="0.45">
      <c r="G78" s="7"/>
      <c r="H78" s="7"/>
      <c r="O78" s="7"/>
    </row>
    <row r="79" spans="7:15" x14ac:dyDescent="0.45">
      <c r="G79" s="7"/>
      <c r="H79" s="7"/>
      <c r="O79" s="7"/>
    </row>
    <row r="80" spans="7:15" x14ac:dyDescent="0.45">
      <c r="G80" s="7"/>
      <c r="H80" s="7"/>
      <c r="O80" s="7"/>
    </row>
    <row r="81" spans="7:15" x14ac:dyDescent="0.45">
      <c r="G81" s="7"/>
      <c r="H81" s="7"/>
      <c r="O81" s="7"/>
    </row>
    <row r="82" spans="7:15" x14ac:dyDescent="0.45">
      <c r="G82" s="7"/>
      <c r="H82" s="7"/>
      <c r="O82" s="7"/>
    </row>
    <row r="83" spans="7:15" x14ac:dyDescent="0.45">
      <c r="G83" s="7"/>
      <c r="H83" s="7"/>
      <c r="O83" s="7"/>
    </row>
    <row r="84" spans="7:15" x14ac:dyDescent="0.45">
      <c r="G84" s="7"/>
      <c r="H84" s="7"/>
      <c r="O84" s="7"/>
    </row>
    <row r="85" spans="7:15" x14ac:dyDescent="0.45">
      <c r="G85" s="7"/>
      <c r="H85" s="7"/>
      <c r="O85" s="7"/>
    </row>
    <row r="86" spans="7:15" x14ac:dyDescent="0.45">
      <c r="G86" s="7"/>
      <c r="H86" s="7"/>
      <c r="O86" s="7"/>
    </row>
    <row r="87" spans="7:15" x14ac:dyDescent="0.45">
      <c r="G87" s="7"/>
      <c r="H87" s="7"/>
      <c r="O87" s="7"/>
    </row>
    <row r="88" spans="7:15" x14ac:dyDescent="0.45">
      <c r="G88" s="7"/>
      <c r="H88" s="7"/>
      <c r="O88" s="7"/>
    </row>
    <row r="89" spans="7:15" x14ac:dyDescent="0.45">
      <c r="G89" s="7"/>
      <c r="H89" s="7"/>
      <c r="O89" s="7"/>
    </row>
    <row r="90" spans="7:15" x14ac:dyDescent="0.45">
      <c r="G90" s="7"/>
      <c r="H90" s="7"/>
      <c r="O90" s="7"/>
    </row>
    <row r="91" spans="7:15" x14ac:dyDescent="0.45">
      <c r="G91" s="7"/>
      <c r="H91" s="7"/>
      <c r="O91" s="7"/>
    </row>
    <row r="92" spans="7:15" x14ac:dyDescent="0.45">
      <c r="G92" s="7"/>
      <c r="H92" s="7"/>
      <c r="O92" s="7"/>
    </row>
    <row r="93" spans="7:15" x14ac:dyDescent="0.45">
      <c r="G93" s="7"/>
      <c r="H93" s="7"/>
      <c r="O93" s="7"/>
    </row>
    <row r="94" spans="7:15" x14ac:dyDescent="0.45">
      <c r="G94" s="7"/>
      <c r="H94" s="7"/>
      <c r="O94" s="7"/>
    </row>
    <row r="95" spans="7:15" x14ac:dyDescent="0.45">
      <c r="G95" s="7"/>
      <c r="H95" s="7"/>
      <c r="O95" s="7"/>
    </row>
    <row r="96" spans="7:15" x14ac:dyDescent="0.45">
      <c r="G96" s="7"/>
      <c r="H96" s="7"/>
      <c r="O96" s="7"/>
    </row>
    <row r="97" spans="7:15" x14ac:dyDescent="0.45">
      <c r="G97" s="7"/>
      <c r="H97" s="7"/>
      <c r="O97" s="7"/>
    </row>
    <row r="98" spans="7:15" x14ac:dyDescent="0.45">
      <c r="G98" s="7"/>
      <c r="H98" s="7"/>
      <c r="O98" s="7"/>
    </row>
    <row r="99" spans="7:15" x14ac:dyDescent="0.45">
      <c r="G99" s="7"/>
      <c r="H99" s="7"/>
      <c r="O99" s="7"/>
    </row>
    <row r="100" spans="7:15" x14ac:dyDescent="0.45">
      <c r="G100" s="7"/>
      <c r="H100" s="7"/>
      <c r="O100" s="7"/>
    </row>
    <row r="101" spans="7:15" x14ac:dyDescent="0.45">
      <c r="G101" s="7"/>
      <c r="H101" s="7"/>
      <c r="O101" s="7"/>
    </row>
    <row r="102" spans="7:15" x14ac:dyDescent="0.45">
      <c r="G102" s="7"/>
      <c r="H102" s="7"/>
      <c r="O102" s="7"/>
    </row>
    <row r="103" spans="7:15" x14ac:dyDescent="0.45">
      <c r="G103" s="7"/>
      <c r="H103" s="7"/>
      <c r="O103" s="7"/>
    </row>
    <row r="104" spans="7:15" x14ac:dyDescent="0.45">
      <c r="G104" s="7"/>
      <c r="H104" s="7"/>
      <c r="O104" s="7"/>
    </row>
    <row r="105" spans="7:15" x14ac:dyDescent="0.45">
      <c r="G105" s="7"/>
      <c r="H105" s="7"/>
      <c r="O105" s="7"/>
    </row>
    <row r="106" spans="7:15" x14ac:dyDescent="0.45">
      <c r="G106" s="7"/>
      <c r="H106" s="7"/>
      <c r="O106" s="7"/>
    </row>
    <row r="107" spans="7:15" x14ac:dyDescent="0.45">
      <c r="G107" s="7"/>
      <c r="H107" s="7"/>
      <c r="O107" s="7"/>
    </row>
    <row r="108" spans="7:15" x14ac:dyDescent="0.45">
      <c r="G108" s="7"/>
      <c r="H108" s="7"/>
      <c r="O108" s="7"/>
    </row>
    <row r="109" spans="7:15" x14ac:dyDescent="0.45">
      <c r="G109" s="7"/>
      <c r="H109" s="7"/>
      <c r="O109" s="7"/>
    </row>
    <row r="110" spans="7:15" x14ac:dyDescent="0.45">
      <c r="G110" s="7"/>
      <c r="H110" s="7"/>
      <c r="O110" s="7"/>
    </row>
    <row r="111" spans="7:15" x14ac:dyDescent="0.45">
      <c r="G111" s="7"/>
      <c r="H111" s="7"/>
      <c r="O111" s="7"/>
    </row>
    <row r="112" spans="7:15" x14ac:dyDescent="0.45">
      <c r="G112" s="7"/>
      <c r="H112" s="7"/>
      <c r="O112" s="7"/>
    </row>
    <row r="113" spans="7:15" x14ac:dyDescent="0.45">
      <c r="G113" s="7"/>
      <c r="H113" s="7"/>
      <c r="O113" s="7"/>
    </row>
    <row r="114" spans="7:15" x14ac:dyDescent="0.45">
      <c r="G114" s="7"/>
      <c r="H114" s="7"/>
      <c r="O114" s="7"/>
    </row>
    <row r="115" spans="7:15" x14ac:dyDescent="0.45">
      <c r="G115" s="7"/>
      <c r="H115" s="7"/>
      <c r="O115" s="7"/>
    </row>
    <row r="116" spans="7:15" x14ac:dyDescent="0.45">
      <c r="G116" s="7"/>
      <c r="H116" s="7"/>
      <c r="O116" s="7"/>
    </row>
    <row r="117" spans="7:15" x14ac:dyDescent="0.45">
      <c r="G117" s="7"/>
      <c r="H117" s="7"/>
      <c r="O117" s="7"/>
    </row>
    <row r="118" spans="7:15" x14ac:dyDescent="0.45">
      <c r="G118" s="7"/>
      <c r="H118" s="7"/>
      <c r="O118" s="7"/>
    </row>
    <row r="119" spans="7:15" x14ac:dyDescent="0.45">
      <c r="G119" s="7"/>
      <c r="H119" s="7"/>
      <c r="O119" s="7"/>
    </row>
    <row r="120" spans="7:15" x14ac:dyDescent="0.4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0"/>
  <sheetViews>
    <sheetView tabSelected="1" workbookViewId="0">
      <selection activeCell="B5" sqref="B5:O45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5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5.1328125" style="1" bestFit="1" customWidth="1"/>
    <col min="9" max="9" width="2.86328125" style="1" customWidth="1"/>
    <col min="10" max="10" width="6.19921875" style="1" bestFit="1" customWidth="1"/>
    <col min="11" max="11" width="6.1328125" style="1" bestFit="1" customWidth="1"/>
    <col min="12" max="12" width="7.53125" style="1" bestFit="1" customWidth="1"/>
    <col min="13" max="13" width="8" style="1" bestFit="1" customWidth="1"/>
    <col min="14" max="14" width="7.6640625" style="1" bestFit="1" customWidth="1"/>
    <col min="15" max="15" width="5.1328125" style="1" bestFit="1" customWidth="1"/>
    <col min="16" max="18" width="9.33203125" style="1"/>
    <col min="19" max="19" width="6" style="1" bestFit="1" customWidth="1"/>
    <col min="20" max="20" width="7.53125" style="1" bestFit="1" customWidth="1"/>
    <col min="21" max="21" width="7" style="1" bestFit="1" customWidth="1"/>
    <col min="22" max="22" width="8.53125" style="1" bestFit="1" customWidth="1"/>
    <col min="23" max="23" width="7" style="1" bestFit="1" customWidth="1"/>
    <col min="24" max="24" width="8.53125" style="1" bestFit="1" customWidth="1"/>
    <col min="25" max="25" width="2.86328125" style="1" customWidth="1"/>
    <col min="26" max="26" width="6" style="1" bestFit="1" customWidth="1"/>
    <col min="27" max="27" width="7.53125" style="1" bestFit="1" customWidth="1"/>
    <col min="28" max="28" width="7" style="1" bestFit="1" customWidth="1"/>
    <col min="29" max="29" width="8.53125" style="1" bestFit="1" customWidth="1"/>
    <col min="30" max="30" width="7" style="1" bestFit="1" customWidth="1"/>
    <col min="31" max="31" width="8.53125" style="1" bestFit="1" customWidth="1"/>
    <col min="32" max="16384" width="9.33203125" style="1"/>
  </cols>
  <sheetData>
    <row r="1" spans="1:31" x14ac:dyDescent="0.4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90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4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J3" s="11">
        <v>1000</v>
      </c>
      <c r="K3" s="11">
        <v>1000</v>
      </c>
      <c r="L3" s="11">
        <v>1000</v>
      </c>
      <c r="M3" s="11">
        <v>1000</v>
      </c>
      <c r="N3" s="11">
        <v>1000</v>
      </c>
      <c r="O3" s="11">
        <v>1000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4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45">
      <c r="A5" s="2" t="s">
        <v>58</v>
      </c>
      <c r="B5" s="1" t="s">
        <v>3</v>
      </c>
      <c r="C5" s="12">
        <f>'Table-n=1000-corr'!C5</f>
        <v>0.92395193060332503</v>
      </c>
      <c r="D5" s="12">
        <f>'Table-n=1000-corr'!D5</f>
        <v>2.6457743093708901</v>
      </c>
      <c r="E5" s="12">
        <f>'Table-n=1000-corr'!E5</f>
        <v>1.2212687182803326</v>
      </c>
      <c r="F5" s="12">
        <f>'Table-n=1000-corr'!F5</f>
        <v>0.996</v>
      </c>
      <c r="G5" s="12">
        <f>'Table-n=1000-corr'!G5</f>
        <v>16.198300138980414</v>
      </c>
      <c r="H5" s="12">
        <f>'Table-n=1000-corr'!I5</f>
        <v>0.71503679980021539</v>
      </c>
      <c r="I5" s="12"/>
      <c r="J5" s="12">
        <f>'Table-n=1000-miss'!C5</f>
        <v>-5.7529756514127701</v>
      </c>
      <c r="K5" s="12">
        <f>'Table-n=1000-miss'!D5</f>
        <v>7.7165029693855001</v>
      </c>
      <c r="L5" s="12">
        <f>'Table-n=1000-miss'!E5</f>
        <v>5.3262818900446929</v>
      </c>
      <c r="M5" s="12">
        <f>'Table-n=1000-miss'!F5</f>
        <v>0.91800000000000004</v>
      </c>
      <c r="N5" s="12">
        <f>'Table-n=1000-miss'!G5</f>
        <v>18.000953167044376</v>
      </c>
      <c r="O5" s="12">
        <f>'Table-n=1000-miss'!I5</f>
        <v>0.93085403813541912</v>
      </c>
      <c r="P5" s="5"/>
      <c r="Q5" s="5"/>
      <c r="R5" s="1" t="s">
        <v>3</v>
      </c>
      <c r="S5" s="7">
        <f>100*'Table-n=1000-corr'!K5/SQRT(C$3)</f>
        <v>8.8479426024758663</v>
      </c>
      <c r="T5" s="7">
        <f>100*SQRT('Table-n=1000-corr'!L5/D$3)</f>
        <v>2.4102691007660391</v>
      </c>
      <c r="U5" s="7">
        <f>100*'Table-n=1000-corr'!M5/SQRT(E$3)</f>
        <v>7.0274390930210178</v>
      </c>
      <c r="V5" s="7">
        <f>100*SQRT('Table-n=1000-corr'!N5/F$3)</f>
        <v>2.0466369783075677</v>
      </c>
      <c r="W5" s="7">
        <f>100*'Table-n=1000-corr'!O5/SQRT(G$3)</f>
        <v>3.1451859676753009</v>
      </c>
      <c r="X5" s="7">
        <f>100*SQRT('Table-n=1000-corr'!P5/H$3)</f>
        <v>0.56948897721027669</v>
      </c>
      <c r="Y5" s="12"/>
      <c r="Z5" s="7">
        <f>100*'Table-n=1000-miss'!K5/SQRT(J$3)</f>
        <v>11.480293069153694</v>
      </c>
      <c r="AA5" s="7">
        <f>100*SQRT('Table-n=1000-miss'!L5/K$3)</f>
        <v>2.8920622651502392</v>
      </c>
      <c r="AB5" s="7">
        <f>100*'Table-n=1000-miss'!M5/SQRT(L$3)</f>
        <v>8.145956849206117</v>
      </c>
      <c r="AC5" s="7">
        <f>100*SQRT('Table-n=1000-miss'!N5/M$3)</f>
        <v>2.2045643206882035</v>
      </c>
      <c r="AD5" s="7">
        <f>100*'Table-n=1000-miss'!O5/SQRT(N$3)</f>
        <v>4.719542307474299</v>
      </c>
      <c r="AE5" s="7">
        <f>100*SQRT('Table-n=1000-miss'!P5/O$3)</f>
        <v>0.80218237105840962</v>
      </c>
    </row>
    <row r="6" spans="1:31" x14ac:dyDescent="0.45">
      <c r="B6" s="1" t="s">
        <v>5</v>
      </c>
      <c r="C6" s="12">
        <f>'Table-n=1000-corr'!C6</f>
        <v>2.87969452277654</v>
      </c>
      <c r="D6" s="12">
        <f>'Table-n=1000-corr'!D6</f>
        <v>5.3926693428270296</v>
      </c>
      <c r="E6" s="12">
        <f>'Table-n=1000-corr'!E6</f>
        <v>5.0735649766154687</v>
      </c>
      <c r="F6" s="12">
        <f>'Table-n=1000-corr'!F6</f>
        <v>1</v>
      </c>
      <c r="G6" s="12">
        <f>'Table-n=1000-corr'!G6</f>
        <v>62.884991001119019</v>
      </c>
      <c r="H6" s="12">
        <f>'Table-n=1000-corr'!I6</f>
        <v>4.7443123183112293E-2</v>
      </c>
      <c r="I6" s="12"/>
      <c r="J6" s="12">
        <f>'Table-n=1000-miss'!C6</f>
        <v>-3.00227352094339</v>
      </c>
      <c r="K6" s="12">
        <f>'Table-n=1000-miss'!D6</f>
        <v>5.6751886270281702</v>
      </c>
      <c r="L6" s="12">
        <f>'Table-n=1000-miss'!E6</f>
        <v>2.8810028891423709</v>
      </c>
      <c r="M6" s="12">
        <f>'Table-n=1000-miss'!F6</f>
        <v>1</v>
      </c>
      <c r="N6" s="12">
        <f>'Table-n=1000-miss'!G6</f>
        <v>30.400510237485285</v>
      </c>
      <c r="O6" s="12">
        <f>'Table-n=1000-miss'!I6</f>
        <v>0.32637046144279142</v>
      </c>
      <c r="P6" s="5"/>
      <c r="Q6" s="5"/>
      <c r="R6" s="1" t="s">
        <v>5</v>
      </c>
      <c r="S6" s="7">
        <f>100*'Table-n=1000-corr'!K6/SQRT(C$3)</f>
        <v>7.8526181037515164</v>
      </c>
      <c r="T6" s="7">
        <f>100*SQRT('Table-n=1000-corr'!L6/D$3)</f>
        <v>1.8831732819285141</v>
      </c>
      <c r="U6" s="7">
        <f>100*'Table-n=1000-corr'!M6/SQRT(E$3)</f>
        <v>6.0479777867224813</v>
      </c>
      <c r="V6" s="7">
        <f>100*SQRT('Table-n=1000-corr'!N6/F$3)</f>
        <v>1.5438463051339339</v>
      </c>
      <c r="W6" s="7">
        <f>100*'Table-n=1000-corr'!O6/SQRT(G$3)</f>
        <v>3.5850884504428517</v>
      </c>
      <c r="X6" s="7">
        <f>100*SQRT('Table-n=1000-corr'!P6/H$3)</f>
        <v>0.57453385598646489</v>
      </c>
      <c r="Y6" s="12"/>
      <c r="Z6" s="7">
        <f>100*'Table-n=1000-miss'!K6/SQRT(J$3)</f>
        <v>10.457187170744337</v>
      </c>
      <c r="AA6" s="7">
        <f>100*SQRT('Table-n=1000-miss'!L6/K$3)</f>
        <v>2.271239707916934</v>
      </c>
      <c r="AB6" s="7">
        <f>100*'Table-n=1000-miss'!M6/SQRT(L$3)</f>
        <v>7.507338922698243</v>
      </c>
      <c r="AC6" s="7">
        <f>100*SQRT('Table-n=1000-miss'!N6/M$3)</f>
        <v>1.8123933183360035</v>
      </c>
      <c r="AD6" s="7">
        <f>100*'Table-n=1000-miss'!O6/SQRT(N$3)</f>
        <v>4.9469257194940752</v>
      </c>
      <c r="AE6" s="7">
        <f>100*SQRT('Table-n=1000-miss'!P6/O$3)</f>
        <v>0.72739974971982291</v>
      </c>
    </row>
    <row r="7" spans="1:31" x14ac:dyDescent="0.45">
      <c r="B7" s="1" t="s">
        <v>4</v>
      </c>
      <c r="C7" s="12">
        <f>'Table-n=1000-corr'!C7</f>
        <v>3.1204559821940599E-2</v>
      </c>
      <c r="D7" s="12">
        <f>'Table-n=1000-corr'!D7</f>
        <v>2.2023051502873598</v>
      </c>
      <c r="E7" s="12">
        <f>'Table-n=1000-corr'!E7</f>
        <v>0.84617586065021266</v>
      </c>
      <c r="F7" s="12">
        <f>'Table-n=1000-corr'!F7</f>
        <v>1</v>
      </c>
      <c r="G7" s="12">
        <f>'Table-n=1000-corr'!G7</f>
        <v>28.316441942339317</v>
      </c>
      <c r="H7" s="12">
        <f>'Table-n=1000-corr'!I7</f>
        <v>0.2339860216642318</v>
      </c>
      <c r="I7" s="12"/>
      <c r="J7" s="12">
        <f>'Table-n=1000-miss'!C7</f>
        <v>-0.233269753068157</v>
      </c>
      <c r="K7" s="12">
        <f>'Table-n=1000-miss'!D7</f>
        <v>2.8802878720641898</v>
      </c>
      <c r="L7" s="12">
        <f>'Table-n=1000-miss'!E7</f>
        <v>0.74208710262129951</v>
      </c>
      <c r="M7" s="12">
        <f>'Table-n=1000-miss'!F7</f>
        <v>0.97099999999999997</v>
      </c>
      <c r="N7" s="12">
        <f>'Table-n=1000-miss'!G7</f>
        <v>10.909150644118558</v>
      </c>
      <c r="O7" s="12">
        <f>'Table-n=1000-miss'!I7</f>
        <v>2.534490765542873</v>
      </c>
      <c r="P7" s="5"/>
      <c r="Q7" s="5"/>
      <c r="R7" s="1" t="s">
        <v>4</v>
      </c>
      <c r="S7" s="7">
        <f>100*'Table-n=1000-corr'!K7/SQRT(C$3)</f>
        <v>10.189046453063384</v>
      </c>
      <c r="T7" s="7">
        <f>100*SQRT('Table-n=1000-corr'!L7/D$3)</f>
        <v>2.7890964046444129</v>
      </c>
      <c r="U7" s="7">
        <f>100*'Table-n=1000-corr'!M7/SQRT(E$3)</f>
        <v>8.0760572707899598</v>
      </c>
      <c r="V7" s="7">
        <f>100*SQRT('Table-n=1000-corr'!N7/F$3)</f>
        <v>2.3916675869560509</v>
      </c>
      <c r="W7" s="7">
        <f>100*'Table-n=1000-corr'!O7/SQRT(G$3)</f>
        <v>3.2501265846902094</v>
      </c>
      <c r="X7" s="7">
        <f>100*SQRT('Table-n=1000-corr'!P7/H$3)</f>
        <v>0.59225324247573774</v>
      </c>
      <c r="Y7" s="12"/>
      <c r="Z7" s="7">
        <f>100*'Table-n=1000-miss'!K7/SQRT(J$3)</f>
        <v>11.541999314554172</v>
      </c>
      <c r="AA7" s="7">
        <f>100*SQRT('Table-n=1000-miss'!L7/K$3)</f>
        <v>2.8880117760028643</v>
      </c>
      <c r="AB7" s="7">
        <f>100*'Table-n=1000-miss'!M7/SQRT(L$3)</f>
        <v>8.5212455723006304</v>
      </c>
      <c r="AC7" s="7">
        <f>100*SQRT('Table-n=1000-miss'!N7/M$3)</f>
        <v>2.2407603717165272</v>
      </c>
      <c r="AD7" s="7">
        <f>100*'Table-n=1000-miss'!O7/SQRT(N$3)</f>
        <v>3.9129600191059244</v>
      </c>
      <c r="AE7" s="7">
        <f>100*SQRT('Table-n=1000-miss'!P7/O$3)</f>
        <v>0.73768235322931308</v>
      </c>
    </row>
    <row r="8" spans="1:31" x14ac:dyDescent="0.45">
      <c r="B8" s="1" t="s">
        <v>88</v>
      </c>
      <c r="C8" s="12">
        <f>'Table-n=1000-corr'!C8</f>
        <v>0.554691894464582</v>
      </c>
      <c r="D8" s="12">
        <f>'Table-n=1000-corr'!D8</f>
        <v>2.2127469191556299</v>
      </c>
      <c r="E8" s="12">
        <f>'Table-n=1000-corr'!E8</f>
        <v>0.85421881397756572</v>
      </c>
      <c r="F8" s="12">
        <f>'Table-n=1000-corr'!F8</f>
        <v>0.88300000000000001</v>
      </c>
      <c r="G8" s="12">
        <f>'Table-n=1000-corr'!G8</f>
        <v>6.6965202439926284</v>
      </c>
      <c r="H8" s="12">
        <f>'Table-n=1000-corr'!I8</f>
        <v>4.183780630828438</v>
      </c>
      <c r="I8" s="12"/>
      <c r="J8" s="12">
        <f>'Table-n=1000-miss'!C8</f>
        <v>-5.0883974954893203</v>
      </c>
      <c r="K8" s="12">
        <f>'Table-n=1000-miss'!D8</f>
        <v>6.8498981709302704</v>
      </c>
      <c r="L8" s="12">
        <f>'Table-n=1000-miss'!E8</f>
        <v>4.1971193881868638</v>
      </c>
      <c r="M8" s="12">
        <f>'Table-n=1000-miss'!F8</f>
        <v>0.65600000000000003</v>
      </c>
      <c r="N8" s="12">
        <f>'Table-n=1000-miss'!G8</f>
        <v>12.014184364803041</v>
      </c>
      <c r="O8" s="12">
        <f>'Table-n=1000-miss'!I8</f>
        <v>2.0897003082216146</v>
      </c>
      <c r="P8" s="5"/>
      <c r="Q8" s="5"/>
      <c r="R8" s="1" t="s">
        <v>88</v>
      </c>
      <c r="S8" s="7">
        <f>100*'Table-n=1000-corr'!K8/SQRT(C$3)</f>
        <v>9.9830706395706752</v>
      </c>
      <c r="T8" s="7">
        <f>100*SQRT('Table-n=1000-corr'!L8/D$3)</f>
        <v>2.8429734293664932</v>
      </c>
      <c r="U8" s="7">
        <f>100*'Table-n=1000-corr'!M8/SQRT(E$3)</f>
        <v>8.2503144278331391</v>
      </c>
      <c r="V8" s="7">
        <f>100*SQRT('Table-n=1000-corr'!N8/F$3)</f>
        <v>2.5408513948101672</v>
      </c>
      <c r="W8" s="7">
        <f>100*'Table-n=1000-corr'!O8/SQRT(G$3)</f>
        <v>3.4301311164742683</v>
      </c>
      <c r="X8" s="7">
        <f>100*SQRT('Table-n=1000-corr'!P8/H$3)</f>
        <v>0.61326556168480961</v>
      </c>
      <c r="Y8" s="12"/>
      <c r="Z8" s="7">
        <f>100*'Table-n=1000-miss'!K8/SQRT(J$3)</f>
        <v>10.902251043302341</v>
      </c>
      <c r="AA8" s="7">
        <f>100*SQRT('Table-n=1000-miss'!L8/K$3)</f>
        <v>2.80492131020852</v>
      </c>
      <c r="AB8" s="7">
        <f>100*'Table-n=1000-miss'!M8/SQRT(L$3)</f>
        <v>8.3238202529728014</v>
      </c>
      <c r="AC8" s="7">
        <f>100*SQRT('Table-n=1000-miss'!N8/M$3)</f>
        <v>2.2964919488042477</v>
      </c>
      <c r="AD8" s="7">
        <f>100*'Table-n=1000-miss'!O8/SQRT(N$3)</f>
        <v>4.5404435396317107</v>
      </c>
      <c r="AE8" s="7">
        <f>100*SQRT('Table-n=1000-miss'!P8/O$3)</f>
        <v>0.69898172389175817</v>
      </c>
    </row>
    <row r="9" spans="1:31" x14ac:dyDescent="0.45">
      <c r="B9" s="1" t="s">
        <v>89</v>
      </c>
      <c r="C9" s="12">
        <f>'Table-n=1000-corr'!C9</f>
        <v>1.2541555782789899</v>
      </c>
      <c r="D9" s="12">
        <f>'Table-n=1000-corr'!D9</f>
        <v>2.3941269672266698</v>
      </c>
      <c r="E9" s="12">
        <f>'Table-n=1000-corr'!E9</f>
        <v>1</v>
      </c>
      <c r="F9" s="12">
        <f>'Table-n=1000-corr'!F9</f>
        <v>0.997</v>
      </c>
      <c r="G9" s="12">
        <f>'Table-n=1000-corr'!G9</f>
        <v>13.69725807592673</v>
      </c>
      <c r="H9" s="12">
        <f>'Table-n=1000-corr'!I9</f>
        <v>1</v>
      </c>
      <c r="I9" s="12"/>
      <c r="J9" s="12">
        <f>'Table-n=1000-miss'!C9</f>
        <v>-0.73714407217555</v>
      </c>
      <c r="K9" s="12">
        <f>'Table-n=1000-miss'!D9</f>
        <v>3.34355486421574</v>
      </c>
      <c r="L9" s="12">
        <f>'Table-n=1000-miss'!E9</f>
        <v>1</v>
      </c>
      <c r="M9" s="12">
        <f>'Table-n=1000-miss'!F9</f>
        <v>0.997</v>
      </c>
      <c r="N9" s="12">
        <f>'Table-n=1000-miss'!G9</f>
        <v>17.367459530389127</v>
      </c>
      <c r="O9" s="12">
        <f>'Table-n=1000-miss'!I9</f>
        <v>1</v>
      </c>
      <c r="P9" s="5"/>
      <c r="Q9" s="5"/>
      <c r="R9" s="1" t="s">
        <v>89</v>
      </c>
      <c r="S9" s="7">
        <f>100*'Table-n=1000-corr'!K9/SQRT(C$3)</f>
        <v>9.6911241797032179</v>
      </c>
      <c r="T9" s="7">
        <f>100*SQRT('Table-n=1000-corr'!L9/D$3)</f>
        <v>2.6632531790073211</v>
      </c>
      <c r="U9" s="7">
        <f>100*'Table-n=1000-corr'!M9/SQRT(E$3)</f>
        <v>7.6087433268815312</v>
      </c>
      <c r="V9" s="7">
        <f>100*SQRT('Table-n=1000-corr'!N9/F$3)</f>
        <v>2.2247088029044968</v>
      </c>
      <c r="W9" s="7">
        <f>100*'Table-n=1000-corr'!O9/SQRT(G$3)</f>
        <v>3.0875469436513523</v>
      </c>
      <c r="X9" s="7">
        <f>100*SQRT('Table-n=1000-corr'!P9/H$3)</f>
        <v>0.59154588371592698</v>
      </c>
      <c r="Y9" s="12"/>
      <c r="Z9" s="7">
        <f>100*'Table-n=1000-miss'!K9/SQRT(J$3)</f>
        <v>12.50981129219757</v>
      </c>
      <c r="AA9" s="7">
        <f>100*SQRT('Table-n=1000-miss'!L9/K$3)</f>
        <v>3.4298031734893044</v>
      </c>
      <c r="AB9" s="7">
        <f>100*'Table-n=1000-miss'!M9/SQRT(L$3)</f>
        <v>9.5126512198287383</v>
      </c>
      <c r="AC9" s="7">
        <f>100*SQRT('Table-n=1000-miss'!N9/M$3)</f>
        <v>2.7195642386221275</v>
      </c>
      <c r="AD9" s="7">
        <f>100*'Table-n=1000-miss'!O9/SQRT(N$3)</f>
        <v>3.7092435288235697</v>
      </c>
      <c r="AE9" s="7">
        <f>100*SQRT('Table-n=1000-miss'!P9/O$3)</f>
        <v>0.78189030368975787</v>
      </c>
    </row>
    <row r="10" spans="1:31" s="3" customFormat="1" x14ac:dyDescent="0.45">
      <c r="B10" s="3" t="s">
        <v>2</v>
      </c>
      <c r="C10" s="14">
        <f>'Table-n=1000-corr'!C10</f>
        <v>0.129284668898942</v>
      </c>
      <c r="D10" s="14">
        <f>'Table-n=1000-corr'!D10</f>
        <v>1.98807233445327</v>
      </c>
      <c r="E10" s="14">
        <f>'Table-n=1000-corr'!E10</f>
        <v>0.68955673805853612</v>
      </c>
      <c r="F10" s="14">
        <f>'Table-n=1000-corr'!F10</f>
        <v>0.95399999999999996</v>
      </c>
      <c r="G10" s="14">
        <f>'Table-n=1000-corr'!G10</f>
        <v>7.6105647900596471</v>
      </c>
      <c r="H10" s="14">
        <f>'Table-n=1000-corr'!I10</f>
        <v>3.2391682141754394</v>
      </c>
      <c r="I10" s="14"/>
      <c r="J10" s="14">
        <f>'Table-n=1000-miss'!C10</f>
        <v>-8.3686991213855304</v>
      </c>
      <c r="K10" s="14">
        <f>'Table-n=1000-miss'!D10</f>
        <v>16.005829853136099</v>
      </c>
      <c r="L10" s="14">
        <f>'Table-n=1000-miss'!E10</f>
        <v>22.916035374477463</v>
      </c>
      <c r="M10" s="14">
        <f>'Table-n=1000-miss'!F10</f>
        <v>0.85799999999999998</v>
      </c>
      <c r="N10" s="14">
        <f>'Table-n=1000-miss'!G10</f>
        <v>24.277965543646804</v>
      </c>
      <c r="O10" s="14">
        <f>'Table-n=1000-miss'!I10</f>
        <v>0.51173840323947972</v>
      </c>
      <c r="P10" s="13"/>
      <c r="Q10" s="13"/>
      <c r="R10" s="3" t="s">
        <v>2</v>
      </c>
      <c r="S10" s="7">
        <f>100*'Table-n=1000-corr'!K10/SQRT(C$3)</f>
        <v>10.324073727410781</v>
      </c>
      <c r="T10" s="7">
        <f>100*SQRT('Table-n=1000-corr'!L10/D$3)</f>
        <v>2.9830199787600367</v>
      </c>
      <c r="U10" s="7">
        <f>100*'Table-n=1000-corr'!M10/SQRT(E$3)</f>
        <v>8.4754007507929963</v>
      </c>
      <c r="V10" s="7">
        <f>100*SQRT('Table-n=1000-corr'!N10/F$3)</f>
        <v>2.6249253575079559</v>
      </c>
      <c r="W10" s="7">
        <f>100*'Table-n=1000-corr'!O10/SQRT(G$3)</f>
        <v>3.0836038630142188</v>
      </c>
      <c r="X10" s="7">
        <f>100*SQRT('Table-n=1000-corr'!P10/H$3)</f>
        <v>0.5702000018622948</v>
      </c>
      <c r="Y10" s="14"/>
      <c r="Z10" s="7">
        <f>100*'Table-n=1000-miss'!K10/SQRT(J$3)</f>
        <v>10.902110119816776</v>
      </c>
      <c r="AA10" s="7">
        <f>100*SQRT('Table-n=1000-miss'!L10/K$3)</f>
        <v>2.7814306634325741</v>
      </c>
      <c r="AB10" s="7">
        <f>100*'Table-n=1000-miss'!M10/SQRT(L$3)</f>
        <v>8.3530273877375212</v>
      </c>
      <c r="AC10" s="7">
        <f>100*SQRT('Table-n=1000-miss'!N10/M$3)</f>
        <v>2.3506549648662389</v>
      </c>
      <c r="AD10" s="7">
        <f>100*'Table-n=1000-miss'!O10/SQRT(N$3)</f>
        <v>5.116714523363914</v>
      </c>
      <c r="AE10" s="7">
        <f>100*SQRT('Table-n=1000-miss'!P10/O$3)</f>
        <v>0.78827352046461652</v>
      </c>
    </row>
    <row r="11" spans="1:31" s="4" customFormat="1" x14ac:dyDescent="0.4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 t="s">
        <v>219</v>
      </c>
      <c r="T11" s="16"/>
      <c r="U11" s="16"/>
      <c r="V11" s="16"/>
      <c r="W11" s="16"/>
      <c r="X11" s="16"/>
      <c r="Y11" s="7"/>
      <c r="Z11" s="16" t="s">
        <v>219</v>
      </c>
      <c r="AA11" s="16"/>
      <c r="AB11" s="16"/>
      <c r="AC11" s="16"/>
      <c r="AD11" s="16"/>
      <c r="AE11" s="16"/>
    </row>
    <row r="12" spans="1:31" x14ac:dyDescent="0.45">
      <c r="A12" s="2" t="s">
        <v>206</v>
      </c>
      <c r="B12" s="1" t="s">
        <v>3</v>
      </c>
      <c r="C12" s="12">
        <f>'Table-n=1000-corr'!C12</f>
        <v>0.21946878060883501</v>
      </c>
      <c r="D12" s="12">
        <f>'Table-n=1000-corr'!D12</f>
        <v>1.6201761067493601</v>
      </c>
      <c r="E12" s="12">
        <f>'Table-n=1000-corr'!E12</f>
        <v>0.97751107282944971</v>
      </c>
      <c r="F12" s="12">
        <f>'Table-n=1000-corr'!F12</f>
        <v>0.91500000000000004</v>
      </c>
      <c r="G12" s="12">
        <f>'Table-n=1000-corr'!G12</f>
        <v>5.9879137857318678</v>
      </c>
      <c r="H12" s="12">
        <f>'Table-n=1000-corr'!I12</f>
        <v>1.0707270754236935</v>
      </c>
      <c r="I12" s="12"/>
      <c r="J12" s="12">
        <f>'Table-n=1000-miss'!C12</f>
        <v>1.2239863178144901</v>
      </c>
      <c r="K12" s="12">
        <f>'Table-n=1000-miss'!D12</f>
        <v>1.8870015294028699</v>
      </c>
      <c r="L12" s="12">
        <f>'Table-n=1000-miss'!E12</f>
        <v>0.82739001972550696</v>
      </c>
      <c r="M12" s="12">
        <f>'Table-n=1000-miss'!F12</f>
        <v>0.81200000000000006</v>
      </c>
      <c r="N12" s="12">
        <f>'Table-n=1000-miss'!G12</f>
        <v>5.4231404964700625</v>
      </c>
      <c r="O12" s="12">
        <f>'Table-n=1000-miss'!I12</f>
        <v>0.95708990702311636</v>
      </c>
      <c r="P12" s="5"/>
      <c r="Q12" s="5"/>
      <c r="R12" s="1" t="s">
        <v>3</v>
      </c>
      <c r="S12" s="15">
        <f t="shared" ref="S12:X12" si="0">100*S5/S$9</f>
        <v>91.299445125331445</v>
      </c>
      <c r="T12" s="15">
        <f t="shared" si="0"/>
        <v>90.500937716496892</v>
      </c>
      <c r="U12" s="15">
        <f t="shared" si="0"/>
        <v>92.36004936837891</v>
      </c>
      <c r="V12" s="15">
        <f t="shared" si="0"/>
        <v>91.995724367861314</v>
      </c>
      <c r="W12" s="15">
        <f t="shared" si="0"/>
        <v>101.86682259657513</v>
      </c>
      <c r="X12" s="15">
        <f t="shared" si="0"/>
        <v>96.271310964570503</v>
      </c>
      <c r="Y12" s="12"/>
      <c r="Z12" s="15">
        <f t="shared" ref="Z12:AE12" si="1">100*Z5/Z$9</f>
        <v>91.770313724188696</v>
      </c>
      <c r="AA12" s="15">
        <f t="shared" si="1"/>
        <v>84.321522806453189</v>
      </c>
      <c r="AB12" s="15">
        <f t="shared" si="1"/>
        <v>85.632876271403688</v>
      </c>
      <c r="AC12" s="15">
        <f t="shared" si="1"/>
        <v>81.063145682675639</v>
      </c>
      <c r="AD12" s="15">
        <f t="shared" si="1"/>
        <v>127.23732671634956</v>
      </c>
      <c r="AE12" s="15">
        <f t="shared" si="1"/>
        <v>102.59525757934239</v>
      </c>
    </row>
    <row r="13" spans="1:31" x14ac:dyDescent="0.45">
      <c r="B13" s="1" t="s">
        <v>5</v>
      </c>
      <c r="C13" s="12">
        <f>'Table-n=1000-corr'!C13</f>
        <v>0.67837780709565199</v>
      </c>
      <c r="D13" s="12">
        <f>'Table-n=1000-corr'!D13</f>
        <v>1.6915770661420999</v>
      </c>
      <c r="E13" s="12">
        <f>'Table-n=1000-corr'!E13</f>
        <v>1.0655671324578229</v>
      </c>
      <c r="F13" s="12">
        <f>'Table-n=1000-corr'!F13</f>
        <v>0.91600000000000004</v>
      </c>
      <c r="G13" s="12">
        <f>'Table-n=1000-corr'!G13</f>
        <v>6.4741386639374188</v>
      </c>
      <c r="H13" s="12">
        <f>'Table-n=1000-corr'!I13</f>
        <v>0.91593755956530898</v>
      </c>
      <c r="I13" s="12"/>
      <c r="J13" s="12">
        <f>'Table-n=1000-miss'!C13</f>
        <v>1.20576698768042</v>
      </c>
      <c r="K13" s="12">
        <f>'Table-n=1000-miss'!D13</f>
        <v>1.8697663189343201</v>
      </c>
      <c r="L13" s="12">
        <f>'Table-n=1000-miss'!E13</f>
        <v>0.81234486275384155</v>
      </c>
      <c r="M13" s="12">
        <f>'Table-n=1000-miss'!F13</f>
        <v>0.82899999999999996</v>
      </c>
      <c r="N13" s="12">
        <f>'Table-n=1000-miss'!G13</f>
        <v>5.7724791279114962</v>
      </c>
      <c r="O13" s="12">
        <f>'Table-n=1000-miss'!I13</f>
        <v>0.84475292735155072</v>
      </c>
      <c r="P13" s="5"/>
      <c r="Q13" s="5"/>
      <c r="R13" s="1" t="s">
        <v>5</v>
      </c>
      <c r="S13" s="15">
        <f t="shared" ref="S13:X17" si="2">100*S6/S$9</f>
        <v>81.028969995016567</v>
      </c>
      <c r="T13" s="15">
        <f t="shared" si="2"/>
        <v>70.709510337670281</v>
      </c>
      <c r="U13" s="15">
        <f t="shared" si="2"/>
        <v>79.48721000161882</v>
      </c>
      <c r="V13" s="15">
        <f t="shared" si="2"/>
        <v>69.395432926697907</v>
      </c>
      <c r="W13" s="15">
        <f t="shared" si="2"/>
        <v>116.11445966237208</v>
      </c>
      <c r="X13" s="15">
        <f t="shared" si="2"/>
        <v>97.124140629193931</v>
      </c>
      <c r="Y13" s="12"/>
      <c r="Z13" s="15">
        <f t="shared" ref="Z13:AE17" si="3">100*Z6/Z$9</f>
        <v>83.591885812590434</v>
      </c>
      <c r="AA13" s="15">
        <f t="shared" si="3"/>
        <v>66.220701102398607</v>
      </c>
      <c r="AB13" s="15">
        <f t="shared" si="3"/>
        <v>78.919522530685214</v>
      </c>
      <c r="AC13" s="15">
        <f t="shared" si="3"/>
        <v>66.642783891519912</v>
      </c>
      <c r="AD13" s="15">
        <f t="shared" si="3"/>
        <v>133.36750960277476</v>
      </c>
      <c r="AE13" s="15">
        <f t="shared" si="3"/>
        <v>93.030920870511778</v>
      </c>
    </row>
    <row r="14" spans="1:31" x14ac:dyDescent="0.45">
      <c r="B14" s="1" t="s">
        <v>4</v>
      </c>
      <c r="C14" s="12">
        <f>'Table-n=1000-corr'!C14</f>
        <v>0.19839199071018099</v>
      </c>
      <c r="D14" s="12">
        <f>'Table-n=1000-corr'!D14</f>
        <v>1.70936106247802</v>
      </c>
      <c r="E14" s="12">
        <f>'Table-n=1000-corr'!E14</f>
        <v>1.0880900854559699</v>
      </c>
      <c r="F14" s="12">
        <f>'Table-n=1000-corr'!F14</f>
        <v>0.90500000000000003</v>
      </c>
      <c r="G14" s="12">
        <f>'Table-n=1000-corr'!G14</f>
        <v>6.0302302763208919</v>
      </c>
      <c r="H14" s="12">
        <f>'Table-n=1000-corr'!I14</f>
        <v>1.0557523785431626</v>
      </c>
      <c r="I14" s="12"/>
      <c r="J14" s="12">
        <f>'Table-n=1000-miss'!C14</f>
        <v>1.4680719956272199</v>
      </c>
      <c r="K14" s="12">
        <f>'Table-n=1000-miss'!D14</f>
        <v>1.9672795355272901</v>
      </c>
      <c r="L14" s="12">
        <f>'Table-n=1000-miss'!E14</f>
        <v>0.89928618589083009</v>
      </c>
      <c r="M14" s="12">
        <f>'Table-n=1000-miss'!F14</f>
        <v>0.74299999999999999</v>
      </c>
      <c r="N14" s="12">
        <f>'Table-n=1000-miss'!G14</f>
        <v>5.0119571203111626</v>
      </c>
      <c r="O14" s="12">
        <f>'Table-n=1000-miss'!I14</f>
        <v>1.1205719691461031</v>
      </c>
      <c r="P14" s="5"/>
      <c r="Q14" s="5"/>
      <c r="R14" s="1" t="s">
        <v>4</v>
      </c>
      <c r="S14" s="15">
        <f t="shared" si="2"/>
        <v>105.13792068006927</v>
      </c>
      <c r="T14" s="15">
        <f t="shared" si="2"/>
        <v>104.72516945174539</v>
      </c>
      <c r="U14" s="15">
        <f t="shared" si="2"/>
        <v>106.1418019222362</v>
      </c>
      <c r="V14" s="15">
        <f t="shared" si="2"/>
        <v>107.50474775995757</v>
      </c>
      <c r="W14" s="15">
        <f t="shared" si="2"/>
        <v>105.2656573003094</v>
      </c>
      <c r="X14" s="15">
        <f t="shared" si="2"/>
        <v>100.1195780038849</v>
      </c>
      <c r="Y14" s="12"/>
      <c r="Z14" s="15">
        <f t="shared" si="3"/>
        <v>92.263576523755972</v>
      </c>
      <c r="AA14" s="15">
        <f t="shared" si="3"/>
        <v>84.203425966999461</v>
      </c>
      <c r="AB14" s="15">
        <f t="shared" si="3"/>
        <v>89.578030092582779</v>
      </c>
      <c r="AC14" s="15">
        <f t="shared" si="3"/>
        <v>82.39409607959152</v>
      </c>
      <c r="AD14" s="15">
        <f t="shared" si="3"/>
        <v>105.49213036834402</v>
      </c>
      <c r="AE14" s="15">
        <f t="shared" si="3"/>
        <v>94.346016282357439</v>
      </c>
    </row>
    <row r="15" spans="1:31" x14ac:dyDescent="0.45">
      <c r="B15" s="1" t="s">
        <v>88</v>
      </c>
      <c r="C15" s="12">
        <f>'Table-n=1000-corr'!C15</f>
        <v>0.33458392262234399</v>
      </c>
      <c r="D15" s="12">
        <f>'Table-n=1000-corr'!D15</f>
        <v>1.88268106651804</v>
      </c>
      <c r="E15" s="12">
        <f>'Table-n=1000-corr'!E15</f>
        <v>1.3199295426372064</v>
      </c>
      <c r="F15" s="12">
        <f>'Table-n=1000-corr'!F15</f>
        <v>0.86699999999999999</v>
      </c>
      <c r="G15" s="12">
        <f>'Table-n=1000-corr'!G15</f>
        <v>5.9197034704846221</v>
      </c>
      <c r="H15" s="12">
        <f>'Table-n=1000-corr'!I15</f>
        <v>1.0955443338476705</v>
      </c>
      <c r="I15" s="12"/>
      <c r="J15" s="12">
        <f>'Table-n=1000-miss'!C15</f>
        <v>1.31950473581945</v>
      </c>
      <c r="K15" s="12">
        <f>'Table-n=1000-miss'!D15</f>
        <v>1.9061560211659101</v>
      </c>
      <c r="L15" s="12">
        <f>'Table-n=1000-miss'!E15</f>
        <v>0.84427254033073806</v>
      </c>
      <c r="M15" s="12">
        <f>'Table-n=1000-miss'!F15</f>
        <v>0.78400000000000003</v>
      </c>
      <c r="N15" s="12">
        <f>'Table-n=1000-miss'!G15</f>
        <v>5.2582886333217171</v>
      </c>
      <c r="O15" s="12">
        <f>'Table-n=1000-miss'!I15</f>
        <v>1.0180417886258311</v>
      </c>
      <c r="P15" s="5"/>
      <c r="Q15" s="5"/>
      <c r="R15" s="1" t="s">
        <v>88</v>
      </c>
      <c r="S15" s="15">
        <f t="shared" si="2"/>
        <v>103.01251386788439</v>
      </c>
      <c r="T15" s="15">
        <f t="shared" si="2"/>
        <v>106.7481474076813</v>
      </c>
      <c r="U15" s="15">
        <f t="shared" si="2"/>
        <v>108.43202449325568</v>
      </c>
      <c r="V15" s="15">
        <f t="shared" si="2"/>
        <v>114.21051561862507</v>
      </c>
      <c r="W15" s="15">
        <f t="shared" si="2"/>
        <v>111.09567495086485</v>
      </c>
      <c r="X15" s="15">
        <f t="shared" si="2"/>
        <v>103.67168102539158</v>
      </c>
      <c r="Y15" s="12"/>
      <c r="Z15" s="15">
        <f t="shared" si="3"/>
        <v>87.149604327781717</v>
      </c>
      <c r="AA15" s="15">
        <f t="shared" si="3"/>
        <v>81.780824389258996</v>
      </c>
      <c r="AB15" s="15">
        <f t="shared" si="3"/>
        <v>87.502632658518309</v>
      </c>
      <c r="AC15" s="15">
        <f t="shared" si="3"/>
        <v>84.443379427866347</v>
      </c>
      <c r="AD15" s="15">
        <f t="shared" si="3"/>
        <v>122.40888214400326</v>
      </c>
      <c r="AE15" s="15">
        <f t="shared" si="3"/>
        <v>89.396392383080808</v>
      </c>
    </row>
    <row r="16" spans="1:31" x14ac:dyDescent="0.45">
      <c r="B16" s="1" t="s">
        <v>89</v>
      </c>
      <c r="C16" s="12">
        <f>'Table-n=1000-corr'!C16</f>
        <v>0.56049227382281397</v>
      </c>
      <c r="D16" s="12">
        <f>'Table-n=1000-corr'!D16</f>
        <v>1.63870726990869</v>
      </c>
      <c r="E16" s="12">
        <f>'Table-n=1000-corr'!E16</f>
        <v>1</v>
      </c>
      <c r="F16" s="12">
        <f>'Table-n=1000-corr'!F16</f>
        <v>0.91</v>
      </c>
      <c r="G16" s="12">
        <f>'Table-n=1000-corr'!G16</f>
        <v>6.1960502484342497</v>
      </c>
      <c r="H16" s="12">
        <f>'Table-n=1000-corr'!I16</f>
        <v>1</v>
      </c>
      <c r="I16" s="12"/>
      <c r="J16" s="12">
        <f>'Table-n=1000-miss'!C16</f>
        <v>1.6032907292712899</v>
      </c>
      <c r="K16" s="12">
        <f>'Table-n=1000-miss'!D16</f>
        <v>2.07451754974185</v>
      </c>
      <c r="L16" s="12">
        <f>'Table-n=1000-miss'!E16</f>
        <v>1</v>
      </c>
      <c r="M16" s="12">
        <f>'Table-n=1000-miss'!F16</f>
        <v>0.73199999999999998</v>
      </c>
      <c r="N16" s="12">
        <f>'Table-n=1000-miss'!G16</f>
        <v>5.3055110572315094</v>
      </c>
      <c r="O16" s="12">
        <f>'Table-n=1000-miss'!I16</f>
        <v>1</v>
      </c>
      <c r="P16" s="5"/>
      <c r="Q16" s="5"/>
      <c r="R16" s="1" t="s">
        <v>89</v>
      </c>
      <c r="S16" s="15">
        <f t="shared" si="2"/>
        <v>100</v>
      </c>
      <c r="T16" s="15">
        <f t="shared" si="2"/>
        <v>100</v>
      </c>
      <c r="U16" s="15">
        <f t="shared" si="2"/>
        <v>100</v>
      </c>
      <c r="V16" s="15">
        <f t="shared" si="2"/>
        <v>100</v>
      </c>
      <c r="W16" s="15">
        <f t="shared" si="2"/>
        <v>100</v>
      </c>
      <c r="X16" s="15">
        <f t="shared" si="2"/>
        <v>100</v>
      </c>
      <c r="Y16" s="12"/>
      <c r="Z16" s="15">
        <f t="shared" si="3"/>
        <v>100.00000000000001</v>
      </c>
      <c r="AA16" s="15">
        <f t="shared" si="3"/>
        <v>100</v>
      </c>
      <c r="AB16" s="15">
        <f t="shared" si="3"/>
        <v>100</v>
      </c>
      <c r="AC16" s="15">
        <f t="shared" si="3"/>
        <v>100.00000000000001</v>
      </c>
      <c r="AD16" s="15">
        <f t="shared" si="3"/>
        <v>100</v>
      </c>
      <c r="AE16" s="15">
        <f t="shared" si="3"/>
        <v>100.00000000000001</v>
      </c>
    </row>
    <row r="17" spans="1:31" s="3" customFormat="1" x14ac:dyDescent="0.45">
      <c r="B17" s="3" t="s">
        <v>2</v>
      </c>
      <c r="C17" s="14">
        <f>'Table-n=1000-corr'!C17</f>
        <v>0.14806356835448201</v>
      </c>
      <c r="D17" s="14">
        <f>'Table-n=1000-corr'!D17</f>
        <v>1.89681219342965</v>
      </c>
      <c r="E17" s="14">
        <f>'Table-n=1000-corr'!E17</f>
        <v>1.3398182982444842</v>
      </c>
      <c r="F17" s="14">
        <f>'Table-n=1000-corr'!F17</f>
        <v>0.90500000000000003</v>
      </c>
      <c r="G17" s="14">
        <f>'Table-n=1000-corr'!G17</f>
        <v>6.4200919659960887</v>
      </c>
      <c r="H17" s="14">
        <f>'Table-n=1000-corr'!I17</f>
        <v>0.93142387029250651</v>
      </c>
      <c r="I17" s="14"/>
      <c r="J17" s="14">
        <f>'Table-n=1000-miss'!C17</f>
        <v>1.26737129115706</v>
      </c>
      <c r="K17" s="14">
        <f>'Table-n=1000-miss'!D17</f>
        <v>1.8955265737022</v>
      </c>
      <c r="L17" s="14">
        <f>'Table-n=1000-miss'!E17</f>
        <v>0.83488282733469843</v>
      </c>
      <c r="M17" s="14">
        <f>'Table-n=1000-miss'!F17</f>
        <v>0.80100000000000005</v>
      </c>
      <c r="N17" s="14">
        <f>'Table-n=1000-miss'!G17</f>
        <v>5.399733360617601</v>
      </c>
      <c r="O17" s="14">
        <f>'Table-n=1000-miss'!I17</f>
        <v>0.96540561020061733</v>
      </c>
      <c r="P17" s="13"/>
      <c r="Q17" s="13"/>
      <c r="R17" s="3" t="s">
        <v>2</v>
      </c>
      <c r="S17" s="15">
        <f t="shared" si="2"/>
        <v>106.5312293596773</v>
      </c>
      <c r="T17" s="15">
        <f t="shared" si="2"/>
        <v>112.00662416450781</v>
      </c>
      <c r="U17" s="15">
        <f t="shared" si="2"/>
        <v>111.39028334481442</v>
      </c>
      <c r="V17" s="15">
        <f t="shared" si="2"/>
        <v>117.98961527373611</v>
      </c>
      <c r="W17" s="15">
        <f t="shared" si="2"/>
        <v>99.872290827990767</v>
      </c>
      <c r="X17" s="15">
        <f t="shared" si="2"/>
        <v>96.391508682379254</v>
      </c>
      <c r="Y17" s="14"/>
      <c r="Z17" s="15">
        <f t="shared" si="3"/>
        <v>87.148477824093746</v>
      </c>
      <c r="AA17" s="15">
        <f t="shared" si="3"/>
        <v>81.095926580617473</v>
      </c>
      <c r="AB17" s="15">
        <f t="shared" si="3"/>
        <v>87.809667302065819</v>
      </c>
      <c r="AC17" s="15">
        <f t="shared" si="3"/>
        <v>86.434985851159851</v>
      </c>
      <c r="AD17" s="15">
        <f t="shared" si="3"/>
        <v>137.94496057223668</v>
      </c>
      <c r="AE17" s="15">
        <f t="shared" si="3"/>
        <v>100.81638264916909</v>
      </c>
    </row>
    <row r="18" spans="1:31" s="4" customForma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45">
      <c r="A19" s="2" t="s">
        <v>59</v>
      </c>
      <c r="B19" s="1" t="s">
        <v>3</v>
      </c>
      <c r="C19" s="12">
        <f>'Table-n=1000-corr'!C19</f>
        <v>-1.24469577869419E-2</v>
      </c>
      <c r="D19" s="12">
        <f>'Table-n=1000-corr'!D19</f>
        <v>1.0976449684068299</v>
      </c>
      <c r="E19" s="12">
        <f>'Table-n=1000-corr'!E19</f>
        <v>0.9039628161018326</v>
      </c>
      <c r="F19" s="12">
        <f>'Table-n=1000-corr'!F19</f>
        <v>0.97699999999999998</v>
      </c>
      <c r="G19" s="12">
        <f>'Table-n=1000-corr'!G19</f>
        <v>4.9430754118348226</v>
      </c>
      <c r="H19" s="12">
        <f>'Table-n=1000-corr'!I19</f>
        <v>1.3754286425442539</v>
      </c>
      <c r="I19" s="12"/>
      <c r="J19" s="12">
        <f>'Table-n=1000-miss'!C19</f>
        <v>0.81484174657141395</v>
      </c>
      <c r="K19" s="12">
        <f>'Table-n=1000-miss'!D19</f>
        <v>1.28549524475851</v>
      </c>
      <c r="L19" s="12">
        <f>'Table-n=1000-miss'!E19</f>
        <v>0.51673504804817494</v>
      </c>
      <c r="M19" s="12">
        <f>'Table-n=1000-miss'!F19</f>
        <v>0.94899999999999995</v>
      </c>
      <c r="N19" s="12">
        <f>'Table-n=1000-miss'!G19</f>
        <v>4.8768228873283679</v>
      </c>
      <c r="O19" s="12">
        <f>'Table-n=1000-miss'!I19</f>
        <v>1.1331389815177684</v>
      </c>
      <c r="P19" s="5"/>
      <c r="Q19" s="5"/>
      <c r="Y19" s="12"/>
    </row>
    <row r="20" spans="1:31" x14ac:dyDescent="0.45">
      <c r="B20" s="1" t="s">
        <v>5</v>
      </c>
      <c r="C20" s="12">
        <f>'Table-n=1000-corr'!C20</f>
        <v>0.36159748474970999</v>
      </c>
      <c r="D20" s="12">
        <f>'Table-n=1000-corr'!D20</f>
        <v>1.2074291155243799</v>
      </c>
      <c r="E20" s="12">
        <f>'Table-n=1000-corr'!E20</f>
        <v>1.0938306102348125</v>
      </c>
      <c r="F20" s="12">
        <f>'Table-n=1000-corr'!F20</f>
        <v>0.97799999999999998</v>
      </c>
      <c r="G20" s="12">
        <f>'Table-n=1000-corr'!G20</f>
        <v>5.9716901554684387</v>
      </c>
      <c r="H20" s="12">
        <f>'Table-n=1000-corr'!I20</f>
        <v>0.94240591710092525</v>
      </c>
      <c r="I20" s="12"/>
      <c r="J20" s="12">
        <f>'Table-n=1000-miss'!C20</f>
        <v>0.73717979697200198</v>
      </c>
      <c r="K20" s="12">
        <f>'Table-n=1000-miss'!D20</f>
        <v>1.2805602334380199</v>
      </c>
      <c r="L20" s="12">
        <f>'Table-n=1000-miss'!E20</f>
        <v>0.51277517589312571</v>
      </c>
      <c r="M20" s="12">
        <f>'Table-n=1000-miss'!F20</f>
        <v>0.96199999999999997</v>
      </c>
      <c r="N20" s="12">
        <f>'Table-n=1000-miss'!G20</f>
        <v>5.5119803120905067</v>
      </c>
      <c r="O20" s="12">
        <f>'Table-n=1000-miss'!I20</f>
        <v>0.8870371967651155</v>
      </c>
      <c r="P20" s="5"/>
      <c r="Q20" s="5"/>
      <c r="Y20" s="12"/>
    </row>
    <row r="21" spans="1:31" x14ac:dyDescent="0.45">
      <c r="B21" s="1" t="s">
        <v>4</v>
      </c>
      <c r="C21" s="12">
        <f>'Table-n=1000-corr'!C21</f>
        <v>5.4547813254287397E-2</v>
      </c>
      <c r="D21" s="12">
        <f>'Table-n=1000-corr'!D21</f>
        <v>1.1514874156564701</v>
      </c>
      <c r="E21" s="12">
        <f>'Table-n=1000-corr'!E21</f>
        <v>0.99482153198404777</v>
      </c>
      <c r="F21" s="12">
        <f>'Table-n=1000-corr'!F21</f>
        <v>0.96799999999999997</v>
      </c>
      <c r="G21" s="12">
        <f>'Table-n=1000-corr'!G21</f>
        <v>4.9357059631257609</v>
      </c>
      <c r="H21" s="12">
        <f>'Table-n=1000-corr'!I21</f>
        <v>1.3795389837996213</v>
      </c>
      <c r="I21" s="12"/>
      <c r="J21" s="12">
        <f>'Table-n=1000-miss'!C21</f>
        <v>1.1563054562724</v>
      </c>
      <c r="K21" s="12">
        <f>'Table-n=1000-miss'!D21</f>
        <v>1.51254207513981</v>
      </c>
      <c r="L21" s="12">
        <f>'Table-n=1000-miss'!E21</f>
        <v>0.71538840860037023</v>
      </c>
      <c r="M21" s="12">
        <f>'Table-n=1000-miss'!F21</f>
        <v>0.875</v>
      </c>
      <c r="N21" s="12">
        <f>'Table-n=1000-miss'!G21</f>
        <v>4.624421029147026</v>
      </c>
      <c r="O21" s="12">
        <f>'Table-n=1000-miss'!I21</f>
        <v>1.2602085223453408</v>
      </c>
      <c r="P21" s="5"/>
      <c r="Q21" s="5"/>
      <c r="Y21" s="12"/>
    </row>
    <row r="22" spans="1:31" x14ac:dyDescent="0.45">
      <c r="B22" s="1" t="s">
        <v>88</v>
      </c>
      <c r="C22" s="12">
        <f>'Table-n=1000-corr'!C22</f>
        <v>0.21086353013786199</v>
      </c>
      <c r="D22" s="12">
        <f>'Table-n=1000-corr'!D22</f>
        <v>1.2982295570468301</v>
      </c>
      <c r="E22" s="12">
        <f>'Table-n=1000-corr'!E22</f>
        <v>1.2645318419436546</v>
      </c>
      <c r="F22" s="12">
        <f>'Table-n=1000-corr'!F22</f>
        <v>0.94099999999999995</v>
      </c>
      <c r="G22" s="12">
        <f>'Table-n=1000-corr'!G22</f>
        <v>5.0349967190549743</v>
      </c>
      <c r="H22" s="12">
        <f>'Table-n=1000-corr'!I22</f>
        <v>1.3256661058053856</v>
      </c>
      <c r="I22" s="12"/>
      <c r="J22" s="12">
        <f>'Table-n=1000-miss'!C22</f>
        <v>0.94419305312420798</v>
      </c>
      <c r="K22" s="12">
        <f>'Table-n=1000-miss'!D22</f>
        <v>1.3662313452458299</v>
      </c>
      <c r="L22" s="12">
        <f>'Table-n=1000-miss'!E22</f>
        <v>0.58368087073972674</v>
      </c>
      <c r="M22" s="12">
        <f>'Table-n=1000-miss'!F22</f>
        <v>0.91700000000000004</v>
      </c>
      <c r="N22" s="12">
        <f>'Table-n=1000-miss'!G22</f>
        <v>4.7382023978736578</v>
      </c>
      <c r="O22" s="12">
        <f>'Table-n=1000-miss'!I22</f>
        <v>1.2004109014220616</v>
      </c>
      <c r="P22" s="5"/>
      <c r="Q22" s="5"/>
      <c r="Y22" s="12"/>
    </row>
    <row r="23" spans="1:31" x14ac:dyDescent="0.45">
      <c r="B23" s="1" t="s">
        <v>89</v>
      </c>
      <c r="C23" s="12">
        <f>'Table-n=1000-corr'!C23</f>
        <v>0.40045333351130002</v>
      </c>
      <c r="D23" s="12">
        <f>'Table-n=1000-corr'!D23</f>
        <v>1.1544805158175</v>
      </c>
      <c r="E23" s="12">
        <f>'Table-n=1000-corr'!E23</f>
        <v>1</v>
      </c>
      <c r="F23" s="12">
        <f>'Table-n=1000-corr'!F23</f>
        <v>0.98499999999999999</v>
      </c>
      <c r="G23" s="12">
        <f>'Table-n=1000-corr'!G23</f>
        <v>5.7971730976678293</v>
      </c>
      <c r="H23" s="12">
        <f>'Table-n=1000-corr'!I23</f>
        <v>1</v>
      </c>
      <c r="I23" s="12"/>
      <c r="J23" s="12">
        <f>'Table-n=1000-miss'!C23</f>
        <v>1.4554515507816701</v>
      </c>
      <c r="K23" s="12">
        <f>'Table-n=1000-miss'!D23</f>
        <v>1.7882840991942099</v>
      </c>
      <c r="L23" s="12">
        <f>'Table-n=1000-miss'!E23</f>
        <v>1</v>
      </c>
      <c r="M23" s="12">
        <f>'Table-n=1000-miss'!F23</f>
        <v>0.86099999999999999</v>
      </c>
      <c r="N23" s="12">
        <f>'Table-n=1000-miss'!G23</f>
        <v>5.1913292443935388</v>
      </c>
      <c r="O23" s="12">
        <f>'Table-n=1000-miss'!I23</f>
        <v>1</v>
      </c>
      <c r="P23" s="5"/>
      <c r="Q23" s="5"/>
      <c r="Y23" s="12"/>
    </row>
    <row r="24" spans="1:31" s="3" customFormat="1" x14ac:dyDescent="0.45">
      <c r="B24" s="3" t="s">
        <v>2</v>
      </c>
      <c r="C24" s="14">
        <f>'Table-n=1000-corr'!C24</f>
        <v>1.27931372715375E-2</v>
      </c>
      <c r="D24" s="14">
        <f>'Table-n=1000-corr'!D24</f>
        <v>1.2912598650684399</v>
      </c>
      <c r="E24" s="14">
        <f>'Table-n=1000-corr'!E24</f>
        <v>1.2509907243072322</v>
      </c>
      <c r="F24" s="14">
        <f>'Table-n=1000-corr'!F24</f>
        <v>0.97</v>
      </c>
      <c r="G24" s="14">
        <f>'Table-n=1000-corr'!G24</f>
        <v>5.4524299717121814</v>
      </c>
      <c r="H24" s="14">
        <f>'Table-n=1000-corr'!I24</f>
        <v>1.1304525646242265</v>
      </c>
      <c r="I24" s="14"/>
      <c r="J24" s="14">
        <f>'Table-n=1000-miss'!C24</f>
        <v>0.874183496030143</v>
      </c>
      <c r="K24" s="14">
        <f>'Table-n=1000-miss'!D24</f>
        <v>1.3345072952724299</v>
      </c>
      <c r="L24" s="14">
        <f>'Table-n=1000-miss'!E24</f>
        <v>0.55688930140292747</v>
      </c>
      <c r="M24" s="14">
        <f>'Table-n=1000-miss'!F24</f>
        <v>0.92500000000000004</v>
      </c>
      <c r="N24" s="14">
        <f>'Table-n=1000-miss'!G24</f>
        <v>4.8421890296378001</v>
      </c>
      <c r="O24" s="14">
        <f>'Table-n=1000-miss'!I24</f>
        <v>1.1494065515095389</v>
      </c>
      <c r="P24" s="13"/>
      <c r="Q24" s="13"/>
      <c r="Y24" s="14"/>
    </row>
    <row r="25" spans="1:31" s="4" customFormat="1" x14ac:dyDescent="0.4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45">
      <c r="A26" s="2" t="s">
        <v>60</v>
      </c>
      <c r="B26" s="1" t="s">
        <v>3</v>
      </c>
      <c r="C26" s="12">
        <f>'Table-n=1000-corr'!C26</f>
        <v>-9.8981221471912101E-2</v>
      </c>
      <c r="D26" s="12">
        <f>'Table-n=1000-corr'!D26</f>
        <v>1.31490204443652</v>
      </c>
      <c r="E26" s="12">
        <f>'Table-n=1000-corr'!E26</f>
        <v>0.80613094235801608</v>
      </c>
      <c r="F26" s="12">
        <f>'Table-n=1000-corr'!F26</f>
        <v>0.95499999999999996</v>
      </c>
      <c r="G26" s="12">
        <f>'Table-n=1000-corr'!G26</f>
        <v>5.5954536751528936</v>
      </c>
      <c r="H26" s="12">
        <f>'Table-n=1000-corr'!I26</f>
        <v>1.6472710665231765</v>
      </c>
      <c r="I26" s="12"/>
      <c r="J26" s="12">
        <f>'Table-n=1000-miss'!C26</f>
        <v>0.761568005319602</v>
      </c>
      <c r="K26" s="12">
        <f>'Table-n=1000-miss'!D26</f>
        <v>1.51974440720379</v>
      </c>
      <c r="L26" s="12">
        <f>'Table-n=1000-miss'!E26</f>
        <v>0.35808827212240124</v>
      </c>
      <c r="M26" s="12">
        <f>'Table-n=1000-miss'!F26</f>
        <v>0.93300000000000005</v>
      </c>
      <c r="N26" s="12">
        <f>'Table-n=1000-miss'!G26</f>
        <v>5.393397095787769</v>
      </c>
      <c r="O26" s="12">
        <f>'Table-n=1000-miss'!I26</f>
        <v>1.542593310440457</v>
      </c>
      <c r="P26" s="5"/>
      <c r="Q26"/>
      <c r="R26"/>
      <c r="S26"/>
      <c r="T26"/>
      <c r="Y26" s="12"/>
    </row>
    <row r="27" spans="1:31" x14ac:dyDescent="0.45">
      <c r="B27" s="1" t="s">
        <v>5</v>
      </c>
      <c r="C27" s="12">
        <f>'Table-n=1000-corr'!C27</f>
        <v>0.49128451636514903</v>
      </c>
      <c r="D27" s="12">
        <f>'Table-n=1000-corr'!D27</f>
        <v>1.6193530213150999</v>
      </c>
      <c r="E27" s="12">
        <f>'Table-n=1000-corr'!E27</f>
        <v>1.2226491827472854</v>
      </c>
      <c r="F27" s="12">
        <f>'Table-n=1000-corr'!F27</f>
        <v>0.98599999999999999</v>
      </c>
      <c r="G27" s="12">
        <f>'Table-n=1000-corr'!G27</f>
        <v>8.431220761318011</v>
      </c>
      <c r="H27" s="12">
        <f>'Table-n=1000-corr'!I27</f>
        <v>0.72552896887524654</v>
      </c>
      <c r="I27" s="12"/>
      <c r="J27" s="12">
        <f>'Table-n=1000-miss'!C27</f>
        <v>0.75544628346578602</v>
      </c>
      <c r="K27" s="12">
        <f>'Table-n=1000-miss'!D27</f>
        <v>1.6926516208979601</v>
      </c>
      <c r="L27" s="12">
        <f>'Table-n=1000-miss'!E27</f>
        <v>0.44420572628665672</v>
      </c>
      <c r="M27" s="12">
        <f>'Table-n=1000-miss'!F27</f>
        <v>0.98199999999999998</v>
      </c>
      <c r="N27" s="12">
        <f>'Table-n=1000-miss'!G27</f>
        <v>7.9633740153823549</v>
      </c>
      <c r="O27" s="12">
        <f>'Table-n=1000-miss'!I27</f>
        <v>0.70759052721094806</v>
      </c>
      <c r="P27" s="5"/>
      <c r="Q27" s="5"/>
      <c r="Y27" s="12"/>
    </row>
    <row r="28" spans="1:31" x14ac:dyDescent="0.45">
      <c r="B28" s="1" t="s">
        <v>4</v>
      </c>
      <c r="C28" s="12">
        <f>'Table-n=1000-corr'!C28</f>
        <v>-3.1590091728843597E-2</v>
      </c>
      <c r="D28" s="12">
        <f>'Table-n=1000-corr'!D28</f>
        <v>1.3490582772614601</v>
      </c>
      <c r="E28" s="12">
        <f>'Table-n=1000-corr'!E28</f>
        <v>0.84855542035104847</v>
      </c>
      <c r="F28" s="12">
        <f>'Table-n=1000-corr'!F28</f>
        <v>0.94799999999999995</v>
      </c>
      <c r="G28" s="12">
        <f>'Table-n=1000-corr'!G28</f>
        <v>5.7610174677107144</v>
      </c>
      <c r="H28" s="12">
        <f>'Table-n=1000-corr'!I28</f>
        <v>1.5539509109456808</v>
      </c>
      <c r="I28" s="12"/>
      <c r="J28" s="12">
        <f>'Table-n=1000-miss'!C28</f>
        <v>1.5151592377832801</v>
      </c>
      <c r="K28" s="12">
        <f>'Table-n=1000-miss'!D28</f>
        <v>1.98032215225453</v>
      </c>
      <c r="L28" s="12">
        <f>'Table-n=1000-miss'!E28</f>
        <v>0.60802394250798841</v>
      </c>
      <c r="M28" s="12">
        <f>'Table-n=1000-miss'!F28</f>
        <v>0.84099999999999997</v>
      </c>
      <c r="N28" s="12">
        <f>'Table-n=1000-miss'!G28</f>
        <v>5.1855042299454821</v>
      </c>
      <c r="O28" s="12">
        <f>'Table-n=1000-miss'!I28</f>
        <v>1.6687614242138005</v>
      </c>
      <c r="P28" s="5"/>
      <c r="Q28" s="5"/>
      <c r="Y28" s="12"/>
    </row>
    <row r="29" spans="1:31" x14ac:dyDescent="0.45">
      <c r="B29" s="1" t="s">
        <v>88</v>
      </c>
      <c r="C29" s="12">
        <f>'Table-n=1000-corr'!C29</f>
        <v>0.30402859109541802</v>
      </c>
      <c r="D29" s="12">
        <f>'Table-n=1000-corr'!D29</f>
        <v>1.59121018387771</v>
      </c>
      <c r="E29" s="12">
        <f>'Table-n=1000-corr'!E29</f>
        <v>1.1805214684675522</v>
      </c>
      <c r="F29" s="12">
        <f>'Table-n=1000-corr'!F29</f>
        <v>0.91100000000000003</v>
      </c>
      <c r="G29" s="12">
        <f>'Table-n=1000-corr'!G29</f>
        <v>5.2900845606278422</v>
      </c>
      <c r="H29" s="12">
        <f>'Table-n=1000-corr'!I29</f>
        <v>1.8429368378971107</v>
      </c>
      <c r="I29" s="12"/>
      <c r="J29" s="12">
        <f>'Table-n=1000-miss'!C29</f>
        <v>0.99117080859859696</v>
      </c>
      <c r="K29" s="12">
        <f>'Table-n=1000-miss'!D29</f>
        <v>1.6387788086985899</v>
      </c>
      <c r="L29" s="12">
        <f>'Table-n=1000-miss'!E29</f>
        <v>0.41637981572985816</v>
      </c>
      <c r="M29" s="12">
        <f>'Table-n=1000-miss'!F29</f>
        <v>0.89800000000000002</v>
      </c>
      <c r="N29" s="12">
        <f>'Table-n=1000-miss'!G29</f>
        <v>5.1713513840535184</v>
      </c>
      <c r="O29" s="12">
        <f>'Table-n=1000-miss'!I29</f>
        <v>1.677907985627076</v>
      </c>
      <c r="P29" s="5"/>
      <c r="Q29" s="5"/>
      <c r="Y29" s="12"/>
    </row>
    <row r="30" spans="1:31" x14ac:dyDescent="0.45">
      <c r="B30" s="1" t="s">
        <v>89</v>
      </c>
      <c r="C30" s="12">
        <f>'Table-n=1000-corr'!C30</f>
        <v>0.61554338299404698</v>
      </c>
      <c r="D30" s="12">
        <f>'Table-n=1000-corr'!D30</f>
        <v>1.46450414414746</v>
      </c>
      <c r="E30" s="12">
        <f>'Table-n=1000-corr'!E30</f>
        <v>1</v>
      </c>
      <c r="F30" s="12">
        <f>'Table-n=1000-corr'!F30</f>
        <v>0.98799999999999999</v>
      </c>
      <c r="G30" s="12">
        <f>'Table-n=1000-corr'!G30</f>
        <v>7.1815442325919738</v>
      </c>
      <c r="H30" s="12">
        <f>'Table-n=1000-corr'!I30</f>
        <v>1</v>
      </c>
      <c r="I30" s="12"/>
      <c r="J30" s="12">
        <f>'Table-n=1000-miss'!C30</f>
        <v>2.1179141209660202</v>
      </c>
      <c r="K30" s="12">
        <f>'Table-n=1000-miss'!D30</f>
        <v>2.5396595686662802</v>
      </c>
      <c r="L30" s="12">
        <f>'Table-n=1000-miss'!E30</f>
        <v>1</v>
      </c>
      <c r="M30" s="12">
        <f>'Table-n=1000-miss'!F30</f>
        <v>0.82099999999999995</v>
      </c>
      <c r="N30" s="12">
        <f>'Table-n=1000-miss'!G30</f>
        <v>6.698662833102671</v>
      </c>
      <c r="O30" s="12">
        <f>'Table-n=1000-miss'!I30</f>
        <v>1</v>
      </c>
      <c r="P30" s="5"/>
      <c r="Q30" s="5"/>
      <c r="Y30" s="12"/>
    </row>
    <row r="31" spans="1:31" s="3" customFormat="1" x14ac:dyDescent="0.45">
      <c r="B31" s="3" t="s">
        <v>2</v>
      </c>
      <c r="C31" s="14">
        <f>'Table-n=1000-corr'!C31</f>
        <v>5.5496098964341399E-2</v>
      </c>
      <c r="D31" s="14">
        <f>'Table-n=1000-corr'!D31</f>
        <v>1.50213391314637</v>
      </c>
      <c r="E31" s="14">
        <f>'Table-n=1000-corr'!E31</f>
        <v>1.0520493015539638</v>
      </c>
      <c r="F31" s="14">
        <f>'Table-n=1000-corr'!F31</f>
        <v>0.94599999999999995</v>
      </c>
      <c r="G31" s="14">
        <f>'Table-n=1000-corr'!G31</f>
        <v>5.7612226359024623</v>
      </c>
      <c r="H31" s="14">
        <f>'Table-n=1000-corr'!I31</f>
        <v>1.5538402345696083</v>
      </c>
      <c r="I31" s="14"/>
      <c r="J31" s="14">
        <f>'Table-n=1000-miss'!C31</f>
        <v>0.76056855876077301</v>
      </c>
      <c r="K31" s="14">
        <f>'Table-n=1000-miss'!D31</f>
        <v>1.54365261784065</v>
      </c>
      <c r="L31" s="14">
        <f>'Table-n=1000-miss'!E31</f>
        <v>0.36944359139390381</v>
      </c>
      <c r="M31" s="14">
        <f>'Table-n=1000-miss'!F31</f>
        <v>0.93400000000000005</v>
      </c>
      <c r="N31" s="14">
        <f>'Table-n=1000-miss'!G31</f>
        <v>5.3484806104296947</v>
      </c>
      <c r="O31" s="14">
        <f>'Table-n=1000-miss'!I31</f>
        <v>1.5686114693608186</v>
      </c>
      <c r="P31" s="13"/>
      <c r="Q31" s="13"/>
      <c r="Y31" s="14"/>
    </row>
    <row r="32" spans="1:3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45">
      <c r="A33" s="2" t="s">
        <v>62</v>
      </c>
      <c r="B33" s="1" t="s">
        <v>3</v>
      </c>
      <c r="C33" s="12">
        <f>'Table-n=1000-corr'!C33</f>
        <v>-0.39917842368661699</v>
      </c>
      <c r="D33" s="12">
        <f>'Table-n=1000-corr'!D33</f>
        <v>3.4630279998968398</v>
      </c>
      <c r="E33" s="12">
        <f>'Table-n=1000-corr'!E33</f>
        <v>0.78711843344279164</v>
      </c>
      <c r="F33" s="12">
        <f>'Table-n=1000-corr'!F33</f>
        <v>0.95699999999999996</v>
      </c>
      <c r="G33" s="12">
        <f>'Table-n=1000-corr'!G33</f>
        <v>15.624115285915712</v>
      </c>
      <c r="H33" s="12">
        <f>'Table-n=1000-corr'!I33</f>
        <v>1.6716324733640697</v>
      </c>
      <c r="I33" s="12"/>
      <c r="J33" s="12">
        <f>'Table-n=1000-miss'!C33</f>
        <v>-0.76013226148364099</v>
      </c>
      <c r="K33" s="12">
        <f>'Table-n=1000-miss'!D33</f>
        <v>3.55633255371347</v>
      </c>
      <c r="L33" s="12">
        <f>'Table-n=1000-miss'!E33</f>
        <v>0.40939553138014373</v>
      </c>
      <c r="M33" s="12">
        <f>'Table-n=1000-miss'!F33</f>
        <v>0.97599999999999998</v>
      </c>
      <c r="N33" s="12">
        <f>'Table-n=1000-miss'!G33</f>
        <v>16.520274680923706</v>
      </c>
      <c r="O33" s="12">
        <f>'Table-n=1000-miss'!I33</f>
        <v>1.4789037793742024</v>
      </c>
      <c r="P33" s="5"/>
      <c r="Y33" s="12"/>
    </row>
    <row r="34" spans="1:25" x14ac:dyDescent="0.45">
      <c r="B34" s="1" t="s">
        <v>5</v>
      </c>
      <c r="C34" s="12">
        <f>'Table-n=1000-corr'!C34</f>
        <v>1.5265473559592</v>
      </c>
      <c r="D34" s="12">
        <f>'Table-n=1000-corr'!D34</f>
        <v>5.4065230105867004</v>
      </c>
      <c r="E34" s="12">
        <f>'Table-n=1000-corr'!E34</f>
        <v>1.9185105363266677</v>
      </c>
      <c r="F34" s="12">
        <f>'Table-n=1000-corr'!F34</f>
        <v>0.99399999999999999</v>
      </c>
      <c r="G34" s="12">
        <f>'Table-n=1000-corr'!G34</f>
        <v>33.419254037899314</v>
      </c>
      <c r="H34" s="12">
        <f>'Table-n=1000-corr'!I34</f>
        <v>0.36537444241153183</v>
      </c>
      <c r="I34" s="12"/>
      <c r="J34" s="12">
        <f>'Table-n=1000-miss'!C34</f>
        <v>0.22363915338915599</v>
      </c>
      <c r="K34" s="12">
        <f>'Table-n=1000-miss'!D34</f>
        <v>5.4038313944196696</v>
      </c>
      <c r="L34" s="12">
        <f>'Table-n=1000-miss'!E34</f>
        <v>0.94523968704039807</v>
      </c>
      <c r="M34" s="12">
        <f>'Table-n=1000-miss'!F34</f>
        <v>0.996</v>
      </c>
      <c r="N34" s="12">
        <f>'Table-n=1000-miss'!G34</f>
        <v>32.02123310620393</v>
      </c>
      <c r="O34" s="12">
        <f>'Table-n=1000-miss'!I34</f>
        <v>0.3936392018066896</v>
      </c>
      <c r="P34" s="5"/>
      <c r="Y34" s="12"/>
    </row>
    <row r="35" spans="1:25" x14ac:dyDescent="0.45">
      <c r="B35" s="1" t="s">
        <v>4</v>
      </c>
      <c r="C35" s="12">
        <f>'Table-n=1000-corr'!C35</f>
        <v>-0.56485857363555203</v>
      </c>
      <c r="D35" s="12">
        <f>'Table-n=1000-corr'!D35</f>
        <v>3.56205943014296</v>
      </c>
      <c r="E35" s="12">
        <f>'Table-n=1000-corr'!E35</f>
        <v>0.83278021605536878</v>
      </c>
      <c r="F35" s="12">
        <f>'Table-n=1000-corr'!F35</f>
        <v>0.96199999999999997</v>
      </c>
      <c r="G35" s="12">
        <f>'Table-n=1000-corr'!G35</f>
        <v>16.949529087655151</v>
      </c>
      <c r="H35" s="12">
        <f>'Table-n=1000-corr'!I35</f>
        <v>1.4204187472241152</v>
      </c>
      <c r="I35" s="12"/>
      <c r="J35" s="12">
        <f>'Table-n=1000-miss'!C35</f>
        <v>2.67364912338014</v>
      </c>
      <c r="K35" s="12">
        <f>'Table-n=1000-miss'!D35</f>
        <v>4.2747064699040704</v>
      </c>
      <c r="L35" s="12">
        <f>'Table-n=1000-miss'!E35</f>
        <v>0.59149484575195266</v>
      </c>
      <c r="M35" s="12">
        <f>'Table-n=1000-miss'!F35</f>
        <v>0.88200000000000001</v>
      </c>
      <c r="N35" s="12">
        <f>'Table-n=1000-miss'!G35</f>
        <v>13.235516213261395</v>
      </c>
      <c r="O35" s="12">
        <f>'Table-n=1000-miss'!I35</f>
        <v>2.3040541308411711</v>
      </c>
      <c r="P35" s="5"/>
      <c r="Y35" s="12"/>
    </row>
    <row r="36" spans="1:25" x14ac:dyDescent="0.45">
      <c r="B36" s="1" t="s">
        <v>88</v>
      </c>
      <c r="C36" s="12">
        <f>'Table-n=1000-corr'!C36</f>
        <v>6.6586306844245199E-2</v>
      </c>
      <c r="D36" s="12">
        <f>'Table-n=1000-corr'!D36</f>
        <v>3.8287270290495199</v>
      </c>
      <c r="E36" s="12">
        <f>'Table-n=1000-corr'!E36</f>
        <v>0.96213693225119834</v>
      </c>
      <c r="F36" s="12">
        <f>'Table-n=1000-corr'!F36</f>
        <v>0.877</v>
      </c>
      <c r="G36" s="12">
        <f>'Table-n=1000-corr'!G36</f>
        <v>12.038748631811389</v>
      </c>
      <c r="H36" s="12">
        <f>'Table-n=1000-corr'!I36</f>
        <v>2.8155871589635888</v>
      </c>
      <c r="I36" s="12"/>
      <c r="J36" s="12">
        <f>'Table-n=1000-miss'!C36</f>
        <v>-0.186327545876738</v>
      </c>
      <c r="K36" s="12">
        <f>'Table-n=1000-miss'!D36</f>
        <v>3.53208626237168</v>
      </c>
      <c r="L36" s="12">
        <f>'Table-n=1000-miss'!E36</f>
        <v>0.40383222399176877</v>
      </c>
      <c r="M36" s="12">
        <f>'Table-n=1000-miss'!F36</f>
        <v>0.93200000000000005</v>
      </c>
      <c r="N36" s="12">
        <f>'Table-n=1000-miss'!G36</f>
        <v>13.028636012955028</v>
      </c>
      <c r="O36" s="12">
        <f>'Table-n=1000-miss'!I36</f>
        <v>2.3778066893294576</v>
      </c>
      <c r="P36" s="5"/>
      <c r="Y36" s="12"/>
    </row>
    <row r="37" spans="1:25" x14ac:dyDescent="0.45">
      <c r="B37" s="1" t="s">
        <v>89</v>
      </c>
      <c r="C37" s="12">
        <f>'Table-n=1000-corr'!C37</f>
        <v>1.5680700433695201</v>
      </c>
      <c r="D37" s="12">
        <f>'Table-n=1000-corr'!D37</f>
        <v>3.9033362187732501</v>
      </c>
      <c r="E37" s="12">
        <f>'Table-n=1000-corr'!E37</f>
        <v>1</v>
      </c>
      <c r="F37" s="12">
        <f>'Table-n=1000-corr'!F37</f>
        <v>0.99</v>
      </c>
      <c r="G37" s="12">
        <f>'Table-n=1000-corr'!G37</f>
        <v>20.200672809984304</v>
      </c>
      <c r="H37" s="12">
        <f>'Table-n=1000-corr'!I37</f>
        <v>1</v>
      </c>
      <c r="I37" s="12"/>
      <c r="J37" s="12">
        <f>'Table-n=1000-miss'!C37</f>
        <v>4.2893159133788101</v>
      </c>
      <c r="K37" s="12">
        <f>'Table-n=1000-miss'!D37</f>
        <v>5.5581570792533199</v>
      </c>
      <c r="L37" s="12">
        <f>'Table-n=1000-miss'!E37</f>
        <v>1</v>
      </c>
      <c r="M37" s="12">
        <f>'Table-n=1000-miss'!F37</f>
        <v>0.93</v>
      </c>
      <c r="N37" s="12">
        <f>'Table-n=1000-miss'!G37</f>
        <v>20.090337076087806</v>
      </c>
      <c r="O37" s="12">
        <f>'Table-n=1000-miss'!I37</f>
        <v>1</v>
      </c>
      <c r="P37" s="5"/>
      <c r="Y37" s="12"/>
    </row>
    <row r="38" spans="1:25" s="3" customFormat="1" x14ac:dyDescent="0.45">
      <c r="B38" s="3" t="s">
        <v>2</v>
      </c>
      <c r="C38" s="14">
        <f>'Table-n=1000-corr'!C38</f>
        <v>-0.197442409669145</v>
      </c>
      <c r="D38" s="14">
        <f>'Table-n=1000-corr'!D38</f>
        <v>3.65549408316999</v>
      </c>
      <c r="E38" s="14">
        <f>'Table-n=1000-corr'!E38</f>
        <v>0.8770417098467822</v>
      </c>
      <c r="F38" s="14">
        <f>'Table-n=1000-corr'!F38</f>
        <v>0.88800000000000001</v>
      </c>
      <c r="G38" s="14">
        <f>'Table-n=1000-corr'!G38</f>
        <v>14.135851992825359</v>
      </c>
      <c r="H38" s="14">
        <f>'Table-n=1000-corr'!I38</f>
        <v>2.0421502423029056</v>
      </c>
      <c r="I38" s="14"/>
      <c r="J38" s="14">
        <f>'Table-n=1000-miss'!C38</f>
        <v>-2.0178209871905102</v>
      </c>
      <c r="K38" s="14">
        <f>'Table-n=1000-miss'!D38</f>
        <v>5.4919374028367001</v>
      </c>
      <c r="L38" s="14">
        <f>'Table-n=1000-miss'!E38</f>
        <v>0.97631401700280951</v>
      </c>
      <c r="M38" s="14">
        <f>'Table-n=1000-miss'!F38</f>
        <v>0.94399999999999995</v>
      </c>
      <c r="N38" s="14">
        <f>'Table-n=1000-miss'!G38</f>
        <v>17.642768167873626</v>
      </c>
      <c r="O38" s="14">
        <f>'Table-n=1000-miss'!I38</f>
        <v>1.2967044225798707</v>
      </c>
      <c r="P38" s="13"/>
      <c r="Q38" s="13"/>
      <c r="Y38" s="14"/>
    </row>
    <row r="39" spans="1:25" x14ac:dyDescent="0.4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45">
      <c r="A40" s="2" t="s">
        <v>207</v>
      </c>
      <c r="B40" s="1" t="s">
        <v>3</v>
      </c>
      <c r="C40" s="12">
        <f>'Table-n=1000-corr'!C40</f>
        <v>0.40391514105170701</v>
      </c>
      <c r="D40" s="12">
        <f>'Table-n=1000-corr'!D40</f>
        <v>6.9191877616529496</v>
      </c>
      <c r="E40" s="12">
        <f>'Table-n=1000-corr'!E40</f>
        <v>0.90622717028310229</v>
      </c>
      <c r="F40" s="12">
        <f>'Table-n=1000-corr'!F40</f>
        <v>0.97399999999999998</v>
      </c>
      <c r="G40" s="12">
        <f>'Table-n=1000-corr'!G40</f>
        <v>37.112679598022922</v>
      </c>
      <c r="H40" s="12">
        <f>'Table-n=1000-corr'!I40</f>
        <v>0.99849292400374123</v>
      </c>
      <c r="I40" s="12"/>
      <c r="J40" s="12">
        <f>'Table-n=1000-miss'!C40</f>
        <v>-11.397012447654401</v>
      </c>
      <c r="K40" s="12">
        <f>'Table-n=1000-miss'!D40</f>
        <v>15.137950125356999</v>
      </c>
      <c r="L40" s="12">
        <f>'Table-n=1000-miss'!E40</f>
        <v>4.009439867513513</v>
      </c>
      <c r="M40" s="12">
        <f>'Table-n=1000-miss'!F40</f>
        <v>0.83599999999999997</v>
      </c>
      <c r="N40" s="12">
        <f>'Table-n=1000-miss'!G40</f>
        <v>54.438283025771291</v>
      </c>
      <c r="O40" s="12">
        <f>'Table-n=1000-miss'!I40</f>
        <v>0.66666250427876173</v>
      </c>
      <c r="P40" s="5"/>
      <c r="Y40" s="12"/>
    </row>
    <row r="41" spans="1:25" x14ac:dyDescent="0.45">
      <c r="B41" s="1" t="s">
        <v>5</v>
      </c>
      <c r="C41" s="12">
        <f>'Table-n=1000-corr'!C41</f>
        <v>4.37107100047721</v>
      </c>
      <c r="D41" s="12">
        <f>'Table-n=1000-corr'!D41</f>
        <v>10.8938008403733</v>
      </c>
      <c r="E41" s="12">
        <f>'Table-n=1000-corr'!E41</f>
        <v>2.2463928575961911</v>
      </c>
      <c r="F41" s="12">
        <f>'Table-n=1000-corr'!F41</f>
        <v>0.99299999999999999</v>
      </c>
      <c r="G41" s="12">
        <f>'Table-n=1000-corr'!G41</f>
        <v>86.005072302109539</v>
      </c>
      <c r="H41" s="12">
        <f>'Table-n=1000-corr'!I41</f>
        <v>0.18592658200574666</v>
      </c>
      <c r="I41" s="12"/>
      <c r="J41" s="12">
        <f>'Table-n=1000-miss'!C41</f>
        <v>-5.6971053775841902</v>
      </c>
      <c r="K41" s="12">
        <f>'Table-n=1000-miss'!D41</f>
        <v>13.018556281284701</v>
      </c>
      <c r="L41" s="12">
        <f>'Table-n=1000-miss'!E41</f>
        <v>2.9653449048394345</v>
      </c>
      <c r="M41" s="12">
        <f>'Table-n=1000-miss'!F41</f>
        <v>0.97</v>
      </c>
      <c r="N41" s="12">
        <f>'Table-n=1000-miss'!G41</f>
        <v>74.515577079150034</v>
      </c>
      <c r="O41" s="12">
        <f>'Table-n=1000-miss'!I41</f>
        <v>0.35581211350976033</v>
      </c>
      <c r="P41" s="5"/>
      <c r="Y41" s="12"/>
    </row>
    <row r="42" spans="1:25" x14ac:dyDescent="0.45">
      <c r="B42" s="1" t="s">
        <v>4</v>
      </c>
      <c r="C42" s="12">
        <f>'Table-n=1000-corr'!C42</f>
        <v>-0.89762037354792801</v>
      </c>
      <c r="D42" s="12">
        <f>'Table-n=1000-corr'!D42</f>
        <v>7.0148954665875696</v>
      </c>
      <c r="E42" s="12">
        <f>'Table-n=1000-corr'!E42</f>
        <v>0.93147082023699201</v>
      </c>
      <c r="F42" s="12">
        <f>'Table-n=1000-corr'!F42</f>
        <v>0.99399999999999999</v>
      </c>
      <c r="G42" s="12">
        <f>'Table-n=1000-corr'!G42</f>
        <v>49.397068509509978</v>
      </c>
      <c r="H42" s="12">
        <f>'Table-n=1000-corr'!I42</f>
        <v>0.56362112630444283</v>
      </c>
      <c r="I42" s="12"/>
      <c r="J42" s="12">
        <f>'Table-n=1000-miss'!C42</f>
        <v>0.51574772428895199</v>
      </c>
      <c r="K42" s="12">
        <f>'Table-n=1000-miss'!D42</f>
        <v>7.55114084273076</v>
      </c>
      <c r="L42" s="12">
        <f>'Table-n=1000-miss'!E42</f>
        <v>0.99764195746431061</v>
      </c>
      <c r="M42" s="12">
        <f>'Table-n=1000-miss'!F42</f>
        <v>0.92700000000000005</v>
      </c>
      <c r="N42" s="12">
        <f>'Table-n=1000-miss'!G42</f>
        <v>33.271701622673127</v>
      </c>
      <c r="O42" s="12">
        <f>'Table-n=1000-miss'!I42</f>
        <v>1.7846984333035316</v>
      </c>
      <c r="P42" s="5"/>
      <c r="Y42" s="12"/>
    </row>
    <row r="43" spans="1:25" x14ac:dyDescent="0.45">
      <c r="B43" s="1" t="s">
        <v>88</v>
      </c>
      <c r="C43" s="12">
        <f>'Table-n=1000-corr'!C43</f>
        <v>5.4736446896908902E-2</v>
      </c>
      <c r="D43" s="12">
        <f>'Table-n=1000-corr'!D43</f>
        <v>7.2135117123481303</v>
      </c>
      <c r="E43" s="12">
        <f>'Table-n=1000-corr'!E43</f>
        <v>0.984963936756731</v>
      </c>
      <c r="F43" s="12">
        <f>'Table-n=1000-corr'!F43</f>
        <v>0.91400000000000003</v>
      </c>
      <c r="G43" s="12">
        <f>'Table-n=1000-corr'!G43</f>
        <v>29.674953288573946</v>
      </c>
      <c r="H43" s="12">
        <f>'Table-n=1000-corr'!I43</f>
        <v>1.5617428562156905</v>
      </c>
      <c r="I43" s="12"/>
      <c r="J43" s="12">
        <f>'Table-n=1000-miss'!C43</f>
        <v>-10.053174183616299</v>
      </c>
      <c r="K43" s="12">
        <f>'Table-n=1000-miss'!D43</f>
        <v>13.6984368092529</v>
      </c>
      <c r="L43" s="12">
        <f>'Table-n=1000-miss'!E43</f>
        <v>3.2831565053815863</v>
      </c>
      <c r="M43" s="12">
        <f>'Table-n=1000-miss'!F43</f>
        <v>0.77600000000000002</v>
      </c>
      <c r="N43" s="12">
        <f>'Table-n=1000-miss'!G43</f>
        <v>37.601490758278466</v>
      </c>
      <c r="O43" s="12">
        <f>'Table-n=1000-miss'!I43</f>
        <v>1.397348525177641</v>
      </c>
      <c r="P43" s="5"/>
      <c r="Y43" s="12"/>
    </row>
    <row r="44" spans="1:25" x14ac:dyDescent="0.45">
      <c r="B44" s="1" t="s">
        <v>89</v>
      </c>
      <c r="C44" s="12">
        <f>'Table-n=1000-corr'!C44</f>
        <v>2.1173255423552799</v>
      </c>
      <c r="D44" s="12">
        <f>'Table-n=1000-corr'!D44</f>
        <v>7.2683624568866501</v>
      </c>
      <c r="E44" s="12">
        <f>'Table-n=1000-corr'!E44</f>
        <v>1</v>
      </c>
      <c r="F44" s="12">
        <f>'Table-n=1000-corr'!F44</f>
        <v>0.98099999999999998</v>
      </c>
      <c r="G44" s="12">
        <f>'Table-n=1000-corr'!G44</f>
        <v>37.084703239134292</v>
      </c>
      <c r="H44" s="12">
        <f>'Table-n=1000-corr'!I44</f>
        <v>1</v>
      </c>
      <c r="I44" s="12"/>
      <c r="J44" s="12">
        <f>'Table-n=1000-miss'!C44</f>
        <v>-0.31100966144135</v>
      </c>
      <c r="K44" s="12">
        <f>'Table-n=1000-miss'!D44</f>
        <v>7.56005957454569</v>
      </c>
      <c r="L44" s="12">
        <f>'Table-n=1000-miss'!E44</f>
        <v>1</v>
      </c>
      <c r="M44" s="12">
        <f>'Table-n=1000-miss'!F44</f>
        <v>0.97599999999999998</v>
      </c>
      <c r="N44" s="12">
        <f>'Table-n=1000-miss'!G44</f>
        <v>44.448533202440615</v>
      </c>
      <c r="O44" s="12">
        <f>'Table-n=1000-miss'!I44</f>
        <v>1</v>
      </c>
      <c r="P44" s="5"/>
      <c r="Y44" s="12"/>
    </row>
    <row r="45" spans="1:25" s="3" customFormat="1" x14ac:dyDescent="0.45">
      <c r="B45" s="3" t="s">
        <v>2</v>
      </c>
      <c r="C45" s="14">
        <f>'Table-n=1000-corr'!C45</f>
        <v>7.9526885493846705E-2</v>
      </c>
      <c r="D45" s="14">
        <f>'Table-n=1000-corr'!D45</f>
        <v>6.9385172315989303</v>
      </c>
      <c r="E45" s="14">
        <f>'Table-n=1000-corr'!E45</f>
        <v>0.91129752220411042</v>
      </c>
      <c r="F45" s="14">
        <f>'Table-n=1000-corr'!F45</f>
        <v>0.92300000000000004</v>
      </c>
      <c r="G45" s="14">
        <f>'Table-n=1000-corr'!G45</f>
        <v>26.357538444602696</v>
      </c>
      <c r="H45" s="14">
        <f>'Table-n=1000-corr'!I45</f>
        <v>1.9796112753475379</v>
      </c>
      <c r="I45" s="14"/>
      <c r="J45" s="14">
        <f>'Table-n=1000-miss'!C45</f>
        <v>-21.4898511479931</v>
      </c>
      <c r="K45" s="14">
        <f>'Table-n=1000-miss'!D45</f>
        <v>70.316504706165404</v>
      </c>
      <c r="L45" s="14">
        <f>'Table-n=1000-miss'!E45</f>
        <v>86.509562106588206</v>
      </c>
      <c r="M45" s="14">
        <f>'Table-n=1000-miss'!F45</f>
        <v>0.76700000000000002</v>
      </c>
      <c r="N45" s="14">
        <f>'Table-n=1000-miss'!G45</f>
        <v>52.980421854015887</v>
      </c>
      <c r="O45" s="14">
        <f>'Table-n=1000-miss'!I45</f>
        <v>0.70385636722849665</v>
      </c>
      <c r="P45" s="13"/>
      <c r="Q45" s="13"/>
      <c r="Y45" s="14"/>
    </row>
    <row r="46" spans="1:25" x14ac:dyDescent="0.45">
      <c r="G46" s="7"/>
      <c r="H46" s="7"/>
      <c r="O46" s="7"/>
    </row>
    <row r="47" spans="1:25" x14ac:dyDescent="0.45">
      <c r="G47" s="7"/>
      <c r="H47" s="7"/>
      <c r="O47" s="7"/>
    </row>
    <row r="48" spans="1:25" x14ac:dyDescent="0.45">
      <c r="G48" s="7"/>
      <c r="H48" s="7"/>
      <c r="O48" s="7"/>
    </row>
    <row r="49" spans="7:15" x14ac:dyDescent="0.45">
      <c r="G49" s="7"/>
      <c r="H49" s="7"/>
      <c r="O49" s="7"/>
    </row>
    <row r="50" spans="7:15" x14ac:dyDescent="0.45">
      <c r="G50" s="7"/>
      <c r="H50" s="7"/>
      <c r="O50" s="7"/>
    </row>
    <row r="51" spans="7:15" x14ac:dyDescent="0.45">
      <c r="G51" s="7"/>
      <c r="H51" s="7"/>
      <c r="O51" s="7"/>
    </row>
    <row r="52" spans="7:15" x14ac:dyDescent="0.45">
      <c r="G52" s="7"/>
      <c r="H52" s="7"/>
      <c r="O52" s="7"/>
    </row>
    <row r="53" spans="7:15" x14ac:dyDescent="0.45">
      <c r="G53" s="7"/>
      <c r="H53" s="7"/>
      <c r="O53" s="7"/>
    </row>
    <row r="54" spans="7:15" x14ac:dyDescent="0.45">
      <c r="G54" s="7"/>
      <c r="H54" s="7"/>
      <c r="O54" s="7"/>
    </row>
    <row r="55" spans="7:15" x14ac:dyDescent="0.45">
      <c r="G55" s="7"/>
      <c r="H55" s="7"/>
      <c r="O55" s="7"/>
    </row>
    <row r="56" spans="7:15" x14ac:dyDescent="0.45">
      <c r="G56" s="7"/>
      <c r="H56" s="7"/>
      <c r="O56" s="7"/>
    </row>
    <row r="57" spans="7:15" x14ac:dyDescent="0.45">
      <c r="G57" s="7"/>
      <c r="H57" s="7"/>
      <c r="O57" s="7"/>
    </row>
    <row r="58" spans="7:15" x14ac:dyDescent="0.45">
      <c r="G58" s="7"/>
      <c r="H58" s="7"/>
      <c r="O58" s="7"/>
    </row>
    <row r="59" spans="7:15" x14ac:dyDescent="0.45">
      <c r="G59" s="7"/>
      <c r="H59" s="7"/>
      <c r="O59" s="7"/>
    </row>
    <row r="60" spans="7:15" x14ac:dyDescent="0.45">
      <c r="G60" s="7"/>
      <c r="H60" s="7"/>
      <c r="O60" s="7"/>
    </row>
    <row r="61" spans="7:15" x14ac:dyDescent="0.45">
      <c r="G61" s="7"/>
      <c r="H61" s="7"/>
      <c r="O61" s="7"/>
    </row>
    <row r="62" spans="7:15" x14ac:dyDescent="0.45">
      <c r="G62" s="7"/>
      <c r="H62" s="7"/>
      <c r="O62" s="7"/>
    </row>
    <row r="63" spans="7:15" x14ac:dyDescent="0.45">
      <c r="G63" s="7"/>
      <c r="H63" s="7"/>
      <c r="O63" s="7"/>
    </row>
    <row r="64" spans="7:15" x14ac:dyDescent="0.45">
      <c r="G64" s="7"/>
      <c r="H64" s="7"/>
      <c r="O64" s="7"/>
    </row>
    <row r="65" spans="7:15" x14ac:dyDescent="0.45">
      <c r="G65" s="7"/>
      <c r="H65" s="7"/>
      <c r="O65" s="7"/>
    </row>
    <row r="66" spans="7:15" x14ac:dyDescent="0.45">
      <c r="G66" s="7"/>
      <c r="H66" s="7"/>
      <c r="O66" s="7"/>
    </row>
    <row r="67" spans="7:15" x14ac:dyDescent="0.45">
      <c r="G67" s="7"/>
      <c r="H67" s="7"/>
      <c r="O67" s="7"/>
    </row>
    <row r="68" spans="7:15" x14ac:dyDescent="0.45">
      <c r="G68" s="7"/>
      <c r="H68" s="7"/>
      <c r="O68" s="7"/>
    </row>
    <row r="69" spans="7:15" x14ac:dyDescent="0.45">
      <c r="G69" s="7"/>
      <c r="H69" s="7"/>
      <c r="O69" s="7"/>
    </row>
    <row r="70" spans="7:15" x14ac:dyDescent="0.45">
      <c r="G70" s="7"/>
      <c r="H70" s="7"/>
      <c r="O70" s="7"/>
    </row>
    <row r="71" spans="7:15" x14ac:dyDescent="0.45">
      <c r="G71" s="7"/>
      <c r="H71" s="7"/>
      <c r="O71" s="7"/>
    </row>
    <row r="72" spans="7:15" x14ac:dyDescent="0.45">
      <c r="G72" s="7"/>
      <c r="H72" s="7"/>
      <c r="O72" s="7"/>
    </row>
    <row r="73" spans="7:15" x14ac:dyDescent="0.45">
      <c r="G73" s="7"/>
      <c r="H73" s="7"/>
      <c r="O73" s="7"/>
    </row>
    <row r="74" spans="7:15" x14ac:dyDescent="0.45">
      <c r="G74" s="7"/>
      <c r="H74" s="7"/>
      <c r="O74" s="7"/>
    </row>
    <row r="75" spans="7:15" x14ac:dyDescent="0.45">
      <c r="G75" s="7"/>
      <c r="H75" s="7"/>
      <c r="O75" s="7"/>
    </row>
    <row r="76" spans="7:15" x14ac:dyDescent="0.45">
      <c r="G76" s="7"/>
      <c r="H76" s="7"/>
      <c r="O76" s="7"/>
    </row>
    <row r="77" spans="7:15" x14ac:dyDescent="0.45">
      <c r="G77" s="7"/>
      <c r="H77" s="7"/>
      <c r="O77" s="7"/>
    </row>
    <row r="78" spans="7:15" x14ac:dyDescent="0.45">
      <c r="G78" s="7"/>
      <c r="H78" s="7"/>
      <c r="O78" s="7"/>
    </row>
    <row r="79" spans="7:15" x14ac:dyDescent="0.45">
      <c r="G79" s="7"/>
      <c r="H79" s="7"/>
      <c r="O79" s="7"/>
    </row>
    <row r="80" spans="7:15" x14ac:dyDescent="0.45">
      <c r="G80" s="7"/>
      <c r="H80" s="7"/>
      <c r="O80" s="7"/>
    </row>
    <row r="81" spans="7:15" x14ac:dyDescent="0.45">
      <c r="G81" s="7"/>
      <c r="H81" s="7"/>
      <c r="O81" s="7"/>
    </row>
    <row r="82" spans="7:15" x14ac:dyDescent="0.45">
      <c r="G82" s="7"/>
      <c r="H82" s="7"/>
      <c r="O82" s="7"/>
    </row>
    <row r="83" spans="7:15" x14ac:dyDescent="0.45">
      <c r="G83" s="7"/>
      <c r="H83" s="7"/>
      <c r="O83" s="7"/>
    </row>
    <row r="84" spans="7:15" x14ac:dyDescent="0.45">
      <c r="G84" s="7"/>
      <c r="H84" s="7"/>
      <c r="O84" s="7"/>
    </row>
    <row r="85" spans="7:15" x14ac:dyDescent="0.45">
      <c r="G85" s="7"/>
      <c r="H85" s="7"/>
      <c r="O85" s="7"/>
    </row>
    <row r="86" spans="7:15" x14ac:dyDescent="0.45">
      <c r="G86" s="7"/>
      <c r="H86" s="7"/>
      <c r="O86" s="7"/>
    </row>
    <row r="87" spans="7:15" x14ac:dyDescent="0.45">
      <c r="G87" s="7"/>
      <c r="H87" s="7"/>
      <c r="O87" s="7"/>
    </row>
    <row r="88" spans="7:15" x14ac:dyDescent="0.45">
      <c r="G88" s="7"/>
      <c r="H88" s="7"/>
      <c r="O88" s="7"/>
    </row>
    <row r="89" spans="7:15" x14ac:dyDescent="0.45">
      <c r="G89" s="7"/>
      <c r="H89" s="7"/>
      <c r="O89" s="7"/>
    </row>
    <row r="90" spans="7:15" x14ac:dyDescent="0.45">
      <c r="G90" s="7"/>
      <c r="H90" s="7"/>
      <c r="O90" s="7"/>
    </row>
    <row r="91" spans="7:15" x14ac:dyDescent="0.45">
      <c r="G91" s="7"/>
      <c r="H91" s="7"/>
      <c r="O91" s="7"/>
    </row>
    <row r="92" spans="7:15" x14ac:dyDescent="0.45">
      <c r="G92" s="7"/>
      <c r="H92" s="7"/>
      <c r="O92" s="7"/>
    </row>
    <row r="93" spans="7:15" x14ac:dyDescent="0.45">
      <c r="G93" s="7"/>
      <c r="H93" s="7"/>
      <c r="O93" s="7"/>
    </row>
    <row r="94" spans="7:15" x14ac:dyDescent="0.45">
      <c r="G94" s="7"/>
      <c r="H94" s="7"/>
      <c r="O94" s="7"/>
    </row>
    <row r="95" spans="7:15" x14ac:dyDescent="0.45">
      <c r="G95" s="7"/>
      <c r="H95" s="7"/>
      <c r="O95" s="7"/>
    </row>
    <row r="96" spans="7:15" x14ac:dyDescent="0.45">
      <c r="G96" s="7"/>
      <c r="H96" s="7"/>
      <c r="O96" s="7"/>
    </row>
    <row r="97" spans="7:15" x14ac:dyDescent="0.45">
      <c r="G97" s="7"/>
      <c r="H97" s="7"/>
      <c r="O97" s="7"/>
    </row>
    <row r="98" spans="7:15" x14ac:dyDescent="0.45">
      <c r="G98" s="7"/>
      <c r="H98" s="7"/>
      <c r="O98" s="7"/>
    </row>
    <row r="99" spans="7:15" x14ac:dyDescent="0.45">
      <c r="G99" s="7"/>
      <c r="H99" s="7"/>
      <c r="O99" s="7"/>
    </row>
    <row r="100" spans="7:15" x14ac:dyDescent="0.45">
      <c r="G100" s="7"/>
      <c r="H100" s="7"/>
      <c r="O100" s="7"/>
    </row>
    <row r="101" spans="7:15" x14ac:dyDescent="0.45">
      <c r="G101" s="7"/>
      <c r="H101" s="7"/>
      <c r="O101" s="7"/>
    </row>
    <row r="102" spans="7:15" x14ac:dyDescent="0.45">
      <c r="G102" s="7"/>
      <c r="H102" s="7"/>
      <c r="O102" s="7"/>
    </row>
    <row r="103" spans="7:15" x14ac:dyDescent="0.45">
      <c r="G103" s="7"/>
      <c r="H103" s="7"/>
      <c r="O103" s="7"/>
    </row>
    <row r="104" spans="7:15" x14ac:dyDescent="0.45">
      <c r="G104" s="7"/>
      <c r="H104" s="7"/>
      <c r="O104" s="7"/>
    </row>
    <row r="105" spans="7:15" x14ac:dyDescent="0.45">
      <c r="G105" s="7"/>
      <c r="H105" s="7"/>
      <c r="O105" s="7"/>
    </row>
    <row r="106" spans="7:15" x14ac:dyDescent="0.45">
      <c r="G106" s="7"/>
      <c r="H106" s="7"/>
      <c r="O106" s="7"/>
    </row>
    <row r="107" spans="7:15" x14ac:dyDescent="0.45">
      <c r="G107" s="7"/>
      <c r="H107" s="7"/>
      <c r="O107" s="7"/>
    </row>
    <row r="108" spans="7:15" x14ac:dyDescent="0.45">
      <c r="G108" s="7"/>
      <c r="H108" s="7"/>
      <c r="O108" s="7"/>
    </row>
    <row r="109" spans="7:15" x14ac:dyDescent="0.45">
      <c r="G109" s="7"/>
      <c r="H109" s="7"/>
      <c r="O109" s="7"/>
    </row>
    <row r="110" spans="7:15" x14ac:dyDescent="0.45">
      <c r="G110" s="7"/>
      <c r="H110" s="7"/>
      <c r="O110" s="7"/>
    </row>
    <row r="111" spans="7:15" x14ac:dyDescent="0.45">
      <c r="G111" s="7"/>
      <c r="H111" s="7"/>
      <c r="O111" s="7"/>
    </row>
    <row r="112" spans="7:15" x14ac:dyDescent="0.45">
      <c r="G112" s="7"/>
      <c r="H112" s="7"/>
      <c r="O112" s="7"/>
    </row>
    <row r="113" spans="7:15" x14ac:dyDescent="0.45">
      <c r="G113" s="7"/>
      <c r="H113" s="7"/>
      <c r="O113" s="7"/>
    </row>
    <row r="114" spans="7:15" x14ac:dyDescent="0.45">
      <c r="G114" s="7"/>
      <c r="H114" s="7"/>
      <c r="O114" s="7"/>
    </row>
    <row r="115" spans="7:15" x14ac:dyDescent="0.45">
      <c r="G115" s="7"/>
      <c r="H115" s="7"/>
      <c r="O115" s="7"/>
    </row>
    <row r="116" spans="7:15" x14ac:dyDescent="0.45">
      <c r="G116" s="7"/>
      <c r="H116" s="7"/>
      <c r="O116" s="7"/>
    </row>
    <row r="117" spans="7:15" x14ac:dyDescent="0.45">
      <c r="G117" s="7"/>
      <c r="H117" s="7"/>
      <c r="O117" s="7"/>
    </row>
    <row r="118" spans="7:15" x14ac:dyDescent="0.45">
      <c r="G118" s="7"/>
      <c r="H118" s="7"/>
      <c r="O118" s="7"/>
    </row>
    <row r="119" spans="7:15" x14ac:dyDescent="0.45">
      <c r="G119" s="7"/>
      <c r="H119" s="7"/>
      <c r="O119" s="7"/>
    </row>
    <row r="120" spans="7:15" x14ac:dyDescent="0.4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6640625" style="1" bestFit="1" customWidth="1"/>
    <col min="3" max="4" width="6.53125" style="1" bestFit="1" customWidth="1"/>
    <col min="5" max="5" width="6.53125" style="1" customWidth="1"/>
    <col min="6" max="7" width="8.33203125" style="1" bestFit="1" customWidth="1"/>
    <col min="8" max="10" width="8.33203125" style="1" customWidth="1"/>
    <col min="11" max="17" width="9.33203125" style="1"/>
    <col min="18" max="18" width="14" style="1" bestFit="1" customWidth="1"/>
    <col min="19" max="16384" width="9.33203125" style="1"/>
  </cols>
  <sheetData>
    <row r="1" spans="1:18" x14ac:dyDescent="0.45">
      <c r="C1" s="16" t="s">
        <v>61</v>
      </c>
      <c r="D1" s="16"/>
      <c r="E1" s="16"/>
      <c r="F1" s="16"/>
      <c r="G1" s="16"/>
      <c r="H1" s="9"/>
      <c r="I1" s="9"/>
      <c r="J1" s="11"/>
      <c r="R1" s="10" t="s">
        <v>165</v>
      </c>
    </row>
    <row r="2" spans="1:18" x14ac:dyDescent="0.45">
      <c r="C2" s="9" t="s">
        <v>0</v>
      </c>
      <c r="D2" s="9" t="s">
        <v>1</v>
      </c>
      <c r="E2" s="9" t="s">
        <v>90</v>
      </c>
      <c r="F2" s="9" t="s">
        <v>49</v>
      </c>
      <c r="G2" s="9" t="s">
        <v>48</v>
      </c>
      <c r="H2" s="9" t="s">
        <v>164</v>
      </c>
      <c r="I2" s="9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2</v>
      </c>
    </row>
    <row r="3" spans="1:18" x14ac:dyDescent="0.45">
      <c r="B3" s="1" t="s">
        <v>6</v>
      </c>
      <c r="C3" s="9">
        <v>200</v>
      </c>
      <c r="D3" s="9">
        <v>200</v>
      </c>
      <c r="E3" s="9">
        <v>200</v>
      </c>
      <c r="F3" s="9">
        <v>200</v>
      </c>
      <c r="G3" s="9">
        <v>200</v>
      </c>
      <c r="H3" s="9">
        <v>200</v>
      </c>
      <c r="I3" s="9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45">
      <c r="C4" s="9"/>
      <c r="D4" s="9"/>
      <c r="E4" s="9"/>
      <c r="F4" s="9"/>
      <c r="G4" s="9"/>
      <c r="H4" s="9"/>
      <c r="I4" s="9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0.97562051736714905</v>
      </c>
      <c r="D5" s="5">
        <f>HLOOKUP("ATE-RMSE-IPS-exp",Point!$D$1:$DR$96,$R$2,FALSE)</f>
        <v>4.5523110281839196</v>
      </c>
      <c r="E5" s="5">
        <f t="shared" ref="E5:E10" si="0">(D5/$D$9)^2</f>
        <v>0.62268348252468475</v>
      </c>
      <c r="F5" s="5">
        <f>HLOOKUP("ATE-Empcov-IPS-exp",inference!$D$1:$DR$96,$R$2,FALSE)</f>
        <v>0.98697394789579196</v>
      </c>
      <c r="G5" s="5">
        <f>HLOOKUP("ATE-ASSD-IPS-exp",inference!$D$1:$DR$96,$R$2,FALSE)*2*1.96/SQRT(G$3)</f>
        <v>22.69524335743694</v>
      </c>
      <c r="H5" s="5">
        <f t="shared" ref="H5:H10" si="1">G5/(2*1.96/SQRT(G$3))</f>
        <v>81.877349381237806</v>
      </c>
      <c r="I5" s="5">
        <f t="shared" ref="I5:I10" si="2">($H$9/H5)^2</f>
        <v>1.8684286591540724</v>
      </c>
      <c r="J5" s="5"/>
      <c r="K5" s="5">
        <f>HLOOKUP("ks-IPS-exp",balance!$D$1:$DR$96,$R$2,FALSE)</f>
        <v>2.38182911169099</v>
      </c>
      <c r="L5" s="5">
        <f>HLOOKUP("cvm-IPS-exp",balance!$D$1:$DR$96,$R$2,FALSE)</f>
        <v>0.58493259566251798</v>
      </c>
      <c r="M5" s="5">
        <f>HLOOKUP("ks-IPS-exp_1",balance!$D$1:$DR$96,$R$2,FALSE)</f>
        <v>1.92251361933979</v>
      </c>
      <c r="N5" s="5">
        <f>HLOOKUP("cvm-IPS-exp_1",balance!$D$1:$DR$96,$R$2,FALSE)</f>
        <v>0.42596563361771</v>
      </c>
      <c r="O5" s="5">
        <f>HLOOKUP("ks-IPS-exp_0",balance!$D$1:$DR$96,$R$2,FALSE)</f>
        <v>0.81238992379674102</v>
      </c>
      <c r="P5" s="5">
        <f>HLOOKUP("cvm-IPS-exp_0",balance!$D$1:$DR$96,$R$2,FALSE)</f>
        <v>3.8234275013476801E-2</v>
      </c>
    </row>
    <row r="6" spans="1:18" x14ac:dyDescent="0.45">
      <c r="B6" s="1" t="s">
        <v>5</v>
      </c>
      <c r="C6" s="5">
        <f>HLOOKUP("ATE-bias-IPS-ind",Point!$D$1:$DR$96,$R$2,FALSE)</f>
        <v>3.3054352993242899</v>
      </c>
      <c r="D6" s="5">
        <f>HLOOKUP("ATE-RMSE-IPS-ind",Point!$D$1:$DR$96,$R$2,FALSE)</f>
        <v>7.6575973513858804</v>
      </c>
      <c r="E6" s="5">
        <f t="shared" si="0"/>
        <v>1.761929575258117</v>
      </c>
      <c r="F6" s="5">
        <f>HLOOKUP("ATE-Empcov-IPS-ind",inference!$D$1:$DR$96,$R$2,FALSE)</f>
        <v>0.99297188755020105</v>
      </c>
      <c r="G6" s="5">
        <f>HLOOKUP("ATE-ASSD-IPS-ind",inference!$D$1:$DR$96,$R$2,FALSE)*2*1.96/SQRT(G$3)</f>
        <v>45.099605881458537</v>
      </c>
      <c r="H6" s="5">
        <f t="shared" si="1"/>
        <v>162.70529156948999</v>
      </c>
      <c r="I6" s="5">
        <f t="shared" si="2"/>
        <v>0.47315203769126607</v>
      </c>
      <c r="J6" s="5"/>
      <c r="K6" s="5">
        <f>HLOOKUP("ks-IPS-ind",balance!$D$1:$DR$96,$R$2,FALSE)</f>
        <v>1.86007690656033</v>
      </c>
      <c r="L6" s="5">
        <f>HLOOKUP("cvm-IPS-ind",balance!$D$1:$DR$96,$R$2,FALSE)</f>
        <v>0.318867589692794</v>
      </c>
      <c r="M6" s="5">
        <f>HLOOKUP("ks-IPS-ind_1",balance!$D$1:$DR$96,$R$2,FALSE)</f>
        <v>1.5793141821874901</v>
      </c>
      <c r="N6" s="5">
        <f>HLOOKUP("cvm-IPS-ind_1",balance!$D$1:$DR$96,$R$2,FALSE)</f>
        <v>0.23938811046328201</v>
      </c>
      <c r="O6" s="5">
        <f>HLOOKUP("ks-IPS-ind_0",balance!$D$1:$DR$96,$R$2,FALSE)</f>
        <v>0.73616450008254297</v>
      </c>
      <c r="P6" s="5">
        <f>HLOOKUP("cvm-IPS-ind_0",balance!$D$1:$DR$96,$R$2,FALSE)</f>
        <v>2.9313312150514199E-2</v>
      </c>
    </row>
    <row r="7" spans="1:18" x14ac:dyDescent="0.45">
      <c r="B7" s="1" t="s">
        <v>4</v>
      </c>
      <c r="C7" s="5">
        <f>HLOOKUP("ATE-bias-IPS-proj",Point!$D$1:$DR$96,$R$2,FALSE)</f>
        <v>-9.7695936443038506E-2</v>
      </c>
      <c r="D7" s="5">
        <f>HLOOKUP("ATE-RMSE-IPS-proj",Point!$D$1:$DR$96,$R$2,FALSE)</f>
        <v>4.1638609881866602</v>
      </c>
      <c r="E7" s="5">
        <f t="shared" si="0"/>
        <v>0.52094987262049974</v>
      </c>
      <c r="F7" s="6">
        <f>HLOOKUP("ATE-Empcov-IPS-proj",inference!$D$1:$DR$96,$R$2,FALSE)</f>
        <v>0.99298597194388805</v>
      </c>
      <c r="G7" s="6">
        <f>HLOOKUP("ATE-ASSD-IPS-proj",inference!$D$1:$DR$96,$R$2,FALSE)*2*1.96/SQRT(G$3)</f>
        <v>32.807090573207773</v>
      </c>
      <c r="H7" s="5">
        <f t="shared" si="1"/>
        <v>118.35773579243101</v>
      </c>
      <c r="I7" s="5">
        <f t="shared" si="2"/>
        <v>0.89415080704322858</v>
      </c>
      <c r="J7" s="5"/>
      <c r="K7" s="5">
        <f>HLOOKUP("ks-IPS-proj",balance!$D$1:$DR$96,$R$2,FALSE)</f>
        <v>2.7352807378648101</v>
      </c>
      <c r="L7" s="5">
        <f>HLOOKUP("cvm-IPS-proj",balance!$D$1:$DR$96,$R$2,FALSE)</f>
        <v>0.78048984673983701</v>
      </c>
      <c r="M7" s="5">
        <f>HLOOKUP("ks-IPS-proj_1",balance!$D$1:$DR$96,$R$2,FALSE)</f>
        <v>2.2043292065573699</v>
      </c>
      <c r="N7" s="5">
        <f>HLOOKUP("cvm-IPS-proj_1",balance!$D$1:$DR$96,$R$2,FALSE)</f>
        <v>0.58345130823260405</v>
      </c>
      <c r="O7" s="5">
        <f>HLOOKUP("ks-IPS-proj_0",balance!$D$1:$DR$96,$R$2,FALSE)</f>
        <v>0.85902180188434596</v>
      </c>
      <c r="P7" s="5">
        <f>HLOOKUP("cvm-IPS-proj_0",balance!$D$1:$DR$96,$R$2,FALSE)</f>
        <v>4.2422240164473199E-2</v>
      </c>
    </row>
    <row r="8" spans="1:18" x14ac:dyDescent="0.45">
      <c r="B8" s="1" t="s">
        <v>88</v>
      </c>
      <c r="C8" s="5">
        <f>HLOOKUP("ATE-bias-CBPS-just",Point!$D$1:$DR$96,$R$2,FALSE)</f>
        <v>0.62283336005738998</v>
      </c>
      <c r="D8" s="5">
        <f>HLOOKUP("ATE-RMSE-CBPS-just",Point!$D$1:$DR$96,$R$2,FALSE)</f>
        <v>4.4232952749398402</v>
      </c>
      <c r="E8" s="5">
        <f t="shared" si="0"/>
        <v>0.58788902824825229</v>
      </c>
      <c r="F8" s="5">
        <f>HLOOKUP("ATE-Empcov-CBPS-just",inference!$D$1:$DR$96,$R$2,FALSE)</f>
        <v>0.86673346693386799</v>
      </c>
      <c r="G8" s="5">
        <f>HLOOKUP("ATE-ASSD-CBPS-just",inference!$D$1:$DR$96,$R$2,FALSE)*2*1.96/SQRT(G$3)</f>
        <v>13.050247194674181</v>
      </c>
      <c r="H8" s="5">
        <f t="shared" si="1"/>
        <v>47.081215752626697</v>
      </c>
      <c r="I8" s="5">
        <f t="shared" si="2"/>
        <v>5.6507843277396885</v>
      </c>
      <c r="J8" s="5"/>
      <c r="K8" s="5">
        <f>HLOOKUP("ks-CBPS-Just",balance!$D$1:$DR$96,$R$2,FALSE)</f>
        <v>2.85791663764445</v>
      </c>
      <c r="L8" s="5">
        <f>HLOOKUP("cvm-CBPS-Just",balance!$D$1:$DR$96,$R$2,FALSE)</f>
        <v>0.91843752910537102</v>
      </c>
      <c r="M8" s="5">
        <f>HLOOKUP("ks-CBPS-Just_1",balance!$D$1:$DR$96,$R$2,FALSE)</f>
        <v>2.4541445098835899</v>
      </c>
      <c r="N8" s="5">
        <f>HLOOKUP("cvm-CBPS-Just_1",balance!$D$1:$DR$96,$R$2,FALSE)</f>
        <v>0.787515498026512</v>
      </c>
      <c r="O8" s="5">
        <f>HLOOKUP("ks-CBPS-Just_0",balance!$D$1:$DR$96,$R$2,FALSE)</f>
        <v>1.13691393488013</v>
      </c>
      <c r="P8" s="5">
        <f>HLOOKUP("cvm-CBPS-Just_0",balance!$D$1:$DR$96,$R$2,FALSE)</f>
        <v>7.1090052202279194E-2</v>
      </c>
    </row>
    <row r="9" spans="1:18" x14ac:dyDescent="0.45">
      <c r="B9" s="1" t="s">
        <v>89</v>
      </c>
      <c r="C9" s="5">
        <f>HLOOKUP("ATE-bias-CBPS-over",Point!$D$1:$DR$96,$R$2,FALSE)</f>
        <v>3.0236309947709201</v>
      </c>
      <c r="D9" s="5">
        <f>HLOOKUP("ATE-RMSE-CBPS-over",Point!$D$1:$DR$96,$R$2,FALSE)</f>
        <v>5.76896964670867</v>
      </c>
      <c r="E9" s="5">
        <f t="shared" si="0"/>
        <v>1</v>
      </c>
      <c r="F9" s="5">
        <f>HLOOKUP("ATE-Empcov-CBPS-over",inference!$D$1:$DR$96,$R$2,FALSE)</f>
        <v>0.99699398797595196</v>
      </c>
      <c r="G9" s="5">
        <f>HLOOKUP("ATE-ASSD-CBPS-over",inference!$D$1:$DR$96,$R$2,FALSE)*2*1.96/SQRT(G$3)</f>
        <v>31.022236475520579</v>
      </c>
      <c r="H9" s="5">
        <f t="shared" si="1"/>
        <v>111.91853969088402</v>
      </c>
      <c r="I9" s="5">
        <f t="shared" si="2"/>
        <v>1</v>
      </c>
      <c r="J9" s="5"/>
      <c r="K9" s="5">
        <f>HLOOKUP("ks-CBPS-over",balance!$D$1:$DR$96,$R$2,FALSE)</f>
        <v>2.60706161004078</v>
      </c>
      <c r="L9" s="5">
        <f>HLOOKUP("cvm-CBPS-over",balance!$D$1:$DR$96,$R$2,FALSE)</f>
        <v>0.70897668497535504</v>
      </c>
      <c r="M9" s="5">
        <f>HLOOKUP("ks-CBPS-over_1",balance!$D$1:$DR$96,$R$2,FALSE)</f>
        <v>2.0187629510732599</v>
      </c>
      <c r="N9" s="5">
        <f>HLOOKUP("cvm-CBPS-over_1",balance!$D$1:$DR$96,$R$2,FALSE)</f>
        <v>0.47563864555281199</v>
      </c>
      <c r="O9" s="5">
        <f>HLOOKUP("ks-CBPS-over_0",balance!$D$1:$DR$96,$R$2,FALSE)</f>
        <v>0.88517992150571401</v>
      </c>
      <c r="P9" s="5">
        <f>HLOOKUP("cvm-CBPS-over_0",balance!$D$1:$DR$96,$R$2,FALSE)</f>
        <v>5.2825220634606498E-2</v>
      </c>
    </row>
    <row r="10" spans="1:18" s="3" customFormat="1" x14ac:dyDescent="0.45">
      <c r="B10" s="3" t="s">
        <v>2</v>
      </c>
      <c r="C10" s="5">
        <f>HLOOKUP("ATE-bias-GLM",Point!$D$1:$DR$96,$R$2,FALSE)</f>
        <v>0.70768903879009704</v>
      </c>
      <c r="D10" s="5">
        <f>HLOOKUP("ATE-RMSE-GLM",Point!$D$1:$DR$96,$R$2,FALSE)</f>
        <v>11.8537912747988</v>
      </c>
      <c r="E10" s="5">
        <f t="shared" si="0"/>
        <v>4.2219981987843012</v>
      </c>
      <c r="F10" s="5">
        <f>HLOOKUP("ATE-Empcov-GLM",inference!$D$1:$DR$96,$R$2,FALSE)</f>
        <v>0.94789579158316595</v>
      </c>
      <c r="G10" s="5">
        <f>HLOOKUP("ATE-ASSD-GLM",inference!$D$1:$DR$96,$R$2,FALSE)*2*1.96/SQRT(G$3)</f>
        <v>55.040950431187305</v>
      </c>
      <c r="H10" s="5">
        <f t="shared" si="1"/>
        <v>198.57055761655701</v>
      </c>
      <c r="I10" s="5">
        <f t="shared" si="2"/>
        <v>0.31766865114916648</v>
      </c>
      <c r="J10" s="5"/>
      <c r="K10" s="5">
        <f>HLOOKUP("ks-GLM",balance!$D$1:$DR$96,$R$2,FALSE)</f>
        <v>3.59880950429742</v>
      </c>
      <c r="L10" s="5">
        <f>HLOOKUP("cvm-GLM",balance!$D$1:$DR$96,$R$2,FALSE)</f>
        <v>8.13233254320496</v>
      </c>
      <c r="M10" s="5">
        <f>HLOOKUP("ks-GLM_1",balance!$D$1:$DR$96,$R$2,FALSE)</f>
        <v>3.07787397418591</v>
      </c>
      <c r="N10" s="5">
        <f>HLOOKUP("cvm-GLM_1",balance!$D$1:$DR$96,$R$2,FALSE)</f>
        <v>6.0370218834016898</v>
      </c>
      <c r="O10" s="5">
        <f>HLOOKUP("ks-GLM_0",balance!$D$1:$DR$96,$R$2,FALSE)</f>
        <v>1.1967850919998699</v>
      </c>
      <c r="P10" s="5">
        <f>HLOOKUP("cvm-GLM_0",balance!$D$1:$DR$96,$R$2,FALSE)</f>
        <v>1.88073337135227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0.593209942335855</v>
      </c>
      <c r="D12" s="5">
        <f>HLOOKUP("QTE-0.10-RMSE-IPS-exp",Point!$D$1:$DR$96,$R$2,FALSE)</f>
        <v>3.8170157189107301</v>
      </c>
      <c r="E12" s="5">
        <f t="shared" ref="E12:E17" si="3">(D12/$D$16)^2</f>
        <v>1.006670584557011</v>
      </c>
      <c r="F12" s="5">
        <f>HLOOKUP("QTE-0.1-Empcov-IPS-exp",inference!$D$1:$DR$96,$R$2,FALSE)</f>
        <v>0.84468937875751504</v>
      </c>
      <c r="G12" s="5">
        <f>HLOOKUP("QTE-0.1-ASSD-IPS-exp",inference!$D$1:$DR$96,$R$2,FALSE)*2*1.96/SQRT(G$3)</f>
        <v>10.518537545440921</v>
      </c>
      <c r="H12" s="5">
        <f t="shared" ref="H12:H17" si="4">G12/(2*1.96/SQRT(G$3))</f>
        <v>37.947598094625405</v>
      </c>
      <c r="I12" s="5">
        <f t="shared" ref="I12:I17" si="5">($H$16/H12)^2</f>
        <v>2.0020652213652088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1.7992628419163501</v>
      </c>
      <c r="D13" s="5">
        <f>HLOOKUP("QTE-0.10-RMSE-IPS-ind",Point!$D$1:$DR$96,$R$2,FALSE)</f>
        <v>3.4476816088581499</v>
      </c>
      <c r="E13" s="5">
        <f t="shared" si="3"/>
        <v>0.82128480161961981</v>
      </c>
      <c r="F13" s="5">
        <f>HLOOKUP("QTE-0.1-Empcov-IPS-ind",inference!$D$1:$DR$96,$R$2,FALSE)</f>
        <v>0.84236947791164696</v>
      </c>
      <c r="G13" s="5">
        <f>HLOOKUP("QTE-0.1-ASSD-IPS-ind",inference!$D$1:$DR$96,$R$2,FALSE)*2*1.96/SQRT(G$3)</f>
        <v>10.682610988398757</v>
      </c>
      <c r="H13" s="5">
        <f t="shared" si="4"/>
        <v>38.5395238299729</v>
      </c>
      <c r="I13" s="5">
        <f t="shared" si="5"/>
        <v>1.94103835442485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0.17051963510415999</v>
      </c>
      <c r="D14" s="5">
        <f>HLOOKUP("QTE-0.10-RMSE-IPS-proj",Point!$D$1:$DR$96,$R$2,FALSE)</f>
        <v>4.4823701939745799</v>
      </c>
      <c r="E14" s="5">
        <f t="shared" si="3"/>
        <v>1.3882092208922463</v>
      </c>
      <c r="F14" s="6">
        <f>HLOOKUP("QTE-0.1-Empcov-IPS-proj",inference!$D$1:$DR$96,$R$2,FALSE)</f>
        <v>0.80761523046092198</v>
      </c>
      <c r="G14" s="6">
        <f>HLOOKUP("QTE-0.1-ASSD-IPS-proj",inference!$D$1:$DR$96,$R$2,FALSE)*2*1.96/SQRT(G$3)</f>
        <v>10.692593353274555</v>
      </c>
      <c r="H14" s="5">
        <f t="shared" si="4"/>
        <v>38.575537084544102</v>
      </c>
      <c r="I14" s="5">
        <f t="shared" si="5"/>
        <v>1.9374158265906085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0.82965245376653296</v>
      </c>
      <c r="D15" s="5">
        <f>HLOOKUP("QTE-0.10-RMSE-CBPS-just",Point!$D$1:$DR$96,$R$2,FALSE)</f>
        <v>5.0653700909556099</v>
      </c>
      <c r="E15" s="5">
        <f t="shared" si="3"/>
        <v>1.7728085803365372</v>
      </c>
      <c r="F15" s="5">
        <f>HLOOKUP("QTE-0.1-Empcov-CBPS-just",inference!$D$1:$DR$96,$R$2,FALSE)</f>
        <v>0.81062124248497003</v>
      </c>
      <c r="G15" s="5">
        <f>HLOOKUP("QTE-0.1-ASSD-CBPS-just",inference!$D$1:$DR$96,$R$2,FALSE)*2*1.96/SQRT(G$3)</f>
        <v>12.249788595452467</v>
      </c>
      <c r="H15" s="5">
        <f t="shared" si="4"/>
        <v>44.193411142582008</v>
      </c>
      <c r="I15" s="5">
        <f t="shared" si="5"/>
        <v>1.4761543028152624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1.26328025538169</v>
      </c>
      <c r="D16" s="5">
        <f>HLOOKUP("QTE-0.10-RMSE-CBPS-over",Point!$D$1:$DR$96,$R$2,FALSE)</f>
        <v>3.8043481955837</v>
      </c>
      <c r="E16" s="5">
        <f t="shared" si="3"/>
        <v>1</v>
      </c>
      <c r="F16" s="5">
        <f>HLOOKUP("QTE-0.1-Empcov-CBPS-over",inference!$D$1:$DR$96,$R$2,FALSE)</f>
        <v>0.91983967935871702</v>
      </c>
      <c r="G16" s="5">
        <f>HLOOKUP("QTE-0.1-ASSD-CBPS-over",inference!$D$1:$DR$96,$R$2,FALSE)*2*1.96/SQRT(G$3)</f>
        <v>14.883136750085372</v>
      </c>
      <c r="H16" s="5">
        <f t="shared" si="4"/>
        <v>53.693708782204503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0.59282203414300205</v>
      </c>
      <c r="D17" s="5">
        <f>HLOOKUP("QTE-0.10-RMSE-GLM",Point!$D$1:$DR$96,$R$2,FALSE)</f>
        <v>4.9790834440667799</v>
      </c>
      <c r="E17" s="5">
        <f t="shared" si="3"/>
        <v>1.7129247752271333</v>
      </c>
      <c r="F17" s="5">
        <f>HLOOKUP("QTE-0.1-Empcov-GLM",inference!$D$1:$DR$96,$R$2,FALSE)</f>
        <v>0.87374749498997994</v>
      </c>
      <c r="G17" s="5">
        <f>HLOOKUP("QTE-0.1-ASSD-GLM",inference!$D$1:$DR$96,$R$2,FALSE)*2*1.96/SQRT(G$3)</f>
        <v>197.36264151916086</v>
      </c>
      <c r="H17" s="5">
        <f t="shared" si="4"/>
        <v>712.02276617902203</v>
      </c>
      <c r="I17" s="5">
        <f t="shared" si="5"/>
        <v>5.6866833477306469E-3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0.214439587958908</v>
      </c>
      <c r="D19" s="5">
        <f>HLOOKUP("QTE-0.25-RMSE-IPS-exp",Point!$D$1:$DR$96,$R$2,FALSE)</f>
        <v>2.4175682246043699</v>
      </c>
      <c r="E19" s="5">
        <f t="shared" ref="E19:E24" si="6">(D19/$D$23)^2</f>
        <v>0.82968559165331002</v>
      </c>
      <c r="F19" s="5">
        <f>HLOOKUP("QTE-0.25-Empcov-IPS-exp",inference!$D$1:$DR$96,$R$2,FALSE)</f>
        <v>0.95290581162324695</v>
      </c>
      <c r="G19" s="5">
        <f>HLOOKUP("QTE-0.25-ASSD-IPS-exp",inference!$D$1:$DR$96,$R$2,FALSE)*2*1.96/SQRT(G$3)</f>
        <v>9.5094108114065108</v>
      </c>
      <c r="H19" s="5">
        <f t="shared" ref="H19:H24" si="7">G19/(2*1.96/SQRT(G$3))</f>
        <v>34.306984029766397</v>
      </c>
      <c r="I19" s="5">
        <f t="shared" ref="I19:I24" si="8">($H$23/H19)^2</f>
        <v>2.5103957287850465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1.4608648948273799</v>
      </c>
      <c r="D20" s="5">
        <f>HLOOKUP("QTE-0.25-RMSE-IPS-ind",Point!$D$1:$DR$96,$R$2,FALSE)</f>
        <v>2.88237089561563</v>
      </c>
      <c r="E20" s="5">
        <f t="shared" si="6"/>
        <v>1.1793855386418388</v>
      </c>
      <c r="F20" s="5">
        <f>HLOOKUP("QTE-0.25-Empcov-IPS-ind",inference!$D$1:$DR$96,$R$2,FALSE)</f>
        <v>0.94377510040160595</v>
      </c>
      <c r="G20" s="5">
        <f>HLOOKUP("QTE-0.25-ASSD-IPS-ind",inference!$D$1:$DR$96,$R$2,FALSE)*2*1.96/SQRT(G$3)</f>
        <v>10.900772701010338</v>
      </c>
      <c r="H20" s="5">
        <f t="shared" si="7"/>
        <v>39.326583148253107</v>
      </c>
      <c r="I20" s="5">
        <f t="shared" si="8"/>
        <v>1.9104463161595044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0.10227506577569299</v>
      </c>
      <c r="D21" s="5">
        <f>HLOOKUP("QTE-0.25-RMSE-IPS-proj",Point!$D$1:$DR$96,$R$2,FALSE)</f>
        <v>2.6611456050614501</v>
      </c>
      <c r="E21" s="5">
        <f t="shared" si="6"/>
        <v>1.005294591048195</v>
      </c>
      <c r="F21" s="6">
        <f>HLOOKUP("QTE-0.25-Empcov-IPS-proj",inference!$D$1:$DR$96,$R$2,FALSE)</f>
        <v>0.92484969939879802</v>
      </c>
      <c r="G21" s="6">
        <f>HLOOKUP("QTE-0.25-ASSD-IPS-proj",inference!$D$1:$DR$96,$R$2,FALSE)*2*1.96/SQRT(G$3)</f>
        <v>9.5488177903195304</v>
      </c>
      <c r="H21" s="5">
        <f t="shared" si="7"/>
        <v>34.449152101273903</v>
      </c>
      <c r="I21" s="5">
        <f t="shared" si="8"/>
        <v>2.4897181993233031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0.30587727791103703</v>
      </c>
      <c r="D22" s="5">
        <f>HLOOKUP("QTE-0.25-RMSE-CBPS-just",Point!$D$1:$DR$96,$R$2,FALSE)</f>
        <v>2.93889855992159</v>
      </c>
      <c r="E22" s="5">
        <f t="shared" si="6"/>
        <v>1.2260982218179692</v>
      </c>
      <c r="F22" s="5">
        <f>HLOOKUP("QTE-0.25-Empcov-CBPS-just",inference!$D$1:$DR$96,$R$2,FALSE)</f>
        <v>0.93386773547094204</v>
      </c>
      <c r="G22" s="5">
        <f>HLOOKUP("QTE-0.25-ASSD-CBPS-just",inference!$D$1:$DR$96,$R$2,FALSE)*2*1.96/SQRT(G$3)</f>
        <v>10.843952661793395</v>
      </c>
      <c r="H22" s="5">
        <f t="shared" si="7"/>
        <v>39.12159419397971</v>
      </c>
      <c r="I22" s="5">
        <f t="shared" si="8"/>
        <v>1.9305194448253593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0.98763276010438406</v>
      </c>
      <c r="D23" s="5">
        <f>HLOOKUP("QTE-0.25-RMSE-CBPS-over",Point!$D$1:$DR$96,$R$2,FALSE)</f>
        <v>2.6541286180082002</v>
      </c>
      <c r="E23" s="5">
        <f t="shared" si="6"/>
        <v>1</v>
      </c>
      <c r="F23" s="5">
        <f>HLOOKUP("QTE-0.25-Empcov-CBPS-over",inference!$D$1:$DR$96,$R$2,FALSE)</f>
        <v>0.98797595190380805</v>
      </c>
      <c r="G23" s="5">
        <f>HLOOKUP("QTE-0.25-ASSD-CBPS-over",inference!$D$1:$DR$96,$R$2,FALSE)*2*1.96/SQRT(G$3)</f>
        <v>15.066927663143087</v>
      </c>
      <c r="H23" s="5">
        <f t="shared" si="7"/>
        <v>54.356768991100303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0.19375041812635099</v>
      </c>
      <c r="D24" s="5">
        <f>HLOOKUP("QTE-0.25-RMSE-GLM",Point!$D$1:$DR$96,$R$2,FALSE)</f>
        <v>3.3811390389076301</v>
      </c>
      <c r="E24" s="5">
        <f t="shared" si="6"/>
        <v>1.6228640162656434</v>
      </c>
      <c r="F24" s="5">
        <f>HLOOKUP("QTE-0.25-Empcov-GLM",inference!$D$1:$DR$96,$R$2,FALSE)</f>
        <v>0.96192384769539097</v>
      </c>
      <c r="G24" s="5">
        <f>HLOOKUP("QTE-0.25-ASSD-GLM",inference!$D$1:$DR$96,$R$2,FALSE)*2*1.96/SQRT(G$3)</f>
        <v>25.757452193400013</v>
      </c>
      <c r="H24" s="5">
        <f t="shared" si="7"/>
        <v>92.924842408374815</v>
      </c>
      <c r="I24" s="5">
        <f t="shared" si="8"/>
        <v>0.34217131714133708</v>
      </c>
      <c r="J24" s="5"/>
      <c r="K24" s="5"/>
      <c r="L24" s="5"/>
      <c r="M24" s="5"/>
      <c r="N24" s="5"/>
    </row>
    <row r="25" spans="1:17" s="4" customFormat="1" x14ac:dyDescent="0.4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0.13128177022934601</v>
      </c>
      <c r="D26" s="5">
        <f>HLOOKUP("QTE-0.5-RMSE-IPS-exp",Point!$D$1:$DR$96,$R$2,FALSE)</f>
        <v>2.86016585213993</v>
      </c>
      <c r="E26" s="5">
        <f t="shared" ref="E26:E31" si="9">(D26/$D$30)^2</f>
        <v>0.63852657822794767</v>
      </c>
      <c r="F26" s="5">
        <f>HLOOKUP("QTE-0.5-Empcov-IPS-exp",inference!$D$1:$DR$96,$R$2,FALSE)</f>
        <v>0.93286573146292595</v>
      </c>
      <c r="G26" s="5">
        <f>HLOOKUP("QTE-0.5-ASSD-IPS-exp",inference!$D$1:$DR$96,$R$2,FALSE)*2*1.96/SQRT(G$3)</f>
        <v>10.375240976306436</v>
      </c>
      <c r="H26" s="5">
        <f t="shared" ref="H26:H31" si="10">G26/(2*1.96/SQRT(G$3))</f>
        <v>37.430628830565396</v>
      </c>
      <c r="I26" s="5">
        <f t="shared" ref="I26:I31" si="11">($H$30/H26)^2</f>
        <v>2.9820925395950013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1.87536349848255</v>
      </c>
      <c r="D27" s="5">
        <f>HLOOKUP("QTE-0.5-RMSE-IPS-ind",Point!$D$1:$DR$96,$R$2,FALSE)</f>
        <v>4.10378941831571</v>
      </c>
      <c r="E27" s="5">
        <f t="shared" si="9"/>
        <v>1.3145184295652839</v>
      </c>
      <c r="F27" s="5">
        <f>HLOOKUP("QTE-0.5-Empcov-IPS-ind",inference!$D$1:$DR$96,$R$2,FALSE)</f>
        <v>0.96586345381526095</v>
      </c>
      <c r="G27" s="5">
        <f>HLOOKUP("QTE-0.5-ASSD-IPS-ind",inference!$D$1:$DR$96,$R$2,FALSE)*2*1.96/SQRT(G$3)</f>
        <v>15.945053695696888</v>
      </c>
      <c r="H27" s="5">
        <f t="shared" si="10"/>
        <v>57.524773441892307</v>
      </c>
      <c r="I27" s="5">
        <f t="shared" si="11"/>
        <v>1.262599255784473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-9.8029663934354999E-2</v>
      </c>
      <c r="D28" s="5">
        <f>HLOOKUP("QTE-0.5-RMSE-IPS-proj",Point!$D$1:$DR$96,$R$2,FALSE)</f>
        <v>3.0830496001225698</v>
      </c>
      <c r="E28" s="5">
        <f t="shared" si="9"/>
        <v>0.74192083634263484</v>
      </c>
      <c r="F28" s="6">
        <f>HLOOKUP("QTE-0.5-Empcov-IPS-proj",inference!$D$1:$DR$96,$R$2,FALSE)</f>
        <v>0.90781563126252496</v>
      </c>
      <c r="G28" s="6">
        <f>HLOOKUP("QTE-0.5-ASSD-IPS-proj",inference!$D$1:$DR$96,$R$2,FALSE)*2*1.96/SQRT(G$3)</f>
        <v>10.5694968445966</v>
      </c>
      <c r="H28" s="5">
        <f t="shared" si="10"/>
        <v>38.131443329306499</v>
      </c>
      <c r="I28" s="5">
        <f t="shared" si="11"/>
        <v>2.8734846024242149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0.23919838437570401</v>
      </c>
      <c r="D29" s="5">
        <f>HLOOKUP("QTE-0.5-RMSE-CBPS-just",Point!$D$1:$DR$96,$R$2,FALSE)</f>
        <v>3.4591759533961799</v>
      </c>
      <c r="E29" s="5">
        <f t="shared" si="9"/>
        <v>0.93398919320900431</v>
      </c>
      <c r="F29" s="5">
        <f>HLOOKUP("QTE-0.5-Empcov-CBPS-just",inference!$D$1:$DR$96,$R$2,FALSE)</f>
        <v>0.88376753507014005</v>
      </c>
      <c r="G29" s="5">
        <f>HLOOKUP("QTE-0.5-ASSD-CBPS-just",inference!$D$1:$DR$96,$R$2,FALSE)*2*1.96/SQRT(G$3)</f>
        <v>10.792027516824927</v>
      </c>
      <c r="H29" s="5">
        <f t="shared" si="10"/>
        <v>38.934264489279208</v>
      </c>
      <c r="I29" s="5">
        <f t="shared" si="11"/>
        <v>2.7562043459740506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1.58240931406693</v>
      </c>
      <c r="D30" s="5">
        <f>HLOOKUP("QTE-0.5-RMSE-CBPS-over",Point!$D$1:$DR$96,$R$2,FALSE)</f>
        <v>3.5793298944678602</v>
      </c>
      <c r="E30" s="5">
        <f t="shared" si="9"/>
        <v>1</v>
      </c>
      <c r="F30" s="5">
        <f>HLOOKUP("QTE-0.5-Empcov-CBPS-over",inference!$D$1:$DR$96,$R$2,FALSE)</f>
        <v>0.98997995991984</v>
      </c>
      <c r="G30" s="5">
        <f>HLOOKUP("QTE-0.5-ASSD-CBPS-over",inference!$D$1:$DR$96,$R$2,FALSE)*2*1.96/SQRT(G$3)</f>
        <v>17.916730063718632</v>
      </c>
      <c r="H30" s="5">
        <f t="shared" si="10"/>
        <v>64.637965942573118</v>
      </c>
      <c r="I30" s="5">
        <f t="shared" si="11"/>
        <v>1</v>
      </c>
      <c r="J30" s="5"/>
      <c r="K30" s="5"/>
      <c r="L30" s="5"/>
      <c r="M30" s="5"/>
      <c r="N30" s="5"/>
    </row>
    <row r="31" spans="1:17" s="3" customFormat="1" x14ac:dyDescent="0.45">
      <c r="B31" s="3" t="s">
        <v>2</v>
      </c>
      <c r="C31" s="5">
        <f>HLOOKUP("QTE-0.5-bias-GLM",Point!$D$1:$DR$96,$R$2,FALSE)</f>
        <v>0.13413331958817501</v>
      </c>
      <c r="D31" s="5">
        <f>HLOOKUP("QTE-0.5-RMSE-GLM",Point!$D$1:$DR$96,$R$2,FALSE)</f>
        <v>4.1033518102766298</v>
      </c>
      <c r="E31" s="5">
        <f t="shared" si="9"/>
        <v>1.3142380968761187</v>
      </c>
      <c r="F31" s="5">
        <f>HLOOKUP("QTE-0.5-Empcov-GLM",inference!$D$1:$DR$96,$R$2,FALSE)</f>
        <v>0.93186372745490997</v>
      </c>
      <c r="G31" s="5">
        <f>HLOOKUP("QTE-0.5-ASSD-GLM",inference!$D$1:$DR$96,$R$2,FALSE)*2*1.96/SQRT(G$3)</f>
        <v>114.27598247780598</v>
      </c>
      <c r="H31" s="5">
        <f t="shared" si="10"/>
        <v>412.27205171842706</v>
      </c>
      <c r="I31" s="5">
        <f t="shared" si="11"/>
        <v>2.4581454320097021E-2</v>
      </c>
      <c r="J31" s="5"/>
      <c r="K31" s="5"/>
      <c r="L31" s="5"/>
      <c r="M31" s="5"/>
      <c r="N31" s="5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-0.26439405778146402</v>
      </c>
      <c r="D33" s="5">
        <f>HLOOKUP("QTE-0.75-RMSE-IPS-exp",Point!$D$1:$DR$96,$R$2,FALSE)</f>
        <v>6.6747169432368398</v>
      </c>
      <c r="E33" s="5">
        <f t="shared" ref="E33:E38" si="12">(D33/$D$37)^2</f>
        <v>0.55108307703193316</v>
      </c>
      <c r="F33" s="5">
        <f>HLOOKUP("QTE-0.75-Empcov-IPS-exp",inference!$D$1:$DR$96,$R$2,FALSE)</f>
        <v>0.93286573146292595</v>
      </c>
      <c r="G33" s="5">
        <f>HLOOKUP("QTE-0.75-ASSD-IPS-exp",inference!$D$1:$DR$96,$R$2,FALSE)*2*1.96/SQRT(G$3)</f>
        <v>28.36320513348884</v>
      </c>
      <c r="H33" s="5">
        <f t="shared" ref="H33:H38" si="13">G33/(2*1.96/SQRT(G$3))</f>
        <v>102.32558513303601</v>
      </c>
      <c r="I33" s="5">
        <f t="shared" ref="I33:I38" si="14">($H$37/H33)^2</f>
        <v>2.5230789147806636</v>
      </c>
      <c r="J33" s="5"/>
    </row>
    <row r="34" spans="1:10" x14ac:dyDescent="0.45">
      <c r="B34" s="1" t="s">
        <v>5</v>
      </c>
      <c r="C34" s="5">
        <f>HLOOKUP("QTE-0.75-bias-IPS-ind",Point!$D$1:$DR$96,$R$2,FALSE)</f>
        <v>3.5934364617639099</v>
      </c>
      <c r="D34" s="5">
        <f>HLOOKUP("QTE-0.75-RMSE-IPS-ind",Point!$D$1:$DR$96,$R$2,FALSE)</f>
        <v>11.1956546649151</v>
      </c>
      <c r="E34" s="5">
        <f t="shared" si="12"/>
        <v>1.5504235495892458</v>
      </c>
      <c r="F34" s="5">
        <f>HLOOKUP("QTE-0.75-Empcov-IPS-ind",inference!$D$1:$DR$96,$R$2,FALSE)</f>
        <v>0.94678714859437796</v>
      </c>
      <c r="G34" s="5">
        <f>HLOOKUP("QTE-0.75-ASSD-IPS-ind",inference!$D$1:$DR$96,$R$2,FALSE)*2*1.96/SQRT(G$3)</f>
        <v>51.324425909959494</v>
      </c>
      <c r="H34" s="5">
        <f t="shared" si="13"/>
        <v>185.16249796652502</v>
      </c>
      <c r="I34" s="5">
        <f t="shared" si="14"/>
        <v>0.77053655274999422</v>
      </c>
      <c r="J34" s="5"/>
    </row>
    <row r="35" spans="1:10" x14ac:dyDescent="0.45">
      <c r="B35" s="1" t="s">
        <v>4</v>
      </c>
      <c r="C35" s="5">
        <f>HLOOKUP("QTE-0.75-bias-IPS-proj",Point!$D$1:$DR$96,$R$2,FALSE)</f>
        <v>-1.2957889906998299</v>
      </c>
      <c r="D35" s="5">
        <f>HLOOKUP("QTE-0.75-RMSE-IPS-proj",Point!$D$1:$DR$96,$R$2,FALSE)</f>
        <v>6.6985237346083304</v>
      </c>
      <c r="E35" s="5">
        <f t="shared" si="12"/>
        <v>0.55502119657403215</v>
      </c>
      <c r="F35" s="6">
        <f>HLOOKUP("QTE-0.75-Empcov-IPS-proj",inference!$D$1:$DR$96,$R$2,FALSE)</f>
        <v>0.925851703406814</v>
      </c>
      <c r="G35" s="6">
        <f>HLOOKUP("QTE-0.75-ASSD-IPS-proj",inference!$D$1:$DR$96,$R$2,FALSE)*2*1.96/SQRT(G$3)</f>
        <v>28.765585446072802</v>
      </c>
      <c r="H35" s="5">
        <f t="shared" si="13"/>
        <v>103.77724762101602</v>
      </c>
      <c r="I35" s="5">
        <f t="shared" si="14"/>
        <v>2.4529856718769336</v>
      </c>
      <c r="J35" s="5"/>
    </row>
    <row r="36" spans="1:10" x14ac:dyDescent="0.45">
      <c r="B36" s="1" t="s">
        <v>88</v>
      </c>
      <c r="C36" s="5">
        <f>HLOOKUP("QTE-0.75-bias-CBPS-just",Point!$D$1:$DR$96,$R$2,FALSE)</f>
        <v>-0.179874464688035</v>
      </c>
      <c r="D36" s="5">
        <f>HLOOKUP("QTE-0.75-RMSE-CBPS-just",Point!$D$1:$DR$96,$R$2,FALSE)</f>
        <v>8.4057639483561104</v>
      </c>
      <c r="E36" s="5">
        <f t="shared" si="12"/>
        <v>0.87398856038193429</v>
      </c>
      <c r="F36" s="5">
        <f>HLOOKUP("QTE-0.75-Empcov-CBPS-just",inference!$D$1:$DR$96,$R$2,FALSE)</f>
        <v>0.81262525050100198</v>
      </c>
      <c r="G36" s="5">
        <f>HLOOKUP("QTE-0.75-ASSD-CBPS-just",inference!$D$1:$DR$96,$R$2,FALSE)*2*1.96/SQRT(G$3)</f>
        <v>26.746465360922286</v>
      </c>
      <c r="H36" s="5">
        <f t="shared" si="13"/>
        <v>96.492893007547195</v>
      </c>
      <c r="I36" s="5">
        <f t="shared" si="14"/>
        <v>2.8373221791934085</v>
      </c>
      <c r="J36" s="5"/>
    </row>
    <row r="37" spans="1:10" x14ac:dyDescent="0.45">
      <c r="B37" s="1" t="s">
        <v>89</v>
      </c>
      <c r="C37" s="5">
        <f>HLOOKUP("QTE-0.75-bias-CBPS-over",Point!$D$1:$DR$96,$R$2,FALSE)</f>
        <v>4.0354295015021302</v>
      </c>
      <c r="D37" s="5">
        <f>HLOOKUP("QTE-0.75-RMSE-CBPS-over",Point!$D$1:$DR$96,$R$2,FALSE)</f>
        <v>8.9913378338928904</v>
      </c>
      <c r="E37" s="5">
        <f t="shared" si="12"/>
        <v>1</v>
      </c>
      <c r="F37" s="5">
        <f>HLOOKUP("QTE-0.75-Empcov-CBPS-over",inference!$D$1:$DR$96,$R$2,FALSE)</f>
        <v>0.96593186372745499</v>
      </c>
      <c r="G37" s="5">
        <f>HLOOKUP("QTE-0.75-ASSD-CBPS-over",inference!$D$1:$DR$96,$R$2,FALSE)*2*1.96/SQRT(G$3)</f>
        <v>45.05268960473559</v>
      </c>
      <c r="H37" s="5">
        <f t="shared" si="13"/>
        <v>162.536032296945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-0.77710319085298896</v>
      </c>
      <c r="D38" s="5">
        <f>HLOOKUP("QTE-0.75-RMSE-GLM",Point!$D$1:$DR$96,$R$2,FALSE)</f>
        <v>9.1285630967991604</v>
      </c>
      <c r="E38" s="5">
        <f t="shared" si="12"/>
        <v>1.030756807798467</v>
      </c>
      <c r="F38" s="5">
        <f>HLOOKUP("QTE-0.75-Empcov-GLM",inference!$D$1:$DR$96,$R$2,FALSE)</f>
        <v>0.87575150300601201</v>
      </c>
      <c r="G38" s="5">
        <f>HLOOKUP("QTE-0.75-ASSD-GLM",inference!$D$1:$DR$96,$R$2,FALSE)*2*1.96/SQRT(G$3)</f>
        <v>83.107035338197079</v>
      </c>
      <c r="H38" s="5">
        <f t="shared" si="13"/>
        <v>299.82422577525102</v>
      </c>
      <c r="I38" s="5">
        <f t="shared" si="14"/>
        <v>0.29387718150315928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7.1379948611516794E-2</v>
      </c>
      <c r="D40" s="5">
        <f>HLOOKUP("QTE-0.9-RMSE-IPS-exp",Point!$D$1:$DR$96,$R$2,FALSE)</f>
        <v>15.1415794796544</v>
      </c>
      <c r="E40" s="5">
        <f t="shared" ref="E40:E45" si="15">(D40/$D$44)^2</f>
        <v>0.66972481451984855</v>
      </c>
      <c r="F40" s="5">
        <f>HLOOKUP("QTE-0.9-Empcov-IPS-exp",inference!$D$1:$DR$96,$R$2,FALSE)</f>
        <v>0.91382765531062105</v>
      </c>
      <c r="G40" s="5">
        <f>HLOOKUP("QTE-0.9-ASSD-IPS-exp",inference!$D$1:$DR$96,$R$2,FALSE)*2*1.96/SQRT(G$3)</f>
        <v>70.457097010512214</v>
      </c>
      <c r="H40" s="5">
        <f t="shared" ref="H40:H45" si="16">G40/(2*1.96/SQRT(G$3))</f>
        <v>254.18719938189602</v>
      </c>
      <c r="I40" s="5">
        <f t="shared" ref="I40:I45" si="17">($H$44/H40)^2</f>
        <v>1.7281062726499725</v>
      </c>
      <c r="J40" s="5"/>
    </row>
    <row r="41" spans="1:10" x14ac:dyDescent="0.45">
      <c r="B41" s="1" t="s">
        <v>5</v>
      </c>
      <c r="C41" s="5">
        <f>HLOOKUP("QTE-0.9-bias-IPS-ind",Point!$D$1:$DR$96,$R$2,FALSE)</f>
        <v>4.3397658917212496</v>
      </c>
      <c r="D41" s="5">
        <f>HLOOKUP("QTE-0.9-RMSE-IPS-ind",Point!$D$1:$DR$96,$R$2,FALSE)</f>
        <v>21.965797811972799</v>
      </c>
      <c r="E41" s="5">
        <f t="shared" si="15"/>
        <v>1.4094445447454194</v>
      </c>
      <c r="F41" s="5">
        <f>HLOOKUP("QTE-0.9-Empcov-IPS-ind",inference!$D$1:$DR$96,$R$2,FALSE)</f>
        <v>0.92269076305220898</v>
      </c>
      <c r="G41" s="5">
        <f>HLOOKUP("QTE-0.9-ASSD-IPS-ind",inference!$D$1:$DR$96,$R$2,FALSE)*2*1.96/SQRT(G$3)</f>
        <v>103.10013912654003</v>
      </c>
      <c r="H41" s="5">
        <f t="shared" si="16"/>
        <v>371.953099579862</v>
      </c>
      <c r="I41" s="5">
        <f t="shared" si="17"/>
        <v>0.80705184474439673</v>
      </c>
      <c r="J41" s="5"/>
    </row>
    <row r="42" spans="1:10" x14ac:dyDescent="0.45">
      <c r="B42" s="1" t="s">
        <v>4</v>
      </c>
      <c r="C42" s="5">
        <f>HLOOKUP("QTE-0.9-bias-IPS-proj",Point!$D$1:$DR$96,$R$2,FALSE)</f>
        <v>-2.32093200999183</v>
      </c>
      <c r="D42" s="5">
        <f>HLOOKUP("QTE-0.9-RMSE-IPS-proj",Point!$D$1:$DR$96,$R$2,FALSE)</f>
        <v>14.6448102826694</v>
      </c>
      <c r="E42" s="5">
        <f t="shared" si="15"/>
        <v>0.62650065508712072</v>
      </c>
      <c r="F42" s="6">
        <f>HLOOKUP("QTE-0.9-Empcov-IPS-proj",inference!$D$1:$DR$96,$R$2,FALSE)</f>
        <v>0.95190380761522997</v>
      </c>
      <c r="G42" s="6">
        <f>HLOOKUP("QTE-0.9-ASSD-IPS-proj",inference!$D$1:$DR$96,$R$2,FALSE)*2*1.96/SQRT(G$3)</f>
        <v>85.438544618927125</v>
      </c>
      <c r="H42" s="5">
        <f t="shared" si="16"/>
        <v>308.23558303445299</v>
      </c>
      <c r="I42" s="5">
        <f t="shared" si="17"/>
        <v>1.1752012737169644</v>
      </c>
      <c r="J42" s="5"/>
    </row>
    <row r="43" spans="1:10" x14ac:dyDescent="0.45">
      <c r="B43" s="1" t="s">
        <v>88</v>
      </c>
      <c r="C43" s="5">
        <f>HLOOKUP("QTE-0.9-bias-CBPS-just",Point!$D$1:$DR$96,$R$2,FALSE)</f>
        <v>-1.1372233604264801</v>
      </c>
      <c r="D43" s="5">
        <f>HLOOKUP("QTE-0.9-RMSE-CBPS-just",Point!$D$1:$DR$96,$R$2,FALSE)</f>
        <v>19.013753041180699</v>
      </c>
      <c r="E43" s="5">
        <f t="shared" si="15"/>
        <v>1.0560627571014845</v>
      </c>
      <c r="F43" s="5">
        <f>HLOOKUP("QTE-0.9-Empcov-CBPS-just",inference!$D$1:$DR$96,$R$2,FALSE)</f>
        <v>0.76853707414829697</v>
      </c>
      <c r="G43" s="5">
        <f>HLOOKUP("QTE-0.9-ASSD-CBPS-just",inference!$D$1:$DR$96,$R$2,FALSE)*2*1.96/SQRT(G$3)</f>
        <v>65.066968571269484</v>
      </c>
      <c r="H43" s="5">
        <f t="shared" si="16"/>
        <v>234.741299530595</v>
      </c>
      <c r="I43" s="5">
        <f t="shared" si="17"/>
        <v>2.0262768832656612</v>
      </c>
      <c r="J43" s="5"/>
    </row>
    <row r="44" spans="1:10" x14ac:dyDescent="0.45">
      <c r="B44" s="1" t="s">
        <v>89</v>
      </c>
      <c r="C44" s="5">
        <f>HLOOKUP("QTE-0.9-bias-CBPS-over",Point!$D$1:$DR$96,$R$2,FALSE)</f>
        <v>5.2664649321064303</v>
      </c>
      <c r="D44" s="5">
        <f>HLOOKUP("QTE-0.9-RMSE-CBPS-over",Point!$D$1:$DR$96,$R$2,FALSE)</f>
        <v>18.5021835582398</v>
      </c>
      <c r="E44" s="5">
        <f t="shared" si="15"/>
        <v>1</v>
      </c>
      <c r="F44" s="5">
        <f>HLOOKUP("QTE-0.9-Empcov-CBPS-over",inference!$D$1:$DR$96,$R$2,FALSE)</f>
        <v>0.91883767535070104</v>
      </c>
      <c r="G44" s="5">
        <f>HLOOKUP("QTE-0.9-ASSD-CBPS-over",inference!$D$1:$DR$96,$R$2,FALSE)*2*1.96/SQRT(G$3)</f>
        <v>92.621107270674074</v>
      </c>
      <c r="H44" s="5">
        <f t="shared" si="16"/>
        <v>334.14802567398107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-0.482965580238227</v>
      </c>
      <c r="D45" s="5">
        <f>HLOOKUP("QTE-0.9-RMSE-GLM",Point!$D$1:$DR$96,$R$2,FALSE)</f>
        <v>16.953189948741599</v>
      </c>
      <c r="E45" s="5">
        <f t="shared" si="15"/>
        <v>0.83956994942150542</v>
      </c>
      <c r="F45" s="5">
        <f>HLOOKUP("QTE-0.9-Empcov-GLM",inference!$D$1:$DR$96,$R$2,FALSE)</f>
        <v>0.846693386773547</v>
      </c>
      <c r="G45" s="5">
        <f>HLOOKUP("QTE-0.9-ASSD-GLM",inference!$D$1:$DR$96,$R$2,FALSE)*2*1.96/SQRT(G$3)</f>
        <v>83.128486874669875</v>
      </c>
      <c r="H45" s="5">
        <f t="shared" si="16"/>
        <v>299.90161621865298</v>
      </c>
      <c r="I45" s="5">
        <f t="shared" si="17"/>
        <v>1.2414241405148609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H114" s="7"/>
      <c r="I114" s="7"/>
      <c r="J114" s="7"/>
    </row>
    <row r="115" spans="8:10" x14ac:dyDescent="0.45">
      <c r="H115" s="7"/>
      <c r="I115" s="7"/>
      <c r="J115" s="7"/>
    </row>
    <row r="116" spans="8:10" x14ac:dyDescent="0.45">
      <c r="H116" s="7"/>
      <c r="I116" s="7"/>
      <c r="J116" s="7"/>
    </row>
    <row r="117" spans="8:10" x14ac:dyDescent="0.45">
      <c r="H117" s="7"/>
      <c r="I117" s="7"/>
      <c r="J117" s="7"/>
    </row>
    <row r="118" spans="8:10" x14ac:dyDescent="0.45">
      <c r="H118" s="7"/>
      <c r="I118" s="7"/>
      <c r="J118" s="7"/>
    </row>
    <row r="119" spans="8:10" x14ac:dyDescent="0.45">
      <c r="H119" s="7"/>
      <c r="I119" s="7"/>
      <c r="J119" s="7"/>
    </row>
    <row r="120" spans="8:10" x14ac:dyDescent="0.4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6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10.46484375" style="1" bestFit="1" customWidth="1"/>
    <col min="9" max="9" width="5.1328125" style="1" bestFit="1" customWidth="1"/>
    <col min="10" max="10" width="8.33203125" style="1" customWidth="1"/>
    <col min="11" max="17" width="9.33203125" style="1"/>
    <col min="18" max="18" width="28" style="1" bestFit="1" customWidth="1"/>
    <col min="19" max="16384" width="9.33203125" style="1"/>
  </cols>
  <sheetData>
    <row r="1" spans="1:18" x14ac:dyDescent="0.45">
      <c r="C1" s="16" t="s">
        <v>71</v>
      </c>
      <c r="D1" s="16"/>
      <c r="E1" s="16"/>
      <c r="F1" s="16"/>
      <c r="G1" s="16"/>
      <c r="H1" s="9"/>
      <c r="I1" s="9"/>
      <c r="J1" s="11"/>
      <c r="R1" s="10" t="s">
        <v>166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3</v>
      </c>
    </row>
    <row r="3" spans="1:18" x14ac:dyDescent="0.45">
      <c r="B3" s="1" t="s">
        <v>6</v>
      </c>
      <c r="C3" s="11">
        <v>200</v>
      </c>
      <c r="D3" s="11">
        <v>200</v>
      </c>
      <c r="E3" s="11">
        <v>200</v>
      </c>
      <c r="F3" s="11">
        <v>200</v>
      </c>
      <c r="G3" s="11">
        <v>200</v>
      </c>
      <c r="H3" s="11">
        <v>200</v>
      </c>
      <c r="I3" s="11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-1.8533955785637499</v>
      </c>
      <c r="D5" s="5">
        <f>HLOOKUP("ATE-RMSE-IPS-exp",Point!$D$1:$DR$96,$R$2,FALSE)</f>
        <v>7.1149658164118899</v>
      </c>
      <c r="E5" s="5">
        <f t="shared" ref="E5:E10" si="0">(D5/$D$9)^2</f>
        <v>1.3260674649762789</v>
      </c>
      <c r="F5" s="5">
        <f>HLOOKUP("ATE-Empcov-IPS-exp",inference!$D$1:$DR$96,$R$2,FALSE)</f>
        <v>0.96399999999999997</v>
      </c>
      <c r="G5" s="5">
        <f>HLOOKUP("ATE-ASSD-IPS-exp",inference!$D$1:$DR$96,$R$2,FALSE)*2*1.96/SQRT(G$3)</f>
        <v>22.140191496174566</v>
      </c>
      <c r="H5" s="5">
        <f t="shared" ref="H5:H10" si="1">G5/(2*1.96/SQRT(G$3))</f>
        <v>79.874895631192715</v>
      </c>
      <c r="I5" s="5">
        <f t="shared" ref="I5:I10" si="2">($H$9/H5)^2</f>
        <v>2.1181005589868409</v>
      </c>
      <c r="J5" s="5"/>
      <c r="K5" s="5">
        <f>HLOOKUP("ks-IPS-exp",balance!$D$1:$DR$96,$R$2,FALSE)</f>
        <v>2.5358587619902302</v>
      </c>
      <c r="L5" s="5">
        <f>HLOOKUP("cvm-IPS-exp",balance!$D$1:$DR$96,$R$2,FALSE)</f>
        <v>0.61580881339722404</v>
      </c>
      <c r="M5" s="5">
        <f>HLOOKUP("ks-IPS-exp_1",balance!$D$1:$DR$96,$R$2,FALSE)</f>
        <v>1.9560297662097801</v>
      </c>
      <c r="N5" s="5">
        <f>HLOOKUP("cvm-IPS-exp_1",balance!$D$1:$DR$96,$R$2,FALSE)</f>
        <v>0.40669954176821299</v>
      </c>
      <c r="O5" s="5">
        <f>HLOOKUP("ks-IPS-exp_0",balance!$D$1:$DR$96,$R$2,FALSE)</f>
        <v>0.87629986438100704</v>
      </c>
      <c r="P5" s="5">
        <f>HLOOKUP("cvm-IPS-exp_0",balance!$D$1:$DR$96,$R$2,FALSE)</f>
        <v>4.0517129337569999E-2</v>
      </c>
    </row>
    <row r="6" spans="1:18" x14ac:dyDescent="0.45">
      <c r="B6" s="1" t="s">
        <v>5</v>
      </c>
      <c r="C6" s="5">
        <f>HLOOKUP("ATE-bias-IPS-ind",Point!$D$1:$DR$96,$R$2,FALSE)</f>
        <v>0.64043663364620196</v>
      </c>
      <c r="D6" s="5">
        <f>HLOOKUP("ATE-RMSE-IPS-ind",Point!$D$1:$DR$96,$R$2,FALSE)</f>
        <v>7.8316137259760996</v>
      </c>
      <c r="E6" s="5">
        <f t="shared" si="0"/>
        <v>1.6066545259955234</v>
      </c>
      <c r="F6" s="5">
        <f>HLOOKUP("ATE-Empcov-IPS-ind",inference!$D$1:$DR$96,$R$2,FALSE)</f>
        <v>0.99299299299299304</v>
      </c>
      <c r="G6" s="5">
        <f>HLOOKUP("ATE-ASSD-IPS-ind",inference!$D$1:$DR$96,$R$2,FALSE)*2*1.96/SQRT(G$3)</f>
        <v>43.117728438849532</v>
      </c>
      <c r="H6" s="5">
        <f t="shared" si="1"/>
        <v>155.555296777911</v>
      </c>
      <c r="I6" s="5">
        <f t="shared" si="2"/>
        <v>0.5584670759992888</v>
      </c>
      <c r="J6" s="5"/>
      <c r="K6" s="5">
        <f>HLOOKUP("ks-IPS-ind",balance!$D$1:$DR$96,$R$2,FALSE)</f>
        <v>2.0102949027840999</v>
      </c>
      <c r="L6" s="5">
        <f>HLOOKUP("cvm-IPS-ind",balance!$D$1:$DR$96,$R$2,FALSE)</f>
        <v>0.35057702541246799</v>
      </c>
      <c r="M6" s="5">
        <f>HLOOKUP("ks-IPS-ind_1",balance!$D$1:$DR$96,$R$2,FALSE)</f>
        <v>1.66727461692297</v>
      </c>
      <c r="N6" s="5">
        <f>HLOOKUP("cvm-IPS-ind_1",balance!$D$1:$DR$96,$R$2,FALSE)</f>
        <v>0.261961593650132</v>
      </c>
      <c r="O6" s="5">
        <f>HLOOKUP("ks-IPS-ind_0",balance!$D$1:$DR$96,$R$2,FALSE)</f>
        <v>0.81681525235661401</v>
      </c>
      <c r="P6" s="5">
        <f>HLOOKUP("cvm-IPS-ind_0",balance!$D$1:$DR$96,$R$2,FALSE)</f>
        <v>3.2378256301387201E-2</v>
      </c>
    </row>
    <row r="7" spans="1:18" x14ac:dyDescent="0.45">
      <c r="B7" s="1" t="s">
        <v>4</v>
      </c>
      <c r="C7" s="5">
        <f>HLOOKUP("ATE-bias-IPS-proj",Point!$D$1:$DR$96,$R$2,FALSE)</f>
        <v>2.8019738202817299</v>
      </c>
      <c r="D7" s="5">
        <f>HLOOKUP("ATE-RMSE-IPS-proj",Point!$D$1:$DR$96,$R$2,FALSE)</f>
        <v>6.47569524004426</v>
      </c>
      <c r="E7" s="5">
        <f t="shared" si="0"/>
        <v>1.0984816020505375</v>
      </c>
      <c r="F7" s="6">
        <f>HLOOKUP("ATE-Empcov-IPS-proj",inference!$D$1:$DR$96,$R$2,FALSE)</f>
        <v>0.9</v>
      </c>
      <c r="G7" s="6">
        <f>HLOOKUP("ATE-ASSD-IPS-proj",inference!$D$1:$DR$96,$R$2,FALSE)*2*1.96/SQRT(G$3)</f>
        <v>19.030202237563547</v>
      </c>
      <c r="H7" s="5">
        <f t="shared" si="1"/>
        <v>68.655025762921412</v>
      </c>
      <c r="I7" s="5">
        <f t="shared" si="2"/>
        <v>2.8669658068285644</v>
      </c>
      <c r="J7" s="5"/>
      <c r="K7" s="5">
        <f>HLOOKUP("ks-IPS-proj",balance!$D$1:$DR$96,$R$2,FALSE)</f>
        <v>2.5421895051210401</v>
      </c>
      <c r="L7" s="5">
        <f>HLOOKUP("cvm-IPS-proj",balance!$D$1:$DR$96,$R$2,FALSE)</f>
        <v>0.60212827298316496</v>
      </c>
      <c r="M7" s="5">
        <f>HLOOKUP("ks-IPS-proj_1",balance!$D$1:$DR$96,$R$2,FALSE)</f>
        <v>1.9527312835584401</v>
      </c>
      <c r="N7" s="5">
        <f>HLOOKUP("cvm-IPS-proj_1",balance!$D$1:$DR$96,$R$2,FALSE)</f>
        <v>0.39837941273031802</v>
      </c>
      <c r="O7" s="5">
        <f>HLOOKUP("ks-IPS-proj_0",balance!$D$1:$DR$96,$R$2,FALSE)</f>
        <v>0.83419825265649805</v>
      </c>
      <c r="P7" s="5">
        <f>HLOOKUP("cvm-IPS-proj_0",balance!$D$1:$DR$96,$R$2,FALSE)</f>
        <v>3.7919986884370101E-2</v>
      </c>
    </row>
    <row r="8" spans="1:18" x14ac:dyDescent="0.45">
      <c r="B8" s="1" t="s">
        <v>88</v>
      </c>
      <c r="C8" s="5">
        <f>HLOOKUP("ATE-bias-CBPS-just",Point!$D$1:$DR$96,$R$2,FALSE)</f>
        <v>-3.5129288809163199</v>
      </c>
      <c r="D8" s="5">
        <f>HLOOKUP("ATE-RMSE-CBPS-just",Point!$D$1:$DR$96,$R$2,FALSE)</f>
        <v>8.0559244758942299</v>
      </c>
      <c r="E8" s="5">
        <f t="shared" si="0"/>
        <v>1.7000071821019549</v>
      </c>
      <c r="F8" s="5">
        <f>HLOOKUP("ATE-Empcov-CBPS-just",inference!$D$1:$DR$96,$R$2,FALSE)</f>
        <v>0.83</v>
      </c>
      <c r="G8" s="5">
        <f>HLOOKUP("ATE-ASSD-CBPS-just",inference!$D$1:$DR$96,$R$2,FALSE)*2*1.96/SQRT(G$3)</f>
        <v>17.116227142777266</v>
      </c>
      <c r="H8" s="5">
        <f t="shared" si="1"/>
        <v>61.750001433607402</v>
      </c>
      <c r="I8" s="5">
        <f t="shared" si="2"/>
        <v>3.5439961236668078</v>
      </c>
      <c r="J8" s="5"/>
      <c r="K8" s="5">
        <f>HLOOKUP("ks-CBPS-Just",balance!$D$1:$DR$96,$R$2,FALSE)</f>
        <v>2.68687077944693</v>
      </c>
      <c r="L8" s="5">
        <f>HLOOKUP("cvm-CBPS-Just",balance!$D$1:$DR$96,$R$2,FALSE)</f>
        <v>0.68169916390273999</v>
      </c>
      <c r="M8" s="5">
        <f>HLOOKUP("ks-CBPS-Just_1",balance!$D$1:$DR$96,$R$2,FALSE)</f>
        <v>2.1034298417767698</v>
      </c>
      <c r="N8" s="5">
        <f>HLOOKUP("cvm-CBPS-Just_1",balance!$D$1:$DR$96,$R$2,FALSE)</f>
        <v>0.46844713087587497</v>
      </c>
      <c r="O8" s="5">
        <f>HLOOKUP("ks-CBPS-Just_0",balance!$D$1:$DR$96,$R$2,FALSE)</f>
        <v>0.99992739666220198</v>
      </c>
      <c r="P8" s="5">
        <f>HLOOKUP("cvm-CBPS-Just_0",balance!$D$1:$DR$96,$R$2,FALSE)</f>
        <v>4.7746693969724599E-2</v>
      </c>
    </row>
    <row r="9" spans="1:18" x14ac:dyDescent="0.45">
      <c r="B9" s="1" t="s">
        <v>89</v>
      </c>
      <c r="C9" s="5">
        <f>HLOOKUP("ATE-bias-CBPS-over",Point!$D$1:$DR$96,$R$2,FALSE)</f>
        <v>0.75743065846209701</v>
      </c>
      <c r="D9" s="5">
        <f>HLOOKUP("ATE-RMSE-CBPS-over",Point!$D$1:$DR$96,$R$2,FALSE)</f>
        <v>6.1785989742562704</v>
      </c>
      <c r="E9" s="5">
        <f t="shared" si="0"/>
        <v>1</v>
      </c>
      <c r="F9" s="5">
        <f>HLOOKUP("ATE-Empcov-CBPS-over",inference!$D$1:$DR$96,$R$2,FALSE)</f>
        <v>0.997</v>
      </c>
      <c r="G9" s="5">
        <f>HLOOKUP("ATE-ASSD-CBPS-over",inference!$D$1:$DR$96,$R$2,FALSE)*2*1.96/SQRT(G$3)</f>
        <v>32.222160777494345</v>
      </c>
      <c r="H9" s="5">
        <f t="shared" si="1"/>
        <v>116.247491786987</v>
      </c>
      <c r="I9" s="5">
        <f t="shared" si="2"/>
        <v>1</v>
      </c>
      <c r="J9" s="5"/>
      <c r="K9" s="5">
        <f>HLOOKUP("ks-CBPS-over",balance!$D$1:$DR$96,$R$2,FALSE)</f>
        <v>2.7163044772107998</v>
      </c>
      <c r="L9" s="5">
        <f>HLOOKUP("cvm-CBPS-over",balance!$D$1:$DR$96,$R$2,FALSE)</f>
        <v>0.71713902563701104</v>
      </c>
      <c r="M9" s="5">
        <f>HLOOKUP("ks-CBPS-over_1",balance!$D$1:$DR$96,$R$2,FALSE)</f>
        <v>2.0308556494079801</v>
      </c>
      <c r="N9" s="5">
        <f>HLOOKUP("cvm-CBPS-over_1",balance!$D$1:$DR$96,$R$2,FALSE)</f>
        <v>0.43663640686933097</v>
      </c>
      <c r="O9" s="5">
        <f>HLOOKUP("ks-CBPS-over_0",balance!$D$1:$DR$96,$R$2,FALSE)</f>
        <v>0.88105112692306398</v>
      </c>
      <c r="P9" s="5">
        <f>HLOOKUP("cvm-CBPS-over_0",balance!$D$1:$DR$96,$R$2,FALSE)</f>
        <v>4.9431407161735601E-2</v>
      </c>
    </row>
    <row r="10" spans="1:18" s="3" customFormat="1" x14ac:dyDescent="0.45">
      <c r="B10" s="3" t="s">
        <v>2</v>
      </c>
      <c r="C10" s="5">
        <f>HLOOKUP("ATE-bias-GLM",Point!$D$1:$DR$96,$R$2,FALSE)</f>
        <v>-5.3186967228700102</v>
      </c>
      <c r="D10" s="5">
        <f>HLOOKUP("ATE-RMSE-GLM",Point!$D$1:$DR$96,$R$2,FALSE)</f>
        <v>15.767302101463001</v>
      </c>
      <c r="E10" s="5">
        <f t="shared" si="0"/>
        <v>6.5123054396571032</v>
      </c>
      <c r="F10" s="5">
        <f>HLOOKUP("ATE-Empcov-GLM",inference!$D$1:$DR$96,$R$2,FALSE)</f>
        <v>0.95299999999999996</v>
      </c>
      <c r="G10" s="5">
        <f>HLOOKUP("ATE-ASSD-GLM",inference!$D$1:$DR$96,$R$2,FALSE)*2*1.96/SQRT(G$3)</f>
        <v>32.477835124354314</v>
      </c>
      <c r="H10" s="5">
        <f t="shared" si="1"/>
        <v>117.169884972906</v>
      </c>
      <c r="I10" s="5">
        <f t="shared" si="2"/>
        <v>0.98431742898475683</v>
      </c>
      <c r="J10" s="5"/>
      <c r="K10" s="5">
        <f>HLOOKUP("ks-GLM",balance!$D$1:$DR$96,$R$2,FALSE)</f>
        <v>2.73266073610549</v>
      </c>
      <c r="L10" s="5">
        <f>HLOOKUP("cvm-GLM",balance!$D$1:$DR$96,$R$2,FALSE)</f>
        <v>0.70601103660717601</v>
      </c>
      <c r="M10" s="5">
        <f>HLOOKUP("ks-GLM_1",balance!$D$1:$DR$96,$R$2,FALSE)</f>
        <v>2.1263231933320901</v>
      </c>
      <c r="N10" s="5">
        <f>HLOOKUP("cvm-GLM_1",balance!$D$1:$DR$96,$R$2,FALSE)</f>
        <v>0.49085239120421997</v>
      </c>
      <c r="O10" s="5">
        <f>HLOOKUP("ks-GLM_0",balance!$D$1:$DR$96,$R$2,FALSE)</f>
        <v>1.0451085696164399</v>
      </c>
      <c r="P10" s="5">
        <f>HLOOKUP("cvm-GLM_0",balance!$D$1:$DR$96,$R$2,FALSE)</f>
        <v>5.2852269877306401E-2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1.2803684080218301</v>
      </c>
      <c r="D12" s="5">
        <f>HLOOKUP("QTE-0.10-RMSE-IPS-exp",Point!$D$1:$DR$96,$R$2,FALSE)</f>
        <v>3.6830587327550601</v>
      </c>
      <c r="E12" s="5">
        <f t="shared" ref="E12:E17" si="3">(D12/$D$16)^2</f>
        <v>1.0524259421746129</v>
      </c>
      <c r="F12" s="5">
        <f>HLOOKUP("QTE-0.1-Empcov-IPS-exp",inference!$D$1:$DR$96,$R$2,FALSE)</f>
        <v>0.86899999999999999</v>
      </c>
      <c r="G12" s="5">
        <f>HLOOKUP("QTE-0.1-ASSD-IPS-exp",inference!$D$1:$DR$96,$R$2,FALSE)*2*1.96/SQRT(G$3)</f>
        <v>11.49462710960516</v>
      </c>
      <c r="H12" s="5">
        <f t="shared" ref="H12:H17" si="4">G12/(2*1.96/SQRT(G$3))</f>
        <v>41.469024369451702</v>
      </c>
      <c r="I12" s="5">
        <f t="shared" ref="I12:I17" si="5">($H$16/H12)^2</f>
        <v>1.3335993364282133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1.8010519145955499</v>
      </c>
      <c r="D13" s="5">
        <f>HLOOKUP("QTE-0.10-RMSE-IPS-ind",Point!$D$1:$DR$96,$R$2,FALSE)</f>
        <v>3.5164083034521099</v>
      </c>
      <c r="E13" s="5">
        <f t="shared" si="3"/>
        <v>0.95934065557870873</v>
      </c>
      <c r="F13" s="5">
        <f>HLOOKUP("QTE-0.1-Empcov-IPS-ind",inference!$D$1:$DR$96,$R$2,FALSE)</f>
        <v>0.865865865865866</v>
      </c>
      <c r="G13" s="5">
        <f>HLOOKUP("QTE-0.1-ASSD-IPS-ind",inference!$D$1:$DR$96,$R$2,FALSE)*2*1.96/SQRT(G$3)</f>
        <v>11.637441857789067</v>
      </c>
      <c r="H13" s="5">
        <f t="shared" si="4"/>
        <v>41.98425537401441</v>
      </c>
      <c r="I13" s="5">
        <f t="shared" si="5"/>
        <v>1.3010683030521328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1.58024661139669</v>
      </c>
      <c r="D14" s="5">
        <f>HLOOKUP("QTE-0.10-RMSE-IPS-proj",Point!$D$1:$DR$96,$R$2,FALSE)</f>
        <v>3.4517915361552798</v>
      </c>
      <c r="E14" s="5">
        <f t="shared" si="3"/>
        <v>0.92440731805151821</v>
      </c>
      <c r="F14" s="6">
        <f>HLOOKUP("QTE-0.1-Empcov-IPS-proj",inference!$D$1:$DR$96,$R$2,FALSE)</f>
        <v>0.84899999999999998</v>
      </c>
      <c r="G14" s="6">
        <f>HLOOKUP("QTE-0.1-ASSD-IPS-proj",inference!$D$1:$DR$96,$R$2,FALSE)*2*1.96/SQRT(G$3)</f>
        <v>10.617788581168341</v>
      </c>
      <c r="H14" s="5">
        <f t="shared" si="4"/>
        <v>38.305664831373605</v>
      </c>
      <c r="I14" s="5">
        <f t="shared" si="5"/>
        <v>1.5629568850796827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1.5147193515694599</v>
      </c>
      <c r="D15" s="5">
        <f>HLOOKUP("QTE-0.10-RMSE-CBPS-just",Point!$D$1:$DR$96,$R$2,FALSE)</f>
        <v>4.3088918741988396</v>
      </c>
      <c r="E15" s="5">
        <f t="shared" si="3"/>
        <v>1.4404740810114016</v>
      </c>
      <c r="F15" s="5">
        <f>HLOOKUP("QTE-0.1-Empcov-CBPS-just",inference!$D$1:$DR$96,$R$2,FALSE)</f>
        <v>0.872</v>
      </c>
      <c r="G15" s="5">
        <f>HLOOKUP("QTE-0.1-ASSD-CBPS-just",inference!$D$1:$DR$96,$R$2,FALSE)*2*1.96/SQRT(G$3)</f>
        <v>13.142920664364187</v>
      </c>
      <c r="H15" s="5">
        <f t="shared" si="4"/>
        <v>47.415552685554708</v>
      </c>
      <c r="I15" s="5">
        <f t="shared" si="5"/>
        <v>1.0200732814364104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1.65193511110918</v>
      </c>
      <c r="D16" s="5">
        <f>HLOOKUP("QTE-0.10-RMSE-CBPS-over",Point!$D$1:$DR$96,$R$2,FALSE)</f>
        <v>3.59015229691264</v>
      </c>
      <c r="E16" s="5">
        <f t="shared" si="3"/>
        <v>1</v>
      </c>
      <c r="F16" s="5">
        <f>HLOOKUP("QTE-0.1-Empcov-CBPS-over",inference!$D$1:$DR$96,$R$2,FALSE)</f>
        <v>0.88700000000000001</v>
      </c>
      <c r="G16" s="5">
        <f>HLOOKUP("QTE-0.1-ASSD-CBPS-over",inference!$D$1:$DR$96,$R$2,FALSE)*2*1.96/SQRT(G$3)</f>
        <v>13.274176028304383</v>
      </c>
      <c r="H16" s="5">
        <f t="shared" si="4"/>
        <v>47.889081042234409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1.59004174919731</v>
      </c>
      <c r="D17" s="5">
        <f>HLOOKUP("QTE-0.10-RMSE-GLM",Point!$D$1:$DR$96,$R$2,FALSE)</f>
        <v>5.2349610620138902</v>
      </c>
      <c r="E17" s="5">
        <f t="shared" si="3"/>
        <v>2.1261855746716183</v>
      </c>
      <c r="F17" s="5">
        <f>HLOOKUP("QTE-0.1-Empcov-GLM",inference!$D$1:$DR$96,$R$2,FALSE)</f>
        <v>0.88800000000000001</v>
      </c>
      <c r="G17" s="5">
        <f>HLOOKUP("QTE-0.1-ASSD-GLM",inference!$D$1:$DR$96,$R$2,FALSE)*2*1.96/SQRT(G$3)</f>
        <v>13.948962020650756</v>
      </c>
      <c r="H17" s="5">
        <f t="shared" si="4"/>
        <v>50.323498139366109</v>
      </c>
      <c r="I17" s="5">
        <f t="shared" si="5"/>
        <v>0.9055894646008118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0.92511135334296002</v>
      </c>
      <c r="D19" s="5">
        <f>HLOOKUP("QTE-0.25-RMSE-IPS-exp",Point!$D$1:$DR$96,$R$2,FALSE)</f>
        <v>2.5623523102032499</v>
      </c>
      <c r="E19" s="5">
        <f t="shared" ref="E19:E24" si="6">(D19/$D$23)^2</f>
        <v>0.78689530697111509</v>
      </c>
      <c r="F19" s="5">
        <f>HLOOKUP("QTE-0.25-Empcov-IPS-exp",inference!$D$1:$DR$96,$R$2,FALSE)</f>
        <v>0.95199999999999996</v>
      </c>
      <c r="G19" s="5">
        <f>HLOOKUP("QTE-0.25-ASSD-IPS-exp",inference!$D$1:$DR$96,$R$2,FALSE)*2*1.96/SQRT(G$3)</f>
        <v>10.599751944711359</v>
      </c>
      <c r="H19" s="5">
        <f t="shared" ref="H19:H24" si="7">G19/(2*1.96/SQRT(G$3))</f>
        <v>38.240594280615802</v>
      </c>
      <c r="I19" s="5">
        <f t="shared" ref="I19:I24" si="8">($H$23/H19)^2</f>
        <v>1.5567249439789748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1.5300468267999101</v>
      </c>
      <c r="D20" s="5">
        <f>HLOOKUP("QTE-0.25-RMSE-IPS-ind",Point!$D$1:$DR$96,$R$2,FALSE)</f>
        <v>2.8277038446728802</v>
      </c>
      <c r="E20" s="5">
        <f t="shared" si="6"/>
        <v>0.95831241460608241</v>
      </c>
      <c r="F20" s="5">
        <f>HLOOKUP("QTE-0.25-Empcov-IPS-ind",inference!$D$1:$DR$96,$R$2,FALSE)</f>
        <v>0.94694694694694703</v>
      </c>
      <c r="G20" s="5">
        <f>HLOOKUP("QTE-0.25-ASSD-IPS-ind",inference!$D$1:$DR$96,$R$2,FALSE)*2*1.96/SQRT(G$3)</f>
        <v>11.573370301671538</v>
      </c>
      <c r="H20" s="5">
        <f t="shared" si="7"/>
        <v>41.753105211708906</v>
      </c>
      <c r="I20" s="5">
        <f t="shared" si="8"/>
        <v>1.3058208248232879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1.4698225900253299</v>
      </c>
      <c r="D21" s="5">
        <f>HLOOKUP("QTE-0.25-RMSE-IPS-proj",Point!$D$1:$DR$96,$R$2,FALSE)</f>
        <v>2.7462880811584802</v>
      </c>
      <c r="E21" s="5">
        <f t="shared" si="6"/>
        <v>0.903923035008392</v>
      </c>
      <c r="F21" s="6">
        <f>HLOOKUP("QTE-0.25-Empcov-IPS-proj",inference!$D$1:$DR$96,$R$2,FALSE)</f>
        <v>0.93799999999999994</v>
      </c>
      <c r="G21" s="6">
        <f>HLOOKUP("QTE-0.25-ASSD-IPS-proj",inference!$D$1:$DR$96,$R$2,FALSE)*2*1.96/SQRT(G$3)</f>
        <v>10.055365784834407</v>
      </c>
      <c r="H21" s="5">
        <f t="shared" si="7"/>
        <v>36.2766190498347</v>
      </c>
      <c r="I21" s="5">
        <f t="shared" si="8"/>
        <v>1.729846396523288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0.87177225633565902</v>
      </c>
      <c r="D22" s="5">
        <f>HLOOKUP("QTE-0.25-RMSE-CBPS-just",Point!$D$1:$DR$96,$R$2,FALSE)</f>
        <v>2.6511049712266801</v>
      </c>
      <c r="E22" s="5">
        <f t="shared" si="6"/>
        <v>0.84235104278965545</v>
      </c>
      <c r="F22" s="5">
        <f>HLOOKUP("QTE-0.25-Empcov-CBPS-just",inference!$D$1:$DR$96,$R$2,FALSE)</f>
        <v>0.96</v>
      </c>
      <c r="G22" s="5">
        <f>HLOOKUP("QTE-0.25-ASSD-CBPS-just",inference!$D$1:$DR$96,$R$2,FALSE)*2*1.96/SQRT(G$3)</f>
        <v>11.319759919999131</v>
      </c>
      <c r="H22" s="5">
        <f t="shared" si="7"/>
        <v>40.838158167525904</v>
      </c>
      <c r="I22" s="5">
        <f t="shared" si="8"/>
        <v>1.3649880721161662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1.54560652368402</v>
      </c>
      <c r="D23" s="5">
        <f>HLOOKUP("QTE-0.25-RMSE-CBPS-over",Point!$D$1:$DR$96,$R$2,FALSE)</f>
        <v>2.8885531639790498</v>
      </c>
      <c r="E23" s="5">
        <f t="shared" si="6"/>
        <v>1</v>
      </c>
      <c r="F23" s="5">
        <f>HLOOKUP("QTE-0.25-Empcov-CBPS-over",inference!$D$1:$DR$96,$R$2,FALSE)</f>
        <v>0.96699999999999997</v>
      </c>
      <c r="G23" s="5">
        <f>HLOOKUP("QTE-0.25-ASSD-CBPS-over",inference!$D$1:$DR$96,$R$2,FALSE)*2*1.96/SQRT(G$3)</f>
        <v>13.225181599491648</v>
      </c>
      <c r="H23" s="5">
        <f t="shared" si="7"/>
        <v>47.712324446041308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0.86371478686061498</v>
      </c>
      <c r="D24" s="5">
        <f>HLOOKUP("QTE-0.25-RMSE-GLM",Point!$D$1:$DR$96,$R$2,FALSE)</f>
        <v>2.8697661686061799</v>
      </c>
      <c r="E24" s="5">
        <f t="shared" si="6"/>
        <v>0.98703440822931243</v>
      </c>
      <c r="F24" s="5">
        <f>HLOOKUP("QTE-0.25-Empcov-GLM",inference!$D$1:$DR$96,$R$2,FALSE)</f>
        <v>0.96899999999999997</v>
      </c>
      <c r="G24" s="5">
        <f>HLOOKUP("QTE-0.25-ASSD-GLM",inference!$D$1:$DR$96,$R$2,FALSE)*2*1.96/SQRT(G$3)</f>
        <v>12.474086003452301</v>
      </c>
      <c r="H24" s="5">
        <f t="shared" si="7"/>
        <v>45.002606133394501</v>
      </c>
      <c r="I24" s="5">
        <f t="shared" si="8"/>
        <v>1.1240504928950321</v>
      </c>
      <c r="J24" s="5"/>
      <c r="K24" s="5"/>
      <c r="L24" s="5"/>
      <c r="M24" s="5"/>
      <c r="N24" s="5"/>
    </row>
    <row r="25" spans="1:17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0.96974565576622396</v>
      </c>
      <c r="D26" s="5">
        <f>HLOOKUP("QTE-0.5-RMSE-IPS-exp",Point!$D$1:$DR$96,$R$2,FALSE)</f>
        <v>3.0808024221760602</v>
      </c>
      <c r="E26" s="5">
        <f t="shared" ref="E26:E31" si="9">(D26/$D$30)^2</f>
        <v>0.60630318902113267</v>
      </c>
      <c r="F26" s="5">
        <f>HLOOKUP("QTE-0.5-Empcov-IPS-exp",inference!$D$1:$DR$96,$R$2,FALSE)</f>
        <v>0.94</v>
      </c>
      <c r="G26" s="5">
        <f>HLOOKUP("QTE-0.5-ASSD-IPS-exp",inference!$D$1:$DR$96,$R$2,FALSE)*2*1.96/SQRT(G$3)</f>
        <v>11.333930760153718</v>
      </c>
      <c r="H26" s="5">
        <f t="shared" ref="H26:H31" si="10">G26/(2*1.96/SQRT(G$3))</f>
        <v>40.8892821326709</v>
      </c>
      <c r="I26" s="5">
        <f t="shared" ref="I26:I31" si="11">($H$30/H26)^2</f>
        <v>2.0583233774938812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1.9587273015490101</v>
      </c>
      <c r="D27" s="5">
        <f>HLOOKUP("QTE-0.5-RMSE-IPS-ind",Point!$D$1:$DR$96,$R$2,FALSE)</f>
        <v>3.9171817947769498</v>
      </c>
      <c r="E27" s="5">
        <f t="shared" si="9"/>
        <v>0.98018852350817942</v>
      </c>
      <c r="F27" s="5">
        <f>HLOOKUP("QTE-0.5-Empcov-IPS-ind",inference!$D$1:$DR$96,$R$2,FALSE)</f>
        <v>0.96696696696696705</v>
      </c>
      <c r="G27" s="5">
        <f>HLOOKUP("QTE-0.5-ASSD-IPS-ind",inference!$D$1:$DR$96,$R$2,FALSE)*2*1.96/SQRT(G$3)</f>
        <v>16.743292093280289</v>
      </c>
      <c r="H27" s="5">
        <f t="shared" si="10"/>
        <v>60.404568257885707</v>
      </c>
      <c r="I27" s="5">
        <f t="shared" si="11"/>
        <v>0.94317658260829895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2.1009154486677799</v>
      </c>
      <c r="D28" s="5">
        <f>HLOOKUP("QTE-0.5-RMSE-IPS-proj",Point!$D$1:$DR$96,$R$2,FALSE)</f>
        <v>3.6820242129560898</v>
      </c>
      <c r="E28" s="5">
        <f t="shared" si="9"/>
        <v>0.86603498925875788</v>
      </c>
      <c r="F28" s="6">
        <f>HLOOKUP("QTE-0.5-Empcov-IPS-proj",inference!$D$1:$DR$96,$R$2,FALSE)</f>
        <v>0.89100000000000001</v>
      </c>
      <c r="G28" s="6">
        <f>HLOOKUP("QTE-0.5-ASSD-IPS-proj",inference!$D$1:$DR$96,$R$2,FALSE)*2*1.96/SQRT(G$3)</f>
        <v>10.967444690677508</v>
      </c>
      <c r="H28" s="5">
        <f t="shared" si="10"/>
        <v>39.567114862583999</v>
      </c>
      <c r="I28" s="5">
        <f t="shared" si="11"/>
        <v>2.1981828291913903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0.719423593357289</v>
      </c>
      <c r="D29" s="5">
        <f>HLOOKUP("QTE-0.5-RMSE-CBPS-just",Point!$D$1:$DR$96,$R$2,FALSE)</f>
        <v>3.2049019454562302</v>
      </c>
      <c r="E29" s="5">
        <f t="shared" si="9"/>
        <v>0.65613265384469066</v>
      </c>
      <c r="F29" s="5">
        <f>HLOOKUP("QTE-0.5-Empcov-CBPS-just",inference!$D$1:$DR$96,$R$2,FALSE)</f>
        <v>0.92800000000000005</v>
      </c>
      <c r="G29" s="5">
        <f>HLOOKUP("QTE-0.5-ASSD-CBPS-just",inference!$D$1:$DR$96,$R$2,FALSE)*2*1.96/SQRT(G$3)</f>
        <v>11.607492210837115</v>
      </c>
      <c r="H29" s="5">
        <f t="shared" si="10"/>
        <v>41.876206402310999</v>
      </c>
      <c r="I29" s="5">
        <f t="shared" si="11"/>
        <v>1.9624469032447598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2.2585235034698399</v>
      </c>
      <c r="D30" s="5">
        <f>HLOOKUP("QTE-0.5-RMSE-CBPS-over",Point!$D$1:$DR$96,$R$2,FALSE)</f>
        <v>3.95657061119062</v>
      </c>
      <c r="E30" s="5">
        <f t="shared" si="9"/>
        <v>1</v>
      </c>
      <c r="F30" s="5">
        <f>HLOOKUP("QTE-0.5-Empcov-CBPS-over",inference!$D$1:$DR$96,$R$2,FALSE)</f>
        <v>0.97099999999999997</v>
      </c>
      <c r="G30" s="5">
        <f>HLOOKUP("QTE-0.5-ASSD-CBPS-over",inference!$D$1:$DR$96,$R$2,FALSE)*2*1.96/SQRT(G$3)</f>
        <v>16.260629649225102</v>
      </c>
      <c r="H30" s="5">
        <f t="shared" si="10"/>
        <v>58.663272914949502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45">
      <c r="A31" s="3"/>
      <c r="B31" s="3" t="s">
        <v>2</v>
      </c>
      <c r="C31" s="5">
        <f>HLOOKUP("QTE-0.5-bias-GLM",Point!$D$1:$DR$96,$R$2,FALSE)</f>
        <v>0.522854086382181</v>
      </c>
      <c r="D31" s="5">
        <f>HLOOKUP("QTE-0.5-RMSE-GLM",Point!$D$1:$DR$96,$R$2,FALSE)</f>
        <v>4.2294014739246002</v>
      </c>
      <c r="E31" s="5">
        <f t="shared" si="9"/>
        <v>1.1426677835017958</v>
      </c>
      <c r="F31" s="5">
        <f>HLOOKUP("QTE-0.5-Empcov-GLM",inference!$D$1:$DR$96,$R$2,FALSE)</f>
        <v>0.95599999999999996</v>
      </c>
      <c r="G31" s="5">
        <f>HLOOKUP("QTE-0.5-ASSD-GLM",inference!$D$1:$DR$96,$R$2,FALSE)*2*1.96/SQRT(G$3)</f>
        <v>14.108998796554333</v>
      </c>
      <c r="H31" s="5">
        <f t="shared" si="10"/>
        <v>50.900860840798003</v>
      </c>
      <c r="I31" s="5">
        <f t="shared" si="11"/>
        <v>1.3282576445665291</v>
      </c>
      <c r="J31" s="5"/>
      <c r="K31" s="5"/>
      <c r="L31" s="5"/>
      <c r="M31" s="5"/>
      <c r="N31" s="5"/>
      <c r="O31" s="3"/>
      <c r="P31" s="3"/>
      <c r="Q31" s="3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-9.2112439534211901E-2</v>
      </c>
      <c r="D33" s="5">
        <f>HLOOKUP("QTE-0.75-RMSE-IPS-exp",Point!$D$1:$DR$96,$R$2,FALSE)</f>
        <v>7.3787191746670002</v>
      </c>
      <c r="E33" s="5">
        <f t="shared" ref="E33:E38" si="12">(D33/$D$37)^2</f>
        <v>0.65986177639635524</v>
      </c>
      <c r="F33" s="5">
        <f>HLOOKUP("QTE-0.75-Empcov-IPS-exp",inference!$D$1:$DR$96,$R$2,FALSE)</f>
        <v>0.93700000000000006</v>
      </c>
      <c r="G33" s="5">
        <f>HLOOKUP("QTE-0.75-ASSD-IPS-exp",inference!$D$1:$DR$96,$R$2,FALSE)*2*1.96/SQRT(G$3)</f>
        <v>31.825620535038901</v>
      </c>
      <c r="H33" s="5">
        <f t="shared" ref="H33:H38" si="13">G33/(2*1.96/SQRT(G$3))</f>
        <v>114.816898447938</v>
      </c>
      <c r="I33" s="5">
        <f t="shared" ref="I33:I38" si="14">($H$37/H33)^2</f>
        <v>1.8415888167039287</v>
      </c>
      <c r="J33" s="5"/>
    </row>
    <row r="34" spans="1:10" x14ac:dyDescent="0.45">
      <c r="B34" s="1" t="s">
        <v>5</v>
      </c>
      <c r="C34" s="5">
        <f>HLOOKUP("QTE-0.75-bias-IPS-ind",Point!$D$1:$DR$96,$R$2,FALSE)</f>
        <v>2.2853145746138201</v>
      </c>
      <c r="D34" s="5">
        <f>HLOOKUP("QTE-0.75-RMSE-IPS-ind",Point!$D$1:$DR$96,$R$2,FALSE)</f>
        <v>11.3417733374403</v>
      </c>
      <c r="E34" s="5">
        <f t="shared" si="12"/>
        <v>1.5590244834079388</v>
      </c>
      <c r="F34" s="5">
        <f>HLOOKUP("QTE-0.75-Empcov-IPS-ind",inference!$D$1:$DR$96,$R$2,FALSE)</f>
        <v>0.95795795795795802</v>
      </c>
      <c r="G34" s="5">
        <f>HLOOKUP("QTE-0.75-ASSD-IPS-ind",inference!$D$1:$DR$96,$R$2,FALSE)*2*1.96/SQRT(G$3)</f>
        <v>54.737073312674795</v>
      </c>
      <c r="H34" s="5">
        <f t="shared" si="13"/>
        <v>197.47426388621199</v>
      </c>
      <c r="I34" s="5">
        <f t="shared" si="14"/>
        <v>0.62256296802566502</v>
      </c>
      <c r="J34" s="5"/>
    </row>
    <row r="35" spans="1:10" x14ac:dyDescent="0.45">
      <c r="B35" s="1" t="s">
        <v>4</v>
      </c>
      <c r="C35" s="5">
        <f>HLOOKUP("QTE-0.75-bias-IPS-proj",Point!$D$1:$DR$96,$R$2,FALSE)</f>
        <v>4.5831926793722797</v>
      </c>
      <c r="D35" s="5">
        <f>HLOOKUP("QTE-0.75-RMSE-IPS-proj",Point!$D$1:$DR$96,$R$2,FALSE)</f>
        <v>8.8018999943832892</v>
      </c>
      <c r="E35" s="5">
        <f t="shared" si="12"/>
        <v>0.93895303002474828</v>
      </c>
      <c r="F35" s="6">
        <f>HLOOKUP("QTE-0.75-Empcov-IPS-proj",inference!$D$1:$DR$96,$R$2,FALSE)</f>
        <v>0.83599999999999997</v>
      </c>
      <c r="G35" s="6">
        <f>HLOOKUP("QTE-0.75-ASSD-IPS-proj",inference!$D$1:$DR$96,$R$2,FALSE)*2*1.96/SQRT(G$3)</f>
        <v>26.115715719627847</v>
      </c>
      <c r="H35" s="5">
        <f t="shared" si="13"/>
        <v>94.217345310658004</v>
      </c>
      <c r="I35" s="5">
        <f t="shared" si="14"/>
        <v>2.7349070109396241</v>
      </c>
      <c r="J35" s="5"/>
    </row>
    <row r="36" spans="1:10" x14ac:dyDescent="0.45">
      <c r="B36" s="1" t="s">
        <v>88</v>
      </c>
      <c r="C36" s="5">
        <f>HLOOKUP("QTE-0.75-bias-CBPS-just",Point!$D$1:$DR$96,$R$2,FALSE)</f>
        <v>-1.68284013193763</v>
      </c>
      <c r="D36" s="5">
        <f>HLOOKUP("QTE-0.75-RMSE-CBPS-just",Point!$D$1:$DR$96,$R$2,FALSE)</f>
        <v>8.7420035631502309</v>
      </c>
      <c r="E36" s="5">
        <f t="shared" si="12"/>
        <v>0.92621746592141174</v>
      </c>
      <c r="F36" s="5">
        <f>HLOOKUP("QTE-0.75-Empcov-CBPS-just",inference!$D$1:$DR$96,$R$2,FALSE)</f>
        <v>0.84899999999999998</v>
      </c>
      <c r="G36" s="5">
        <f>HLOOKUP("QTE-0.75-ASSD-CBPS-just",inference!$D$1:$DR$96,$R$2,FALSE)*2*1.96/SQRT(G$3)</f>
        <v>31.080814951605131</v>
      </c>
      <c r="H36" s="5">
        <f t="shared" si="13"/>
        <v>112.12987253614402</v>
      </c>
      <c r="I36" s="5">
        <f t="shared" si="14"/>
        <v>1.9309082326283293</v>
      </c>
      <c r="J36" s="5"/>
    </row>
    <row r="37" spans="1:10" x14ac:dyDescent="0.45">
      <c r="B37" s="1" t="s">
        <v>89</v>
      </c>
      <c r="C37" s="5">
        <f>HLOOKUP("QTE-0.75-bias-CBPS-over",Point!$D$1:$DR$96,$R$2,FALSE)</f>
        <v>4.0917458847251096</v>
      </c>
      <c r="D37" s="5">
        <f>HLOOKUP("QTE-0.75-RMSE-CBPS-over",Point!$D$1:$DR$96,$R$2,FALSE)</f>
        <v>9.0835266772268799</v>
      </c>
      <c r="E37" s="5">
        <f t="shared" si="12"/>
        <v>1</v>
      </c>
      <c r="F37" s="5">
        <f>HLOOKUP("QTE-0.75-Empcov-CBPS-over",inference!$D$1:$DR$96,$R$2,FALSE)</f>
        <v>0.95</v>
      </c>
      <c r="G37" s="5">
        <f>HLOOKUP("QTE-0.75-ASSD-CBPS-over",inference!$D$1:$DR$96,$R$2,FALSE)*2*1.96/SQRT(G$3)</f>
        <v>43.189006590330102</v>
      </c>
      <c r="H37" s="5">
        <f t="shared" si="13"/>
        <v>155.81244608537199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-5.41563610397976</v>
      </c>
      <c r="D38" s="5">
        <f>HLOOKUP("QTE-0.75-RMSE-GLM",Point!$D$1:$DR$96,$R$2,FALSE)</f>
        <v>34.471695874970898</v>
      </c>
      <c r="E38" s="5">
        <f t="shared" si="12"/>
        <v>14.40178446709877</v>
      </c>
      <c r="F38" s="5">
        <f>HLOOKUP("QTE-0.75-Empcov-GLM",inference!$D$1:$DR$96,$R$2,FALSE)</f>
        <v>0.88</v>
      </c>
      <c r="G38" s="5">
        <f>HLOOKUP("QTE-0.75-ASSD-GLM",inference!$D$1:$DR$96,$R$2,FALSE)*2*1.96/SQRT(G$3)</f>
        <v>40.385850997744612</v>
      </c>
      <c r="H38" s="5">
        <f t="shared" si="13"/>
        <v>145.699536247422</v>
      </c>
      <c r="I38" s="5">
        <f t="shared" si="14"/>
        <v>1.1436363539290915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-6.9591061184951899</v>
      </c>
      <c r="D40" s="5">
        <f>HLOOKUP("QTE-0.9-RMSE-IPS-exp",Point!$D$1:$DR$96,$R$2,FALSE)</f>
        <v>19.474834999592499</v>
      </c>
      <c r="E40" s="5">
        <f t="shared" ref="E40:E45" si="15">(D40/$D$44)^2</f>
        <v>1.0900629396646118</v>
      </c>
      <c r="F40" s="5">
        <f>HLOOKUP("QTE-0.9-Empcov-IPS-exp",inference!$D$1:$DR$96,$R$2,FALSE)</f>
        <v>0.83899999999999997</v>
      </c>
      <c r="G40" s="5">
        <f>HLOOKUP("QTE-0.9-ASSD-IPS-exp",inference!$D$1:$DR$96,$R$2,FALSE)*2*1.96/SQRT(G$3)</f>
        <v>73.016831002852129</v>
      </c>
      <c r="H40" s="5">
        <f t="shared" ref="H40:H45" si="16">G40/(2*1.96/SQRT(G$3))</f>
        <v>263.421920116678</v>
      </c>
      <c r="I40" s="5">
        <f t="shared" ref="I40:I45" si="17">($H$44/H40)^2</f>
        <v>1.7177592220476561</v>
      </c>
      <c r="J40" s="5"/>
    </row>
    <row r="41" spans="1:10" x14ac:dyDescent="0.45">
      <c r="B41" s="1" t="s">
        <v>5</v>
      </c>
      <c r="C41" s="5">
        <f>HLOOKUP("QTE-0.9-bias-IPS-ind",Point!$D$1:$DR$96,$R$2,FALSE)</f>
        <v>-2.05703556796237</v>
      </c>
      <c r="D41" s="5">
        <f>HLOOKUP("QTE-0.9-RMSE-IPS-ind",Point!$D$1:$DR$96,$R$2,FALSE)</f>
        <v>22.3409366309272</v>
      </c>
      <c r="E41" s="5">
        <f t="shared" si="15"/>
        <v>1.434520485147081</v>
      </c>
      <c r="F41" s="5">
        <f>HLOOKUP("QTE-0.9-Empcov-IPS-ind",inference!$D$1:$DR$96,$R$2,FALSE)</f>
        <v>0.92592592592592604</v>
      </c>
      <c r="G41" s="5">
        <f>HLOOKUP("QTE-0.9-ASSD-IPS-ind",inference!$D$1:$DR$96,$R$2,FALSE)*2*1.96/SQRT(G$3)</f>
        <v>110.45704530467951</v>
      </c>
      <c r="H41" s="5">
        <f t="shared" si="16"/>
        <v>398.494519208003</v>
      </c>
      <c r="I41" s="5">
        <f t="shared" si="17"/>
        <v>0.75062220170281324</v>
      </c>
      <c r="J41" s="5"/>
    </row>
    <row r="42" spans="1:10" x14ac:dyDescent="0.45">
      <c r="B42" s="1" t="s">
        <v>4</v>
      </c>
      <c r="C42" s="5">
        <f>HLOOKUP("QTE-0.9-bias-IPS-proj",Point!$D$1:$DR$96,$R$2,FALSE)</f>
        <v>4.9044186921278898</v>
      </c>
      <c r="D42" s="5">
        <f>HLOOKUP("QTE-0.9-RMSE-IPS-proj",Point!$D$1:$DR$96,$R$2,FALSE)</f>
        <v>17.4361953728841</v>
      </c>
      <c r="E42" s="5">
        <f t="shared" si="15"/>
        <v>0.87379077286522566</v>
      </c>
      <c r="F42" s="6">
        <f>HLOOKUP("QTE-0.9-Empcov-IPS-proj",inference!$D$1:$DR$96,$R$2,FALSE)</f>
        <v>0.83099999999999996</v>
      </c>
      <c r="G42" s="6">
        <f>HLOOKUP("QTE-0.9-ASSD-IPS-proj",inference!$D$1:$DR$96,$R$2,FALSE)*2*1.96/SQRT(G$3)</f>
        <v>64.007237590605598</v>
      </c>
      <c r="H42" s="5">
        <f t="shared" si="16"/>
        <v>230.91812114967203</v>
      </c>
      <c r="I42" s="5">
        <f t="shared" si="17"/>
        <v>2.2353734089528712</v>
      </c>
      <c r="J42" s="5"/>
    </row>
    <row r="43" spans="1:10" x14ac:dyDescent="0.45">
      <c r="B43" s="1" t="s">
        <v>88</v>
      </c>
      <c r="C43" s="5">
        <f>HLOOKUP("QTE-0.9-bias-CBPS-just",Point!$D$1:$DR$96,$R$2,FALSE)</f>
        <v>-13.598594899285199</v>
      </c>
      <c r="D43" s="5">
        <f>HLOOKUP("QTE-0.9-RMSE-CBPS-just",Point!$D$1:$DR$96,$R$2,FALSE)</f>
        <v>31.453467244199398</v>
      </c>
      <c r="E43" s="5">
        <f t="shared" si="15"/>
        <v>2.8434202626626819</v>
      </c>
      <c r="F43" s="5">
        <f>HLOOKUP("QTE-0.9-Empcov-CBPS-just",inference!$D$1:$DR$96,$R$2,FALSE)</f>
        <v>0.76800000000000002</v>
      </c>
      <c r="G43" s="5">
        <f>HLOOKUP("QTE-0.9-ASSD-CBPS-just",inference!$D$1:$DR$96,$R$2,FALSE)*2*1.96/SQRT(G$3)</f>
        <v>73.831246562230334</v>
      </c>
      <c r="H43" s="5">
        <f t="shared" si="16"/>
        <v>266.36007707963802</v>
      </c>
      <c r="I43" s="5">
        <f t="shared" si="17"/>
        <v>1.6800718188232204</v>
      </c>
      <c r="J43" s="5"/>
    </row>
    <row r="44" spans="1:10" x14ac:dyDescent="0.45">
      <c r="B44" s="1" t="s">
        <v>89</v>
      </c>
      <c r="C44" s="5">
        <f>HLOOKUP("QTE-0.9-bias-CBPS-over",Point!$D$1:$DR$96,$R$2,FALSE)</f>
        <v>-0.80747023989954403</v>
      </c>
      <c r="D44" s="5">
        <f>HLOOKUP("QTE-0.9-RMSE-CBPS-over",Point!$D$1:$DR$96,$R$2,FALSE)</f>
        <v>18.652970333252899</v>
      </c>
      <c r="E44" s="5">
        <f t="shared" si="15"/>
        <v>1</v>
      </c>
      <c r="F44" s="5">
        <f>HLOOKUP("QTE-0.9-Empcov-CBPS-over",inference!$D$1:$DR$96,$R$2,FALSE)</f>
        <v>0.90900000000000003</v>
      </c>
      <c r="G44" s="5">
        <f>HLOOKUP("QTE-0.9-ASSD-CBPS-over",inference!$D$1:$DR$96,$R$2,FALSE)*2*1.96/SQRT(G$3)</f>
        <v>95.698278333608101</v>
      </c>
      <c r="H44" s="5">
        <f t="shared" si="16"/>
        <v>345.24949774271408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-25.0172016281441</v>
      </c>
      <c r="D45" s="5">
        <f>HLOOKUP("QTE-0.9-RMSE-GLM",Point!$D$1:$DR$96,$R$2,FALSE)</f>
        <v>71.950369874264794</v>
      </c>
      <c r="E45" s="5">
        <f t="shared" si="15"/>
        <v>14.878873886225444</v>
      </c>
      <c r="F45" s="5">
        <f>HLOOKUP("QTE-0.9-Empcov-GLM",inference!$D$1:$DR$96,$R$2,FALSE)</f>
        <v>0.745</v>
      </c>
      <c r="G45" s="5">
        <f>HLOOKUP("QTE-0.9-ASSD-GLM",inference!$D$1:$DR$96,$R$2,FALSE)*2*1.96/SQRT(G$3)</f>
        <v>80.495472887986494</v>
      </c>
      <c r="H45" s="5">
        <f t="shared" si="16"/>
        <v>290.40252415261807</v>
      </c>
      <c r="I45" s="5">
        <f t="shared" si="17"/>
        <v>1.4134008140862004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J114" s="7"/>
    </row>
    <row r="115" spans="8:10" x14ac:dyDescent="0.45">
      <c r="J115" s="7"/>
    </row>
    <row r="116" spans="8:10" x14ac:dyDescent="0.45">
      <c r="J116" s="7"/>
    </row>
    <row r="117" spans="8:10" x14ac:dyDescent="0.45">
      <c r="J117" s="7"/>
    </row>
    <row r="118" spans="8:10" x14ac:dyDescent="0.45">
      <c r="J118" s="7"/>
    </row>
    <row r="119" spans="8:10" x14ac:dyDescent="0.45">
      <c r="J119" s="7"/>
    </row>
    <row r="120" spans="8:10" x14ac:dyDescent="0.45">
      <c r="J120" s="7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0"/>
  <sheetViews>
    <sheetView workbookViewId="0">
      <selection activeCell="K12" sqref="K12"/>
    </sheetView>
  </sheetViews>
  <sheetFormatPr defaultColWidth="9.33203125" defaultRowHeight="14.25" x14ac:dyDescent="0.45"/>
  <cols>
    <col min="1" max="1" width="8" style="1" bestFit="1" customWidth="1"/>
    <col min="2" max="2" width="11.6640625" style="1" bestFit="1" customWidth="1"/>
    <col min="3" max="4" width="6.53125" style="1" bestFit="1" customWidth="1"/>
    <col min="5" max="5" width="6.53125" style="1" customWidth="1"/>
    <col min="6" max="7" width="8.33203125" style="1" bestFit="1" customWidth="1"/>
    <col min="8" max="10" width="8.33203125" style="1" customWidth="1"/>
    <col min="11" max="17" width="9.33203125" style="1"/>
    <col min="18" max="18" width="14" style="1" bestFit="1" customWidth="1"/>
    <col min="19" max="16384" width="9.33203125" style="1"/>
  </cols>
  <sheetData>
    <row r="1" spans="1:18" x14ac:dyDescent="0.4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214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4</v>
      </c>
    </row>
    <row r="3" spans="1:18" x14ac:dyDescent="0.4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0.907959150395236</v>
      </c>
      <c r="D5" s="5">
        <f>HLOOKUP("ATE-RMSE-IPS-exp",Point!$D$1:$DR$96,$R$2,FALSE)</f>
        <v>3.4094333530221199</v>
      </c>
      <c r="E5" s="5">
        <f t="shared" ref="E5:E10" si="0">(D5/$D$9)^2</f>
        <v>0.85305275348437881</v>
      </c>
      <c r="F5" s="5">
        <f>HLOOKUP("ATE-Empcov-IPS-exp",inference!$D$1:$DR$96,$R$2,FALSE)</f>
        <v>0.99299999999999999</v>
      </c>
      <c r="G5" s="5">
        <f>HLOOKUP("ATE-ASSD-IPS-exp",inference!$D$1:$DR$96,$R$2,FALSE)*2*1.96/SQRT(G$3)</f>
        <v>19.265735057497409</v>
      </c>
      <c r="H5" s="5">
        <f t="shared" ref="H5:H10" si="1">G5/(2*1.96/SQRT(G$3))</f>
        <v>109.89666639047202</v>
      </c>
      <c r="I5" s="5">
        <f t="shared" ref="I5:I10" si="2">($H$9/H5)^2</f>
        <v>0.96395731524424777</v>
      </c>
      <c r="J5" s="5"/>
      <c r="K5" s="5">
        <f>HLOOKUP("ks-IPS-exp",balance!$D$1:$DR$96,$R$2,FALSE)</f>
        <v>2.64411793770573</v>
      </c>
      <c r="L5" s="5">
        <f>HLOOKUP("cvm-IPS-exp",balance!$D$1:$DR$96,$R$2,FALSE)</f>
        <v>0.58929091309924997</v>
      </c>
      <c r="M5" s="5">
        <f>HLOOKUP("ks-IPS-exp_1",balance!$D$1:$DR$96,$R$2,FALSE)</f>
        <v>2.1302678121895999</v>
      </c>
      <c r="N5" s="5">
        <f>HLOOKUP("cvm-IPS-exp_1",balance!$D$1:$DR$96,$R$2,FALSE)</f>
        <v>0.430171235831943</v>
      </c>
      <c r="O5" s="5">
        <f>HLOOKUP("ks-IPS-exp_0",balance!$D$1:$DR$96,$R$2,FALSE)</f>
        <v>0.91273731939032399</v>
      </c>
      <c r="P5" s="5">
        <f>HLOOKUP("cvm-IPS-exp_0",balance!$D$1:$DR$96,$R$2,FALSE)</f>
        <v>3.3293521438729601E-2</v>
      </c>
    </row>
    <row r="6" spans="1:18" x14ac:dyDescent="0.45">
      <c r="B6" s="1" t="s">
        <v>5</v>
      </c>
      <c r="C6" s="5">
        <f>HLOOKUP("ATE-bias-IPS-ind",Point!$D$1:$DR$96,$R$2,FALSE)</f>
        <v>2.8730341442038201</v>
      </c>
      <c r="D6" s="5">
        <f>HLOOKUP("ATE-RMSE-IPS-ind",Point!$D$1:$DR$96,$R$2,FALSE)</f>
        <v>5.8221678488590598</v>
      </c>
      <c r="E6" s="5">
        <f t="shared" si="0"/>
        <v>2.4876021401146673</v>
      </c>
      <c r="F6" s="5">
        <f>HLOOKUP("ATE-Empcov-IPS-ind",inference!$D$1:$DR$96,$R$2,FALSE)</f>
        <v>1</v>
      </c>
      <c r="G6" s="5">
        <f>HLOOKUP("ATE-ASSD-IPS-ind",inference!$D$1:$DR$96,$R$2,FALSE)*2*1.96/SQRT(G$3)</f>
        <v>54.495864108457134</v>
      </c>
      <c r="H6" s="5">
        <f t="shared" si="1"/>
        <v>310.85830775280903</v>
      </c>
      <c r="I6" s="5">
        <f t="shared" si="2"/>
        <v>0.12047637287068332</v>
      </c>
      <c r="J6" s="5"/>
      <c r="K6" s="5">
        <f>HLOOKUP("ks-IPS-ind",balance!$D$1:$DR$96,$R$2,FALSE)</f>
        <v>2.2357222137758699</v>
      </c>
      <c r="L6" s="5">
        <f>HLOOKUP("cvm-IPS-ind",balance!$D$1:$DR$96,$R$2,FALSE)</f>
        <v>0.34772748142508098</v>
      </c>
      <c r="M6" s="5">
        <f>HLOOKUP("ks-IPS-ind_1",balance!$D$1:$DR$96,$R$2,FALSE)</f>
        <v>1.80104582758425</v>
      </c>
      <c r="N6" s="5">
        <f>HLOOKUP("cvm-IPS-ind_1",balance!$D$1:$DR$96,$R$2,FALSE)</f>
        <v>0.24648551470541899</v>
      </c>
      <c r="O6" s="5">
        <f>HLOOKUP("ks-IPS-ind_0",balance!$D$1:$DR$96,$R$2,FALSE)</f>
        <v>0.98049750337465602</v>
      </c>
      <c r="P6" s="5">
        <f>HLOOKUP("cvm-IPS-ind_0",balance!$D$1:$DR$96,$R$2,FALSE)</f>
        <v>3.2295313927658803E-2</v>
      </c>
    </row>
    <row r="7" spans="1:18" x14ac:dyDescent="0.45">
      <c r="B7" s="1" t="s">
        <v>4</v>
      </c>
      <c r="C7" s="5">
        <f>HLOOKUP("ATE-bias-IPS-proj",Point!$D$1:$DR$96,$R$2,FALSE)</f>
        <v>2.92309041541188E-2</v>
      </c>
      <c r="D7" s="5">
        <f>HLOOKUP("ATE-RMSE-IPS-proj",Point!$D$1:$DR$96,$R$2,FALSE)</f>
        <v>3.13929066990789</v>
      </c>
      <c r="E7" s="5">
        <f t="shared" si="0"/>
        <v>0.72322684325056175</v>
      </c>
      <c r="F7" s="6">
        <f>HLOOKUP("ATE-Empcov-IPS-proj",inference!$D$1:$DR$96,$R$2,FALSE)</f>
        <v>1</v>
      </c>
      <c r="G7" s="6">
        <f>HLOOKUP("ATE-ASSD-IPS-proj",inference!$D$1:$DR$96,$R$2,FALSE)*2*1.96/SQRT(G$3)</f>
        <v>31.188463542023911</v>
      </c>
      <c r="H7" s="5">
        <f t="shared" si="1"/>
        <v>177.906950494233</v>
      </c>
      <c r="I7" s="5">
        <f t="shared" si="2"/>
        <v>0.36782480202303164</v>
      </c>
      <c r="J7" s="5"/>
      <c r="K7" s="5">
        <f>HLOOKUP("ks-IPS-proj",balance!$D$1:$DR$96,$R$2,FALSE)</f>
        <v>3.0466057502327901</v>
      </c>
      <c r="L7" s="5">
        <f>HLOOKUP("cvm-IPS-proj",balance!$D$1:$DR$96,$R$2,FALSE)</f>
        <v>0.78932248143005002</v>
      </c>
      <c r="M7" s="5">
        <f>HLOOKUP("ks-IPS-proj_1",balance!$D$1:$DR$96,$R$2,FALSE)</f>
        <v>2.4499004805675102</v>
      </c>
      <c r="N7" s="5">
        <f>HLOOKUP("cvm-IPS-proj_1",balance!$D$1:$DR$96,$R$2,FALSE)</f>
        <v>0.58405470486774402</v>
      </c>
      <c r="O7" s="5">
        <f>HLOOKUP("ks-IPS-proj_0",balance!$D$1:$DR$96,$R$2,FALSE)</f>
        <v>0.94251177510749795</v>
      </c>
      <c r="P7" s="5">
        <f>HLOOKUP("cvm-IPS-proj_0",balance!$D$1:$DR$96,$R$2,FALSE)</f>
        <v>3.6533856977441902E-2</v>
      </c>
    </row>
    <row r="8" spans="1:18" x14ac:dyDescent="0.45">
      <c r="B8" s="1" t="s">
        <v>88</v>
      </c>
      <c r="C8" s="5">
        <f>HLOOKUP("ATE-bias-CBPS-just",Point!$D$1:$DR$96,$R$2,FALSE)</f>
        <v>0.62489042528419603</v>
      </c>
      <c r="D8" s="5">
        <f>HLOOKUP("ATE-RMSE-CBPS-just",Point!$D$1:$DR$96,$R$2,FALSE)</f>
        <v>2.89338564185161</v>
      </c>
      <c r="E8" s="5">
        <f t="shared" si="0"/>
        <v>0.61436168434204019</v>
      </c>
      <c r="F8" s="5">
        <f>HLOOKUP("ATE-Empcov-CBPS-just",inference!$D$1:$DR$96,$R$2,FALSE)</f>
        <v>0.89800000000000002</v>
      </c>
      <c r="G8" s="5">
        <f>HLOOKUP("ATE-ASSD-CBPS-just",inference!$D$1:$DR$96,$R$2,FALSE)*2*1.96/SQRT(G$3)</f>
        <v>8.9875168288747425</v>
      </c>
      <c r="H8" s="5">
        <f t="shared" si="1"/>
        <v>51.267088209916508</v>
      </c>
      <c r="I8" s="5">
        <f t="shared" si="2"/>
        <v>4.4294472839124097</v>
      </c>
      <c r="J8" s="5"/>
      <c r="K8" s="5">
        <f>HLOOKUP("ks-CBPS-Just",balance!$D$1:$DR$96,$R$2,FALSE)</f>
        <v>3.0265044364177598</v>
      </c>
      <c r="L8" s="5">
        <f>HLOOKUP("cvm-CBPS-Just",balance!$D$1:$DR$96,$R$2,FALSE)</f>
        <v>0.83555164528027503</v>
      </c>
      <c r="M8" s="5">
        <f>HLOOKUP("ks-CBPS-Just_1",balance!$D$1:$DR$96,$R$2,FALSE)</f>
        <v>2.5446458717084299</v>
      </c>
      <c r="N8" s="5">
        <f>HLOOKUP("cvm-CBPS-Just_1",balance!$D$1:$DR$96,$R$2,FALSE)</f>
        <v>0.68155959303964397</v>
      </c>
      <c r="O8" s="5">
        <f>HLOOKUP("ks-CBPS-Just_0",balance!$D$1:$DR$96,$R$2,FALSE)</f>
        <v>1.04995983037333</v>
      </c>
      <c r="P8" s="5">
        <f>HLOOKUP("cvm-CBPS-Just_0",balance!$D$1:$DR$96,$R$2,FALSE)</f>
        <v>4.19822908468259E-2</v>
      </c>
    </row>
    <row r="9" spans="1:18" x14ac:dyDescent="0.45">
      <c r="B9" s="1" t="s">
        <v>89</v>
      </c>
      <c r="C9" s="5">
        <f>HLOOKUP("ATE-bias-CBPS-over",Point!$D$1:$DR$96,$R$2,FALSE)</f>
        <v>1.98747281015676</v>
      </c>
      <c r="D9" s="5">
        <f>HLOOKUP("ATE-RMSE-CBPS-over",Point!$D$1:$DR$96,$R$2,FALSE)</f>
        <v>3.6914267990690699</v>
      </c>
      <c r="E9" s="5">
        <f t="shared" si="0"/>
        <v>1</v>
      </c>
      <c r="F9" s="5">
        <f>HLOOKUP("ATE-Empcov-CBPS-over",inference!$D$1:$DR$96,$R$2,FALSE)</f>
        <v>0.995</v>
      </c>
      <c r="G9" s="5">
        <f>HLOOKUP("ATE-ASSD-CBPS-over",inference!$D$1:$DR$96,$R$2,FALSE)*2*1.96/SQRT(G$3)</f>
        <v>18.915354513302031</v>
      </c>
      <c r="H9" s="5">
        <f t="shared" si="1"/>
        <v>107.898006403701</v>
      </c>
      <c r="I9" s="5">
        <f t="shared" si="2"/>
        <v>1</v>
      </c>
      <c r="J9" s="5"/>
      <c r="K9" s="5">
        <f>HLOOKUP("ks-CBPS-over",balance!$D$1:$DR$96,$R$2,FALSE)</f>
        <v>2.8660105962281102</v>
      </c>
      <c r="L9" s="5">
        <f>HLOOKUP("cvm-CBPS-over",balance!$D$1:$DR$96,$R$2,FALSE)</f>
        <v>0.70400297176866899</v>
      </c>
      <c r="M9" s="5">
        <f>HLOOKUP("ks-CBPS-over_1",balance!$D$1:$DR$96,$R$2,FALSE)</f>
        <v>2.2384555748163701</v>
      </c>
      <c r="N9" s="5">
        <f>HLOOKUP("cvm-CBPS-over_1",balance!$D$1:$DR$96,$R$2,FALSE)</f>
        <v>0.48278565344088298</v>
      </c>
      <c r="O9" s="5">
        <f>HLOOKUP("ks-CBPS-over_0",balance!$D$1:$DR$96,$R$2,FALSE)</f>
        <v>0.92048830075348498</v>
      </c>
      <c r="P9" s="5">
        <f>HLOOKUP("cvm-CBPS-over_0",balance!$D$1:$DR$96,$R$2,FALSE)</f>
        <v>3.7809757466489E-2</v>
      </c>
    </row>
    <row r="10" spans="1:18" s="3" customFormat="1" x14ac:dyDescent="0.45">
      <c r="B10" s="3" t="s">
        <v>2</v>
      </c>
      <c r="C10" s="5">
        <f>HLOOKUP("ATE-bias-GLM",Point!$D$1:$DR$96,$R$2,FALSE)</f>
        <v>0.200007858939699</v>
      </c>
      <c r="D10" s="5">
        <f>HLOOKUP("ATE-RMSE-GLM",Point!$D$1:$DR$96,$R$2,FALSE)</f>
        <v>2.9268596061471102</v>
      </c>
      <c r="E10" s="5">
        <f t="shared" si="0"/>
        <v>0.62865917797787285</v>
      </c>
      <c r="F10" s="5">
        <f>HLOOKUP("ATE-Empcov-GLM",inference!$D$1:$DR$96,$R$2,FALSE)</f>
        <v>0.95499999999999996</v>
      </c>
      <c r="G10" s="5">
        <f>HLOOKUP("ATE-ASSD-GLM",inference!$D$1:$DR$96,$R$2,FALSE)*2*1.96/SQRT(G$3)</f>
        <v>10.705232790688278</v>
      </c>
      <c r="H10" s="5">
        <f t="shared" si="1"/>
        <v>61.065378150354007</v>
      </c>
      <c r="I10" s="5">
        <f t="shared" si="2"/>
        <v>3.1220276081099509</v>
      </c>
      <c r="J10" s="5"/>
      <c r="K10" s="5">
        <f>HLOOKUP("ks-GLM",balance!$D$1:$DR$96,$R$2,FALSE)</f>
        <v>3.1686713935652202</v>
      </c>
      <c r="L10" s="5">
        <f>HLOOKUP("cvm-GLM",balance!$D$1:$DR$96,$R$2,FALSE)</f>
        <v>0.99105090838075505</v>
      </c>
      <c r="M10" s="5">
        <f>HLOOKUP("ks-GLM_1",balance!$D$1:$DR$96,$R$2,FALSE)</f>
        <v>2.6427327823441198</v>
      </c>
      <c r="N10" s="5">
        <f>HLOOKUP("cvm-GLM_1",balance!$D$1:$DR$96,$R$2,FALSE)</f>
        <v>0.78285280292956905</v>
      </c>
      <c r="O10" s="5">
        <f>HLOOKUP("ks-GLM_0",balance!$D$1:$DR$96,$R$2,FALSE)</f>
        <v>0.92655885403722404</v>
      </c>
      <c r="P10" s="5">
        <f>HLOOKUP("cvm-GLM_0",balance!$D$1:$DR$96,$R$2,FALSE)</f>
        <v>3.4904679574080701E-2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0.40122029266490999</v>
      </c>
      <c r="D12" s="5">
        <f>HLOOKUP("QTE-0.10-RMSE-IPS-exp",Point!$D$1:$DR$96,$R$2,FALSE)</f>
        <v>2.4637795716893498</v>
      </c>
      <c r="E12" s="5">
        <f t="shared" ref="E12:E17" si="3">(D12/$D$16)^2</f>
        <v>1.1276568806798977</v>
      </c>
      <c r="F12" s="5">
        <f>HLOOKUP("QTE-0.1-Empcov-IPS-exp",inference!$D$1:$DR$96,$R$2,FALSE)</f>
        <v>0.89300000000000002</v>
      </c>
      <c r="G12" s="5">
        <f>HLOOKUP("QTE-0.1-ASSD-IPS-exp",inference!$D$1:$DR$96,$R$2,FALSE)*2*1.96/SQRT(G$3)</f>
        <v>7.8979642421716507</v>
      </c>
      <c r="H12" s="5">
        <f t="shared" ref="H12:H17" si="4">G12/(2*1.96/SQRT(G$3))</f>
        <v>45.052002370812303</v>
      </c>
      <c r="I12" s="5">
        <f t="shared" ref="I12:I17" si="5">($H$16/H12)^2</f>
        <v>1.2314575321638883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1.16035608165333</v>
      </c>
      <c r="D13" s="5">
        <f>HLOOKUP("QTE-0.10-RMSE-IPS-ind",Point!$D$1:$DR$96,$R$2,FALSE)</f>
        <v>2.4122877099850801</v>
      </c>
      <c r="E13" s="5">
        <f t="shared" si="3"/>
        <v>1.0810144088438678</v>
      </c>
      <c r="F13" s="5">
        <f>HLOOKUP("QTE-0.1-Empcov-IPS-ind",inference!$D$1:$DR$96,$R$2,FALSE)</f>
        <v>0.86699999999999999</v>
      </c>
      <c r="G13" s="5">
        <f>HLOOKUP("QTE-0.1-ASSD-IPS-ind",inference!$D$1:$DR$96,$R$2,FALSE)*2*1.96/SQRT(G$3)</f>
        <v>8.1298272752549714</v>
      </c>
      <c r="H13" s="5">
        <f t="shared" si="4"/>
        <v>46.374608246943907</v>
      </c>
      <c r="I13" s="5">
        <f t="shared" si="5"/>
        <v>1.1622167445505653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0.226752291107057</v>
      </c>
      <c r="D14" s="5">
        <f>HLOOKUP("QTE-0.10-RMSE-IPS-proj",Point!$D$1:$DR$96,$R$2,FALSE)</f>
        <v>2.63433299567287</v>
      </c>
      <c r="E14" s="5">
        <f t="shared" si="3"/>
        <v>1.2891831406605332</v>
      </c>
      <c r="F14" s="6">
        <f>HLOOKUP("QTE-0.1-Empcov-IPS-proj",inference!$D$1:$DR$96,$R$2,FALSE)</f>
        <v>0.878</v>
      </c>
      <c r="G14" s="6">
        <f>HLOOKUP("QTE-0.1-ASSD-IPS-proj",inference!$D$1:$DR$96,$R$2,FALSE)*2*1.96/SQRT(G$3)</f>
        <v>8.068409429817212</v>
      </c>
      <c r="H14" s="5">
        <f t="shared" si="4"/>
        <v>46.024265192274505</v>
      </c>
      <c r="I14" s="5">
        <f t="shared" si="5"/>
        <v>1.1799779971089275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0.40205883499258399</v>
      </c>
      <c r="D15" s="5">
        <f>HLOOKUP("QTE-0.10-RMSE-CBPS-just",Point!$D$1:$DR$96,$R$2,FALSE)</f>
        <v>2.8655782636367699</v>
      </c>
      <c r="E15" s="5">
        <f t="shared" si="3"/>
        <v>1.5254494573908473</v>
      </c>
      <c r="F15" s="5">
        <f>HLOOKUP("QTE-0.1-Empcov-CBPS-just",inference!$D$1:$DR$96,$R$2,FALSE)</f>
        <v>0.84599999999999997</v>
      </c>
      <c r="G15" s="5">
        <f>HLOOKUP("QTE-0.1-ASSD-CBPS-just",inference!$D$1:$DR$96,$R$2,FALSE)*2*1.96/SQRT(G$3)</f>
        <v>8.1816177201671376</v>
      </c>
      <c r="H15" s="5">
        <f t="shared" si="4"/>
        <v>46.670034153598401</v>
      </c>
      <c r="I15" s="5">
        <f t="shared" si="5"/>
        <v>1.1475494221271565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0.83198175482778702</v>
      </c>
      <c r="D16" s="5">
        <f>HLOOKUP("QTE-0.10-RMSE-CBPS-over",Point!$D$1:$DR$96,$R$2,FALSE)</f>
        <v>2.3201355730347699</v>
      </c>
      <c r="E16" s="5">
        <f t="shared" si="3"/>
        <v>1</v>
      </c>
      <c r="F16" s="5">
        <f>HLOOKUP("QTE-0.1-Empcov-CBPS-over",inference!$D$1:$DR$96,$R$2,FALSE)</f>
        <v>0.9</v>
      </c>
      <c r="G16" s="5">
        <f>HLOOKUP("QTE-0.1-ASSD-CBPS-over",inference!$D$1:$DR$96,$R$2,FALSE)*2*1.96/SQRT(G$3)</f>
        <v>8.7644543405034696</v>
      </c>
      <c r="H16" s="5">
        <f t="shared" si="4"/>
        <v>49.994682885354202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45">
      <c r="B17" s="3" t="s">
        <v>2</v>
      </c>
      <c r="C17" s="5">
        <f>HLOOKUP("QTE-0.10-bias-GLM",Point!$D$1:$DR$96,$R$2,FALSE)</f>
        <v>-3.9218256125517402E-2</v>
      </c>
      <c r="D17" s="5">
        <f>HLOOKUP("QTE-0.10-RMSE-GLM",Point!$D$1:$DR$96,$R$2,FALSE)</f>
        <v>3.8980845216989799</v>
      </c>
      <c r="E17" s="5">
        <f t="shared" si="3"/>
        <v>2.8227718483808868</v>
      </c>
      <c r="F17" s="5">
        <f>HLOOKUP("QTE-0.1-Empcov-GLM",inference!$D$1:$DR$96,$R$2,FALSE)</f>
        <v>0.88900000000000001</v>
      </c>
      <c r="G17" s="5">
        <f>HLOOKUP("QTE-0.1-ASSD-GLM",inference!$D$1:$DR$96,$R$2,FALSE)*2*1.96/SQRT(G$3)</f>
        <v>9.4772023662706335</v>
      </c>
      <c r="H17" s="5">
        <f t="shared" si="4"/>
        <v>54.060379406895407</v>
      </c>
      <c r="I17" s="5">
        <f t="shared" si="5"/>
        <v>0.85524286034031405</v>
      </c>
      <c r="J17" s="5"/>
      <c r="K17" s="5"/>
      <c r="L17" s="5"/>
      <c r="M17" s="5"/>
      <c r="N17" s="5"/>
    </row>
    <row r="18" spans="1:18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45">
      <c r="A19" s="2" t="s">
        <v>59</v>
      </c>
      <c r="B19" s="1" t="s">
        <v>3</v>
      </c>
      <c r="C19" s="5">
        <f>HLOOKUP("QTE-0.25-bias-IPS-exp",Point!$D$1:$DR$96,$R$2,FALSE)</f>
        <v>7.2789547173668402E-3</v>
      </c>
      <c r="D19" s="5">
        <f>HLOOKUP("QTE-0.25-RMSE-IPS-exp",Point!$D$1:$DR$96,$R$2,FALSE)</f>
        <v>1.5889223393327401</v>
      </c>
      <c r="E19" s="5">
        <f t="shared" ref="E19:E24" si="6">(D19/$D$23)^2</f>
        <v>0.92111915719192516</v>
      </c>
      <c r="F19" s="5">
        <f>HLOOKUP("QTE-0.25-Empcov-IPS-exp",inference!$D$1:$DR$96,$R$2,FALSE)</f>
        <v>0.95099999999999996</v>
      </c>
      <c r="G19" s="5">
        <f>HLOOKUP("QTE-0.25-ASSD-IPS-exp",inference!$D$1:$DR$96,$R$2,FALSE)*2*1.96/SQRT(G$3)</f>
        <v>6.7511417425647622</v>
      </c>
      <c r="H19" s="5">
        <f t="shared" ref="H19:H24" si="7">G19/(2*1.96/SQRT(G$3))</f>
        <v>38.510234342120398</v>
      </c>
      <c r="I19" s="5">
        <f t="shared" ref="I19:I24" si="8">($H$23/H19)^2</f>
        <v>1.5954434734020138</v>
      </c>
      <c r="J19" s="5"/>
      <c r="K19" s="5"/>
      <c r="L19" s="5"/>
      <c r="M19" s="5"/>
      <c r="N19" s="5"/>
    </row>
    <row r="20" spans="1:18" x14ac:dyDescent="0.45">
      <c r="B20" s="1" t="s">
        <v>5</v>
      </c>
      <c r="C20" s="5">
        <f>HLOOKUP("QTE-0.25-bias-IPS-ind",Point!$D$1:$DR$96,$R$2,FALSE)</f>
        <v>0.65444117507820898</v>
      </c>
      <c r="D20" s="5">
        <f>HLOOKUP("QTE-0.25-RMSE-IPS-ind",Point!$D$1:$DR$96,$R$2,FALSE)</f>
        <v>1.6758304933310899</v>
      </c>
      <c r="E20" s="5">
        <f t="shared" si="6"/>
        <v>1.0246384521145253</v>
      </c>
      <c r="F20" s="5">
        <f>HLOOKUP("QTE-0.25-Empcov-IPS-ind",inference!$D$1:$DR$96,$R$2,FALSE)</f>
        <v>0.97099999999999997</v>
      </c>
      <c r="G20" s="5">
        <f>HLOOKUP("QTE-0.25-ASSD-IPS-ind",inference!$D$1:$DR$96,$R$2,FALSE)*2*1.96/SQRT(G$3)</f>
        <v>7.7751056792694992</v>
      </c>
      <c r="H20" s="5">
        <f t="shared" si="7"/>
        <v>44.351185793600202</v>
      </c>
      <c r="I20" s="5">
        <f t="shared" si="8"/>
        <v>1.2028826834821345</v>
      </c>
      <c r="J20" s="5"/>
      <c r="K20" s="5"/>
      <c r="L20" s="5"/>
      <c r="M20" s="5"/>
      <c r="N20" s="5"/>
    </row>
    <row r="21" spans="1:18" x14ac:dyDescent="0.45">
      <c r="B21" s="1" t="s">
        <v>4</v>
      </c>
      <c r="C21" s="5">
        <f>HLOOKUP("QTE-0.25-bias-IPS-proj",Point!$D$1:$DR$96,$R$2,FALSE)</f>
        <v>2.7975177645076101E-2</v>
      </c>
      <c r="D21" s="5">
        <f>HLOOKUP("QTE-0.25-RMSE-IPS-proj",Point!$D$1:$DR$96,$R$2,FALSE)</f>
        <v>1.67031611886936</v>
      </c>
      <c r="E21" s="5">
        <f t="shared" si="6"/>
        <v>1.017906334533017</v>
      </c>
      <c r="F21" s="6">
        <f>HLOOKUP("QTE-0.25-Empcov-IPS-proj",inference!$D$1:$DR$96,$R$2,FALSE)</f>
        <v>0.94399999999999995</v>
      </c>
      <c r="G21" s="6">
        <f>HLOOKUP("QTE-0.25-ASSD-IPS-proj",inference!$D$1:$DR$96,$R$2,FALSE)*2*1.96/SQRT(G$3)</f>
        <v>6.7503441203290828</v>
      </c>
      <c r="H21" s="5">
        <f t="shared" si="7"/>
        <v>38.505684501458802</v>
      </c>
      <c r="I21" s="5">
        <f t="shared" si="8"/>
        <v>1.595820531623205</v>
      </c>
      <c r="J21" s="5"/>
      <c r="K21" s="5"/>
      <c r="L21" s="5"/>
      <c r="M21" s="5"/>
      <c r="N21" s="5"/>
    </row>
    <row r="22" spans="1:18" x14ac:dyDescent="0.45">
      <c r="B22" s="1" t="s">
        <v>88</v>
      </c>
      <c r="C22" s="5">
        <f>HLOOKUP("QTE-0.25-bias-CBPS-just",Point!$D$1:$DR$96,$R$2,FALSE)</f>
        <v>0.17250751525166</v>
      </c>
      <c r="D22" s="5">
        <f>HLOOKUP("QTE-0.25-RMSE-CBPS-just",Point!$D$1:$DR$96,$R$2,FALSE)</f>
        <v>1.91239007385735</v>
      </c>
      <c r="E22" s="5">
        <f t="shared" si="6"/>
        <v>1.3343305651828468</v>
      </c>
      <c r="F22" s="5">
        <f>HLOOKUP("QTE-0.25-Empcov-CBPS-just",inference!$D$1:$DR$96,$R$2,FALSE)</f>
        <v>0.92600000000000005</v>
      </c>
      <c r="G22" s="5">
        <f>HLOOKUP("QTE-0.25-ASSD-CBPS-just",inference!$D$1:$DR$96,$R$2,FALSE)*2*1.96/SQRT(G$3)</f>
        <v>7.0569794548509241</v>
      </c>
      <c r="H22" s="5">
        <f t="shared" si="7"/>
        <v>40.254810655270603</v>
      </c>
      <c r="I22" s="5">
        <f t="shared" si="8"/>
        <v>1.460152337742866</v>
      </c>
      <c r="J22" s="5"/>
      <c r="K22" s="5"/>
      <c r="L22" s="5"/>
      <c r="M22" s="5"/>
      <c r="N22" s="5"/>
    </row>
    <row r="23" spans="1:18" x14ac:dyDescent="0.45">
      <c r="B23" s="1" t="s">
        <v>89</v>
      </c>
      <c r="C23" s="5">
        <f>HLOOKUP("QTE-0.25-bias-CBPS-over",Point!$D$1:$DR$96,$R$2,FALSE)</f>
        <v>0.59066028837578999</v>
      </c>
      <c r="D23" s="5">
        <f>HLOOKUP("QTE-0.25-RMSE-CBPS-over",Point!$D$1:$DR$96,$R$2,FALSE)</f>
        <v>1.65555938541988</v>
      </c>
      <c r="E23" s="5">
        <f t="shared" si="6"/>
        <v>1</v>
      </c>
      <c r="F23" s="5">
        <f>HLOOKUP("QTE-0.25-Empcov-CBPS-over",inference!$D$1:$DR$96,$R$2,FALSE)</f>
        <v>0.98</v>
      </c>
      <c r="G23" s="5">
        <f>HLOOKUP("QTE-0.25-ASSD-CBPS-over",inference!$D$1:$DR$96,$R$2,FALSE)*2*1.96/SQRT(G$3)</f>
        <v>8.5274255636695635</v>
      </c>
      <c r="H23" s="5">
        <f t="shared" si="7"/>
        <v>48.642610289373998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45">
      <c r="B24" s="3" t="s">
        <v>2</v>
      </c>
      <c r="C24" s="5">
        <f>HLOOKUP("QTE-0.25-bias-GLM",Point!$D$1:$DR$96,$R$2,FALSE)</f>
        <v>-7.6348331082262397E-2</v>
      </c>
      <c r="D24" s="5">
        <f>HLOOKUP("QTE-0.25-RMSE-GLM",Point!$D$1:$DR$96,$R$2,FALSE)</f>
        <v>2.2750427005519298</v>
      </c>
      <c r="E24" s="5">
        <f t="shared" si="6"/>
        <v>1.8883808060289218</v>
      </c>
      <c r="F24" s="5">
        <f>HLOOKUP("QTE-0.25-Empcov-GLM",inference!$D$1:$DR$96,$R$2,FALSE)</f>
        <v>0.96299999999999997</v>
      </c>
      <c r="G24" s="5">
        <f>HLOOKUP("QTE-0.25-ASSD-GLM",inference!$D$1:$DR$96,$R$2,FALSE)*2*1.96/SQRT(G$3)</f>
        <v>8.0626202860758873</v>
      </c>
      <c r="H24" s="5">
        <f t="shared" si="7"/>
        <v>45.991242439883898</v>
      </c>
      <c r="I24" s="5">
        <f t="shared" si="8"/>
        <v>1.1186222679268076</v>
      </c>
      <c r="J24" s="5"/>
      <c r="K24" s="5"/>
      <c r="L24" s="5"/>
      <c r="M24" s="5"/>
      <c r="N24" s="5"/>
    </row>
    <row r="25" spans="1:18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45">
      <c r="A26" s="2" t="s">
        <v>60</v>
      </c>
      <c r="B26" s="1" t="s">
        <v>3</v>
      </c>
      <c r="C26" s="5">
        <f>HLOOKUP("QTE-0.5-bias-IPS-exp",Point!$D$1:$DR$96,$R$2,FALSE)</f>
        <v>-6.4717460231887194E-2</v>
      </c>
      <c r="D26" s="5">
        <f>HLOOKUP("QTE-0.5-RMSE-IPS-exp",Point!$D$1:$DR$96,$R$2,FALSE)</f>
        <v>1.80646739377385</v>
      </c>
      <c r="E26" s="5">
        <f t="shared" ref="E26:E31" si="9">(D26/$D$30)^2</f>
        <v>0.7336237283715813</v>
      </c>
      <c r="F26" s="5">
        <f>HLOOKUP("QTE-0.5-Empcov-IPS-exp",inference!$D$1:$DR$96,$R$2,FALSE)</f>
        <v>0.95499999999999996</v>
      </c>
      <c r="G26" s="5">
        <f>HLOOKUP("QTE-0.5-ASSD-IPS-exp",inference!$D$1:$DR$96,$R$2,FALSE)*2*1.96/SQRT(G$3)</f>
        <v>7.3931419553595132</v>
      </c>
      <c r="H26" s="5">
        <f t="shared" ref="H26:H31" si="10">G26/(2*1.96/SQRT(G$3))</f>
        <v>42.172367294616301</v>
      </c>
      <c r="I26" s="5">
        <f t="shared" ref="I26:I31" si="11">($H$30/H26)^2</f>
        <v>1.9564198541771491</v>
      </c>
      <c r="J26" s="5"/>
      <c r="K26"/>
      <c r="L26"/>
      <c r="M26"/>
      <c r="N26"/>
      <c r="O26"/>
      <c r="P26"/>
      <c r="Q26"/>
    </row>
    <row r="27" spans="1:18" x14ac:dyDescent="0.45">
      <c r="B27" s="1" t="s">
        <v>5</v>
      </c>
      <c r="C27" s="5">
        <f>HLOOKUP("QTE-0.5-bias-IPS-ind",Point!$D$1:$DR$96,$R$2,FALSE)</f>
        <v>0.873954751968395</v>
      </c>
      <c r="D27" s="5">
        <f>HLOOKUP("QTE-0.5-RMSE-IPS-ind",Point!$D$1:$DR$96,$R$2,FALSE)</f>
        <v>2.27166426634495</v>
      </c>
      <c r="E27" s="5">
        <f t="shared" si="9"/>
        <v>1.1601159791357438</v>
      </c>
      <c r="F27" s="5">
        <f>HLOOKUP("QTE-0.5-Empcov-IPS-ind",inference!$D$1:$DR$96,$R$2,FALSE)</f>
        <v>0.98099999999999998</v>
      </c>
      <c r="G27" s="5">
        <f>HLOOKUP("QTE-0.5-ASSD-IPS-ind",inference!$D$1:$DR$96,$R$2,FALSE)*2*1.96/SQRT(G$3)</f>
        <v>11.02069891303827</v>
      </c>
      <c r="H27" s="5">
        <f t="shared" si="10"/>
        <v>62.864877370182697</v>
      </c>
      <c r="I27" s="5">
        <f t="shared" si="11"/>
        <v>0.88044428066069902</v>
      </c>
      <c r="J27" s="5"/>
      <c r="K27" s="5"/>
      <c r="L27" s="5"/>
      <c r="M27" s="5"/>
      <c r="N27" s="5"/>
    </row>
    <row r="28" spans="1:18" x14ac:dyDescent="0.45">
      <c r="B28" s="1" t="s">
        <v>4</v>
      </c>
      <c r="C28" s="5">
        <f>HLOOKUP("QTE-0.5-bias-IPS-proj",Point!$D$1:$DR$96,$R$2,FALSE)</f>
        <v>-4.52829932878425E-2</v>
      </c>
      <c r="D28" s="5">
        <f>HLOOKUP("QTE-0.5-RMSE-IPS-proj",Point!$D$1:$DR$96,$R$2,FALSE)</f>
        <v>1.93276999332108</v>
      </c>
      <c r="E28" s="5">
        <f t="shared" si="9"/>
        <v>0.83979534793563448</v>
      </c>
      <c r="F28" s="6">
        <f>HLOOKUP("QTE-0.5-Empcov-IPS-proj",inference!$D$1:$DR$96,$R$2,FALSE)</f>
        <v>0.93200000000000005</v>
      </c>
      <c r="G28" s="6">
        <f>HLOOKUP("QTE-0.5-ASSD-IPS-proj",inference!$D$1:$DR$96,$R$2,FALSE)*2*1.96/SQRT(G$3)</f>
        <v>7.6213853196428234</v>
      </c>
      <c r="H28" s="5">
        <f t="shared" si="10"/>
        <v>43.474325656735502</v>
      </c>
      <c r="I28" s="5">
        <f t="shared" si="11"/>
        <v>1.8409937476400073</v>
      </c>
      <c r="J28" s="5"/>
      <c r="K28" s="5"/>
      <c r="L28" s="5"/>
      <c r="M28" s="5"/>
      <c r="N28" s="5"/>
    </row>
    <row r="29" spans="1:18" x14ac:dyDescent="0.45">
      <c r="B29" s="1" t="s">
        <v>88</v>
      </c>
      <c r="C29" s="5">
        <f>HLOOKUP("QTE-0.5-bias-CBPS-just",Point!$D$1:$DR$96,$R$2,FALSE)</f>
        <v>0.29944102061523298</v>
      </c>
      <c r="D29" s="5">
        <f>HLOOKUP("QTE-0.5-RMSE-CBPS-just",Point!$D$1:$DR$96,$R$2,FALSE)</f>
        <v>2.1167600665633599</v>
      </c>
      <c r="E29" s="5">
        <f t="shared" si="9"/>
        <v>1.0072943156951761</v>
      </c>
      <c r="F29" s="5">
        <f>HLOOKUP("QTE-0.5-Empcov-CBPS-just",inference!$D$1:$DR$96,$R$2,FALSE)</f>
        <v>0.90800000000000003</v>
      </c>
      <c r="G29" s="5">
        <f>HLOOKUP("QTE-0.5-ASSD-CBPS-just",inference!$D$1:$DR$96,$R$2,FALSE)*2*1.96/SQRT(G$3)</f>
        <v>7.1870057632824409</v>
      </c>
      <c r="H29" s="5">
        <f t="shared" si="10"/>
        <v>40.996513881077298</v>
      </c>
      <c r="I29" s="5">
        <f t="shared" si="11"/>
        <v>2.0702565413043494</v>
      </c>
      <c r="J29" s="5"/>
      <c r="K29" s="5"/>
      <c r="L29" s="5"/>
      <c r="M29" s="5"/>
      <c r="N29" s="5"/>
    </row>
    <row r="30" spans="1:18" x14ac:dyDescent="0.45">
      <c r="B30" s="1" t="s">
        <v>89</v>
      </c>
      <c r="C30" s="5">
        <f>HLOOKUP("QTE-0.5-bias-CBPS-over",Point!$D$1:$DR$96,$R$2,FALSE)</f>
        <v>0.963356385219579</v>
      </c>
      <c r="D30" s="5">
        <f>HLOOKUP("QTE-0.5-RMSE-CBPS-over",Point!$D$1:$DR$96,$R$2,FALSE)</f>
        <v>2.1090818883265299</v>
      </c>
      <c r="E30" s="5">
        <f t="shared" si="9"/>
        <v>1</v>
      </c>
      <c r="F30" s="5">
        <f>HLOOKUP("QTE-0.5-Empcov-CBPS-over",inference!$D$1:$DR$96,$R$2,FALSE)</f>
        <v>0.98899999999999999</v>
      </c>
      <c r="G30" s="5">
        <f>HLOOKUP("QTE-0.5-ASSD-CBPS-over",inference!$D$1:$DR$96,$R$2,FALSE)*2*1.96/SQRT(G$3)</f>
        <v>10.340941371708134</v>
      </c>
      <c r="H30" s="5">
        <f t="shared" si="10"/>
        <v>58.987366985916609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45">
      <c r="A31" s="3"/>
      <c r="B31" s="3" t="s">
        <v>2</v>
      </c>
      <c r="C31" s="5">
        <f>HLOOKUP("QTE-0.5-bias-GLM",Point!$D$1:$DR$96,$R$2,FALSE)</f>
        <v>7.7061951432202E-2</v>
      </c>
      <c r="D31" s="5">
        <f>HLOOKUP("QTE-0.5-RMSE-GLM",Point!$D$1:$DR$96,$R$2,FALSE)</f>
        <v>2.1939919057520898</v>
      </c>
      <c r="E31" s="5">
        <f t="shared" si="9"/>
        <v>1.0821392701325558</v>
      </c>
      <c r="F31" s="5">
        <f>HLOOKUP("QTE-0.5-Empcov-GLM",inference!$D$1:$DR$96,$R$2,FALSE)</f>
        <v>0.93799999999999994</v>
      </c>
      <c r="G31" s="5">
        <f>HLOOKUP("QTE-0.5-ASSD-GLM",inference!$D$1:$DR$96,$R$2,FALSE)*2*1.96/SQRT(G$3)</f>
        <v>8.1812662154562492</v>
      </c>
      <c r="H31" s="5">
        <f t="shared" si="10"/>
        <v>46.668029081078103</v>
      </c>
      <c r="I31" s="5">
        <f t="shared" si="11"/>
        <v>1.5976406512156862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-0.34414466721000803</v>
      </c>
      <c r="D33" s="5">
        <f>HLOOKUP("QTE-0.75-RMSE-IPS-exp",Point!$D$1:$DR$96,$R$2,FALSE)</f>
        <v>4.6719464333889897</v>
      </c>
      <c r="E33" s="5">
        <f t="shared" ref="E33:E38" si="12">(D33/$D$37)^2</f>
        <v>0.69023163750892869</v>
      </c>
      <c r="F33" s="5">
        <f>HLOOKUP("QTE-0.75-Empcov-IPS-exp",inference!$D$1:$DR$96,$R$2,FALSE)</f>
        <v>0.95699999999999996</v>
      </c>
      <c r="G33" s="5">
        <f>HLOOKUP("QTE-0.75-ASSD-IPS-exp",inference!$D$1:$DR$96,$R$2,FALSE)*2*1.96/SQRT(G$3)</f>
        <v>20.743643472146601</v>
      </c>
      <c r="H33" s="5">
        <f t="shared" ref="H33:H38" si="13">G33/(2*1.96/SQRT(G$3))</f>
        <v>118.32703292025401</v>
      </c>
      <c r="I33" s="5">
        <f t="shared" ref="I33:I38" si="14">($H$37/H33)^2</f>
        <v>1.7635330146697772</v>
      </c>
      <c r="J33" s="5"/>
    </row>
    <row r="34" spans="1:10" x14ac:dyDescent="0.45">
      <c r="B34" s="1" t="s">
        <v>5</v>
      </c>
      <c r="C34" s="5">
        <f>HLOOKUP("QTE-0.75-bias-IPS-ind",Point!$D$1:$DR$96,$R$2,FALSE)</f>
        <v>1.9758750188204299</v>
      </c>
      <c r="D34" s="5">
        <f>HLOOKUP("QTE-0.75-RMSE-IPS-ind",Point!$D$1:$DR$96,$R$2,FALSE)</f>
        <v>7.0299449663595999</v>
      </c>
      <c r="E34" s="5">
        <f t="shared" si="12"/>
        <v>1.5627985612670636</v>
      </c>
      <c r="F34" s="5">
        <f>HLOOKUP("QTE-0.75-Empcov-IPS-ind",inference!$D$1:$DR$96,$R$2,FALSE)</f>
        <v>0.98099999999999998</v>
      </c>
      <c r="G34" s="5">
        <f>HLOOKUP("QTE-0.75-ASSD-IPS-ind",inference!$D$1:$DR$96,$R$2,FALSE)*2*1.96/SQRT(G$3)</f>
        <v>40.259993159610936</v>
      </c>
      <c r="H34" s="5">
        <f t="shared" si="13"/>
        <v>229.65326907797603</v>
      </c>
      <c r="I34" s="5">
        <f t="shared" si="14"/>
        <v>0.46817290934801531</v>
      </c>
      <c r="J34" s="5"/>
    </row>
    <row r="35" spans="1:10" x14ac:dyDescent="0.45">
      <c r="B35" s="1" t="s">
        <v>4</v>
      </c>
      <c r="C35" s="5">
        <f>HLOOKUP("QTE-0.75-bias-IPS-proj",Point!$D$1:$DR$96,$R$2,FALSE)</f>
        <v>-0.58244362479634404</v>
      </c>
      <c r="D35" s="5">
        <f>HLOOKUP("QTE-0.75-RMSE-IPS-proj",Point!$D$1:$DR$96,$R$2,FALSE)</f>
        <v>4.86559793439059</v>
      </c>
      <c r="E35" s="5">
        <f t="shared" si="12"/>
        <v>0.74863752011776519</v>
      </c>
      <c r="F35" s="6">
        <f>HLOOKUP("QTE-0.75-Empcov-IPS-proj",inference!$D$1:$DR$96,$R$2,FALSE)</f>
        <v>0.95599999999999996</v>
      </c>
      <c r="G35" s="6">
        <f>HLOOKUP("QTE-0.75-ASSD-IPS-proj",inference!$D$1:$DR$96,$R$2,FALSE)*2*1.96/SQRT(G$3)</f>
        <v>22.077480311245736</v>
      </c>
      <c r="H35" s="5">
        <f t="shared" si="13"/>
        <v>125.93557843841502</v>
      </c>
      <c r="I35" s="5">
        <f t="shared" si="14"/>
        <v>1.5568782843561404</v>
      </c>
      <c r="J35" s="5"/>
    </row>
    <row r="36" spans="1:10" x14ac:dyDescent="0.45">
      <c r="B36" s="1" t="s">
        <v>88</v>
      </c>
      <c r="C36" s="5">
        <f>HLOOKUP("QTE-0.75-bias-CBPS-just",Point!$D$1:$DR$96,$R$2,FALSE)</f>
        <v>0.28054573425171903</v>
      </c>
      <c r="D36" s="5">
        <f>HLOOKUP("QTE-0.75-RMSE-CBPS-just",Point!$D$1:$DR$96,$R$2,FALSE)</f>
        <v>5.3565378457264803</v>
      </c>
      <c r="E36" s="5">
        <f t="shared" si="12"/>
        <v>0.90733467382464239</v>
      </c>
      <c r="F36" s="5">
        <f>HLOOKUP("QTE-0.75-Empcov-CBPS-just",inference!$D$1:$DR$96,$R$2,FALSE)</f>
        <v>0.85799999999999998</v>
      </c>
      <c r="G36" s="5">
        <f>HLOOKUP("QTE-0.75-ASSD-CBPS-just",inference!$D$1:$DR$96,$R$2,FALSE)*2*1.96/SQRT(G$3)</f>
        <v>16.029946467172362</v>
      </c>
      <c r="H36" s="5">
        <f t="shared" si="13"/>
        <v>91.438903000714305</v>
      </c>
      <c r="I36" s="5">
        <f t="shared" si="14"/>
        <v>2.9531773531102408</v>
      </c>
      <c r="J36" s="5"/>
    </row>
    <row r="37" spans="1:10" x14ac:dyDescent="0.45">
      <c r="B37" s="1" t="s">
        <v>89</v>
      </c>
      <c r="C37" s="5">
        <f>HLOOKUP("QTE-0.75-bias-CBPS-over",Point!$D$1:$DR$96,$R$2,FALSE)</f>
        <v>2.5361718279612702</v>
      </c>
      <c r="D37" s="5">
        <f>HLOOKUP("QTE-0.75-RMSE-CBPS-over",Point!$D$1:$DR$96,$R$2,FALSE)</f>
        <v>5.6234187395422799</v>
      </c>
      <c r="E37" s="5">
        <f t="shared" si="12"/>
        <v>1</v>
      </c>
      <c r="F37" s="5">
        <f>HLOOKUP("QTE-0.75-Empcov-CBPS-over",inference!$D$1:$DR$96,$R$2,FALSE)</f>
        <v>0.97699999999999998</v>
      </c>
      <c r="G37" s="5">
        <f>HLOOKUP("QTE-0.75-ASSD-CBPS-over",inference!$D$1:$DR$96,$R$2,FALSE)*2*1.96/SQRT(G$3)</f>
        <v>27.547160327261992</v>
      </c>
      <c r="H37" s="5">
        <f t="shared" si="13"/>
        <v>157.13602826235504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-0.197758367825111</v>
      </c>
      <c r="D38" s="5">
        <f>HLOOKUP("QTE-0.75-RMSE-GLM",Point!$D$1:$DR$96,$R$2,FALSE)</f>
        <v>5.2949130996560996</v>
      </c>
      <c r="E38" s="5">
        <f t="shared" si="12"/>
        <v>0.88657774640581866</v>
      </c>
      <c r="F38" s="5">
        <f>HLOOKUP("QTE-0.75-Empcov-GLM",inference!$D$1:$DR$96,$R$2,FALSE)</f>
        <v>0.874</v>
      </c>
      <c r="G38" s="5">
        <f>HLOOKUP("QTE-0.75-ASSD-GLM",inference!$D$1:$DR$96,$R$2,FALSE)*2*1.96/SQRT(G$3)</f>
        <v>17.357250316211648</v>
      </c>
      <c r="H38" s="5">
        <f t="shared" si="13"/>
        <v>99.010182677369812</v>
      </c>
      <c r="I38" s="5">
        <f t="shared" si="14"/>
        <v>2.5187891857370932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0.23195188786080001</v>
      </c>
      <c r="D40" s="5">
        <f>HLOOKUP("QTE-0.9-RMSE-IPS-exp",Point!$D$1:$DR$96,$R$2,FALSE)</f>
        <v>9.6781901828357508</v>
      </c>
      <c r="E40" s="5">
        <f t="shared" ref="E40:E45" si="15">(D40/$D$44)^2</f>
        <v>0.82649335130498425</v>
      </c>
      <c r="F40" s="5">
        <f>HLOOKUP("QTE-0.9-Empcov-IPS-exp",inference!$D$1:$DR$96,$R$2,FALSE)</f>
        <v>0.96</v>
      </c>
      <c r="G40" s="5">
        <f>HLOOKUP("QTE-0.9-ASSD-IPS-exp",inference!$D$1:$DR$96,$R$2,FALSE)*2*1.96/SQRT(G$3)</f>
        <v>54.976808629943029</v>
      </c>
      <c r="H40" s="5">
        <f t="shared" ref="H40:H45" si="16">G40/(2*1.96/SQRT(G$3))</f>
        <v>313.60173796568802</v>
      </c>
      <c r="I40" s="5">
        <f t="shared" ref="I40:I45" si="17">($H$44/H40)^2</f>
        <v>1.227111681278013</v>
      </c>
      <c r="J40" s="5"/>
    </row>
    <row r="41" spans="1:10" x14ac:dyDescent="0.45">
      <c r="B41" s="1" t="s">
        <v>5</v>
      </c>
      <c r="C41" s="5">
        <f>HLOOKUP("QTE-0.9-bias-IPS-ind",Point!$D$1:$DR$96,$R$2,FALSE)</f>
        <v>4.5688468237228701</v>
      </c>
      <c r="D41" s="5">
        <f>HLOOKUP("QTE-0.9-RMSE-IPS-ind",Point!$D$1:$DR$96,$R$2,FALSE)</f>
        <v>14.285204205136701</v>
      </c>
      <c r="E41" s="5">
        <f t="shared" si="15"/>
        <v>1.8006278627275996</v>
      </c>
      <c r="F41" s="5">
        <f>HLOOKUP("QTE-0.9-Empcov-IPS-ind",inference!$D$1:$DR$96,$R$2,FALSE)</f>
        <v>0.98799999999999999</v>
      </c>
      <c r="G41" s="5">
        <f>HLOOKUP("QTE-0.9-ASSD-IPS-ind",inference!$D$1:$DR$96,$R$2,FALSE)*2*1.96/SQRT(G$3)</f>
        <v>100.2194656652461</v>
      </c>
      <c r="H41" s="5">
        <f t="shared" si="16"/>
        <v>571.67739259233804</v>
      </c>
      <c r="I41" s="5">
        <f t="shared" si="17"/>
        <v>0.3692657057233748</v>
      </c>
      <c r="J41" s="5"/>
    </row>
    <row r="42" spans="1:10" x14ac:dyDescent="0.45">
      <c r="B42" s="1" t="s">
        <v>4</v>
      </c>
      <c r="C42" s="5">
        <f>HLOOKUP("QTE-0.9-bias-IPS-proj",Point!$D$1:$DR$96,$R$2,FALSE)</f>
        <v>-1.37799552313622</v>
      </c>
      <c r="D42" s="5">
        <f>HLOOKUP("QTE-0.9-RMSE-IPS-proj",Point!$D$1:$DR$96,$R$2,FALSE)</f>
        <v>9.7518924968066507</v>
      </c>
      <c r="E42" s="5">
        <f t="shared" si="15"/>
        <v>0.83912927027007622</v>
      </c>
      <c r="F42" s="6">
        <f>HLOOKUP("QTE-0.9-Empcov-IPS-proj",inference!$D$1:$DR$96,$R$2,FALSE)</f>
        <v>0.98</v>
      </c>
      <c r="G42" s="6">
        <f>HLOOKUP("QTE-0.9-ASSD-IPS-proj",inference!$D$1:$DR$96,$R$2,FALSE)*2*1.96/SQRT(G$3)</f>
        <v>69.920297018750844</v>
      </c>
      <c r="H42" s="5">
        <f t="shared" si="16"/>
        <v>398.84320699209894</v>
      </c>
      <c r="I42" s="5">
        <f t="shared" si="17"/>
        <v>0.75864152882261993</v>
      </c>
      <c r="J42" s="5"/>
    </row>
    <row r="43" spans="1:10" x14ac:dyDescent="0.45">
      <c r="B43" s="1" t="s">
        <v>88</v>
      </c>
      <c r="C43" s="5">
        <f>HLOOKUP("QTE-0.9-bias-CBPS-just",Point!$D$1:$DR$96,$R$2,FALSE)</f>
        <v>-4.6172356599981902E-2</v>
      </c>
      <c r="D43" s="5">
        <f>HLOOKUP("QTE-0.9-RMSE-CBPS-just",Point!$D$1:$DR$96,$R$2,FALSE)</f>
        <v>10.4528488324198</v>
      </c>
      <c r="E43" s="5">
        <f t="shared" si="15"/>
        <v>0.96409626345514121</v>
      </c>
      <c r="F43" s="5">
        <f>HLOOKUP("QTE-0.9-Empcov-CBPS-just",inference!$D$1:$DR$96,$R$2,FALSE)</f>
        <v>0.89500000000000002</v>
      </c>
      <c r="G43" s="5">
        <f>HLOOKUP("QTE-0.9-ASSD-CBPS-just",inference!$D$1:$DR$96,$R$2,FALSE)*2*1.96/SQRT(G$3)</f>
        <v>44.301928272632644</v>
      </c>
      <c r="H43" s="5">
        <f t="shared" si="16"/>
        <v>252.70949783654703</v>
      </c>
      <c r="I43" s="5">
        <f t="shared" si="17"/>
        <v>1.8897218407555467</v>
      </c>
      <c r="J43" s="5"/>
    </row>
    <row r="44" spans="1:10" x14ac:dyDescent="0.45">
      <c r="B44" s="1" t="s">
        <v>89</v>
      </c>
      <c r="C44" s="5">
        <f>HLOOKUP("QTE-0.9-bias-CBPS-over",Point!$D$1:$DR$96,$R$2,FALSE)</f>
        <v>3.4295049354813201</v>
      </c>
      <c r="D44" s="5">
        <f>HLOOKUP("QTE-0.9-RMSE-CBPS-over",Point!$D$1:$DR$96,$R$2,FALSE)</f>
        <v>10.6457060419214</v>
      </c>
      <c r="E44" s="5">
        <f t="shared" si="15"/>
        <v>1</v>
      </c>
      <c r="F44" s="5">
        <f>HLOOKUP("QTE-0.9-Empcov-CBPS-over",inference!$D$1:$DR$96,$R$2,FALSE)</f>
        <v>0.95299999999999996</v>
      </c>
      <c r="G44" s="5">
        <f>HLOOKUP("QTE-0.9-ASSD-CBPS-over",inference!$D$1:$DR$96,$R$2,FALSE)*2*1.96/SQRT(G$3)</f>
        <v>60.900599929180558</v>
      </c>
      <c r="H44" s="5">
        <f t="shared" si="16"/>
        <v>347.39255436777199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-0.152682368593826</v>
      </c>
      <c r="D45" s="5">
        <f>HLOOKUP("QTE-0.9-RMSE-GLM",Point!$D$1:$DR$96,$R$2,FALSE)</f>
        <v>9.8978721589956997</v>
      </c>
      <c r="E45" s="5">
        <f t="shared" si="15"/>
        <v>0.86443977278513351</v>
      </c>
      <c r="F45" s="5">
        <f>HLOOKUP("QTE-0.9-Empcov-GLM",inference!$D$1:$DR$96,$R$2,FALSE)</f>
        <v>0.90500000000000003</v>
      </c>
      <c r="G45" s="5">
        <f>HLOOKUP("QTE-0.9-ASSD-GLM",inference!$D$1:$DR$96,$R$2,FALSE)*2*1.96/SQRT(G$3)</f>
        <v>41.000422019860608</v>
      </c>
      <c r="H45" s="5">
        <f t="shared" si="16"/>
        <v>233.87686413925397</v>
      </c>
      <c r="I45" s="5">
        <f t="shared" si="17"/>
        <v>2.2063097683550321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H114" s="7"/>
      <c r="I114" s="7"/>
      <c r="J114" s="7"/>
    </row>
    <row r="115" spans="8:10" x14ac:dyDescent="0.45">
      <c r="H115" s="7"/>
      <c r="I115" s="7"/>
      <c r="J115" s="7"/>
    </row>
    <row r="116" spans="8:10" x14ac:dyDescent="0.45">
      <c r="H116" s="7"/>
      <c r="I116" s="7"/>
      <c r="J116" s="7"/>
    </row>
    <row r="117" spans="8:10" x14ac:dyDescent="0.45">
      <c r="H117" s="7"/>
      <c r="I117" s="7"/>
      <c r="J117" s="7"/>
    </row>
    <row r="118" spans="8:10" x14ac:dyDescent="0.45">
      <c r="H118" s="7"/>
      <c r="I118" s="7"/>
      <c r="J118" s="7"/>
    </row>
    <row r="119" spans="8:10" x14ac:dyDescent="0.45">
      <c r="H119" s="7"/>
      <c r="I119" s="7"/>
      <c r="J119" s="7"/>
    </row>
    <row r="120" spans="8:10" x14ac:dyDescent="0.45">
      <c r="H120" s="7"/>
      <c r="I120" s="7"/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inference</vt:lpstr>
      <vt:lpstr>balance</vt:lpstr>
      <vt:lpstr>Point</vt:lpstr>
      <vt:lpstr>Tables-n=200</vt:lpstr>
      <vt:lpstr>Tables-n=500</vt:lpstr>
      <vt:lpstr>Tables-n=1000</vt:lpstr>
      <vt:lpstr>Table-n=200-corr</vt:lpstr>
      <vt:lpstr>Table-n=200-miss</vt:lpstr>
      <vt:lpstr>Table-n=500-corr</vt:lpstr>
      <vt:lpstr>Table-n=500-miss</vt:lpstr>
      <vt:lpstr>Table-n=1000-corr</vt:lpstr>
      <vt:lpstr>Table-n=1000-miss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Sant'Anna, Pedro H. C.</dc:creator>
  <cp:lastModifiedBy>Pedro Sant'Anna</cp:lastModifiedBy>
  <dcterms:created xsi:type="dcterms:W3CDTF">2018-05-09T02:04:09Z</dcterms:created>
  <dcterms:modified xsi:type="dcterms:W3CDTF">2021-10-26T20:06:18Z</dcterms:modified>
</cp:coreProperties>
</file>