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santanna\Dropbox\Co-authored Projects\IPS\Submission\Simulations\Stylized\Results\Endog\"/>
    </mc:Choice>
  </mc:AlternateContent>
  <xr:revisionPtr revIDLastSave="0" documentId="13_ncr:1_{122659CA-0312-4DE2-99B3-26725AC59C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ference" sheetId="34" r:id="rId1"/>
    <sheet name="balance" sheetId="44" r:id="rId2"/>
    <sheet name="Point" sheetId="30" r:id="rId3"/>
    <sheet name="Tables-n=200" sheetId="36" r:id="rId4"/>
    <sheet name="Tables-n=500" sheetId="35" r:id="rId5"/>
    <sheet name="Tables-n=1000" sheetId="43" r:id="rId6"/>
    <sheet name="Table-n=200-corr" sheetId="37" r:id="rId7"/>
    <sheet name="Table-n=200-miss" sheetId="38" r:id="rId8"/>
    <sheet name="Table-n=500-corr" sheetId="40" r:id="rId9"/>
    <sheet name="Table-n=500-miss" sheetId="39" r:id="rId10"/>
    <sheet name="Table-n=1000-corr" sheetId="42" r:id="rId11"/>
    <sheet name="Table-n=1000-miss" sheetId="4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41" l="1"/>
  <c r="AD8" i="43" s="1"/>
  <c r="O8" i="42"/>
  <c r="W8" i="43" s="1"/>
  <c r="O8" i="39"/>
  <c r="AD8" i="35" s="1"/>
  <c r="O8" i="40"/>
  <c r="W8" i="35" s="1"/>
  <c r="O8" i="38"/>
  <c r="AD8" i="36" s="1"/>
  <c r="O8" i="37"/>
  <c r="W8" i="36" s="1"/>
  <c r="G45" i="41"/>
  <c r="H45" i="41" s="1"/>
  <c r="F45" i="41"/>
  <c r="M45" i="43" s="1"/>
  <c r="D45" i="41"/>
  <c r="C45" i="41"/>
  <c r="J45" i="43" s="1"/>
  <c r="G44" i="41"/>
  <c r="H44" i="41" s="1"/>
  <c r="F44" i="41"/>
  <c r="M44" i="43" s="1"/>
  <c r="D44" i="41"/>
  <c r="E44" i="41" s="1"/>
  <c r="L44" i="43" s="1"/>
  <c r="C44" i="41"/>
  <c r="J44" i="43" s="1"/>
  <c r="G43" i="41"/>
  <c r="H43" i="41" s="1"/>
  <c r="F43" i="41"/>
  <c r="M43" i="43" s="1"/>
  <c r="D43" i="41"/>
  <c r="C43" i="41"/>
  <c r="J43" i="43" s="1"/>
  <c r="G42" i="41"/>
  <c r="H42" i="41" s="1"/>
  <c r="F42" i="41"/>
  <c r="M42" i="43" s="1"/>
  <c r="D42" i="41"/>
  <c r="C42" i="41"/>
  <c r="J42" i="43" s="1"/>
  <c r="G41" i="41"/>
  <c r="H41" i="41" s="1"/>
  <c r="F41" i="41"/>
  <c r="M41" i="43" s="1"/>
  <c r="D41" i="41"/>
  <c r="C41" i="41"/>
  <c r="J41" i="43" s="1"/>
  <c r="G40" i="41"/>
  <c r="H40" i="41" s="1"/>
  <c r="F40" i="41"/>
  <c r="M40" i="43" s="1"/>
  <c r="D40" i="41"/>
  <c r="C40" i="41"/>
  <c r="J40" i="43" s="1"/>
  <c r="G38" i="41"/>
  <c r="H38" i="41" s="1"/>
  <c r="F38" i="41"/>
  <c r="M38" i="43" s="1"/>
  <c r="D38" i="41"/>
  <c r="C38" i="41"/>
  <c r="J38" i="43" s="1"/>
  <c r="G37" i="41"/>
  <c r="H37" i="41" s="1"/>
  <c r="F37" i="41"/>
  <c r="M37" i="43" s="1"/>
  <c r="D37" i="41"/>
  <c r="K37" i="43" s="1"/>
  <c r="C37" i="41"/>
  <c r="J37" i="43" s="1"/>
  <c r="G36" i="41"/>
  <c r="H36" i="41" s="1"/>
  <c r="F36" i="41"/>
  <c r="M36" i="43" s="1"/>
  <c r="D36" i="41"/>
  <c r="C36" i="41"/>
  <c r="J36" i="43" s="1"/>
  <c r="G35" i="41"/>
  <c r="H35" i="41" s="1"/>
  <c r="F35" i="41"/>
  <c r="M35" i="43" s="1"/>
  <c r="D35" i="41"/>
  <c r="K35" i="43" s="1"/>
  <c r="C35" i="41"/>
  <c r="J35" i="43" s="1"/>
  <c r="G34" i="41"/>
  <c r="H34" i="41" s="1"/>
  <c r="F34" i="41"/>
  <c r="M34" i="43" s="1"/>
  <c r="D34" i="41"/>
  <c r="K34" i="43" s="1"/>
  <c r="C34" i="41"/>
  <c r="J34" i="43" s="1"/>
  <c r="G33" i="41"/>
  <c r="H33" i="41" s="1"/>
  <c r="F33" i="41"/>
  <c r="M33" i="43" s="1"/>
  <c r="D33" i="41"/>
  <c r="K33" i="43" s="1"/>
  <c r="C33" i="41"/>
  <c r="J33" i="43" s="1"/>
  <c r="G31" i="41"/>
  <c r="H31" i="41" s="1"/>
  <c r="F31" i="41"/>
  <c r="M31" i="43" s="1"/>
  <c r="D31" i="41"/>
  <c r="C31" i="41"/>
  <c r="J31" i="43" s="1"/>
  <c r="G30" i="41"/>
  <c r="H30" i="41" s="1"/>
  <c r="F30" i="41"/>
  <c r="M30" i="43" s="1"/>
  <c r="D30" i="41"/>
  <c r="K30" i="43" s="1"/>
  <c r="C30" i="41"/>
  <c r="J30" i="43" s="1"/>
  <c r="G29" i="41"/>
  <c r="H29" i="41" s="1"/>
  <c r="F29" i="41"/>
  <c r="M29" i="43" s="1"/>
  <c r="D29" i="41"/>
  <c r="C29" i="41"/>
  <c r="J29" i="43" s="1"/>
  <c r="G28" i="41"/>
  <c r="H28" i="41" s="1"/>
  <c r="F28" i="41"/>
  <c r="M28" i="43" s="1"/>
  <c r="D28" i="41"/>
  <c r="K28" i="43" s="1"/>
  <c r="C28" i="41"/>
  <c r="J28" i="43" s="1"/>
  <c r="G27" i="41"/>
  <c r="H27" i="41" s="1"/>
  <c r="F27" i="41"/>
  <c r="M27" i="43" s="1"/>
  <c r="D27" i="41"/>
  <c r="C27" i="41"/>
  <c r="J27" i="43" s="1"/>
  <c r="G26" i="41"/>
  <c r="H26" i="41" s="1"/>
  <c r="F26" i="41"/>
  <c r="M26" i="43" s="1"/>
  <c r="D26" i="41"/>
  <c r="K26" i="43" s="1"/>
  <c r="C26" i="41"/>
  <c r="J26" i="43" s="1"/>
  <c r="G24" i="41"/>
  <c r="H24" i="41" s="1"/>
  <c r="F24" i="41"/>
  <c r="M24" i="43" s="1"/>
  <c r="D24" i="41"/>
  <c r="K24" i="43" s="1"/>
  <c r="C24" i="41"/>
  <c r="J24" i="43" s="1"/>
  <c r="G23" i="41"/>
  <c r="H23" i="41" s="1"/>
  <c r="F23" i="41"/>
  <c r="M23" i="43" s="1"/>
  <c r="D23" i="41"/>
  <c r="E23" i="41" s="1"/>
  <c r="L23" i="43" s="1"/>
  <c r="C23" i="41"/>
  <c r="J23" i="43" s="1"/>
  <c r="G22" i="41"/>
  <c r="H22" i="41" s="1"/>
  <c r="F22" i="41"/>
  <c r="M22" i="43" s="1"/>
  <c r="D22" i="41"/>
  <c r="C22" i="41"/>
  <c r="J22" i="43" s="1"/>
  <c r="G21" i="41"/>
  <c r="H21" i="41" s="1"/>
  <c r="F21" i="41"/>
  <c r="M21" i="43" s="1"/>
  <c r="D21" i="41"/>
  <c r="K21" i="43" s="1"/>
  <c r="C21" i="41"/>
  <c r="J21" i="43" s="1"/>
  <c r="G20" i="41"/>
  <c r="H20" i="41" s="1"/>
  <c r="F20" i="41"/>
  <c r="M20" i="43" s="1"/>
  <c r="D20" i="41"/>
  <c r="K20" i="43" s="1"/>
  <c r="C20" i="41"/>
  <c r="J20" i="43" s="1"/>
  <c r="G19" i="41"/>
  <c r="H19" i="41" s="1"/>
  <c r="F19" i="41"/>
  <c r="M19" i="43" s="1"/>
  <c r="D19" i="41"/>
  <c r="K19" i="43" s="1"/>
  <c r="C19" i="41"/>
  <c r="J19" i="43" s="1"/>
  <c r="G17" i="41"/>
  <c r="H17" i="41" s="1"/>
  <c r="F17" i="41"/>
  <c r="M17" i="43" s="1"/>
  <c r="D17" i="41"/>
  <c r="C17" i="41"/>
  <c r="J17" i="43" s="1"/>
  <c r="G16" i="41"/>
  <c r="H16" i="41" s="1"/>
  <c r="F16" i="41"/>
  <c r="M16" i="43" s="1"/>
  <c r="D16" i="41"/>
  <c r="E16" i="41" s="1"/>
  <c r="L16" i="43" s="1"/>
  <c r="C16" i="41"/>
  <c r="J16" i="43" s="1"/>
  <c r="G15" i="41"/>
  <c r="H15" i="41" s="1"/>
  <c r="F15" i="41"/>
  <c r="M15" i="43" s="1"/>
  <c r="D15" i="41"/>
  <c r="K15" i="43" s="1"/>
  <c r="C15" i="41"/>
  <c r="J15" i="43" s="1"/>
  <c r="G14" i="41"/>
  <c r="H14" i="41" s="1"/>
  <c r="F14" i="41"/>
  <c r="M14" i="43" s="1"/>
  <c r="D14" i="41"/>
  <c r="C14" i="41"/>
  <c r="J14" i="43" s="1"/>
  <c r="G13" i="41"/>
  <c r="H13" i="41" s="1"/>
  <c r="F13" i="41"/>
  <c r="M13" i="43" s="1"/>
  <c r="D13" i="41"/>
  <c r="C13" i="41"/>
  <c r="J13" i="43" s="1"/>
  <c r="G12" i="41"/>
  <c r="H12" i="41" s="1"/>
  <c r="F12" i="41"/>
  <c r="M12" i="43" s="1"/>
  <c r="D12" i="41"/>
  <c r="C12" i="41"/>
  <c r="J12" i="43" s="1"/>
  <c r="G10" i="41"/>
  <c r="H10" i="41" s="1"/>
  <c r="F10" i="41"/>
  <c r="M10" i="43" s="1"/>
  <c r="D10" i="41"/>
  <c r="K10" i="43" s="1"/>
  <c r="C10" i="41"/>
  <c r="J10" i="43" s="1"/>
  <c r="G9" i="41"/>
  <c r="H9" i="41" s="1"/>
  <c r="F9" i="41"/>
  <c r="M9" i="43" s="1"/>
  <c r="D9" i="41"/>
  <c r="C9" i="41"/>
  <c r="J9" i="43" s="1"/>
  <c r="G8" i="41"/>
  <c r="H8" i="41" s="1"/>
  <c r="F8" i="41"/>
  <c r="M8" i="43" s="1"/>
  <c r="D8" i="41"/>
  <c r="C8" i="41"/>
  <c r="J8" i="43" s="1"/>
  <c r="G7" i="41"/>
  <c r="H7" i="41" s="1"/>
  <c r="F7" i="41"/>
  <c r="M7" i="43" s="1"/>
  <c r="D7" i="41"/>
  <c r="K7" i="43" s="1"/>
  <c r="C7" i="41"/>
  <c r="J7" i="43" s="1"/>
  <c r="G6" i="41"/>
  <c r="H6" i="41" s="1"/>
  <c r="F6" i="41"/>
  <c r="M6" i="43" s="1"/>
  <c r="D6" i="41"/>
  <c r="K6" i="43" s="1"/>
  <c r="C6" i="41"/>
  <c r="J6" i="43" s="1"/>
  <c r="G5" i="41"/>
  <c r="H5" i="41" s="1"/>
  <c r="F5" i="41"/>
  <c r="M5" i="43" s="1"/>
  <c r="D5" i="41"/>
  <c r="C5" i="41"/>
  <c r="J5" i="43" s="1"/>
  <c r="G45" i="42"/>
  <c r="H45" i="42" s="1"/>
  <c r="F45" i="42"/>
  <c r="F45" i="43" s="1"/>
  <c r="D45" i="42"/>
  <c r="C45" i="42"/>
  <c r="C45" i="43" s="1"/>
  <c r="G44" i="42"/>
  <c r="H44" i="42" s="1"/>
  <c r="F44" i="42"/>
  <c r="F44" i="43" s="1"/>
  <c r="D44" i="42"/>
  <c r="E44" i="42" s="1"/>
  <c r="E44" i="43" s="1"/>
  <c r="C44" i="42"/>
  <c r="C44" i="43" s="1"/>
  <c r="G43" i="42"/>
  <c r="H43" i="42" s="1"/>
  <c r="F43" i="42"/>
  <c r="F43" i="43" s="1"/>
  <c r="D43" i="42"/>
  <c r="D43" i="43" s="1"/>
  <c r="C43" i="42"/>
  <c r="C43" i="43" s="1"/>
  <c r="G42" i="42"/>
  <c r="H42" i="42" s="1"/>
  <c r="F42" i="42"/>
  <c r="F42" i="43" s="1"/>
  <c r="D42" i="42"/>
  <c r="C42" i="42"/>
  <c r="C42" i="43" s="1"/>
  <c r="G41" i="42"/>
  <c r="H41" i="42" s="1"/>
  <c r="F41" i="42"/>
  <c r="F41" i="43" s="1"/>
  <c r="D41" i="42"/>
  <c r="C41" i="42"/>
  <c r="C41" i="43" s="1"/>
  <c r="G40" i="42"/>
  <c r="H40" i="42" s="1"/>
  <c r="F40" i="42"/>
  <c r="F40" i="43" s="1"/>
  <c r="D40" i="42"/>
  <c r="C40" i="42"/>
  <c r="C40" i="43" s="1"/>
  <c r="G38" i="42"/>
  <c r="H38" i="42" s="1"/>
  <c r="F38" i="42"/>
  <c r="F38" i="43" s="1"/>
  <c r="D38" i="42"/>
  <c r="D38" i="43" s="1"/>
  <c r="C38" i="42"/>
  <c r="C38" i="43" s="1"/>
  <c r="G37" i="42"/>
  <c r="H37" i="42" s="1"/>
  <c r="F37" i="42"/>
  <c r="F37" i="43" s="1"/>
  <c r="D37" i="42"/>
  <c r="C37" i="42"/>
  <c r="C37" i="43" s="1"/>
  <c r="G36" i="42"/>
  <c r="H36" i="42" s="1"/>
  <c r="F36" i="42"/>
  <c r="F36" i="43" s="1"/>
  <c r="D36" i="42"/>
  <c r="C36" i="42"/>
  <c r="C36" i="43" s="1"/>
  <c r="G35" i="42"/>
  <c r="H35" i="42" s="1"/>
  <c r="F35" i="42"/>
  <c r="F35" i="43" s="1"/>
  <c r="D35" i="42"/>
  <c r="D35" i="43" s="1"/>
  <c r="C35" i="42"/>
  <c r="C35" i="43" s="1"/>
  <c r="G34" i="42"/>
  <c r="H34" i="42" s="1"/>
  <c r="F34" i="42"/>
  <c r="F34" i="43" s="1"/>
  <c r="D34" i="42"/>
  <c r="C34" i="42"/>
  <c r="C34" i="43" s="1"/>
  <c r="G33" i="42"/>
  <c r="H33" i="42" s="1"/>
  <c r="F33" i="42"/>
  <c r="F33" i="43" s="1"/>
  <c r="D33" i="42"/>
  <c r="C33" i="42"/>
  <c r="C33" i="43" s="1"/>
  <c r="G31" i="42"/>
  <c r="H31" i="42" s="1"/>
  <c r="F31" i="42"/>
  <c r="F31" i="43" s="1"/>
  <c r="D31" i="42"/>
  <c r="D31" i="43" s="1"/>
  <c r="C31" i="42"/>
  <c r="C31" i="43" s="1"/>
  <c r="G30" i="42"/>
  <c r="H30" i="42" s="1"/>
  <c r="F30" i="42"/>
  <c r="F30" i="43" s="1"/>
  <c r="D30" i="42"/>
  <c r="E30" i="42" s="1"/>
  <c r="E30" i="43" s="1"/>
  <c r="C30" i="42"/>
  <c r="C30" i="43" s="1"/>
  <c r="G29" i="42"/>
  <c r="H29" i="42" s="1"/>
  <c r="F29" i="42"/>
  <c r="F29" i="43" s="1"/>
  <c r="D29" i="42"/>
  <c r="D29" i="43" s="1"/>
  <c r="C29" i="42"/>
  <c r="C29" i="43" s="1"/>
  <c r="G28" i="42"/>
  <c r="H28" i="42" s="1"/>
  <c r="F28" i="42"/>
  <c r="F28" i="43" s="1"/>
  <c r="D28" i="42"/>
  <c r="D28" i="43" s="1"/>
  <c r="C28" i="42"/>
  <c r="C28" i="43" s="1"/>
  <c r="G27" i="42"/>
  <c r="H27" i="42" s="1"/>
  <c r="F27" i="42"/>
  <c r="F27" i="43" s="1"/>
  <c r="D27" i="42"/>
  <c r="D27" i="43" s="1"/>
  <c r="C27" i="42"/>
  <c r="C27" i="43" s="1"/>
  <c r="G26" i="42"/>
  <c r="H26" i="42" s="1"/>
  <c r="F26" i="42"/>
  <c r="F26" i="43" s="1"/>
  <c r="D26" i="42"/>
  <c r="D26" i="43" s="1"/>
  <c r="C26" i="42"/>
  <c r="C26" i="43" s="1"/>
  <c r="G24" i="42"/>
  <c r="H24" i="42" s="1"/>
  <c r="F24" i="42"/>
  <c r="F24" i="43" s="1"/>
  <c r="D24" i="42"/>
  <c r="C24" i="42"/>
  <c r="C24" i="43" s="1"/>
  <c r="G23" i="42"/>
  <c r="H23" i="42" s="1"/>
  <c r="F23" i="42"/>
  <c r="F23" i="43" s="1"/>
  <c r="D23" i="42"/>
  <c r="C23" i="42"/>
  <c r="C23" i="43" s="1"/>
  <c r="G22" i="42"/>
  <c r="H22" i="42" s="1"/>
  <c r="F22" i="42"/>
  <c r="F22" i="43" s="1"/>
  <c r="D22" i="42"/>
  <c r="D22" i="43" s="1"/>
  <c r="C22" i="42"/>
  <c r="C22" i="43" s="1"/>
  <c r="G21" i="42"/>
  <c r="H21" i="42" s="1"/>
  <c r="F21" i="42"/>
  <c r="F21" i="43" s="1"/>
  <c r="D21" i="42"/>
  <c r="D21" i="43" s="1"/>
  <c r="C21" i="42"/>
  <c r="C21" i="43" s="1"/>
  <c r="G20" i="42"/>
  <c r="H20" i="42" s="1"/>
  <c r="F20" i="42"/>
  <c r="F20" i="43" s="1"/>
  <c r="D20" i="42"/>
  <c r="C20" i="42"/>
  <c r="C20" i="43" s="1"/>
  <c r="G19" i="42"/>
  <c r="H19" i="42" s="1"/>
  <c r="F19" i="42"/>
  <c r="F19" i="43" s="1"/>
  <c r="D19" i="42"/>
  <c r="C19" i="42"/>
  <c r="C19" i="43" s="1"/>
  <c r="G17" i="42"/>
  <c r="H17" i="42" s="1"/>
  <c r="F17" i="42"/>
  <c r="F17" i="43" s="1"/>
  <c r="D17" i="42"/>
  <c r="C17" i="42"/>
  <c r="C17" i="43" s="1"/>
  <c r="G16" i="42"/>
  <c r="H16" i="42" s="1"/>
  <c r="F16" i="42"/>
  <c r="F16" i="43" s="1"/>
  <c r="D16" i="42"/>
  <c r="E16" i="42" s="1"/>
  <c r="E16" i="43" s="1"/>
  <c r="C16" i="42"/>
  <c r="C16" i="43" s="1"/>
  <c r="G15" i="42"/>
  <c r="H15" i="42" s="1"/>
  <c r="F15" i="42"/>
  <c r="F15" i="43" s="1"/>
  <c r="D15" i="42"/>
  <c r="C15" i="42"/>
  <c r="C15" i="43" s="1"/>
  <c r="G14" i="42"/>
  <c r="H14" i="42" s="1"/>
  <c r="F14" i="42"/>
  <c r="F14" i="43" s="1"/>
  <c r="D14" i="42"/>
  <c r="C14" i="42"/>
  <c r="C14" i="43" s="1"/>
  <c r="G13" i="42"/>
  <c r="H13" i="42" s="1"/>
  <c r="F13" i="42"/>
  <c r="F13" i="43" s="1"/>
  <c r="D13" i="42"/>
  <c r="C13" i="42"/>
  <c r="C13" i="43" s="1"/>
  <c r="G12" i="42"/>
  <c r="H12" i="42" s="1"/>
  <c r="F12" i="42"/>
  <c r="F12" i="43" s="1"/>
  <c r="D12" i="42"/>
  <c r="C12" i="42"/>
  <c r="C12" i="43" s="1"/>
  <c r="G10" i="42"/>
  <c r="H10" i="42" s="1"/>
  <c r="F10" i="42"/>
  <c r="F10" i="43" s="1"/>
  <c r="D10" i="42"/>
  <c r="C10" i="42"/>
  <c r="C10" i="43" s="1"/>
  <c r="G9" i="42"/>
  <c r="H9" i="42" s="1"/>
  <c r="F9" i="42"/>
  <c r="F9" i="43" s="1"/>
  <c r="D9" i="42"/>
  <c r="E9" i="42" s="1"/>
  <c r="E9" i="43" s="1"/>
  <c r="C9" i="42"/>
  <c r="C9" i="43" s="1"/>
  <c r="G8" i="42"/>
  <c r="H8" i="42" s="1"/>
  <c r="F8" i="42"/>
  <c r="F8" i="43" s="1"/>
  <c r="D8" i="42"/>
  <c r="D8" i="43" s="1"/>
  <c r="C8" i="42"/>
  <c r="C8" i="43" s="1"/>
  <c r="G7" i="42"/>
  <c r="H7" i="42" s="1"/>
  <c r="F7" i="42"/>
  <c r="F7" i="43" s="1"/>
  <c r="D7" i="42"/>
  <c r="D7" i="43" s="1"/>
  <c r="C7" i="42"/>
  <c r="C7" i="43" s="1"/>
  <c r="G6" i="42"/>
  <c r="H6" i="42" s="1"/>
  <c r="F6" i="42"/>
  <c r="F6" i="43" s="1"/>
  <c r="D6" i="42"/>
  <c r="C6" i="42"/>
  <c r="C6" i="43" s="1"/>
  <c r="G5" i="42"/>
  <c r="H5" i="42" s="1"/>
  <c r="F5" i="42"/>
  <c r="F5" i="43" s="1"/>
  <c r="D5" i="42"/>
  <c r="D5" i="43" s="1"/>
  <c r="C5" i="42"/>
  <c r="C5" i="43" s="1"/>
  <c r="G45" i="39"/>
  <c r="H45" i="39" s="1"/>
  <c r="F45" i="39"/>
  <c r="M45" i="35" s="1"/>
  <c r="D45" i="39"/>
  <c r="K45" i="35" s="1"/>
  <c r="C45" i="39"/>
  <c r="J45" i="35" s="1"/>
  <c r="G44" i="39"/>
  <c r="H44" i="39" s="1"/>
  <c r="F44" i="39"/>
  <c r="M44" i="35" s="1"/>
  <c r="D44" i="39"/>
  <c r="E44" i="39" s="1"/>
  <c r="L44" i="35" s="1"/>
  <c r="C44" i="39"/>
  <c r="J44" i="35" s="1"/>
  <c r="G43" i="39"/>
  <c r="H43" i="39" s="1"/>
  <c r="F43" i="39"/>
  <c r="M43" i="35" s="1"/>
  <c r="D43" i="39"/>
  <c r="C43" i="39"/>
  <c r="J43" i="35" s="1"/>
  <c r="G42" i="39"/>
  <c r="H42" i="39" s="1"/>
  <c r="F42" i="39"/>
  <c r="M42" i="35" s="1"/>
  <c r="D42" i="39"/>
  <c r="C42" i="39"/>
  <c r="J42" i="35" s="1"/>
  <c r="G41" i="39"/>
  <c r="H41" i="39" s="1"/>
  <c r="F41" i="39"/>
  <c r="M41" i="35" s="1"/>
  <c r="D41" i="39"/>
  <c r="C41" i="39"/>
  <c r="J41" i="35" s="1"/>
  <c r="G40" i="39"/>
  <c r="H40" i="39" s="1"/>
  <c r="F40" i="39"/>
  <c r="M40" i="35" s="1"/>
  <c r="D40" i="39"/>
  <c r="C40" i="39"/>
  <c r="J40" i="35" s="1"/>
  <c r="G38" i="39"/>
  <c r="H38" i="39" s="1"/>
  <c r="F38" i="39"/>
  <c r="M38" i="35" s="1"/>
  <c r="D38" i="39"/>
  <c r="K38" i="35" s="1"/>
  <c r="C38" i="39"/>
  <c r="J38" i="35" s="1"/>
  <c r="G37" i="39"/>
  <c r="H37" i="39" s="1"/>
  <c r="I37" i="39" s="1"/>
  <c r="O37" i="35" s="1"/>
  <c r="F37" i="39"/>
  <c r="M37" i="35" s="1"/>
  <c r="D37" i="39"/>
  <c r="E37" i="39" s="1"/>
  <c r="L37" i="35" s="1"/>
  <c r="C37" i="39"/>
  <c r="J37" i="35" s="1"/>
  <c r="G36" i="39"/>
  <c r="H36" i="39" s="1"/>
  <c r="F36" i="39"/>
  <c r="M36" i="35" s="1"/>
  <c r="D36" i="39"/>
  <c r="K36" i="35" s="1"/>
  <c r="C36" i="39"/>
  <c r="J36" i="35" s="1"/>
  <c r="G35" i="39"/>
  <c r="H35" i="39" s="1"/>
  <c r="F35" i="39"/>
  <c r="M35" i="35" s="1"/>
  <c r="D35" i="39"/>
  <c r="C35" i="39"/>
  <c r="J35" i="35" s="1"/>
  <c r="G34" i="39"/>
  <c r="H34" i="39" s="1"/>
  <c r="F34" i="39"/>
  <c r="M34" i="35" s="1"/>
  <c r="D34" i="39"/>
  <c r="K34" i="35" s="1"/>
  <c r="C34" i="39"/>
  <c r="J34" i="35" s="1"/>
  <c r="G33" i="39"/>
  <c r="H33" i="39" s="1"/>
  <c r="F33" i="39"/>
  <c r="M33" i="35" s="1"/>
  <c r="D33" i="39"/>
  <c r="K33" i="35" s="1"/>
  <c r="C33" i="39"/>
  <c r="J33" i="35" s="1"/>
  <c r="G31" i="39"/>
  <c r="H31" i="39" s="1"/>
  <c r="F31" i="39"/>
  <c r="M31" i="35" s="1"/>
  <c r="D31" i="39"/>
  <c r="C31" i="39"/>
  <c r="J31" i="35" s="1"/>
  <c r="G30" i="39"/>
  <c r="H30" i="39" s="1"/>
  <c r="F30" i="39"/>
  <c r="M30" i="35" s="1"/>
  <c r="D30" i="39"/>
  <c r="K30" i="35" s="1"/>
  <c r="C30" i="39"/>
  <c r="J30" i="35" s="1"/>
  <c r="G29" i="39"/>
  <c r="H29" i="39" s="1"/>
  <c r="F29" i="39"/>
  <c r="M29" i="35" s="1"/>
  <c r="D29" i="39"/>
  <c r="K29" i="35" s="1"/>
  <c r="C29" i="39"/>
  <c r="J29" i="35" s="1"/>
  <c r="G28" i="39"/>
  <c r="H28" i="39" s="1"/>
  <c r="F28" i="39"/>
  <c r="M28" i="35" s="1"/>
  <c r="D28" i="39"/>
  <c r="C28" i="39"/>
  <c r="J28" i="35" s="1"/>
  <c r="G27" i="39"/>
  <c r="H27" i="39" s="1"/>
  <c r="F27" i="39"/>
  <c r="M27" i="35" s="1"/>
  <c r="D27" i="39"/>
  <c r="C27" i="39"/>
  <c r="J27" i="35" s="1"/>
  <c r="G26" i="39"/>
  <c r="H26" i="39" s="1"/>
  <c r="F26" i="39"/>
  <c r="M26" i="35" s="1"/>
  <c r="D26" i="39"/>
  <c r="C26" i="39"/>
  <c r="J26" i="35" s="1"/>
  <c r="G24" i="39"/>
  <c r="H24" i="39" s="1"/>
  <c r="F24" i="39"/>
  <c r="M24" i="35" s="1"/>
  <c r="D24" i="39"/>
  <c r="C24" i="39"/>
  <c r="J24" i="35" s="1"/>
  <c r="G23" i="39"/>
  <c r="H23" i="39" s="1"/>
  <c r="F23" i="39"/>
  <c r="M23" i="35" s="1"/>
  <c r="D23" i="39"/>
  <c r="K23" i="35" s="1"/>
  <c r="C23" i="39"/>
  <c r="J23" i="35" s="1"/>
  <c r="G22" i="39"/>
  <c r="H22" i="39" s="1"/>
  <c r="F22" i="39"/>
  <c r="M22" i="35" s="1"/>
  <c r="D22" i="39"/>
  <c r="K22" i="35" s="1"/>
  <c r="C22" i="39"/>
  <c r="J22" i="35" s="1"/>
  <c r="G21" i="39"/>
  <c r="H21" i="39" s="1"/>
  <c r="F21" i="39"/>
  <c r="M21" i="35" s="1"/>
  <c r="D21" i="39"/>
  <c r="K21" i="35" s="1"/>
  <c r="C21" i="39"/>
  <c r="J21" i="35" s="1"/>
  <c r="G20" i="39"/>
  <c r="H20" i="39" s="1"/>
  <c r="F20" i="39"/>
  <c r="M20" i="35" s="1"/>
  <c r="D20" i="39"/>
  <c r="K20" i="35" s="1"/>
  <c r="C20" i="39"/>
  <c r="J20" i="35" s="1"/>
  <c r="G19" i="39"/>
  <c r="H19" i="39" s="1"/>
  <c r="F19" i="39"/>
  <c r="M19" i="35" s="1"/>
  <c r="D19" i="39"/>
  <c r="K19" i="35" s="1"/>
  <c r="C19" i="39"/>
  <c r="J19" i="35" s="1"/>
  <c r="G17" i="39"/>
  <c r="H17" i="39" s="1"/>
  <c r="F17" i="39"/>
  <c r="M17" i="35" s="1"/>
  <c r="D17" i="39"/>
  <c r="K17" i="35" s="1"/>
  <c r="C17" i="39"/>
  <c r="J17" i="35" s="1"/>
  <c r="G16" i="39"/>
  <c r="H16" i="39" s="1"/>
  <c r="F16" i="39"/>
  <c r="M16" i="35" s="1"/>
  <c r="D16" i="39"/>
  <c r="E16" i="39" s="1"/>
  <c r="L16" i="35" s="1"/>
  <c r="C16" i="39"/>
  <c r="J16" i="35" s="1"/>
  <c r="G15" i="39"/>
  <c r="H15" i="39" s="1"/>
  <c r="F15" i="39"/>
  <c r="M15" i="35" s="1"/>
  <c r="D15" i="39"/>
  <c r="C15" i="39"/>
  <c r="J15" i="35" s="1"/>
  <c r="G14" i="39"/>
  <c r="H14" i="39" s="1"/>
  <c r="F14" i="39"/>
  <c r="M14" i="35" s="1"/>
  <c r="D14" i="39"/>
  <c r="C14" i="39"/>
  <c r="J14" i="35" s="1"/>
  <c r="G13" i="39"/>
  <c r="H13" i="39" s="1"/>
  <c r="F13" i="39"/>
  <c r="M13" i="35" s="1"/>
  <c r="D13" i="39"/>
  <c r="C13" i="39"/>
  <c r="J13" i="35" s="1"/>
  <c r="G12" i="39"/>
  <c r="H12" i="39" s="1"/>
  <c r="F12" i="39"/>
  <c r="M12" i="35" s="1"/>
  <c r="D12" i="39"/>
  <c r="K12" i="35" s="1"/>
  <c r="C12" i="39"/>
  <c r="J12" i="35" s="1"/>
  <c r="G10" i="39"/>
  <c r="H10" i="39" s="1"/>
  <c r="F10" i="39"/>
  <c r="D10" i="39"/>
  <c r="C10" i="39"/>
  <c r="G9" i="39"/>
  <c r="H9" i="39" s="1"/>
  <c r="F9" i="39"/>
  <c r="D9" i="39"/>
  <c r="C9" i="39"/>
  <c r="G8" i="39"/>
  <c r="H8" i="39" s="1"/>
  <c r="F8" i="39"/>
  <c r="D8" i="39"/>
  <c r="C8" i="39"/>
  <c r="G7" i="39"/>
  <c r="H7" i="39" s="1"/>
  <c r="F7" i="39"/>
  <c r="D7" i="39"/>
  <c r="C7" i="39"/>
  <c r="G6" i="39"/>
  <c r="H6" i="39" s="1"/>
  <c r="F6" i="39"/>
  <c r="D6" i="39"/>
  <c r="C6" i="39"/>
  <c r="G5" i="39"/>
  <c r="H5" i="39" s="1"/>
  <c r="F5" i="39"/>
  <c r="M5" i="35" s="1"/>
  <c r="D5" i="39"/>
  <c r="K5" i="35" s="1"/>
  <c r="C5" i="39"/>
  <c r="J5" i="35" s="1"/>
  <c r="G45" i="40"/>
  <c r="H45" i="40" s="1"/>
  <c r="F45" i="40"/>
  <c r="F45" i="35" s="1"/>
  <c r="D45" i="40"/>
  <c r="C45" i="40"/>
  <c r="C45" i="35" s="1"/>
  <c r="G44" i="40"/>
  <c r="H44" i="40" s="1"/>
  <c r="F44" i="40"/>
  <c r="F44" i="35" s="1"/>
  <c r="D44" i="40"/>
  <c r="E44" i="40" s="1"/>
  <c r="E44" i="35" s="1"/>
  <c r="C44" i="40"/>
  <c r="C44" i="35" s="1"/>
  <c r="G43" i="40"/>
  <c r="H43" i="40" s="1"/>
  <c r="F43" i="40"/>
  <c r="F43" i="35" s="1"/>
  <c r="D43" i="40"/>
  <c r="C43" i="40"/>
  <c r="C43" i="35" s="1"/>
  <c r="G42" i="40"/>
  <c r="H42" i="40" s="1"/>
  <c r="F42" i="40"/>
  <c r="F42" i="35" s="1"/>
  <c r="D42" i="40"/>
  <c r="C42" i="40"/>
  <c r="C42" i="35" s="1"/>
  <c r="G41" i="40"/>
  <c r="H41" i="40" s="1"/>
  <c r="F41" i="40"/>
  <c r="F41" i="35" s="1"/>
  <c r="D41" i="40"/>
  <c r="C41" i="40"/>
  <c r="C41" i="35" s="1"/>
  <c r="G40" i="40"/>
  <c r="H40" i="40" s="1"/>
  <c r="F40" i="40"/>
  <c r="F40" i="35" s="1"/>
  <c r="D40" i="40"/>
  <c r="C40" i="40"/>
  <c r="C40" i="35" s="1"/>
  <c r="G38" i="40"/>
  <c r="H38" i="40" s="1"/>
  <c r="F38" i="40"/>
  <c r="F38" i="35" s="1"/>
  <c r="D38" i="40"/>
  <c r="C38" i="40"/>
  <c r="C38" i="35" s="1"/>
  <c r="G37" i="40"/>
  <c r="H37" i="40" s="1"/>
  <c r="F37" i="40"/>
  <c r="F37" i="35" s="1"/>
  <c r="D37" i="40"/>
  <c r="E37" i="40" s="1"/>
  <c r="E37" i="35" s="1"/>
  <c r="C37" i="40"/>
  <c r="C37" i="35" s="1"/>
  <c r="G36" i="40"/>
  <c r="H36" i="40" s="1"/>
  <c r="F36" i="40"/>
  <c r="F36" i="35" s="1"/>
  <c r="D36" i="40"/>
  <c r="C36" i="40"/>
  <c r="C36" i="35" s="1"/>
  <c r="G35" i="40"/>
  <c r="H35" i="40" s="1"/>
  <c r="F35" i="40"/>
  <c r="F35" i="35" s="1"/>
  <c r="D35" i="40"/>
  <c r="C35" i="40"/>
  <c r="C35" i="35" s="1"/>
  <c r="G34" i="40"/>
  <c r="H34" i="40" s="1"/>
  <c r="F34" i="40"/>
  <c r="F34" i="35" s="1"/>
  <c r="D34" i="40"/>
  <c r="C34" i="40"/>
  <c r="C34" i="35" s="1"/>
  <c r="G33" i="40"/>
  <c r="H33" i="40" s="1"/>
  <c r="F33" i="40"/>
  <c r="F33" i="35" s="1"/>
  <c r="D33" i="40"/>
  <c r="C33" i="40"/>
  <c r="C33" i="35" s="1"/>
  <c r="G31" i="40"/>
  <c r="H31" i="40" s="1"/>
  <c r="F31" i="40"/>
  <c r="F31" i="35" s="1"/>
  <c r="D31" i="40"/>
  <c r="C31" i="40"/>
  <c r="C31" i="35" s="1"/>
  <c r="G30" i="40"/>
  <c r="H30" i="40" s="1"/>
  <c r="F30" i="40"/>
  <c r="F30" i="35" s="1"/>
  <c r="D30" i="40"/>
  <c r="D30" i="35" s="1"/>
  <c r="C30" i="40"/>
  <c r="C30" i="35" s="1"/>
  <c r="G29" i="40"/>
  <c r="H29" i="40" s="1"/>
  <c r="F29" i="40"/>
  <c r="F29" i="35" s="1"/>
  <c r="D29" i="40"/>
  <c r="C29" i="40"/>
  <c r="C29" i="35" s="1"/>
  <c r="G28" i="40"/>
  <c r="H28" i="40" s="1"/>
  <c r="F28" i="40"/>
  <c r="F28" i="35" s="1"/>
  <c r="D28" i="40"/>
  <c r="C28" i="40"/>
  <c r="C28" i="35" s="1"/>
  <c r="G27" i="40"/>
  <c r="H27" i="40" s="1"/>
  <c r="F27" i="40"/>
  <c r="F27" i="35" s="1"/>
  <c r="D27" i="40"/>
  <c r="C27" i="40"/>
  <c r="C27" i="35" s="1"/>
  <c r="G26" i="40"/>
  <c r="H26" i="40" s="1"/>
  <c r="F26" i="40"/>
  <c r="F26" i="35" s="1"/>
  <c r="D26" i="40"/>
  <c r="C26" i="40"/>
  <c r="C26" i="35" s="1"/>
  <c r="G24" i="40"/>
  <c r="H24" i="40" s="1"/>
  <c r="F24" i="40"/>
  <c r="F24" i="35" s="1"/>
  <c r="D24" i="40"/>
  <c r="C24" i="40"/>
  <c r="C24" i="35" s="1"/>
  <c r="G23" i="40"/>
  <c r="H23" i="40" s="1"/>
  <c r="F23" i="40"/>
  <c r="F23" i="35" s="1"/>
  <c r="D23" i="40"/>
  <c r="D23" i="35" s="1"/>
  <c r="C23" i="40"/>
  <c r="C23" i="35" s="1"/>
  <c r="G22" i="40"/>
  <c r="H22" i="40" s="1"/>
  <c r="F22" i="40"/>
  <c r="F22" i="35" s="1"/>
  <c r="D22" i="40"/>
  <c r="D22" i="35" s="1"/>
  <c r="C22" i="40"/>
  <c r="C22" i="35" s="1"/>
  <c r="G21" i="40"/>
  <c r="H21" i="40" s="1"/>
  <c r="F21" i="40"/>
  <c r="F21" i="35" s="1"/>
  <c r="D21" i="40"/>
  <c r="D21" i="35" s="1"/>
  <c r="C21" i="40"/>
  <c r="C21" i="35" s="1"/>
  <c r="G20" i="40"/>
  <c r="H20" i="40" s="1"/>
  <c r="F20" i="40"/>
  <c r="F20" i="35" s="1"/>
  <c r="D20" i="40"/>
  <c r="D20" i="35" s="1"/>
  <c r="C20" i="40"/>
  <c r="C20" i="35" s="1"/>
  <c r="G19" i="40"/>
  <c r="H19" i="40" s="1"/>
  <c r="F19" i="40"/>
  <c r="F19" i="35" s="1"/>
  <c r="D19" i="40"/>
  <c r="C19" i="40"/>
  <c r="C19" i="35" s="1"/>
  <c r="G17" i="40"/>
  <c r="H17" i="40" s="1"/>
  <c r="F17" i="40"/>
  <c r="F17" i="35" s="1"/>
  <c r="D17" i="40"/>
  <c r="C17" i="40"/>
  <c r="C17" i="35" s="1"/>
  <c r="G16" i="40"/>
  <c r="H16" i="40" s="1"/>
  <c r="F16" i="40"/>
  <c r="F16" i="35" s="1"/>
  <c r="D16" i="40"/>
  <c r="E16" i="40" s="1"/>
  <c r="E16" i="35" s="1"/>
  <c r="C16" i="40"/>
  <c r="C16" i="35" s="1"/>
  <c r="G15" i="40"/>
  <c r="H15" i="40" s="1"/>
  <c r="F15" i="40"/>
  <c r="F15" i="35" s="1"/>
  <c r="D15" i="40"/>
  <c r="D15" i="35" s="1"/>
  <c r="C15" i="40"/>
  <c r="C15" i="35" s="1"/>
  <c r="G14" i="40"/>
  <c r="H14" i="40" s="1"/>
  <c r="F14" i="40"/>
  <c r="F14" i="35" s="1"/>
  <c r="D14" i="40"/>
  <c r="C14" i="40"/>
  <c r="C14" i="35" s="1"/>
  <c r="G13" i="40"/>
  <c r="H13" i="40" s="1"/>
  <c r="F13" i="40"/>
  <c r="F13" i="35" s="1"/>
  <c r="D13" i="40"/>
  <c r="C13" i="40"/>
  <c r="C13" i="35" s="1"/>
  <c r="G12" i="40"/>
  <c r="H12" i="40" s="1"/>
  <c r="F12" i="40"/>
  <c r="F12" i="35" s="1"/>
  <c r="D12" i="40"/>
  <c r="C12" i="40"/>
  <c r="C12" i="35" s="1"/>
  <c r="G10" i="40"/>
  <c r="H10" i="40" s="1"/>
  <c r="F10" i="40"/>
  <c r="F10" i="35" s="1"/>
  <c r="D10" i="40"/>
  <c r="C10" i="40"/>
  <c r="C10" i="35" s="1"/>
  <c r="G9" i="40"/>
  <c r="H9" i="40" s="1"/>
  <c r="F9" i="40"/>
  <c r="F9" i="35" s="1"/>
  <c r="D9" i="40"/>
  <c r="E9" i="40" s="1"/>
  <c r="E9" i="35" s="1"/>
  <c r="C9" i="40"/>
  <c r="C9" i="35" s="1"/>
  <c r="G8" i="40"/>
  <c r="H8" i="40" s="1"/>
  <c r="F8" i="40"/>
  <c r="D8" i="40"/>
  <c r="C8" i="40"/>
  <c r="G7" i="40"/>
  <c r="H7" i="40" s="1"/>
  <c r="F7" i="40"/>
  <c r="D7" i="40"/>
  <c r="C7" i="40"/>
  <c r="G6" i="40"/>
  <c r="H6" i="40" s="1"/>
  <c r="F6" i="40"/>
  <c r="D6" i="40"/>
  <c r="C6" i="40"/>
  <c r="G5" i="40"/>
  <c r="G5" i="35" s="1"/>
  <c r="F5" i="40"/>
  <c r="F5" i="35" s="1"/>
  <c r="D5" i="40"/>
  <c r="D5" i="35" s="1"/>
  <c r="C5" i="40"/>
  <c r="G45" i="38"/>
  <c r="H45" i="38" s="1"/>
  <c r="F45" i="38"/>
  <c r="M45" i="36" s="1"/>
  <c r="D45" i="38"/>
  <c r="K45" i="36" s="1"/>
  <c r="C45" i="38"/>
  <c r="J45" i="36" s="1"/>
  <c r="G44" i="38"/>
  <c r="H44" i="38" s="1"/>
  <c r="F44" i="38"/>
  <c r="M44" i="36" s="1"/>
  <c r="D44" i="38"/>
  <c r="E44" i="38" s="1"/>
  <c r="C44" i="38"/>
  <c r="J44" i="36" s="1"/>
  <c r="G43" i="38"/>
  <c r="H43" i="38" s="1"/>
  <c r="F43" i="38"/>
  <c r="M43" i="36" s="1"/>
  <c r="D43" i="38"/>
  <c r="C43" i="38"/>
  <c r="J43" i="36" s="1"/>
  <c r="G42" i="38"/>
  <c r="H42" i="38" s="1"/>
  <c r="F42" i="38"/>
  <c r="M42" i="36" s="1"/>
  <c r="D42" i="38"/>
  <c r="C42" i="38"/>
  <c r="J42" i="36" s="1"/>
  <c r="G41" i="38"/>
  <c r="H41" i="38" s="1"/>
  <c r="F41" i="38"/>
  <c r="M41" i="36" s="1"/>
  <c r="D41" i="38"/>
  <c r="C41" i="38"/>
  <c r="J41" i="36" s="1"/>
  <c r="G40" i="38"/>
  <c r="H40" i="38" s="1"/>
  <c r="F40" i="38"/>
  <c r="M40" i="36" s="1"/>
  <c r="D40" i="38"/>
  <c r="C40" i="38"/>
  <c r="J40" i="36" s="1"/>
  <c r="G38" i="38"/>
  <c r="H38" i="38" s="1"/>
  <c r="F38" i="38"/>
  <c r="M38" i="36" s="1"/>
  <c r="D38" i="38"/>
  <c r="C38" i="38"/>
  <c r="J38" i="36" s="1"/>
  <c r="G37" i="38"/>
  <c r="H37" i="38" s="1"/>
  <c r="F37" i="38"/>
  <c r="M37" i="36" s="1"/>
  <c r="D37" i="38"/>
  <c r="E37" i="38" s="1"/>
  <c r="L37" i="36" s="1"/>
  <c r="C37" i="38"/>
  <c r="J37" i="36" s="1"/>
  <c r="G36" i="38"/>
  <c r="H36" i="38" s="1"/>
  <c r="F36" i="38"/>
  <c r="M36" i="36" s="1"/>
  <c r="D36" i="38"/>
  <c r="C36" i="38"/>
  <c r="J36" i="36" s="1"/>
  <c r="G35" i="38"/>
  <c r="H35" i="38" s="1"/>
  <c r="F35" i="38"/>
  <c r="M35" i="36" s="1"/>
  <c r="D35" i="38"/>
  <c r="C35" i="38"/>
  <c r="J35" i="36" s="1"/>
  <c r="G34" i="38"/>
  <c r="H34" i="38" s="1"/>
  <c r="F34" i="38"/>
  <c r="M34" i="36" s="1"/>
  <c r="D34" i="38"/>
  <c r="C34" i="38"/>
  <c r="J34" i="36" s="1"/>
  <c r="G33" i="38"/>
  <c r="H33" i="38" s="1"/>
  <c r="F33" i="38"/>
  <c r="M33" i="36" s="1"/>
  <c r="D33" i="38"/>
  <c r="C33" i="38"/>
  <c r="J33" i="36" s="1"/>
  <c r="G31" i="38"/>
  <c r="H31" i="38" s="1"/>
  <c r="F31" i="38"/>
  <c r="M31" i="36" s="1"/>
  <c r="D31" i="38"/>
  <c r="C31" i="38"/>
  <c r="J31" i="36" s="1"/>
  <c r="G30" i="38"/>
  <c r="H30" i="38" s="1"/>
  <c r="F30" i="38"/>
  <c r="M30" i="36" s="1"/>
  <c r="D30" i="38"/>
  <c r="E30" i="38" s="1"/>
  <c r="C30" i="38"/>
  <c r="J30" i="36" s="1"/>
  <c r="G29" i="38"/>
  <c r="H29" i="38" s="1"/>
  <c r="F29" i="38"/>
  <c r="M29" i="36" s="1"/>
  <c r="D29" i="38"/>
  <c r="C29" i="38"/>
  <c r="J29" i="36" s="1"/>
  <c r="G28" i="38"/>
  <c r="H28" i="38" s="1"/>
  <c r="F28" i="38"/>
  <c r="M28" i="36" s="1"/>
  <c r="D28" i="38"/>
  <c r="C28" i="38"/>
  <c r="J28" i="36" s="1"/>
  <c r="G27" i="38"/>
  <c r="H27" i="38" s="1"/>
  <c r="F27" i="38"/>
  <c r="M27" i="36" s="1"/>
  <c r="D27" i="38"/>
  <c r="C27" i="38"/>
  <c r="J27" i="36" s="1"/>
  <c r="G26" i="38"/>
  <c r="H26" i="38" s="1"/>
  <c r="F26" i="38"/>
  <c r="M26" i="36" s="1"/>
  <c r="D26" i="38"/>
  <c r="C26" i="38"/>
  <c r="J26" i="36" s="1"/>
  <c r="G24" i="38"/>
  <c r="H24" i="38" s="1"/>
  <c r="F24" i="38"/>
  <c r="M24" i="36" s="1"/>
  <c r="D24" i="38"/>
  <c r="C24" i="38"/>
  <c r="J24" i="36" s="1"/>
  <c r="G23" i="38"/>
  <c r="H23" i="38" s="1"/>
  <c r="F23" i="38"/>
  <c r="M23" i="36" s="1"/>
  <c r="D23" i="38"/>
  <c r="C23" i="38"/>
  <c r="J23" i="36" s="1"/>
  <c r="G22" i="38"/>
  <c r="H22" i="38" s="1"/>
  <c r="F22" i="38"/>
  <c r="M22" i="36" s="1"/>
  <c r="D22" i="38"/>
  <c r="C22" i="38"/>
  <c r="J22" i="36" s="1"/>
  <c r="G21" i="38"/>
  <c r="H21" i="38" s="1"/>
  <c r="F21" i="38"/>
  <c r="M21" i="36" s="1"/>
  <c r="D21" i="38"/>
  <c r="K21" i="36" s="1"/>
  <c r="C21" i="38"/>
  <c r="J21" i="36" s="1"/>
  <c r="G20" i="38"/>
  <c r="H20" i="38" s="1"/>
  <c r="F20" i="38"/>
  <c r="M20" i="36" s="1"/>
  <c r="D20" i="38"/>
  <c r="C20" i="38"/>
  <c r="J20" i="36" s="1"/>
  <c r="G19" i="38"/>
  <c r="H19" i="38" s="1"/>
  <c r="F19" i="38"/>
  <c r="M19" i="36" s="1"/>
  <c r="D19" i="38"/>
  <c r="K19" i="36" s="1"/>
  <c r="C19" i="38"/>
  <c r="J19" i="36" s="1"/>
  <c r="G17" i="38"/>
  <c r="H17" i="38" s="1"/>
  <c r="F17" i="38"/>
  <c r="M17" i="36" s="1"/>
  <c r="D17" i="38"/>
  <c r="C17" i="38"/>
  <c r="J17" i="36" s="1"/>
  <c r="G16" i="38"/>
  <c r="H16" i="38" s="1"/>
  <c r="F16" i="38"/>
  <c r="M16" i="36" s="1"/>
  <c r="D16" i="38"/>
  <c r="E16" i="38" s="1"/>
  <c r="C16" i="38"/>
  <c r="J16" i="36" s="1"/>
  <c r="G15" i="38"/>
  <c r="H15" i="38" s="1"/>
  <c r="F15" i="38"/>
  <c r="M15" i="36" s="1"/>
  <c r="D15" i="38"/>
  <c r="E15" i="38" s="1"/>
  <c r="C15" i="38"/>
  <c r="J15" i="36" s="1"/>
  <c r="G14" i="38"/>
  <c r="H14" i="38" s="1"/>
  <c r="F14" i="38"/>
  <c r="M14" i="36" s="1"/>
  <c r="D14" i="38"/>
  <c r="E14" i="38" s="1"/>
  <c r="L14" i="36" s="1"/>
  <c r="C14" i="38"/>
  <c r="J14" i="36" s="1"/>
  <c r="G13" i="38"/>
  <c r="H13" i="38" s="1"/>
  <c r="F13" i="38"/>
  <c r="M13" i="36" s="1"/>
  <c r="D13" i="38"/>
  <c r="K13" i="36" s="1"/>
  <c r="C13" i="38"/>
  <c r="J13" i="36" s="1"/>
  <c r="G12" i="38"/>
  <c r="H12" i="38" s="1"/>
  <c r="F12" i="38"/>
  <c r="M12" i="36" s="1"/>
  <c r="D12" i="38"/>
  <c r="K12" i="36" s="1"/>
  <c r="C12" i="38"/>
  <c r="J12" i="36" s="1"/>
  <c r="G10" i="38"/>
  <c r="H10" i="38" s="1"/>
  <c r="F10" i="38"/>
  <c r="D10" i="38"/>
  <c r="C10" i="38"/>
  <c r="G9" i="38"/>
  <c r="H9" i="38" s="1"/>
  <c r="F9" i="38"/>
  <c r="D9" i="38"/>
  <c r="E9" i="38" s="1"/>
  <c r="C9" i="38"/>
  <c r="G8" i="38"/>
  <c r="H8" i="38" s="1"/>
  <c r="F8" i="38"/>
  <c r="D8" i="38"/>
  <c r="C8" i="38"/>
  <c r="G7" i="38"/>
  <c r="H7" i="38" s="1"/>
  <c r="F7" i="38"/>
  <c r="D7" i="38"/>
  <c r="C7" i="38"/>
  <c r="G6" i="38"/>
  <c r="H6" i="38" s="1"/>
  <c r="F6" i="38"/>
  <c r="D6" i="38"/>
  <c r="C6" i="38"/>
  <c r="G5" i="38"/>
  <c r="H5" i="38" s="1"/>
  <c r="F5" i="38"/>
  <c r="D5" i="38"/>
  <c r="C5" i="38"/>
  <c r="P10" i="41"/>
  <c r="AE10" i="43" s="1"/>
  <c r="O10" i="41"/>
  <c r="AD10" i="43" s="1"/>
  <c r="N10" i="41"/>
  <c r="AC10" i="43" s="1"/>
  <c r="M10" i="41"/>
  <c r="AB10" i="43" s="1"/>
  <c r="L10" i="41"/>
  <c r="AA10" i="43" s="1"/>
  <c r="K10" i="41"/>
  <c r="Z10" i="43" s="1"/>
  <c r="P9" i="41"/>
  <c r="AE9" i="43" s="1"/>
  <c r="O9" i="41"/>
  <c r="AD9" i="43" s="1"/>
  <c r="N9" i="41"/>
  <c r="AC9" i="43" s="1"/>
  <c r="AC16" i="43" s="1"/>
  <c r="M9" i="41"/>
  <c r="AB9" i="43" s="1"/>
  <c r="L9" i="41"/>
  <c r="AA9" i="43" s="1"/>
  <c r="K9" i="41"/>
  <c r="Z9" i="43" s="1"/>
  <c r="Z16" i="43" s="1"/>
  <c r="P8" i="41"/>
  <c r="AE8" i="43" s="1"/>
  <c r="N8" i="41"/>
  <c r="AC8" i="43" s="1"/>
  <c r="M8" i="41"/>
  <c r="AB8" i="43" s="1"/>
  <c r="L8" i="41"/>
  <c r="AA8" i="43" s="1"/>
  <c r="K8" i="41"/>
  <c r="Z8" i="43" s="1"/>
  <c r="P7" i="41"/>
  <c r="AE7" i="43" s="1"/>
  <c r="O7" i="41"/>
  <c r="AD7" i="43" s="1"/>
  <c r="AD14" i="43" s="1"/>
  <c r="N7" i="41"/>
  <c r="AC7" i="43" s="1"/>
  <c r="M7" i="41"/>
  <c r="AB7" i="43" s="1"/>
  <c r="L7" i="41"/>
  <c r="AA7" i="43" s="1"/>
  <c r="K7" i="41"/>
  <c r="Z7" i="43" s="1"/>
  <c r="P6" i="41"/>
  <c r="AE6" i="43" s="1"/>
  <c r="O6" i="41"/>
  <c r="AD6" i="43" s="1"/>
  <c r="N6" i="41"/>
  <c r="AC6" i="43" s="1"/>
  <c r="M6" i="41"/>
  <c r="AB6" i="43" s="1"/>
  <c r="L6" i="41"/>
  <c r="AA6" i="43" s="1"/>
  <c r="K6" i="41"/>
  <c r="Z6" i="43" s="1"/>
  <c r="P5" i="41"/>
  <c r="AE5" i="43" s="1"/>
  <c r="O5" i="41"/>
  <c r="AD5" i="43" s="1"/>
  <c r="N5" i="41"/>
  <c r="AC5" i="43" s="1"/>
  <c r="M5" i="41"/>
  <c r="AB5" i="43" s="1"/>
  <c r="L5" i="41"/>
  <c r="AA5" i="43" s="1"/>
  <c r="K5" i="41"/>
  <c r="Z5" i="43" s="1"/>
  <c r="P10" i="42"/>
  <c r="X10" i="43" s="1"/>
  <c r="O10" i="42"/>
  <c r="W10" i="43" s="1"/>
  <c r="N10" i="42"/>
  <c r="V10" i="43" s="1"/>
  <c r="M10" i="42"/>
  <c r="U10" i="43" s="1"/>
  <c r="L10" i="42"/>
  <c r="T10" i="43" s="1"/>
  <c r="K10" i="42"/>
  <c r="S10" i="43" s="1"/>
  <c r="P9" i="42"/>
  <c r="X9" i="43" s="1"/>
  <c r="O9" i="42"/>
  <c r="W9" i="43" s="1"/>
  <c r="N9" i="42"/>
  <c r="V9" i="43" s="1"/>
  <c r="M9" i="42"/>
  <c r="U9" i="43" s="1"/>
  <c r="L9" i="42"/>
  <c r="T9" i="43" s="1"/>
  <c r="K9" i="42"/>
  <c r="S9" i="43" s="1"/>
  <c r="P8" i="42"/>
  <c r="X8" i="43" s="1"/>
  <c r="N8" i="42"/>
  <c r="V8" i="43" s="1"/>
  <c r="M8" i="42"/>
  <c r="U8" i="43" s="1"/>
  <c r="L8" i="42"/>
  <c r="T8" i="43" s="1"/>
  <c r="K8" i="42"/>
  <c r="S8" i="43" s="1"/>
  <c r="P7" i="42"/>
  <c r="X7" i="43" s="1"/>
  <c r="O7" i="42"/>
  <c r="W7" i="43" s="1"/>
  <c r="N7" i="42"/>
  <c r="V7" i="43" s="1"/>
  <c r="M7" i="42"/>
  <c r="U7" i="43" s="1"/>
  <c r="L7" i="42"/>
  <c r="T7" i="43" s="1"/>
  <c r="K7" i="42"/>
  <c r="S7" i="43" s="1"/>
  <c r="P6" i="42"/>
  <c r="X6" i="43" s="1"/>
  <c r="X13" i="43" s="1"/>
  <c r="O6" i="42"/>
  <c r="W6" i="43" s="1"/>
  <c r="N6" i="42"/>
  <c r="V6" i="43" s="1"/>
  <c r="V13" i="43" s="1"/>
  <c r="M6" i="42"/>
  <c r="U6" i="43" s="1"/>
  <c r="U13" i="43" s="1"/>
  <c r="L6" i="42"/>
  <c r="T6" i="43" s="1"/>
  <c r="T13" i="43" s="1"/>
  <c r="K6" i="42"/>
  <c r="S6" i="43" s="1"/>
  <c r="S13" i="43" s="1"/>
  <c r="P5" i="42"/>
  <c r="X5" i="43" s="1"/>
  <c r="O5" i="42"/>
  <c r="W5" i="43" s="1"/>
  <c r="N5" i="42"/>
  <c r="V5" i="43" s="1"/>
  <c r="M5" i="42"/>
  <c r="U5" i="43" s="1"/>
  <c r="L5" i="42"/>
  <c r="T5" i="43" s="1"/>
  <c r="K5" i="42"/>
  <c r="S5" i="43" s="1"/>
  <c r="P10" i="39"/>
  <c r="AE10" i="35" s="1"/>
  <c r="O10" i="39"/>
  <c r="AD10" i="35" s="1"/>
  <c r="N10" i="39"/>
  <c r="AC10" i="35" s="1"/>
  <c r="M10" i="39"/>
  <c r="AB10" i="35" s="1"/>
  <c r="L10" i="39"/>
  <c r="AA10" i="35" s="1"/>
  <c r="K10" i="39"/>
  <c r="Z10" i="35" s="1"/>
  <c r="P9" i="39"/>
  <c r="AE9" i="35" s="1"/>
  <c r="AE16" i="35" s="1"/>
  <c r="O9" i="39"/>
  <c r="AD9" i="35" s="1"/>
  <c r="AD16" i="35" s="1"/>
  <c r="N9" i="39"/>
  <c r="AC9" i="35" s="1"/>
  <c r="M9" i="39"/>
  <c r="AB9" i="35" s="1"/>
  <c r="L9" i="39"/>
  <c r="AA9" i="35" s="1"/>
  <c r="K9" i="39"/>
  <c r="Z9" i="35" s="1"/>
  <c r="Z16" i="35" s="1"/>
  <c r="P8" i="39"/>
  <c r="AE8" i="35" s="1"/>
  <c r="N8" i="39"/>
  <c r="AC8" i="35" s="1"/>
  <c r="M8" i="39"/>
  <c r="AB8" i="35" s="1"/>
  <c r="L8" i="39"/>
  <c r="AA8" i="35" s="1"/>
  <c r="K8" i="39"/>
  <c r="Z8" i="35" s="1"/>
  <c r="P7" i="39"/>
  <c r="AE7" i="35" s="1"/>
  <c r="O7" i="39"/>
  <c r="AD7" i="35" s="1"/>
  <c r="N7" i="39"/>
  <c r="AC7" i="35" s="1"/>
  <c r="M7" i="39"/>
  <c r="AB7" i="35" s="1"/>
  <c r="L7" i="39"/>
  <c r="AA7" i="35" s="1"/>
  <c r="K7" i="39"/>
  <c r="Z7" i="35" s="1"/>
  <c r="P6" i="39"/>
  <c r="AE6" i="35" s="1"/>
  <c r="O6" i="39"/>
  <c r="AD6" i="35" s="1"/>
  <c r="N6" i="39"/>
  <c r="AC6" i="35" s="1"/>
  <c r="M6" i="39"/>
  <c r="AB6" i="35" s="1"/>
  <c r="L6" i="39"/>
  <c r="AA6" i="35" s="1"/>
  <c r="K6" i="39"/>
  <c r="Z6" i="35" s="1"/>
  <c r="P5" i="39"/>
  <c r="AE5" i="35" s="1"/>
  <c r="O5" i="39"/>
  <c r="AD5" i="35" s="1"/>
  <c r="N5" i="39"/>
  <c r="AC5" i="35" s="1"/>
  <c r="M5" i="39"/>
  <c r="AB5" i="35" s="1"/>
  <c r="L5" i="39"/>
  <c r="AA5" i="35" s="1"/>
  <c r="K5" i="39"/>
  <c r="Z5" i="35" s="1"/>
  <c r="P10" i="40"/>
  <c r="X10" i="35" s="1"/>
  <c r="O10" i="40"/>
  <c r="W10" i="35" s="1"/>
  <c r="N10" i="40"/>
  <c r="V10" i="35" s="1"/>
  <c r="M10" i="40"/>
  <c r="U10" i="35" s="1"/>
  <c r="L10" i="40"/>
  <c r="T10" i="35" s="1"/>
  <c r="K10" i="40"/>
  <c r="S10" i="35" s="1"/>
  <c r="P9" i="40"/>
  <c r="X9" i="35" s="1"/>
  <c r="O9" i="40"/>
  <c r="W9" i="35" s="1"/>
  <c r="N9" i="40"/>
  <c r="V9" i="35" s="1"/>
  <c r="M9" i="40"/>
  <c r="U9" i="35" s="1"/>
  <c r="L9" i="40"/>
  <c r="T9" i="35" s="1"/>
  <c r="K9" i="40"/>
  <c r="S9" i="35" s="1"/>
  <c r="P8" i="40"/>
  <c r="X8" i="35" s="1"/>
  <c r="N8" i="40"/>
  <c r="V8" i="35" s="1"/>
  <c r="M8" i="40"/>
  <c r="U8" i="35" s="1"/>
  <c r="U15" i="35" s="1"/>
  <c r="L8" i="40"/>
  <c r="T8" i="35" s="1"/>
  <c r="K8" i="40"/>
  <c r="S8" i="35" s="1"/>
  <c r="P7" i="40"/>
  <c r="X7" i="35" s="1"/>
  <c r="O7" i="40"/>
  <c r="W7" i="35" s="1"/>
  <c r="N7" i="40"/>
  <c r="V7" i="35" s="1"/>
  <c r="M7" i="40"/>
  <c r="U7" i="35" s="1"/>
  <c r="L7" i="40"/>
  <c r="T7" i="35" s="1"/>
  <c r="T14" i="35" s="1"/>
  <c r="K7" i="40"/>
  <c r="S7" i="35" s="1"/>
  <c r="P6" i="40"/>
  <c r="X6" i="35" s="1"/>
  <c r="O6" i="40"/>
  <c r="W6" i="35" s="1"/>
  <c r="N6" i="40"/>
  <c r="V6" i="35" s="1"/>
  <c r="M6" i="40"/>
  <c r="U6" i="35" s="1"/>
  <c r="L6" i="40"/>
  <c r="T6" i="35" s="1"/>
  <c r="T13" i="35" s="1"/>
  <c r="K6" i="40"/>
  <c r="S6" i="35" s="1"/>
  <c r="P5" i="40"/>
  <c r="X5" i="35" s="1"/>
  <c r="O5" i="40"/>
  <c r="W5" i="35" s="1"/>
  <c r="N5" i="40"/>
  <c r="V5" i="35" s="1"/>
  <c r="M5" i="40"/>
  <c r="U5" i="35" s="1"/>
  <c r="L5" i="40"/>
  <c r="T5" i="35" s="1"/>
  <c r="K5" i="40"/>
  <c r="S5" i="35" s="1"/>
  <c r="P10" i="38"/>
  <c r="AE10" i="36" s="1"/>
  <c r="O10" i="38"/>
  <c r="AD10" i="36" s="1"/>
  <c r="N10" i="38"/>
  <c r="AC10" i="36" s="1"/>
  <c r="M10" i="38"/>
  <c r="AB10" i="36" s="1"/>
  <c r="L10" i="38"/>
  <c r="AA10" i="36" s="1"/>
  <c r="K10" i="38"/>
  <c r="Z10" i="36" s="1"/>
  <c r="P9" i="38"/>
  <c r="AE9" i="36" s="1"/>
  <c r="O9" i="38"/>
  <c r="AD9" i="36" s="1"/>
  <c r="N9" i="38"/>
  <c r="AC9" i="36" s="1"/>
  <c r="M9" i="38"/>
  <c r="AB9" i="36" s="1"/>
  <c r="AB16" i="36" s="1"/>
  <c r="L9" i="38"/>
  <c r="AA9" i="36" s="1"/>
  <c r="AA16" i="36" s="1"/>
  <c r="K9" i="38"/>
  <c r="Z9" i="36" s="1"/>
  <c r="Z16" i="36" s="1"/>
  <c r="P8" i="38"/>
  <c r="AE8" i="36" s="1"/>
  <c r="N8" i="38"/>
  <c r="AC8" i="36" s="1"/>
  <c r="M8" i="38"/>
  <c r="AB8" i="36" s="1"/>
  <c r="L8" i="38"/>
  <c r="AA8" i="36" s="1"/>
  <c r="K8" i="38"/>
  <c r="Z8" i="36" s="1"/>
  <c r="Z15" i="36" s="1"/>
  <c r="P7" i="38"/>
  <c r="AE7" i="36" s="1"/>
  <c r="O7" i="38"/>
  <c r="AD7" i="36" s="1"/>
  <c r="N7" i="38"/>
  <c r="AC7" i="36" s="1"/>
  <c r="M7" i="38"/>
  <c r="AB7" i="36" s="1"/>
  <c r="L7" i="38"/>
  <c r="AA7" i="36" s="1"/>
  <c r="K7" i="38"/>
  <c r="Z7" i="36" s="1"/>
  <c r="Z14" i="36" s="1"/>
  <c r="P6" i="38"/>
  <c r="AE6" i="36" s="1"/>
  <c r="O6" i="38"/>
  <c r="AD6" i="36" s="1"/>
  <c r="N6" i="38"/>
  <c r="AC6" i="36" s="1"/>
  <c r="M6" i="38"/>
  <c r="AB6" i="36" s="1"/>
  <c r="L6" i="38"/>
  <c r="AA6" i="36" s="1"/>
  <c r="K6" i="38"/>
  <c r="Z6" i="36" s="1"/>
  <c r="P5" i="38"/>
  <c r="AE5" i="36" s="1"/>
  <c r="O5" i="38"/>
  <c r="AD5" i="36" s="1"/>
  <c r="N5" i="38"/>
  <c r="AC5" i="36" s="1"/>
  <c r="M5" i="38"/>
  <c r="AB5" i="36" s="1"/>
  <c r="L5" i="38"/>
  <c r="AA5" i="36" s="1"/>
  <c r="K5" i="38"/>
  <c r="Z5" i="36" s="1"/>
  <c r="O7" i="37"/>
  <c r="W7" i="36" s="1"/>
  <c r="P10" i="37"/>
  <c r="X10" i="36" s="1"/>
  <c r="P9" i="37"/>
  <c r="X9" i="36" s="1"/>
  <c r="X16" i="36" s="1"/>
  <c r="P8" i="37"/>
  <c r="X8" i="36" s="1"/>
  <c r="P7" i="37"/>
  <c r="X7" i="36" s="1"/>
  <c r="P6" i="37"/>
  <c r="X6" i="36" s="1"/>
  <c r="P5" i="37"/>
  <c r="X5" i="36" s="1"/>
  <c r="O10" i="37"/>
  <c r="W10" i="36" s="1"/>
  <c r="O9" i="37"/>
  <c r="W9" i="36" s="1"/>
  <c r="W16" i="36" s="1"/>
  <c r="O6" i="37"/>
  <c r="W6" i="36" s="1"/>
  <c r="W13" i="36" s="1"/>
  <c r="O5" i="37"/>
  <c r="W5" i="36" s="1"/>
  <c r="N10" i="37"/>
  <c r="V10" i="36" s="1"/>
  <c r="V17" i="36" s="1"/>
  <c r="N9" i="37"/>
  <c r="V9" i="36" s="1"/>
  <c r="V16" i="36" s="1"/>
  <c r="N8" i="37"/>
  <c r="V8" i="36" s="1"/>
  <c r="V15" i="36" s="1"/>
  <c r="N7" i="37"/>
  <c r="V7" i="36" s="1"/>
  <c r="V14" i="36" s="1"/>
  <c r="N6" i="37"/>
  <c r="V6" i="36" s="1"/>
  <c r="V13" i="36" s="1"/>
  <c r="N5" i="37"/>
  <c r="V5" i="36" s="1"/>
  <c r="V12" i="36" s="1"/>
  <c r="M10" i="37"/>
  <c r="U10" i="36" s="1"/>
  <c r="M9" i="37"/>
  <c r="U9" i="36" s="1"/>
  <c r="U16" i="36" s="1"/>
  <c r="M8" i="37"/>
  <c r="U8" i="36" s="1"/>
  <c r="M7" i="37"/>
  <c r="U7" i="36" s="1"/>
  <c r="M6" i="37"/>
  <c r="U6" i="36" s="1"/>
  <c r="U13" i="36" s="1"/>
  <c r="M5" i="37"/>
  <c r="U5" i="36" s="1"/>
  <c r="L10" i="37"/>
  <c r="T10" i="36" s="1"/>
  <c r="L9" i="37"/>
  <c r="T9" i="36" s="1"/>
  <c r="T16" i="36" s="1"/>
  <c r="L8" i="37"/>
  <c r="T8" i="36" s="1"/>
  <c r="T15" i="36" s="1"/>
  <c r="L7" i="37"/>
  <c r="T7" i="36" s="1"/>
  <c r="L6" i="37"/>
  <c r="T6" i="36" s="1"/>
  <c r="T13" i="36" s="1"/>
  <c r="L5" i="37"/>
  <c r="T5" i="36" s="1"/>
  <c r="K10" i="37"/>
  <c r="S10" i="36" s="1"/>
  <c r="K9" i="37"/>
  <c r="S9" i="36" s="1"/>
  <c r="K8" i="37"/>
  <c r="S8" i="36" s="1"/>
  <c r="S15" i="36" s="1"/>
  <c r="K7" i="37"/>
  <c r="S7" i="36" s="1"/>
  <c r="K6" i="37"/>
  <c r="S6" i="36" s="1"/>
  <c r="K5" i="37"/>
  <c r="S5" i="36" s="1"/>
  <c r="G45" i="37"/>
  <c r="H45" i="37" s="1"/>
  <c r="G44" i="37"/>
  <c r="H44" i="37" s="1"/>
  <c r="G43" i="37"/>
  <c r="H43" i="37" s="1"/>
  <c r="G42" i="37"/>
  <c r="H42" i="37" s="1"/>
  <c r="G41" i="37"/>
  <c r="H41" i="37" s="1"/>
  <c r="G40" i="37"/>
  <c r="H40" i="37" s="1"/>
  <c r="F45" i="37"/>
  <c r="F45" i="36" s="1"/>
  <c r="F44" i="37"/>
  <c r="F44" i="36" s="1"/>
  <c r="F43" i="37"/>
  <c r="F43" i="36" s="1"/>
  <c r="F42" i="37"/>
  <c r="F42" i="36" s="1"/>
  <c r="F41" i="37"/>
  <c r="F41" i="36" s="1"/>
  <c r="F40" i="37"/>
  <c r="F40" i="36" s="1"/>
  <c r="D45" i="37"/>
  <c r="D44" i="37"/>
  <c r="D44" i="36" s="1"/>
  <c r="D43" i="37"/>
  <c r="D43" i="36" s="1"/>
  <c r="D42" i="37"/>
  <c r="D41" i="37"/>
  <c r="D40" i="37"/>
  <c r="C45" i="37"/>
  <c r="C45" i="36" s="1"/>
  <c r="C44" i="37"/>
  <c r="C44" i="36" s="1"/>
  <c r="C43" i="37"/>
  <c r="C43" i="36" s="1"/>
  <c r="C42" i="37"/>
  <c r="C42" i="36" s="1"/>
  <c r="C41" i="37"/>
  <c r="C41" i="36" s="1"/>
  <c r="C40" i="37"/>
  <c r="C40" i="36" s="1"/>
  <c r="G17" i="37"/>
  <c r="H17" i="37" s="1"/>
  <c r="G16" i="37"/>
  <c r="H16" i="37" s="1"/>
  <c r="G15" i="37"/>
  <c r="H15" i="37" s="1"/>
  <c r="G14" i="37"/>
  <c r="H14" i="37" s="1"/>
  <c r="G13" i="37"/>
  <c r="H13" i="37" s="1"/>
  <c r="G12" i="37"/>
  <c r="H12" i="37" s="1"/>
  <c r="F17" i="37"/>
  <c r="F17" i="36" s="1"/>
  <c r="F16" i="37"/>
  <c r="F16" i="36" s="1"/>
  <c r="F15" i="37"/>
  <c r="F15" i="36" s="1"/>
  <c r="F14" i="37"/>
  <c r="F14" i="36" s="1"/>
  <c r="F13" i="37"/>
  <c r="F13" i="36" s="1"/>
  <c r="F12" i="37"/>
  <c r="F12" i="36" s="1"/>
  <c r="C12" i="37"/>
  <c r="C12" i="36" s="1"/>
  <c r="D17" i="37"/>
  <c r="D17" i="36" s="1"/>
  <c r="D16" i="37"/>
  <c r="D16" i="36" s="1"/>
  <c r="D15" i="37"/>
  <c r="D15" i="36" s="1"/>
  <c r="D14" i="37"/>
  <c r="D14" i="36" s="1"/>
  <c r="D13" i="37"/>
  <c r="D13" i="36" s="1"/>
  <c r="D12" i="37"/>
  <c r="D12" i="36" s="1"/>
  <c r="C17" i="37"/>
  <c r="C17" i="36" s="1"/>
  <c r="C16" i="37"/>
  <c r="C16" i="36" s="1"/>
  <c r="C15" i="37"/>
  <c r="C15" i="36" s="1"/>
  <c r="C14" i="37"/>
  <c r="C14" i="36" s="1"/>
  <c r="C13" i="37"/>
  <c r="C13" i="36" s="1"/>
  <c r="C5" i="37"/>
  <c r="C5" i="36" s="1"/>
  <c r="S14" i="35" l="1"/>
  <c r="T12" i="36"/>
  <c r="W13" i="43"/>
  <c r="T14" i="36"/>
  <c r="T14" i="43"/>
  <c r="U12" i="36"/>
  <c r="Z14" i="35"/>
  <c r="E36" i="38"/>
  <c r="L36" i="36" s="1"/>
  <c r="E8" i="40"/>
  <c r="E36" i="40"/>
  <c r="E36" i="35" s="1"/>
  <c r="E36" i="42"/>
  <c r="E36" i="43" s="1"/>
  <c r="E8" i="41"/>
  <c r="L8" i="43" s="1"/>
  <c r="E22" i="41"/>
  <c r="L22" i="43" s="1"/>
  <c r="E36" i="41"/>
  <c r="L36" i="43" s="1"/>
  <c r="AE17" i="35"/>
  <c r="S17" i="43"/>
  <c r="AE14" i="35"/>
  <c r="U17" i="43"/>
  <c r="X12" i="36"/>
  <c r="S13" i="35"/>
  <c r="V13" i="35"/>
  <c r="W13" i="35"/>
  <c r="W14" i="36"/>
  <c r="X15" i="36"/>
  <c r="Z12" i="36"/>
  <c r="AE13" i="35"/>
  <c r="U14" i="35"/>
  <c r="U13" i="35"/>
  <c r="V14" i="35"/>
  <c r="AA13" i="43"/>
  <c r="AB13" i="43"/>
  <c r="S15" i="35"/>
  <c r="AC13" i="36"/>
  <c r="U15" i="36"/>
  <c r="V15" i="35"/>
  <c r="AA14" i="43"/>
  <c r="Z12" i="43"/>
  <c r="Z17" i="35"/>
  <c r="AC17" i="35"/>
  <c r="AB17" i="35"/>
  <c r="AA17" i="35"/>
  <c r="AD17" i="35"/>
  <c r="AC14" i="43"/>
  <c r="U14" i="36"/>
  <c r="S15" i="43"/>
  <c r="AC17" i="43"/>
  <c r="X15" i="43"/>
  <c r="S12" i="43"/>
  <c r="T12" i="43"/>
  <c r="Z12" i="35"/>
  <c r="X17" i="43"/>
  <c r="AE12" i="43"/>
  <c r="X14" i="35"/>
  <c r="AC13" i="43"/>
  <c r="V17" i="43"/>
  <c r="Z13" i="43"/>
  <c r="AA14" i="35"/>
  <c r="AE13" i="43"/>
  <c r="Z14" i="43"/>
  <c r="Z13" i="35"/>
  <c r="AD13" i="36"/>
  <c r="S12" i="35"/>
  <c r="AB14" i="43"/>
  <c r="W15" i="36"/>
  <c r="AC13" i="35"/>
  <c r="AE13" i="36"/>
  <c r="T12" i="35"/>
  <c r="AB12" i="36"/>
  <c r="U12" i="35"/>
  <c r="AA14" i="36"/>
  <c r="V12" i="35"/>
  <c r="AE14" i="43"/>
  <c r="AB14" i="36"/>
  <c r="W12" i="35"/>
  <c r="AA12" i="36"/>
  <c r="Z17" i="43"/>
  <c r="AE14" i="36"/>
  <c r="AC15" i="35"/>
  <c r="W17" i="43"/>
  <c r="AA15" i="36"/>
  <c r="AD14" i="36"/>
  <c r="AB15" i="36"/>
  <c r="X13" i="35"/>
  <c r="X17" i="35"/>
  <c r="AD14" i="35"/>
  <c r="AC15" i="36"/>
  <c r="AE15" i="36"/>
  <c r="AD13" i="35"/>
  <c r="AC14" i="36"/>
  <c r="E21" i="38"/>
  <c r="L21" i="36" s="1"/>
  <c r="E35" i="42"/>
  <c r="E35" i="43" s="1"/>
  <c r="E40" i="38"/>
  <c r="L40" i="36" s="1"/>
  <c r="E40" i="40"/>
  <c r="E40" i="35" s="1"/>
  <c r="E40" i="39"/>
  <c r="L40" i="35" s="1"/>
  <c r="E40" i="41"/>
  <c r="L40" i="43" s="1"/>
  <c r="E12" i="40"/>
  <c r="E12" i="35" s="1"/>
  <c r="E26" i="39"/>
  <c r="L26" i="35" s="1"/>
  <c r="E26" i="40"/>
  <c r="E26" i="35" s="1"/>
  <c r="E12" i="42"/>
  <c r="E12" i="43" s="1"/>
  <c r="E27" i="40"/>
  <c r="E27" i="35" s="1"/>
  <c r="E27" i="39"/>
  <c r="L27" i="35" s="1"/>
  <c r="E13" i="42"/>
  <c r="E13" i="43" s="1"/>
  <c r="E13" i="41"/>
  <c r="L13" i="43" s="1"/>
  <c r="E41" i="41"/>
  <c r="L41" i="43" s="1"/>
  <c r="E27" i="38"/>
  <c r="L27" i="36" s="1"/>
  <c r="E13" i="40"/>
  <c r="E13" i="35" s="1"/>
  <c r="E13" i="39"/>
  <c r="L13" i="35" s="1"/>
  <c r="E41" i="42"/>
  <c r="E41" i="43" s="1"/>
  <c r="E41" i="38"/>
  <c r="E41" i="40"/>
  <c r="E41" i="35" s="1"/>
  <c r="E41" i="39"/>
  <c r="L41" i="35" s="1"/>
  <c r="E28" i="38"/>
  <c r="L28" i="36" s="1"/>
  <c r="E14" i="39"/>
  <c r="L14" i="35" s="1"/>
  <c r="E28" i="39"/>
  <c r="L28" i="35" s="1"/>
  <c r="E42" i="42"/>
  <c r="E42" i="43" s="1"/>
  <c r="E14" i="41"/>
  <c r="L14" i="43" s="1"/>
  <c r="E42" i="38"/>
  <c r="E42" i="40"/>
  <c r="E42" i="35" s="1"/>
  <c r="E14" i="42"/>
  <c r="E14" i="43" s="1"/>
  <c r="E28" i="40"/>
  <c r="E28" i="35" s="1"/>
  <c r="E42" i="39"/>
  <c r="L42" i="35" s="1"/>
  <c r="E29" i="38"/>
  <c r="L29" i="36" s="1"/>
  <c r="E29" i="40"/>
  <c r="E29" i="35" s="1"/>
  <c r="E15" i="39"/>
  <c r="L15" i="35" s="1"/>
  <c r="E29" i="41"/>
  <c r="L29" i="43" s="1"/>
  <c r="E43" i="41"/>
  <c r="L43" i="43" s="1"/>
  <c r="E43" i="38"/>
  <c r="L43" i="36" s="1"/>
  <c r="E43" i="40"/>
  <c r="E43" i="35" s="1"/>
  <c r="E35" i="39"/>
  <c r="L35" i="35" s="1"/>
  <c r="K14" i="43"/>
  <c r="E38" i="40"/>
  <c r="E38" i="35" s="1"/>
  <c r="E10" i="39"/>
  <c r="E24" i="39"/>
  <c r="L24" i="35" s="1"/>
  <c r="E24" i="40"/>
  <c r="E24" i="35" s="1"/>
  <c r="E38" i="38"/>
  <c r="L38" i="36" s="1"/>
  <c r="E10" i="40"/>
  <c r="E10" i="35" s="1"/>
  <c r="E42" i="37"/>
  <c r="E42" i="36" s="1"/>
  <c r="E45" i="37"/>
  <c r="E16" i="37"/>
  <c r="E30" i="39"/>
  <c r="L30" i="35" s="1"/>
  <c r="E17" i="37"/>
  <c r="E15" i="37"/>
  <c r="E45" i="42"/>
  <c r="E45" i="43" s="1"/>
  <c r="E14" i="37"/>
  <c r="E5" i="38"/>
  <c r="E31" i="39"/>
  <c r="L31" i="35" s="1"/>
  <c r="E5" i="40"/>
  <c r="E5" i="35" s="1"/>
  <c r="D28" i="35"/>
  <c r="E19" i="40"/>
  <c r="E19" i="35" s="1"/>
  <c r="E33" i="38"/>
  <c r="L33" i="36" s="1"/>
  <c r="E20" i="38"/>
  <c r="L20" i="36" s="1"/>
  <c r="E6" i="40"/>
  <c r="E34" i="40"/>
  <c r="E34" i="35" s="1"/>
  <c r="E34" i="38"/>
  <c r="D24" i="35"/>
  <c r="D42" i="43"/>
  <c r="K13" i="43"/>
  <c r="E40" i="42"/>
  <c r="E40" i="43" s="1"/>
  <c r="E12" i="41"/>
  <c r="L12" i="43" s="1"/>
  <c r="E26" i="41"/>
  <c r="L26" i="43" s="1"/>
  <c r="K12" i="43"/>
  <c r="D30" i="43"/>
  <c r="E27" i="41"/>
  <c r="L27" i="43" s="1"/>
  <c r="E14" i="40"/>
  <c r="E14" i="35" s="1"/>
  <c r="D14" i="35"/>
  <c r="E28" i="41"/>
  <c r="L28" i="43" s="1"/>
  <c r="E42" i="41"/>
  <c r="L42" i="43" s="1"/>
  <c r="E15" i="40"/>
  <c r="E15" i="35" s="1"/>
  <c r="D10" i="35"/>
  <c r="E43" i="39"/>
  <c r="L43" i="35" s="1"/>
  <c r="E15" i="42"/>
  <c r="E15" i="43" s="1"/>
  <c r="D16" i="43"/>
  <c r="E29" i="42"/>
  <c r="E29" i="43" s="1"/>
  <c r="E43" i="42"/>
  <c r="E43" i="43" s="1"/>
  <c r="D9" i="35"/>
  <c r="D15" i="43"/>
  <c r="E43" i="37"/>
  <c r="D14" i="43"/>
  <c r="K35" i="35"/>
  <c r="E17" i="41"/>
  <c r="L17" i="43" s="1"/>
  <c r="K30" i="36"/>
  <c r="E31" i="41"/>
  <c r="L31" i="43" s="1"/>
  <c r="E45" i="41"/>
  <c r="L45" i="43" s="1"/>
  <c r="K43" i="43"/>
  <c r="D43" i="35"/>
  <c r="K42" i="43"/>
  <c r="E6" i="38"/>
  <c r="D42" i="35"/>
  <c r="K41" i="43"/>
  <c r="E35" i="38"/>
  <c r="L35" i="36" s="1"/>
  <c r="E7" i="40"/>
  <c r="E21" i="40"/>
  <c r="E21" i="35" s="1"/>
  <c r="E35" i="40"/>
  <c r="E35" i="35" s="1"/>
  <c r="K34" i="36"/>
  <c r="D38" i="35"/>
  <c r="K40" i="43"/>
  <c r="E8" i="38"/>
  <c r="E22" i="38"/>
  <c r="L22" i="36" s="1"/>
  <c r="E12" i="37"/>
  <c r="K29" i="43"/>
  <c r="D37" i="35"/>
  <c r="D36" i="35"/>
  <c r="E44" i="37"/>
  <c r="E6" i="39"/>
  <c r="E22" i="39"/>
  <c r="L22" i="35" s="1"/>
  <c r="D45" i="43"/>
  <c r="E22" i="42"/>
  <c r="E22" i="43" s="1"/>
  <c r="D29" i="35"/>
  <c r="K27" i="43"/>
  <c r="E40" i="37"/>
  <c r="E24" i="38"/>
  <c r="L24" i="36" s="1"/>
  <c r="E10" i="41"/>
  <c r="L10" i="43" s="1"/>
  <c r="E13" i="37"/>
  <c r="E10" i="38"/>
  <c r="E41" i="37"/>
  <c r="D44" i="43"/>
  <c r="N20" i="35"/>
  <c r="N9" i="43"/>
  <c r="N8" i="43"/>
  <c r="G20" i="35"/>
  <c r="N7" i="43"/>
  <c r="N44" i="43"/>
  <c r="N6" i="43"/>
  <c r="G10" i="35"/>
  <c r="N41" i="43"/>
  <c r="G42" i="43"/>
  <c r="G36" i="43"/>
  <c r="G35" i="43"/>
  <c r="N37" i="43"/>
  <c r="G38" i="35"/>
  <c r="N29" i="43"/>
  <c r="N34" i="35"/>
  <c r="N28" i="43"/>
  <c r="G29" i="43"/>
  <c r="G34" i="35"/>
  <c r="N31" i="35"/>
  <c r="N27" i="35"/>
  <c r="G23" i="43"/>
  <c r="N21" i="43"/>
  <c r="N24" i="35"/>
  <c r="G22" i="43"/>
  <c r="G27" i="35"/>
  <c r="G21" i="43"/>
  <c r="G26" i="35"/>
  <c r="G16" i="43"/>
  <c r="G24" i="35"/>
  <c r="N29" i="36"/>
  <c r="N35" i="43"/>
  <c r="G30" i="43"/>
  <c r="N13" i="36"/>
  <c r="G41" i="35"/>
  <c r="N45" i="36"/>
  <c r="G44" i="35"/>
  <c r="G17" i="35"/>
  <c r="N34" i="43"/>
  <c r="G13" i="35"/>
  <c r="G26" i="43"/>
  <c r="N30" i="43"/>
  <c r="N17" i="35"/>
  <c r="N16" i="35"/>
  <c r="N45" i="35"/>
  <c r="N13" i="35"/>
  <c r="N43" i="35"/>
  <c r="G5" i="43"/>
  <c r="G15" i="43"/>
  <c r="G44" i="43"/>
  <c r="G45" i="35"/>
  <c r="G31" i="35"/>
  <c r="N22" i="43"/>
  <c r="G14" i="43"/>
  <c r="N16" i="43"/>
  <c r="N36" i="35"/>
  <c r="G12" i="43"/>
  <c r="N43" i="43"/>
  <c r="G43" i="43"/>
  <c r="G8" i="43"/>
  <c r="S14" i="36"/>
  <c r="S17" i="35"/>
  <c r="X13" i="36"/>
  <c r="AB12" i="43"/>
  <c r="AB16" i="43"/>
  <c r="AB13" i="36"/>
  <c r="AA13" i="36"/>
  <c r="V17" i="35"/>
  <c r="Z13" i="36"/>
  <c r="X17" i="36"/>
  <c r="AA12" i="43"/>
  <c r="AA16" i="43"/>
  <c r="AD12" i="43"/>
  <c r="AD13" i="43"/>
  <c r="AD16" i="43"/>
  <c r="AD15" i="36"/>
  <c r="AC16" i="36"/>
  <c r="AC12" i="36"/>
  <c r="AE16" i="36"/>
  <c r="AE12" i="36"/>
  <c r="AD17" i="43"/>
  <c r="S17" i="36"/>
  <c r="S13" i="36"/>
  <c r="AE17" i="43"/>
  <c r="AA17" i="36"/>
  <c r="AB17" i="36"/>
  <c r="AD17" i="36"/>
  <c r="S16" i="36"/>
  <c r="S12" i="36"/>
  <c r="AA17" i="43"/>
  <c r="Z17" i="36"/>
  <c r="U12" i="43"/>
  <c r="AE17" i="36"/>
  <c r="V12" i="43"/>
  <c r="AD12" i="36"/>
  <c r="AD16" i="36"/>
  <c r="U17" i="36"/>
  <c r="W12" i="36"/>
  <c r="W12" i="43"/>
  <c r="X14" i="36"/>
  <c r="T17" i="35"/>
  <c r="X12" i="43"/>
  <c r="T17" i="36"/>
  <c r="AB17" i="43"/>
  <c r="AC17" i="36"/>
  <c r="W17" i="36"/>
  <c r="T17" i="43"/>
  <c r="AD12" i="35"/>
  <c r="AB13" i="35"/>
  <c r="AA13" i="35"/>
  <c r="W17" i="35"/>
  <c r="AC12" i="43"/>
  <c r="U17" i="35"/>
  <c r="AE12" i="35"/>
  <c r="X12" i="35"/>
  <c r="AC12" i="35"/>
  <c r="AA16" i="35"/>
  <c r="AB16" i="35"/>
  <c r="D41" i="43"/>
  <c r="E45" i="38"/>
  <c r="L45" i="36" s="1"/>
  <c r="E17" i="40"/>
  <c r="E17" i="35" s="1"/>
  <c r="D13" i="35"/>
  <c r="D12" i="35"/>
  <c r="K9" i="43"/>
  <c r="K36" i="43"/>
  <c r="K8" i="43"/>
  <c r="K31" i="35"/>
  <c r="D9" i="43"/>
  <c r="K42" i="36"/>
  <c r="E31" i="38"/>
  <c r="L31" i="36" s="1"/>
  <c r="E7" i="38"/>
  <c r="E33" i="40"/>
  <c r="E33" i="35" s="1"/>
  <c r="D40" i="43"/>
  <c r="E19" i="39"/>
  <c r="L19" i="35" s="1"/>
  <c r="E45" i="39"/>
  <c r="L45" i="35" s="1"/>
  <c r="E17" i="42"/>
  <c r="E17" i="43" s="1"/>
  <c r="K16" i="35"/>
  <c r="D23" i="43"/>
  <c r="E24" i="42"/>
  <c r="E24" i="43" s="1"/>
  <c r="E37" i="42"/>
  <c r="E37" i="43" s="1"/>
  <c r="D27" i="35"/>
  <c r="K44" i="36"/>
  <c r="K22" i="43"/>
  <c r="D35" i="35"/>
  <c r="D37" i="43"/>
  <c r="D41" i="35"/>
  <c r="E29" i="39"/>
  <c r="L29" i="35" s="1"/>
  <c r="E31" i="42"/>
  <c r="E31" i="43" s="1"/>
  <c r="K37" i="35"/>
  <c r="E24" i="41"/>
  <c r="L24" i="43" s="1"/>
  <c r="E38" i="41"/>
  <c r="L38" i="43" s="1"/>
  <c r="E5" i="42"/>
  <c r="E5" i="43" s="1"/>
  <c r="E19" i="42"/>
  <c r="E19" i="43" s="1"/>
  <c r="E30" i="41"/>
  <c r="L30" i="43" s="1"/>
  <c r="K15" i="35"/>
  <c r="D40" i="35"/>
  <c r="E33" i="39"/>
  <c r="L33" i="35" s="1"/>
  <c r="D36" i="43"/>
  <c r="E10" i="42"/>
  <c r="E10" i="43" s="1"/>
  <c r="E34" i="39"/>
  <c r="L34" i="35" s="1"/>
  <c r="D34" i="35"/>
  <c r="K43" i="35"/>
  <c r="E37" i="41"/>
  <c r="L37" i="43" s="1"/>
  <c r="E17" i="39"/>
  <c r="L17" i="35" s="1"/>
  <c r="K14" i="36"/>
  <c r="E33" i="42"/>
  <c r="E33" i="43" s="1"/>
  <c r="K38" i="43"/>
  <c r="D10" i="43"/>
  <c r="E7" i="39"/>
  <c r="E21" i="39"/>
  <c r="L21" i="35" s="1"/>
  <c r="E6" i="42"/>
  <c r="E6" i="43" s="1"/>
  <c r="E20" i="42"/>
  <c r="E20" i="43" s="1"/>
  <c r="K14" i="35"/>
  <c r="D6" i="43"/>
  <c r="K17" i="43"/>
  <c r="K20" i="36"/>
  <c r="E5" i="41"/>
  <c r="L5" i="43" s="1"/>
  <c r="E19" i="41"/>
  <c r="L19" i="43" s="1"/>
  <c r="K28" i="35"/>
  <c r="E45" i="40"/>
  <c r="E45" i="35" s="1"/>
  <c r="D33" i="35"/>
  <c r="D19" i="35"/>
  <c r="K42" i="35"/>
  <c r="E38" i="39"/>
  <c r="L38" i="35" s="1"/>
  <c r="E17" i="38"/>
  <c r="E34" i="42"/>
  <c r="E34" i="43" s="1"/>
  <c r="D20" i="43"/>
  <c r="E35" i="41"/>
  <c r="L35" i="43" s="1"/>
  <c r="D26" i="35"/>
  <c r="E8" i="39"/>
  <c r="E7" i="42"/>
  <c r="E7" i="43" s="1"/>
  <c r="E33" i="41"/>
  <c r="L33" i="43" s="1"/>
  <c r="K5" i="43"/>
  <c r="K31" i="43"/>
  <c r="D12" i="43"/>
  <c r="E22" i="40"/>
  <c r="E22" i="35" s="1"/>
  <c r="E6" i="41"/>
  <c r="L6" i="43" s="1"/>
  <c r="K41" i="35"/>
  <c r="K13" i="35"/>
  <c r="D34" i="43"/>
  <c r="K16" i="43"/>
  <c r="E27" i="42"/>
  <c r="E27" i="43" s="1"/>
  <c r="D24" i="43"/>
  <c r="K27" i="35"/>
  <c r="K45" i="43"/>
  <c r="E38" i="42"/>
  <c r="E38" i="43" s="1"/>
  <c r="E31" i="40"/>
  <c r="E31" i="35" s="1"/>
  <c r="E12" i="38"/>
  <c r="L12" i="36" s="1"/>
  <c r="E26" i="38"/>
  <c r="L26" i="36" s="1"/>
  <c r="D45" i="35"/>
  <c r="D31" i="35"/>
  <c r="D17" i="35"/>
  <c r="D19" i="43"/>
  <c r="E34" i="41"/>
  <c r="L34" i="43" s="1"/>
  <c r="K44" i="35"/>
  <c r="E8" i="42"/>
  <c r="E8" i="43" s="1"/>
  <c r="E7" i="41"/>
  <c r="L7" i="43" s="1"/>
  <c r="K40" i="35"/>
  <c r="K26" i="35"/>
  <c r="D33" i="43"/>
  <c r="D13" i="43"/>
  <c r="K43" i="36"/>
  <c r="D16" i="35"/>
  <c r="D17" i="43"/>
  <c r="K24" i="35"/>
  <c r="K23" i="43"/>
  <c r="E30" i="40"/>
  <c r="E30" i="35" s="1"/>
  <c r="E36" i="39"/>
  <c r="L36" i="35" s="1"/>
  <c r="E13" i="38"/>
  <c r="D44" i="35"/>
  <c r="K44" i="43"/>
  <c r="G35" i="35"/>
  <c r="G16" i="35"/>
  <c r="N44" i="35"/>
  <c r="G34" i="43"/>
  <c r="G24" i="43"/>
  <c r="G6" i="43"/>
  <c r="N38" i="43"/>
  <c r="N20" i="43"/>
  <c r="N10" i="43"/>
  <c r="N26" i="35"/>
  <c r="N35" i="35"/>
  <c r="G33" i="43"/>
  <c r="G15" i="35"/>
  <c r="N5" i="43"/>
  <c r="N19" i="43"/>
  <c r="G43" i="35"/>
  <c r="N15" i="35"/>
  <c r="G41" i="43"/>
  <c r="G31" i="43"/>
  <c r="G13" i="43"/>
  <c r="N45" i="43"/>
  <c r="N36" i="43"/>
  <c r="N27" i="43"/>
  <c r="N17" i="43"/>
  <c r="G42" i="35"/>
  <c r="G33" i="35"/>
  <c r="G23" i="35"/>
  <c r="G14" i="35"/>
  <c r="N42" i="35"/>
  <c r="N33" i="35"/>
  <c r="N23" i="35"/>
  <c r="N14" i="35"/>
  <c r="G22" i="35"/>
  <c r="N12" i="36"/>
  <c r="N41" i="35"/>
  <c r="G38" i="43"/>
  <c r="G20" i="43"/>
  <c r="G10" i="43"/>
  <c r="N24" i="43"/>
  <c r="N15" i="43"/>
  <c r="G40" i="35"/>
  <c r="G30" i="35"/>
  <c r="G21" i="35"/>
  <c r="G12" i="35"/>
  <c r="N40" i="35"/>
  <c r="N30" i="35"/>
  <c r="N21" i="35"/>
  <c r="N12" i="35"/>
  <c r="N26" i="43"/>
  <c r="G37" i="43"/>
  <c r="G28" i="43"/>
  <c r="G19" i="43"/>
  <c r="G9" i="43"/>
  <c r="N42" i="43"/>
  <c r="N33" i="43"/>
  <c r="N23" i="43"/>
  <c r="N14" i="43"/>
  <c r="G29" i="35"/>
  <c r="N38" i="35"/>
  <c r="N29" i="35"/>
  <c r="G40" i="43"/>
  <c r="N22" i="35"/>
  <c r="G45" i="43"/>
  <c r="G27" i="43"/>
  <c r="G17" i="43"/>
  <c r="N31" i="43"/>
  <c r="N13" i="43"/>
  <c r="G37" i="35"/>
  <c r="G28" i="35"/>
  <c r="G19" i="35"/>
  <c r="G9" i="35"/>
  <c r="N37" i="35"/>
  <c r="N28" i="35"/>
  <c r="N19" i="35"/>
  <c r="G7" i="43"/>
  <c r="N40" i="43"/>
  <c r="N12" i="43"/>
  <c r="G36" i="35"/>
  <c r="T15" i="43"/>
  <c r="U14" i="43"/>
  <c r="V15" i="43"/>
  <c r="W15" i="43"/>
  <c r="S14" i="43"/>
  <c r="V14" i="43"/>
  <c r="X14" i="43"/>
  <c r="AB15" i="43"/>
  <c r="AC15" i="43"/>
  <c r="U15" i="43"/>
  <c r="Z15" i="43"/>
  <c r="AD15" i="43"/>
  <c r="AA15" i="43"/>
  <c r="AE15" i="43"/>
  <c r="S16" i="43"/>
  <c r="T16" i="43"/>
  <c r="U16" i="43"/>
  <c r="V16" i="43"/>
  <c r="W16" i="43"/>
  <c r="X16" i="43"/>
  <c r="W14" i="43"/>
  <c r="AE16" i="43"/>
  <c r="AB14" i="35"/>
  <c r="AA12" i="35"/>
  <c r="AB12" i="35"/>
  <c r="T15" i="35"/>
  <c r="W14" i="35"/>
  <c r="X15" i="35"/>
  <c r="S16" i="35"/>
  <c r="T16" i="35"/>
  <c r="AD15" i="35"/>
  <c r="U16" i="35"/>
  <c r="Z15" i="35"/>
  <c r="V16" i="35"/>
  <c r="W16" i="35"/>
  <c r="AE15" i="35"/>
  <c r="X16" i="35"/>
  <c r="AA15" i="35"/>
  <c r="AB15" i="35"/>
  <c r="AC16" i="35"/>
  <c r="AC14" i="35"/>
  <c r="W15" i="35"/>
  <c r="H5" i="40"/>
  <c r="I5" i="40" s="1"/>
  <c r="H5" i="35" s="1"/>
  <c r="N5" i="35"/>
  <c r="I33" i="39"/>
  <c r="O33" i="35" s="1"/>
  <c r="I38" i="39"/>
  <c r="O38" i="35" s="1"/>
  <c r="I34" i="39"/>
  <c r="O34" i="35" s="1"/>
  <c r="I35" i="39"/>
  <c r="O35" i="35" s="1"/>
  <c r="I19" i="41"/>
  <c r="O19" i="43" s="1"/>
  <c r="I21" i="41"/>
  <c r="O21" i="43" s="1"/>
  <c r="I22" i="41"/>
  <c r="O22" i="43" s="1"/>
  <c r="I20" i="41"/>
  <c r="O20" i="43" s="1"/>
  <c r="I24" i="41"/>
  <c r="O24" i="43" s="1"/>
  <c r="I23" i="41"/>
  <c r="O23" i="43" s="1"/>
  <c r="I13" i="41"/>
  <c r="O13" i="43" s="1"/>
  <c r="I12" i="41"/>
  <c r="O12" i="43" s="1"/>
  <c r="I15" i="41"/>
  <c r="O15" i="43" s="1"/>
  <c r="I16" i="41"/>
  <c r="O16" i="43" s="1"/>
  <c r="I14" i="41"/>
  <c r="O14" i="43" s="1"/>
  <c r="I17" i="41"/>
  <c r="O17" i="43" s="1"/>
  <c r="I37" i="41"/>
  <c r="O37" i="43" s="1"/>
  <c r="I36" i="41"/>
  <c r="O36" i="43" s="1"/>
  <c r="I38" i="41"/>
  <c r="O38" i="43" s="1"/>
  <c r="I35" i="41"/>
  <c r="O35" i="43" s="1"/>
  <c r="I34" i="41"/>
  <c r="O34" i="43" s="1"/>
  <c r="I33" i="41"/>
  <c r="O33" i="43" s="1"/>
  <c r="I29" i="41"/>
  <c r="O29" i="43" s="1"/>
  <c r="I28" i="41"/>
  <c r="O28" i="43" s="1"/>
  <c r="I31" i="41"/>
  <c r="O31" i="43" s="1"/>
  <c r="I27" i="41"/>
  <c r="O27" i="43" s="1"/>
  <c r="I30" i="41"/>
  <c r="O30" i="43" s="1"/>
  <c r="I26" i="41"/>
  <c r="O26" i="43" s="1"/>
  <c r="I45" i="41"/>
  <c r="O45" i="43" s="1"/>
  <c r="I44" i="41"/>
  <c r="O44" i="43" s="1"/>
  <c r="I41" i="41"/>
  <c r="O41" i="43" s="1"/>
  <c r="I43" i="41"/>
  <c r="O43" i="43" s="1"/>
  <c r="I42" i="41"/>
  <c r="O42" i="43" s="1"/>
  <c r="I40" i="41"/>
  <c r="O40" i="43" s="1"/>
  <c r="I8" i="41"/>
  <c r="O8" i="43" s="1"/>
  <c r="I5" i="41"/>
  <c r="O5" i="43" s="1"/>
  <c r="I7" i="41"/>
  <c r="O7" i="43" s="1"/>
  <c r="I6" i="41"/>
  <c r="O6" i="43" s="1"/>
  <c r="I10" i="41"/>
  <c r="O10" i="43" s="1"/>
  <c r="I9" i="41"/>
  <c r="O9" i="43" s="1"/>
  <c r="E9" i="41"/>
  <c r="L9" i="43" s="1"/>
  <c r="E15" i="41"/>
  <c r="L15" i="43" s="1"/>
  <c r="E20" i="41"/>
  <c r="L20" i="43" s="1"/>
  <c r="E21" i="41"/>
  <c r="L21" i="43" s="1"/>
  <c r="I37" i="42"/>
  <c r="H37" i="43" s="1"/>
  <c r="I33" i="42"/>
  <c r="H33" i="43" s="1"/>
  <c r="I36" i="42"/>
  <c r="H36" i="43" s="1"/>
  <c r="I35" i="42"/>
  <c r="H35" i="43" s="1"/>
  <c r="I38" i="42"/>
  <c r="H38" i="43" s="1"/>
  <c r="I34" i="42"/>
  <c r="H34" i="43" s="1"/>
  <c r="I13" i="42"/>
  <c r="H13" i="43" s="1"/>
  <c r="I12" i="42"/>
  <c r="H12" i="43" s="1"/>
  <c r="I15" i="42"/>
  <c r="H15" i="43" s="1"/>
  <c r="I14" i="42"/>
  <c r="H14" i="43" s="1"/>
  <c r="I17" i="42"/>
  <c r="H17" i="43" s="1"/>
  <c r="I16" i="42"/>
  <c r="H16" i="43" s="1"/>
  <c r="I30" i="42"/>
  <c r="H30" i="43" s="1"/>
  <c r="I29" i="42"/>
  <c r="H29" i="43" s="1"/>
  <c r="I28" i="42"/>
  <c r="H28" i="43" s="1"/>
  <c r="I27" i="42"/>
  <c r="H27" i="43" s="1"/>
  <c r="I31" i="42"/>
  <c r="H31" i="43" s="1"/>
  <c r="I26" i="42"/>
  <c r="H26" i="43" s="1"/>
  <c r="I5" i="42"/>
  <c r="H5" i="43" s="1"/>
  <c r="I7" i="42"/>
  <c r="H7" i="43" s="1"/>
  <c r="I8" i="42"/>
  <c r="H8" i="43" s="1"/>
  <c r="I6" i="42"/>
  <c r="H6" i="43" s="1"/>
  <c r="I10" i="42"/>
  <c r="H10" i="43" s="1"/>
  <c r="I9" i="42"/>
  <c r="H9" i="43" s="1"/>
  <c r="I21" i="42"/>
  <c r="H21" i="43" s="1"/>
  <c r="I19" i="42"/>
  <c r="H19" i="43" s="1"/>
  <c r="I23" i="42"/>
  <c r="H23" i="43" s="1"/>
  <c r="I20" i="42"/>
  <c r="H20" i="43" s="1"/>
  <c r="I22" i="42"/>
  <c r="H22" i="43" s="1"/>
  <c r="I24" i="42"/>
  <c r="H24" i="43" s="1"/>
  <c r="I45" i="42"/>
  <c r="H45" i="43" s="1"/>
  <c r="I44" i="42"/>
  <c r="H44" i="43" s="1"/>
  <c r="I43" i="42"/>
  <c r="H43" i="43" s="1"/>
  <c r="I40" i="42"/>
  <c r="H40" i="43" s="1"/>
  <c r="I42" i="42"/>
  <c r="H42" i="43" s="1"/>
  <c r="I41" i="42"/>
  <c r="H41" i="43" s="1"/>
  <c r="E26" i="42"/>
  <c r="E26" i="43" s="1"/>
  <c r="E28" i="42"/>
  <c r="E28" i="43" s="1"/>
  <c r="E21" i="42"/>
  <c r="E21" i="43" s="1"/>
  <c r="E23" i="42"/>
  <c r="E23" i="43" s="1"/>
  <c r="I13" i="39"/>
  <c r="O13" i="35" s="1"/>
  <c r="I17" i="39"/>
  <c r="O17" i="35" s="1"/>
  <c r="I12" i="39"/>
  <c r="O12" i="35" s="1"/>
  <c r="I14" i="39"/>
  <c r="O14" i="35" s="1"/>
  <c r="I16" i="39"/>
  <c r="O16" i="35" s="1"/>
  <c r="I15" i="39"/>
  <c r="O15" i="35" s="1"/>
  <c r="I5" i="39"/>
  <c r="O5" i="35" s="1"/>
  <c r="I7" i="39"/>
  <c r="I9" i="39"/>
  <c r="I10" i="39"/>
  <c r="I8" i="39"/>
  <c r="I6" i="39"/>
  <c r="I29" i="39"/>
  <c r="O29" i="35" s="1"/>
  <c r="I31" i="39"/>
  <c r="O31" i="35" s="1"/>
  <c r="I26" i="39"/>
  <c r="O26" i="35" s="1"/>
  <c r="I28" i="39"/>
  <c r="O28" i="35" s="1"/>
  <c r="I30" i="39"/>
  <c r="O30" i="35" s="1"/>
  <c r="I27" i="39"/>
  <c r="O27" i="35" s="1"/>
  <c r="I45" i="39"/>
  <c r="O45" i="35" s="1"/>
  <c r="I41" i="39"/>
  <c r="O41" i="35" s="1"/>
  <c r="I44" i="39"/>
  <c r="O44" i="35" s="1"/>
  <c r="I43" i="39"/>
  <c r="O43" i="35" s="1"/>
  <c r="I42" i="39"/>
  <c r="O42" i="35" s="1"/>
  <c r="I40" i="39"/>
  <c r="O40" i="35" s="1"/>
  <c r="I24" i="39"/>
  <c r="O24" i="35" s="1"/>
  <c r="I21" i="39"/>
  <c r="O21" i="35" s="1"/>
  <c r="I20" i="39"/>
  <c r="O20" i="35" s="1"/>
  <c r="I19" i="39"/>
  <c r="O19" i="35" s="1"/>
  <c r="I23" i="39"/>
  <c r="O23" i="35" s="1"/>
  <c r="I22" i="39"/>
  <c r="O22" i="35" s="1"/>
  <c r="E12" i="39"/>
  <c r="L12" i="35" s="1"/>
  <c r="E20" i="39"/>
  <c r="L20" i="35" s="1"/>
  <c r="E5" i="39"/>
  <c r="L5" i="35" s="1"/>
  <c r="I36" i="39"/>
  <c r="O36" i="35" s="1"/>
  <c r="E9" i="39"/>
  <c r="L9" i="35" s="1"/>
  <c r="E23" i="39"/>
  <c r="L23" i="35" s="1"/>
  <c r="I7" i="40"/>
  <c r="I6" i="40"/>
  <c r="I8" i="40"/>
  <c r="I10" i="40"/>
  <c r="H10" i="35" s="1"/>
  <c r="I9" i="40"/>
  <c r="H9" i="35" s="1"/>
  <c r="I13" i="40"/>
  <c r="H13" i="35" s="1"/>
  <c r="I14" i="40"/>
  <c r="H14" i="35" s="1"/>
  <c r="I16" i="40"/>
  <c r="H16" i="35" s="1"/>
  <c r="I12" i="40"/>
  <c r="H12" i="35" s="1"/>
  <c r="I17" i="40"/>
  <c r="H17" i="35" s="1"/>
  <c r="I15" i="40"/>
  <c r="H15" i="35" s="1"/>
  <c r="I37" i="40"/>
  <c r="H37" i="35" s="1"/>
  <c r="I38" i="40"/>
  <c r="H38" i="35" s="1"/>
  <c r="I36" i="40"/>
  <c r="H36" i="35" s="1"/>
  <c r="I35" i="40"/>
  <c r="H35" i="35" s="1"/>
  <c r="I34" i="40"/>
  <c r="H34" i="35" s="1"/>
  <c r="I33" i="40"/>
  <c r="H33" i="35" s="1"/>
  <c r="I29" i="40"/>
  <c r="H29" i="35" s="1"/>
  <c r="I30" i="40"/>
  <c r="H30" i="35" s="1"/>
  <c r="I28" i="40"/>
  <c r="H28" i="35" s="1"/>
  <c r="I31" i="40"/>
  <c r="H31" i="35" s="1"/>
  <c r="I27" i="40"/>
  <c r="H27" i="35" s="1"/>
  <c r="I26" i="40"/>
  <c r="H26" i="35" s="1"/>
  <c r="I45" i="40"/>
  <c r="H45" i="35" s="1"/>
  <c r="I41" i="40"/>
  <c r="H41" i="35" s="1"/>
  <c r="I44" i="40"/>
  <c r="H44" i="35" s="1"/>
  <c r="I43" i="40"/>
  <c r="H43" i="35" s="1"/>
  <c r="I40" i="40"/>
  <c r="H40" i="35" s="1"/>
  <c r="I42" i="40"/>
  <c r="H42" i="35" s="1"/>
  <c r="I21" i="40"/>
  <c r="H21" i="35" s="1"/>
  <c r="I19" i="40"/>
  <c r="H19" i="35" s="1"/>
  <c r="I24" i="40"/>
  <c r="H24" i="35" s="1"/>
  <c r="I20" i="40"/>
  <c r="H20" i="35" s="1"/>
  <c r="I22" i="40"/>
  <c r="H22" i="35" s="1"/>
  <c r="I23" i="40"/>
  <c r="H23" i="35" s="1"/>
  <c r="E20" i="40"/>
  <c r="E20" i="35" s="1"/>
  <c r="E23" i="40"/>
  <c r="E23" i="35" s="1"/>
  <c r="I6" i="38"/>
  <c r="I5" i="38"/>
  <c r="I7" i="38"/>
  <c r="I8" i="38"/>
  <c r="I10" i="38"/>
  <c r="I9" i="38"/>
  <c r="I13" i="38"/>
  <c r="O13" i="36" s="1"/>
  <c r="I16" i="38"/>
  <c r="O16" i="36" s="1"/>
  <c r="I12" i="38"/>
  <c r="O12" i="36" s="1"/>
  <c r="I15" i="38"/>
  <c r="O15" i="36" s="1"/>
  <c r="I14" i="38"/>
  <c r="O14" i="36" s="1"/>
  <c r="I17" i="38"/>
  <c r="O17" i="36" s="1"/>
  <c r="I37" i="38"/>
  <c r="O37" i="36" s="1"/>
  <c r="I38" i="38"/>
  <c r="O38" i="36" s="1"/>
  <c r="I33" i="38"/>
  <c r="O33" i="36" s="1"/>
  <c r="I36" i="38"/>
  <c r="O36" i="36" s="1"/>
  <c r="I35" i="38"/>
  <c r="O35" i="36" s="1"/>
  <c r="I34" i="38"/>
  <c r="O34" i="36" s="1"/>
  <c r="I19" i="38"/>
  <c r="O19" i="36" s="1"/>
  <c r="I24" i="38"/>
  <c r="I22" i="38"/>
  <c r="I21" i="38"/>
  <c r="I23" i="38"/>
  <c r="I20" i="38"/>
  <c r="I29" i="38"/>
  <c r="I28" i="38"/>
  <c r="O28" i="36" s="1"/>
  <c r="I31" i="38"/>
  <c r="O31" i="36" s="1"/>
  <c r="I27" i="38"/>
  <c r="O27" i="36" s="1"/>
  <c r="I26" i="38"/>
  <c r="O26" i="36" s="1"/>
  <c r="I30" i="38"/>
  <c r="O30" i="36" s="1"/>
  <c r="I45" i="38"/>
  <c r="I44" i="38"/>
  <c r="O44" i="36" s="1"/>
  <c r="I41" i="38"/>
  <c r="O41" i="36" s="1"/>
  <c r="I43" i="38"/>
  <c r="O43" i="36" s="1"/>
  <c r="I40" i="38"/>
  <c r="O40" i="36" s="1"/>
  <c r="I42" i="38"/>
  <c r="O42" i="36" s="1"/>
  <c r="K29" i="36"/>
  <c r="E19" i="38"/>
  <c r="L19" i="36" s="1"/>
  <c r="E23" i="38"/>
  <c r="L23" i="36" s="1"/>
  <c r="K16" i="36"/>
  <c r="K17" i="36"/>
  <c r="K33" i="36"/>
  <c r="N33" i="36"/>
  <c r="K41" i="36"/>
  <c r="E7" i="35"/>
  <c r="N42" i="36"/>
  <c r="K28" i="36"/>
  <c r="K37" i="36"/>
  <c r="N27" i="36"/>
  <c r="N36" i="36"/>
  <c r="K27" i="36"/>
  <c r="N28" i="36"/>
  <c r="N20" i="36"/>
  <c r="N44" i="36"/>
  <c r="N19" i="36"/>
  <c r="N43" i="36"/>
  <c r="N17" i="36"/>
  <c r="K26" i="36"/>
  <c r="L15" i="36"/>
  <c r="L42" i="36"/>
  <c r="N16" i="36"/>
  <c r="L16" i="36"/>
  <c r="L41" i="36"/>
  <c r="N24" i="36"/>
  <c r="N40" i="36"/>
  <c r="K36" i="36"/>
  <c r="L17" i="36"/>
  <c r="N31" i="36"/>
  <c r="N21" i="36"/>
  <c r="L13" i="36"/>
  <c r="N41" i="36"/>
  <c r="L30" i="36"/>
  <c r="N23" i="36"/>
  <c r="L44" i="36"/>
  <c r="K40" i="36"/>
  <c r="N15" i="36"/>
  <c r="K31" i="36"/>
  <c r="K35" i="36"/>
  <c r="K23" i="36"/>
  <c r="N35" i="36"/>
  <c r="N38" i="36"/>
  <c r="N30" i="36"/>
  <c r="K15" i="36"/>
  <c r="N22" i="36"/>
  <c r="K38" i="36"/>
  <c r="N14" i="36"/>
  <c r="N26" i="36"/>
  <c r="K22" i="36"/>
  <c r="L34" i="36"/>
  <c r="N37" i="36"/>
  <c r="N34" i="36"/>
  <c r="K24" i="36"/>
  <c r="G43" i="36"/>
  <c r="G44" i="36"/>
  <c r="I17" i="37"/>
  <c r="H17" i="36" s="1"/>
  <c r="I16" i="37"/>
  <c r="H16" i="36" s="1"/>
  <c r="I13" i="37"/>
  <c r="H13" i="36" s="1"/>
  <c r="G14" i="36"/>
  <c r="G15" i="36"/>
  <c r="G16" i="36"/>
  <c r="G17" i="36"/>
  <c r="I41" i="37"/>
  <c r="H41" i="36" s="1"/>
  <c r="I40" i="37"/>
  <c r="H40" i="36" s="1"/>
  <c r="I42" i="37"/>
  <c r="H42" i="36" s="1"/>
  <c r="I45" i="37"/>
  <c r="H45" i="36" s="1"/>
  <c r="I43" i="37"/>
  <c r="H43" i="36" s="1"/>
  <c r="I44" i="37"/>
  <c r="H44" i="36" s="1"/>
  <c r="I15" i="37"/>
  <c r="H15" i="36" s="1"/>
  <c r="G45" i="36"/>
  <c r="I14" i="37"/>
  <c r="H14" i="36" s="1"/>
  <c r="D40" i="36"/>
  <c r="I12" i="37"/>
  <c r="H12" i="36" s="1"/>
  <c r="D45" i="36"/>
  <c r="D41" i="36"/>
  <c r="G12" i="36"/>
  <c r="G40" i="36"/>
  <c r="G41" i="36"/>
  <c r="D42" i="36"/>
  <c r="E43" i="36"/>
  <c r="G13" i="36"/>
  <c r="G42" i="36"/>
  <c r="O21" i="36"/>
  <c r="O20" i="36"/>
  <c r="O24" i="36"/>
  <c r="O23" i="36"/>
  <c r="O22" i="36"/>
  <c r="M10" i="36"/>
  <c r="J10" i="36"/>
  <c r="M9" i="36"/>
  <c r="L9" i="36"/>
  <c r="J9" i="36"/>
  <c r="M8" i="36"/>
  <c r="J8" i="36"/>
  <c r="M7" i="36"/>
  <c r="J7" i="36"/>
  <c r="M6" i="36"/>
  <c r="J6" i="36"/>
  <c r="M5" i="36"/>
  <c r="J5" i="36"/>
  <c r="G38" i="37"/>
  <c r="H38" i="37" s="1"/>
  <c r="F38" i="37"/>
  <c r="F38" i="36" s="1"/>
  <c r="D38" i="37"/>
  <c r="D38" i="36" s="1"/>
  <c r="C38" i="37"/>
  <c r="C38" i="36" s="1"/>
  <c r="G37" i="37"/>
  <c r="H37" i="37" s="1"/>
  <c r="F37" i="37"/>
  <c r="F37" i="36" s="1"/>
  <c r="D37" i="37"/>
  <c r="E37" i="37" s="1"/>
  <c r="E37" i="36" s="1"/>
  <c r="C37" i="37"/>
  <c r="C37" i="36" s="1"/>
  <c r="G36" i="37"/>
  <c r="H36" i="37" s="1"/>
  <c r="F36" i="37"/>
  <c r="F36" i="36" s="1"/>
  <c r="D36" i="37"/>
  <c r="C36" i="37"/>
  <c r="C36" i="36" s="1"/>
  <c r="G35" i="37"/>
  <c r="H35" i="37" s="1"/>
  <c r="F35" i="37"/>
  <c r="F35" i="36" s="1"/>
  <c r="D35" i="37"/>
  <c r="C35" i="37"/>
  <c r="C35" i="36" s="1"/>
  <c r="G34" i="37"/>
  <c r="H34" i="37" s="1"/>
  <c r="F34" i="37"/>
  <c r="F34" i="36" s="1"/>
  <c r="D34" i="37"/>
  <c r="C34" i="37"/>
  <c r="C34" i="36" s="1"/>
  <c r="G33" i="37"/>
  <c r="H33" i="37" s="1"/>
  <c r="F33" i="37"/>
  <c r="F33" i="36" s="1"/>
  <c r="D33" i="37"/>
  <c r="D33" i="36" s="1"/>
  <c r="C33" i="37"/>
  <c r="C33" i="36" s="1"/>
  <c r="G31" i="37"/>
  <c r="H31" i="37" s="1"/>
  <c r="F31" i="37"/>
  <c r="F31" i="36" s="1"/>
  <c r="D31" i="37"/>
  <c r="D31" i="36" s="1"/>
  <c r="C31" i="37"/>
  <c r="C31" i="36" s="1"/>
  <c r="G30" i="37"/>
  <c r="H30" i="37" s="1"/>
  <c r="F30" i="37"/>
  <c r="F30" i="36" s="1"/>
  <c r="D30" i="37"/>
  <c r="E30" i="37" s="1"/>
  <c r="E30" i="36" s="1"/>
  <c r="C30" i="37"/>
  <c r="C30" i="36" s="1"/>
  <c r="G29" i="37"/>
  <c r="H29" i="37" s="1"/>
  <c r="F29" i="37"/>
  <c r="F29" i="36" s="1"/>
  <c r="D29" i="37"/>
  <c r="D29" i="36" s="1"/>
  <c r="C29" i="37"/>
  <c r="C29" i="36" s="1"/>
  <c r="G28" i="37"/>
  <c r="H28" i="37" s="1"/>
  <c r="F28" i="37"/>
  <c r="F28" i="36" s="1"/>
  <c r="D28" i="37"/>
  <c r="C28" i="37"/>
  <c r="C28" i="36" s="1"/>
  <c r="G27" i="37"/>
  <c r="F27" i="37"/>
  <c r="F27" i="36" s="1"/>
  <c r="D27" i="37"/>
  <c r="C27" i="37"/>
  <c r="C27" i="36" s="1"/>
  <c r="G26" i="37"/>
  <c r="F26" i="37"/>
  <c r="F26" i="36" s="1"/>
  <c r="D26" i="37"/>
  <c r="C26" i="37"/>
  <c r="C26" i="36" s="1"/>
  <c r="G24" i="37"/>
  <c r="G24" i="36" s="1"/>
  <c r="F24" i="37"/>
  <c r="F24" i="36" s="1"/>
  <c r="D24" i="37"/>
  <c r="D24" i="36" s="1"/>
  <c r="C24" i="37"/>
  <c r="C24" i="36" s="1"/>
  <c r="G23" i="37"/>
  <c r="H23" i="37" s="1"/>
  <c r="F23" i="37"/>
  <c r="F23" i="36" s="1"/>
  <c r="D23" i="37"/>
  <c r="C23" i="37"/>
  <c r="C23" i="36" s="1"/>
  <c r="G22" i="37"/>
  <c r="H22" i="37" s="1"/>
  <c r="F22" i="37"/>
  <c r="F22" i="36" s="1"/>
  <c r="D22" i="37"/>
  <c r="C22" i="37"/>
  <c r="C22" i="36" s="1"/>
  <c r="G21" i="37"/>
  <c r="G21" i="36" s="1"/>
  <c r="F21" i="37"/>
  <c r="F21" i="36" s="1"/>
  <c r="D21" i="37"/>
  <c r="D21" i="36" s="1"/>
  <c r="C21" i="37"/>
  <c r="C21" i="36" s="1"/>
  <c r="G20" i="37"/>
  <c r="H20" i="37" s="1"/>
  <c r="F20" i="37"/>
  <c r="F20" i="36" s="1"/>
  <c r="D20" i="37"/>
  <c r="D20" i="36" s="1"/>
  <c r="C20" i="37"/>
  <c r="C20" i="36" s="1"/>
  <c r="G19" i="37"/>
  <c r="H19" i="37" s="1"/>
  <c r="F19" i="37"/>
  <c r="F19" i="36" s="1"/>
  <c r="D19" i="37"/>
  <c r="C19" i="37"/>
  <c r="C19" i="36" s="1"/>
  <c r="G10" i="37"/>
  <c r="G10" i="36" s="1"/>
  <c r="F10" i="37"/>
  <c r="F10" i="36" s="1"/>
  <c r="D10" i="37"/>
  <c r="D10" i="36" s="1"/>
  <c r="C10" i="37"/>
  <c r="C10" i="36" s="1"/>
  <c r="G9" i="37"/>
  <c r="H9" i="37" s="1"/>
  <c r="F9" i="37"/>
  <c r="F9" i="36" s="1"/>
  <c r="D9" i="37"/>
  <c r="E9" i="37" s="1"/>
  <c r="E9" i="36" s="1"/>
  <c r="C9" i="37"/>
  <c r="C9" i="36" s="1"/>
  <c r="G8" i="37"/>
  <c r="H8" i="37" s="1"/>
  <c r="F8" i="37"/>
  <c r="F8" i="36" s="1"/>
  <c r="D8" i="37"/>
  <c r="C8" i="37"/>
  <c r="C8" i="36" s="1"/>
  <c r="G7" i="37"/>
  <c r="H7" i="37" s="1"/>
  <c r="F7" i="37"/>
  <c r="F7" i="36" s="1"/>
  <c r="D7" i="37"/>
  <c r="D7" i="36" s="1"/>
  <c r="C7" i="37"/>
  <c r="C7" i="36" s="1"/>
  <c r="G6" i="37"/>
  <c r="F6" i="37"/>
  <c r="F6" i="36" s="1"/>
  <c r="D6" i="37"/>
  <c r="C6" i="37"/>
  <c r="C6" i="36" s="1"/>
  <c r="G5" i="37"/>
  <c r="F5" i="37"/>
  <c r="F5" i="36" s="1"/>
  <c r="D5" i="37"/>
  <c r="F8" i="35"/>
  <c r="C8" i="35"/>
  <c r="F7" i="35"/>
  <c r="C7" i="35"/>
  <c r="F6" i="35"/>
  <c r="D6" i="35"/>
  <c r="C6" i="35"/>
  <c r="C5" i="35"/>
  <c r="M10" i="35"/>
  <c r="K10" i="35"/>
  <c r="J10" i="35"/>
  <c r="M9" i="35"/>
  <c r="J9" i="35"/>
  <c r="M8" i="35"/>
  <c r="K8" i="35"/>
  <c r="J8" i="35"/>
  <c r="N7" i="35"/>
  <c r="M7" i="35"/>
  <c r="K7" i="35"/>
  <c r="J7" i="35"/>
  <c r="M6" i="35"/>
  <c r="K6" i="35"/>
  <c r="J6" i="35"/>
  <c r="E23" i="37" l="1"/>
  <c r="E23" i="36" s="1"/>
  <c r="O29" i="36"/>
  <c r="O45" i="36"/>
  <c r="E44" i="36"/>
  <c r="I9" i="37"/>
  <c r="H9" i="36" s="1"/>
  <c r="E40" i="36"/>
  <c r="E5" i="37"/>
  <c r="E5" i="36" s="1"/>
  <c r="E26" i="37"/>
  <c r="E26" i="36" s="1"/>
  <c r="E41" i="36"/>
  <c r="E45" i="36"/>
  <c r="N10" i="36"/>
  <c r="E28" i="37"/>
  <c r="E28" i="36" s="1"/>
  <c r="E13" i="36"/>
  <c r="E17" i="36"/>
  <c r="E15" i="36"/>
  <c r="E12" i="36"/>
  <c r="E14" i="36"/>
  <c r="E16" i="36"/>
  <c r="L8" i="36"/>
  <c r="H24" i="37"/>
  <c r="H21" i="37"/>
  <c r="E22" i="37"/>
  <c r="E22" i="36" s="1"/>
  <c r="E35" i="37"/>
  <c r="E35" i="36" s="1"/>
  <c r="L7" i="36"/>
  <c r="E27" i="37"/>
  <c r="E27" i="36" s="1"/>
  <c r="E34" i="37"/>
  <c r="E34" i="36" s="1"/>
  <c r="E36" i="37"/>
  <c r="E36" i="36" s="1"/>
  <c r="H10" i="37"/>
  <c r="G38" i="36"/>
  <c r="E8" i="35"/>
  <c r="E6" i="35"/>
  <c r="D23" i="36"/>
  <c r="N6" i="35"/>
  <c r="G30" i="36"/>
  <c r="G20" i="36"/>
  <c r="G22" i="36"/>
  <c r="G29" i="36"/>
  <c r="E7" i="37"/>
  <c r="E7" i="36" s="1"/>
  <c r="D8" i="35"/>
  <c r="D34" i="36"/>
  <c r="E19" i="37"/>
  <c r="E19" i="36" s="1"/>
  <c r="E21" i="37"/>
  <c r="E21" i="36" s="1"/>
  <c r="D9" i="36"/>
  <c r="D27" i="36"/>
  <c r="D37" i="36"/>
  <c r="E6" i="37"/>
  <c r="E6" i="36" s="1"/>
  <c r="D7" i="35"/>
  <c r="D22" i="36"/>
  <c r="D35" i="36"/>
  <c r="E8" i="37"/>
  <c r="E8" i="36" s="1"/>
  <c r="E33" i="37"/>
  <c r="E33" i="36" s="1"/>
  <c r="L5" i="36"/>
  <c r="D5" i="36"/>
  <c r="D6" i="36"/>
  <c r="D30" i="36"/>
  <c r="E20" i="37"/>
  <c r="E20" i="36" s="1"/>
  <c r="D8" i="36"/>
  <c r="D28" i="36"/>
  <c r="E29" i="37"/>
  <c r="E29" i="36" s="1"/>
  <c r="K9" i="35"/>
  <c r="D19" i="36"/>
  <c r="D26" i="36"/>
  <c r="D36" i="36"/>
  <c r="N10" i="35"/>
  <c r="H26" i="37"/>
  <c r="G26" i="36"/>
  <c r="G7" i="35"/>
  <c r="N9" i="35"/>
  <c r="H6" i="37"/>
  <c r="G6" i="36"/>
  <c r="H5" i="37"/>
  <c r="G5" i="36"/>
  <c r="G27" i="36"/>
  <c r="H27" i="37"/>
  <c r="N8" i="35"/>
  <c r="G8" i="35"/>
  <c r="G9" i="36"/>
  <c r="G35" i="36"/>
  <c r="N6" i="36"/>
  <c r="G34" i="36"/>
  <c r="G23" i="36"/>
  <c r="G33" i="36"/>
  <c r="N7" i="36"/>
  <c r="G31" i="36"/>
  <c r="N8" i="36"/>
  <c r="G6" i="35"/>
  <c r="G7" i="36"/>
  <c r="G19" i="36"/>
  <c r="G28" i="36"/>
  <c r="G37" i="36"/>
  <c r="N9" i="36"/>
  <c r="N5" i="36"/>
  <c r="G8" i="36"/>
  <c r="G36" i="36"/>
  <c r="L6" i="36"/>
  <c r="L10" i="36"/>
  <c r="E31" i="37"/>
  <c r="E31" i="36" s="1"/>
  <c r="E38" i="37"/>
  <c r="E38" i="36" s="1"/>
  <c r="E24" i="37"/>
  <c r="E24" i="36" s="1"/>
  <c r="I7" i="37"/>
  <c r="H7" i="36" s="1"/>
  <c r="I8" i="37"/>
  <c r="H8" i="36" s="1"/>
  <c r="I29" i="37"/>
  <c r="H29" i="36" s="1"/>
  <c r="I30" i="37"/>
  <c r="H30" i="36" s="1"/>
  <c r="I31" i="37"/>
  <c r="H31" i="36" s="1"/>
  <c r="I28" i="37"/>
  <c r="H28" i="36" s="1"/>
  <c r="I38" i="37"/>
  <c r="H38" i="36" s="1"/>
  <c r="I33" i="37"/>
  <c r="H33" i="36" s="1"/>
  <c r="I34" i="37"/>
  <c r="H34" i="36" s="1"/>
  <c r="I35" i="37"/>
  <c r="H35" i="36" s="1"/>
  <c r="I36" i="37"/>
  <c r="H36" i="36" s="1"/>
  <c r="I37" i="37"/>
  <c r="H37" i="36" s="1"/>
  <c r="I20" i="37"/>
  <c r="H20" i="36" s="1"/>
  <c r="I22" i="37"/>
  <c r="H22" i="36" s="1"/>
  <c r="I23" i="37"/>
  <c r="H23" i="36" s="1"/>
  <c r="I19" i="37"/>
  <c r="H19" i="36" s="1"/>
  <c r="E10" i="37"/>
  <c r="E10" i="36" s="1"/>
  <c r="L6" i="35"/>
  <c r="L8" i="35"/>
  <c r="L10" i="35"/>
  <c r="L7" i="35"/>
  <c r="O10" i="35"/>
  <c r="O9" i="35"/>
  <c r="I26" i="37" l="1"/>
  <c r="H26" i="36" s="1"/>
  <c r="I10" i="37"/>
  <c r="H10" i="36" s="1"/>
  <c r="I24" i="37"/>
  <c r="H24" i="36" s="1"/>
  <c r="I5" i="37"/>
  <c r="H5" i="36" s="1"/>
  <c r="I21" i="37"/>
  <c r="H21" i="36" s="1"/>
  <c r="O7" i="35"/>
  <c r="O6" i="35"/>
  <c r="I27" i="37"/>
  <c r="H27" i="36" s="1"/>
  <c r="I6" i="37"/>
  <c r="H6" i="36" s="1"/>
  <c r="O8" i="35"/>
  <c r="H7" i="35"/>
  <c r="H6" i="35"/>
  <c r="H8" i="35"/>
  <c r="O9" i="36"/>
  <c r="O6" i="36"/>
  <c r="O10" i="36"/>
  <c r="K10" i="36"/>
  <c r="K7" i="36"/>
  <c r="K6" i="36"/>
  <c r="O7" i="36"/>
  <c r="K8" i="36"/>
  <c r="O5" i="36"/>
  <c r="K5" i="36"/>
  <c r="K9" i="36"/>
  <c r="O8" i="36" l="1"/>
</calcChain>
</file>

<file path=xl/sharedStrings.xml><?xml version="1.0" encoding="utf-8"?>
<sst xmlns="http://schemas.openxmlformats.org/spreadsheetml/2006/main" count="798" uniqueCount="220">
  <si>
    <t>Bias</t>
  </si>
  <si>
    <t>RMSE</t>
  </si>
  <si>
    <t>$GLM$</t>
  </si>
  <si>
    <t>$IPS_{exp}$</t>
  </si>
  <si>
    <t>$IPS_{proj}$</t>
  </si>
  <si>
    <t>$IPS_{ind}$</t>
  </si>
  <si>
    <t>sample size n</t>
  </si>
  <si>
    <t>n</t>
  </si>
  <si>
    <t>ATE-bias-IPS-exp</t>
  </si>
  <si>
    <t>ATE-bias-IPS-ind</t>
  </si>
  <si>
    <t>ATE-bias-IPS-proj</t>
  </si>
  <si>
    <t>ATE-bias-GLM</t>
  </si>
  <si>
    <t>QTE-0.25-bias-IPS-exp</t>
  </si>
  <si>
    <t>QTE-0.25-bias-IPS-ind</t>
  </si>
  <si>
    <t>QTE-0.25-bias-IPS-proj</t>
  </si>
  <si>
    <t>QTE-0.25-bias-GLM</t>
  </si>
  <si>
    <t>QTE-0.5-bias-IPS-exp</t>
  </si>
  <si>
    <t>QTE-0.5-bias-IPS-ind</t>
  </si>
  <si>
    <t>QTE-0.5-bias-IPS-proj</t>
  </si>
  <si>
    <t>QTE-0.5-bias-GLM</t>
  </si>
  <si>
    <t>QTE-0.75-bias-IPS-exp</t>
  </si>
  <si>
    <t>QTE-0.75-bias-IPS-ind</t>
  </si>
  <si>
    <t>QTE-0.75-bias-IPS-proj</t>
  </si>
  <si>
    <t>QTE-0.75-bias-GLM</t>
  </si>
  <si>
    <t>ATE-RMSE-IPS-exp</t>
  </si>
  <si>
    <t>ATE-RMSE-IPS-ind</t>
  </si>
  <si>
    <t>ATE-RMSE-IPS-proj</t>
  </si>
  <si>
    <t>ATE-RMSE-GLM</t>
  </si>
  <si>
    <t>QTE-0.25-RMSE-IPS-exp</t>
  </si>
  <si>
    <t>QTE-0.25-RMSE-IPS-ind</t>
  </si>
  <si>
    <t>QTE-0.25-RMSE-IPS-proj</t>
  </si>
  <si>
    <t>QTE-0.25-RMSE-GLM</t>
  </si>
  <si>
    <t>QTE-0.5-RMSE-IPS-exp</t>
  </si>
  <si>
    <t>QTE-0.5-RMSE-IPS-ind</t>
  </si>
  <si>
    <t>QTE-0.5-RMSE-IPS-proj</t>
  </si>
  <si>
    <t>QTE-0.5-RMSE-GLM</t>
  </si>
  <si>
    <t>QTE-0.75-RMSE-IPS-exp</t>
  </si>
  <si>
    <t>QTE-0.75-RMSE-IPS-ind</t>
  </si>
  <si>
    <t>QTE-0.75-RMSE-IPS-proj</t>
  </si>
  <si>
    <t>QTE-0.75-RMSE-GLM</t>
  </si>
  <si>
    <t>ATE-Empcov-IPS-exp</t>
  </si>
  <si>
    <t>ATE-Empcov-IPS-ind</t>
  </si>
  <si>
    <t>ATE-Empcov-IPS-proj</t>
  </si>
  <si>
    <t>ATE-Empcov-GLM</t>
  </si>
  <si>
    <t>QTE-0.25-Empcov-IPS-exp</t>
  </si>
  <si>
    <t>QTE-0.25-Empcov-IPS-ind</t>
  </si>
  <si>
    <t>QTE-0.25-Empcov-IPS-proj</t>
  </si>
  <si>
    <t>QTE-0.25-Empcov-GLM</t>
  </si>
  <si>
    <t>CI length</t>
  </si>
  <si>
    <t>95% Cov.</t>
  </si>
  <si>
    <t>QTE-0.5-Empcov-IPS-exp</t>
  </si>
  <si>
    <t>QTE-0.5-Empcov-IPS-ind</t>
  </si>
  <si>
    <t>QTE-0.5-Empcov-IPS-proj</t>
  </si>
  <si>
    <t>QTE-0.5-Empcov-GLM</t>
  </si>
  <si>
    <t>QTE-0.75-Empcov-IPS-exp</t>
  </si>
  <si>
    <t>QTE-0.75-Empcov-IPS-ind</t>
  </si>
  <si>
    <t>QTE-0.75-Empcov-IPS-proj</t>
  </si>
  <si>
    <t>QTE-0.75-Empcov-GLM</t>
  </si>
  <si>
    <t>ATE</t>
  </si>
  <si>
    <t>QTE-0.25</t>
  </si>
  <si>
    <t>QTE-0.5</t>
  </si>
  <si>
    <t>Correctly Specified</t>
  </si>
  <si>
    <t>QTE-0.75</t>
  </si>
  <si>
    <t>QTE-0.1-Empcov-IPS-exp</t>
  </si>
  <si>
    <t>QTE-0.1-Empcov-IPS-ind</t>
  </si>
  <si>
    <t>QTE-0.1-Empcov-IPS-proj</t>
  </si>
  <si>
    <t>QTE-0.1-Empcov-GLM</t>
  </si>
  <si>
    <t>QTE-0.9-Empcov-IPS-exp</t>
  </si>
  <si>
    <t>QTE-0.9-Empcov-IPS-ind</t>
  </si>
  <si>
    <t>QTE-0.9-Empcov-IPS-proj</t>
  </si>
  <si>
    <t>QTE-0.9-Empcov-GLM</t>
  </si>
  <si>
    <t>Misspecified</t>
  </si>
  <si>
    <t>QTE-0.10-bias-IPS-exp</t>
  </si>
  <si>
    <t>QTE-0.10-bias-IPS-ind</t>
  </si>
  <si>
    <t>QTE-0.10-bias-IPS-proj</t>
  </si>
  <si>
    <t>QTE-0.10-bias-GLM</t>
  </si>
  <si>
    <t>QTE-0.9-bias-IPS-exp</t>
  </si>
  <si>
    <t>QTE-0.9-bias-IPS-ind</t>
  </si>
  <si>
    <t>QTE-0.9-bias-IPS-proj</t>
  </si>
  <si>
    <t>QTE-0.9-bias-GLM</t>
  </si>
  <si>
    <t>QTE-0.10-RMSE-IPS-exp</t>
  </si>
  <si>
    <t>QTE-0.10-RMSE-IPS-ind</t>
  </si>
  <si>
    <t>QTE-0.10-RMSE-IPS-proj</t>
  </si>
  <si>
    <t>QTE-0.10-RMSE-GLM</t>
  </si>
  <si>
    <t>QTE-0.9-RMSE-IPS-exp</t>
  </si>
  <si>
    <t>QTE-0.9-RMSE-IPS-ind</t>
  </si>
  <si>
    <t>QTE-0.9-RMSE-IPS-proj</t>
  </si>
  <si>
    <t>QTE-0.9-RMSE-GLM</t>
  </si>
  <si>
    <t>$CBPS-1$</t>
  </si>
  <si>
    <t>$CBPS-2$</t>
  </si>
  <si>
    <t>Rel. MSE</t>
  </si>
  <si>
    <t>ARE</t>
  </si>
  <si>
    <t>ATE-Empcov-CBPS-Just</t>
  </si>
  <si>
    <t>ATE-Empcov-CBPS-over</t>
  </si>
  <si>
    <t>QTE-0.1-Empcov-CBPS-Just</t>
  </si>
  <si>
    <t>QTE-0.1-Empcov-CBPS-over</t>
  </si>
  <si>
    <t>QTE-0.25-Empcov-CBPS-Just</t>
  </si>
  <si>
    <t>QTE-0.25-Empcov-CBPS-over</t>
  </si>
  <si>
    <t>QTE-0.5-Empcov-CBPS-Just</t>
  </si>
  <si>
    <t>QTE-0.5-Empcov-CBPS-over</t>
  </si>
  <si>
    <t>QTE-0.75-Empcov-CBPS-Just</t>
  </si>
  <si>
    <t>QTE-0.75-Empcov-CBPS-over</t>
  </si>
  <si>
    <t>QTE-0.9-Empcov-CBPS-Just</t>
  </si>
  <si>
    <t>QTE-0.9-Empcov-CBPS-over</t>
  </si>
  <si>
    <t>ATE-ASSD-IPS-exp</t>
  </si>
  <si>
    <t>ATE-ASSD-IPS-ind</t>
  </si>
  <si>
    <t>ATE-ASSD-IPS-proj</t>
  </si>
  <si>
    <t>ATE-ASSD-CBPS-Just</t>
  </si>
  <si>
    <t>ATE-ASSD-CBPS-over</t>
  </si>
  <si>
    <t>ATE-ASSD-GLM</t>
  </si>
  <si>
    <t>QTE-0.1-ASSD-IPS-exp</t>
  </si>
  <si>
    <t>QTE-0.1-ASSD-IPS-ind</t>
  </si>
  <si>
    <t>QTE-0.1-ASSD-IPS-proj</t>
  </si>
  <si>
    <t>QTE-0.1-ASSD-CBPS-Just</t>
  </si>
  <si>
    <t>QTE-0.1-ASSD-CBPS-over</t>
  </si>
  <si>
    <t>QTE-0.1-ASSD-GLM</t>
  </si>
  <si>
    <t>QTE-0.25-ASSD-IPS-exp</t>
  </si>
  <si>
    <t>QTE-0.25-ASSD-IPS-ind</t>
  </si>
  <si>
    <t>QTE-0.25-ASSD-IPS-proj</t>
  </si>
  <si>
    <t>QTE-0.25-ASSD-CBPS-Just</t>
  </si>
  <si>
    <t>QTE-0.25-ASSD-CBPS-over</t>
  </si>
  <si>
    <t>QTE-0.25-ASSD-GLM</t>
  </si>
  <si>
    <t>QTE-0.5-ASSD-IPS-exp</t>
  </si>
  <si>
    <t>QTE-0.5-ASSD-IPS-ind</t>
  </si>
  <si>
    <t>QTE-0.5-ASSD-IPS-proj</t>
  </si>
  <si>
    <t>QTE-0.5-ASSD-CBPS-Just</t>
  </si>
  <si>
    <t>QTE-0.5-ASSD-CBPS-over</t>
  </si>
  <si>
    <t>QTE-0.5-ASSD-GLM</t>
  </si>
  <si>
    <t>QTE-0.75-ASSD-IPS-exp</t>
  </si>
  <si>
    <t>QTE-0.75-ASSD-IPS-ind</t>
  </si>
  <si>
    <t>QTE-0.75-ASSD-IPS-proj</t>
  </si>
  <si>
    <t>QTE-0.75-ASSD-CBPS-Just</t>
  </si>
  <si>
    <t>QTE-0.75-ASSD-CBPS-over</t>
  </si>
  <si>
    <t>QTE-0.75-ASSD-GLM</t>
  </si>
  <si>
    <t>QTE-0.9-ASSD-IPS-exp</t>
  </si>
  <si>
    <t>QTE-0.9-ASSD-IPS-ind</t>
  </si>
  <si>
    <t>QTE-0.9-ASSD-IPS-proj</t>
  </si>
  <si>
    <t>QTE-0.9-ASSD-CBPS-Just</t>
  </si>
  <si>
    <t>QTE-0.9-ASSD-CBPS-over</t>
  </si>
  <si>
    <t>QTE-0.9-ASSD-GLM</t>
  </si>
  <si>
    <t>ATE-bias-CBPS-just</t>
  </si>
  <si>
    <t>ATE-bias-CBPS-over</t>
  </si>
  <si>
    <t>QTE-0.10-bias-CBPS-Just</t>
  </si>
  <si>
    <t>QTE-0.10-bias-CBPS-over</t>
  </si>
  <si>
    <t>QTE-0.25-bias-CBPS-Just</t>
  </si>
  <si>
    <t>QTE-0.25-bias-CBPS-over</t>
  </si>
  <si>
    <t>QTE-0.5-bias-CBPS-Just</t>
  </si>
  <si>
    <t>QTE-0.5-bias-CBPS-over</t>
  </si>
  <si>
    <t>QTE-0.75-bias-CBPS-Just</t>
  </si>
  <si>
    <t>QTE-0.75-bias-CBPS-over</t>
  </si>
  <si>
    <t>QTE-0.9-bias-CBPS-Just</t>
  </si>
  <si>
    <t>QTE-0.9-bias-CBPS-over</t>
  </si>
  <si>
    <t>ATE-RMSE-CBPS-Just</t>
  </si>
  <si>
    <t>ATE-RMSE-CBPS-over</t>
  </si>
  <si>
    <t>QTE-0.10-RMSE-CBPS-Just</t>
  </si>
  <si>
    <t>QTE-0.10-RMSE-CBPS-over</t>
  </si>
  <si>
    <t>QTE-0.25-RMSE-CBPS-Just</t>
  </si>
  <si>
    <t>QTE-0.25-RMSE-CBPS-over</t>
  </si>
  <si>
    <t>QTE-0.5-RMSE-CBPS-Just</t>
  </si>
  <si>
    <t>QTE-0.5-RMSE-CBPS-over</t>
  </si>
  <si>
    <t>QTE-0.75-RMSE-CBPS-Just</t>
  </si>
  <si>
    <t>QTE-0.75-RMSE-CBPS-over</t>
  </si>
  <si>
    <t>QTE-0.9-RMSE-CBPS-Just</t>
  </si>
  <si>
    <t>QTE-0.9-RMSE-CBPS-over</t>
  </si>
  <si>
    <t>Asy. Std Dev</t>
  </si>
  <si>
    <t>n=200 correctly specified row</t>
  </si>
  <si>
    <t>n=200 misspecified specified row</t>
  </si>
  <si>
    <t>relMSE</t>
  </si>
  <si>
    <t>nrep</t>
  </si>
  <si>
    <t>dgp (1: correct, 2:misspec)</t>
  </si>
  <si>
    <t>ks-IPS-exp</t>
  </si>
  <si>
    <t>ks-IPS-ind</t>
  </si>
  <si>
    <t>ks-IPS-proj</t>
  </si>
  <si>
    <t>ks-CBPS-Just</t>
  </si>
  <si>
    <t>ks-CBPS-over</t>
  </si>
  <si>
    <t>ks-GLM</t>
  </si>
  <si>
    <t>ks-IPS-exp_1</t>
  </si>
  <si>
    <t>ks-IPS-ind_1</t>
  </si>
  <si>
    <t>ks-IPS-proj_1</t>
  </si>
  <si>
    <t>ks-CBPS-Just_1</t>
  </si>
  <si>
    <t>ks-CBPS-over_1</t>
  </si>
  <si>
    <t>ks-GLM_1</t>
  </si>
  <si>
    <t>ks-IPS-exp_0</t>
  </si>
  <si>
    <t>ks-IPS-ind_0</t>
  </si>
  <si>
    <t>ks-IPS-proj_0</t>
  </si>
  <si>
    <t>ks-CBPS-Just_0</t>
  </si>
  <si>
    <t>ks-CBPS-over_0</t>
  </si>
  <si>
    <t>ks-GLM_0</t>
  </si>
  <si>
    <t>cvm-IPS-exp</t>
  </si>
  <si>
    <t>cvm-IPS-ind</t>
  </si>
  <si>
    <t>cvm-IPS-proj</t>
  </si>
  <si>
    <t>cvm-CBPS-Just</t>
  </si>
  <si>
    <t>cvm-CBPS-over</t>
  </si>
  <si>
    <t>cvm-GLM</t>
  </si>
  <si>
    <t>cvm-IPS-exp_1</t>
  </si>
  <si>
    <t>cvm-IPS-ind_1</t>
  </si>
  <si>
    <t>cvm-IPS-proj_1</t>
  </si>
  <si>
    <t>cvm-CBPS-Just_1</t>
  </si>
  <si>
    <t>cvm-CBPS-over_1</t>
  </si>
  <si>
    <t>cvm-GLM_1</t>
  </si>
  <si>
    <t>cvm-IPS-exp_0</t>
  </si>
  <si>
    <t>cvm-IPS-ind_0</t>
  </si>
  <si>
    <t>cvm-IPS-proj_0</t>
  </si>
  <si>
    <t>cvm-CBPS-Just_0</t>
  </si>
  <si>
    <t>cvm-CBPS-over_0</t>
  </si>
  <si>
    <t>cvm-GLM_0</t>
  </si>
  <si>
    <t>QTE-0.10</t>
  </si>
  <si>
    <t>QTE-0.90</t>
  </si>
  <si>
    <t>KS_bal</t>
  </si>
  <si>
    <t>CvM_bal</t>
  </si>
  <si>
    <t>KS_bal1</t>
  </si>
  <si>
    <t>CvM_bal1</t>
  </si>
  <si>
    <t>KS_bal0</t>
  </si>
  <si>
    <t>CvM_bal0</t>
  </si>
  <si>
    <t>n=500 correctly specified row</t>
  </si>
  <si>
    <t>n=500 misspecified specified row</t>
  </si>
  <si>
    <t>n=1000 correctly specified row</t>
  </si>
  <si>
    <t>n=1000 misspecified specified row</t>
  </si>
  <si>
    <t>Absolute Distributional Imbalance</t>
  </si>
  <si>
    <t>Relative Distributional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</si>
</sst>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0" xfId="0" applyFill="1" applyBorder="1"/>
    <xf numFmtId="0" fontId="0" fillId="0" borderId="0" xfId="0" applyFill="1" applyBorder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6" fillId="33" borderId="0" xfId="0" applyFont="1" applyFill="1"/>
    <xf numFmtId="0" fontId="0" fillId="0" borderId="0" xfId="0" applyFill="1" applyAlignment="1">
      <alignment horizontal="center"/>
    </xf>
    <xf numFmtId="2" fontId="0" fillId="0" borderId="0" xfId="0" applyNumberFormat="1"/>
    <xf numFmtId="164" fontId="0" fillId="0" borderId="10" xfId="0" applyNumberFormat="1" applyBorder="1"/>
    <xf numFmtId="2" fontId="0" fillId="0" borderId="10" xfId="0" applyNumberFormat="1" applyBorder="1"/>
    <xf numFmtId="1" fontId="0" fillId="0" borderId="0" xfId="0" applyNumberFormat="1" applyFill="1"/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"/>
  <sheetViews>
    <sheetView workbookViewId="0">
      <selection sqref="A1:BX7"/>
    </sheetView>
  </sheetViews>
  <sheetFormatPr defaultRowHeight="15" x14ac:dyDescent="0.25"/>
  <sheetData>
    <row r="1" spans="1:76" x14ac:dyDescent="0.25">
      <c r="B1" t="s">
        <v>168</v>
      </c>
      <c r="C1" t="s">
        <v>7</v>
      </c>
      <c r="D1" t="s">
        <v>169</v>
      </c>
      <c r="E1" t="s">
        <v>40</v>
      </c>
      <c r="F1" t="s">
        <v>41</v>
      </c>
      <c r="G1" t="s">
        <v>42</v>
      </c>
      <c r="H1" t="s">
        <v>92</v>
      </c>
      <c r="I1" t="s">
        <v>93</v>
      </c>
      <c r="J1" t="s">
        <v>43</v>
      </c>
      <c r="K1" t="s">
        <v>63</v>
      </c>
      <c r="L1" t="s">
        <v>64</v>
      </c>
      <c r="M1" t="s">
        <v>65</v>
      </c>
      <c r="N1" t="s">
        <v>94</v>
      </c>
      <c r="O1" t="s">
        <v>95</v>
      </c>
      <c r="P1" t="s">
        <v>66</v>
      </c>
      <c r="Q1" t="s">
        <v>44</v>
      </c>
      <c r="R1" t="s">
        <v>45</v>
      </c>
      <c r="S1" t="s">
        <v>46</v>
      </c>
      <c r="T1" t="s">
        <v>96</v>
      </c>
      <c r="U1" t="s">
        <v>97</v>
      </c>
      <c r="V1" t="s">
        <v>47</v>
      </c>
      <c r="W1" t="s">
        <v>50</v>
      </c>
      <c r="X1" t="s">
        <v>51</v>
      </c>
      <c r="Y1" t="s">
        <v>52</v>
      </c>
      <c r="Z1" t="s">
        <v>98</v>
      </c>
      <c r="AA1" t="s">
        <v>99</v>
      </c>
      <c r="AB1" t="s">
        <v>53</v>
      </c>
      <c r="AC1" t="s">
        <v>54</v>
      </c>
      <c r="AD1" t="s">
        <v>55</v>
      </c>
      <c r="AE1" t="s">
        <v>56</v>
      </c>
      <c r="AF1" t="s">
        <v>100</v>
      </c>
      <c r="AG1" t="s">
        <v>101</v>
      </c>
      <c r="AH1" t="s">
        <v>57</v>
      </c>
      <c r="AI1" t="s">
        <v>67</v>
      </c>
      <c r="AJ1" t="s">
        <v>68</v>
      </c>
      <c r="AK1" t="s">
        <v>69</v>
      </c>
      <c r="AL1" t="s">
        <v>102</v>
      </c>
      <c r="AM1" t="s">
        <v>103</v>
      </c>
      <c r="AN1" t="s">
        <v>70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</row>
    <row r="2" spans="1:76" x14ac:dyDescent="0.25">
      <c r="A2">
        <v>1</v>
      </c>
      <c r="B2">
        <v>1000</v>
      </c>
      <c r="C2">
        <v>200</v>
      </c>
      <c r="D2">
        <v>1</v>
      </c>
      <c r="E2">
        <v>0.94299999999999995</v>
      </c>
      <c r="F2">
        <v>0.89690721649484495</v>
      </c>
      <c r="G2">
        <v>0.92800000000000005</v>
      </c>
      <c r="H2">
        <v>0.90200000000000002</v>
      </c>
      <c r="I2">
        <v>0.97799999999999998</v>
      </c>
      <c r="J2">
        <v>0.92100000000000004</v>
      </c>
      <c r="K2">
        <v>0.93500000000000005</v>
      </c>
      <c r="L2">
        <v>0.95154639175257705</v>
      </c>
      <c r="M2">
        <v>0.93200000000000005</v>
      </c>
      <c r="N2">
        <v>0.94299999999999995</v>
      </c>
      <c r="O2">
        <v>0.95599999999999996</v>
      </c>
      <c r="P2">
        <v>0.93600000000000005</v>
      </c>
      <c r="Q2">
        <v>0.95299999999999996</v>
      </c>
      <c r="R2">
        <v>0.94948453608247396</v>
      </c>
      <c r="S2">
        <v>0.94399999999999995</v>
      </c>
      <c r="T2">
        <v>0.95099999999999996</v>
      </c>
      <c r="U2">
        <v>0.96699999999999997</v>
      </c>
      <c r="V2">
        <v>0.94799999999999995</v>
      </c>
      <c r="W2">
        <v>0.95</v>
      </c>
      <c r="X2">
        <v>0.92577319587628903</v>
      </c>
      <c r="Y2">
        <v>0.93600000000000005</v>
      </c>
      <c r="Z2">
        <v>0.94299999999999995</v>
      </c>
      <c r="AA2">
        <v>0.97199999999999998</v>
      </c>
      <c r="AB2">
        <v>0.94</v>
      </c>
      <c r="AC2">
        <v>0.93400000000000005</v>
      </c>
      <c r="AD2">
        <v>0.83505154639175305</v>
      </c>
      <c r="AE2">
        <v>0.91900000000000004</v>
      </c>
      <c r="AF2">
        <v>0.91700000000000004</v>
      </c>
      <c r="AG2">
        <v>0.96899999999999997</v>
      </c>
      <c r="AH2">
        <v>0.92300000000000004</v>
      </c>
      <c r="AI2">
        <v>0.90200000000000002</v>
      </c>
      <c r="AJ2">
        <v>0.73608247422680395</v>
      </c>
      <c r="AK2">
        <v>0.88300000000000001</v>
      </c>
      <c r="AL2">
        <v>0.84599999999999997</v>
      </c>
      <c r="AM2">
        <v>0.93500000000000005</v>
      </c>
      <c r="AN2">
        <v>0.84599999999999997</v>
      </c>
      <c r="AO2">
        <v>96.199834516864001</v>
      </c>
      <c r="AP2">
        <v>95.9012418868016</v>
      </c>
      <c r="AQ2">
        <v>90.7431260897215</v>
      </c>
      <c r="AR2">
        <v>93.054816895476307</v>
      </c>
      <c r="AS2">
        <v>131.718923226106</v>
      </c>
      <c r="AT2">
        <v>108.999002678731</v>
      </c>
      <c r="AU2">
        <v>105.969139312507</v>
      </c>
      <c r="AV2">
        <v>137.55896770017699</v>
      </c>
      <c r="AW2">
        <v>104.780880656028</v>
      </c>
      <c r="AX2">
        <v>101.778456810519</v>
      </c>
      <c r="AY2">
        <v>108.358904479119</v>
      </c>
      <c r="AZ2">
        <v>103.34111040774999</v>
      </c>
      <c r="BA2">
        <v>98.694042285541599</v>
      </c>
      <c r="BB2">
        <v>117.543594181546</v>
      </c>
      <c r="BC2">
        <v>96.679470476388602</v>
      </c>
      <c r="BD2">
        <v>95.596939252982096</v>
      </c>
      <c r="BE2">
        <v>104.73304305100299</v>
      </c>
      <c r="BF2">
        <v>99.396005108742301</v>
      </c>
      <c r="BG2">
        <v>104.716029900378</v>
      </c>
      <c r="BH2">
        <v>110.693960860403</v>
      </c>
      <c r="BI2">
        <v>100.939945815839</v>
      </c>
      <c r="BJ2">
        <v>105.504826885876</v>
      </c>
      <c r="BK2">
        <v>117.73971332257599</v>
      </c>
      <c r="BL2">
        <v>113.510732941795</v>
      </c>
      <c r="BM2">
        <v>130.59139252238199</v>
      </c>
      <c r="BN2">
        <v>120.586217940618</v>
      </c>
      <c r="BO2">
        <v>123.30883781048099</v>
      </c>
      <c r="BP2">
        <v>136.048590359717</v>
      </c>
      <c r="BQ2">
        <v>154.62230502006099</v>
      </c>
      <c r="BR2">
        <v>158.10259673870701</v>
      </c>
      <c r="BS2">
        <v>223.989378503381</v>
      </c>
      <c r="BT2">
        <v>151.56803599617899</v>
      </c>
      <c r="BU2">
        <v>194.191247124169</v>
      </c>
      <c r="BV2">
        <v>235.12975050685299</v>
      </c>
      <c r="BW2">
        <v>247.052565181728</v>
      </c>
      <c r="BX2">
        <v>268.93253655258098</v>
      </c>
    </row>
    <row r="3" spans="1:76" x14ac:dyDescent="0.25">
      <c r="A3">
        <v>2</v>
      </c>
      <c r="B3">
        <v>1000</v>
      </c>
      <c r="C3">
        <v>200</v>
      </c>
      <c r="D3">
        <v>2</v>
      </c>
      <c r="E3">
        <v>0.97199999999999998</v>
      </c>
      <c r="F3">
        <v>0.93186372745490997</v>
      </c>
      <c r="G3">
        <v>0.97613882863340595</v>
      </c>
      <c r="H3">
        <v>0.81599999999999995</v>
      </c>
      <c r="I3">
        <v>0.92200000000000004</v>
      </c>
      <c r="J3">
        <v>0.81699999999999995</v>
      </c>
      <c r="K3">
        <v>0.94099999999999995</v>
      </c>
      <c r="L3">
        <v>0.91382765531062105</v>
      </c>
      <c r="M3">
        <v>0.95770065075921895</v>
      </c>
      <c r="N3">
        <v>0.93799999999999994</v>
      </c>
      <c r="O3">
        <v>0.95599999999999996</v>
      </c>
      <c r="P3">
        <v>0.93200000000000005</v>
      </c>
      <c r="Q3">
        <v>0.95599999999999996</v>
      </c>
      <c r="R3">
        <v>0.92484969939879802</v>
      </c>
      <c r="S3">
        <v>0.97180043383947901</v>
      </c>
      <c r="T3">
        <v>0.93799999999999994</v>
      </c>
      <c r="U3">
        <v>0.95699999999999996</v>
      </c>
      <c r="V3">
        <v>0.94</v>
      </c>
      <c r="W3">
        <v>0.97199999999999998</v>
      </c>
      <c r="X3">
        <v>0.93687374749498997</v>
      </c>
      <c r="Y3">
        <v>0.97613882863340595</v>
      </c>
      <c r="Z3">
        <v>0.92300000000000004</v>
      </c>
      <c r="AA3">
        <v>0.95199999999999996</v>
      </c>
      <c r="AB3">
        <v>0.91</v>
      </c>
      <c r="AC3">
        <v>0.95199999999999996</v>
      </c>
      <c r="AD3">
        <v>0.920841683366733</v>
      </c>
      <c r="AE3">
        <v>0.96746203904555295</v>
      </c>
      <c r="AF3">
        <v>0.86799999999999999</v>
      </c>
      <c r="AG3">
        <v>0.92200000000000004</v>
      </c>
      <c r="AH3">
        <v>0.83499999999999996</v>
      </c>
      <c r="AI3">
        <v>0.86599999999999999</v>
      </c>
      <c r="AJ3">
        <v>0.89078156312625201</v>
      </c>
      <c r="AK3">
        <v>0.93926247288503295</v>
      </c>
      <c r="AL3">
        <v>0.74299999999999999</v>
      </c>
      <c r="AM3">
        <v>0.83399999999999996</v>
      </c>
      <c r="AN3">
        <v>0.72399999999999998</v>
      </c>
      <c r="AO3">
        <v>115.73678944520699</v>
      </c>
      <c r="AP3">
        <v>109.12790117304</v>
      </c>
      <c r="AQ3">
        <v>134.23251916449499</v>
      </c>
      <c r="AR3">
        <v>97.997778851358603</v>
      </c>
      <c r="AS3">
        <v>134.36574370938101</v>
      </c>
      <c r="AT3">
        <v>116.781948210103</v>
      </c>
      <c r="AU3">
        <v>105.417742725244</v>
      </c>
      <c r="AV3">
        <v>127.283979645561</v>
      </c>
      <c r="AW3">
        <v>145.552903600463</v>
      </c>
      <c r="AX3">
        <v>102.477059542207</v>
      </c>
      <c r="AY3">
        <v>106.84759107901699</v>
      </c>
      <c r="AZ3">
        <v>108.944243985307</v>
      </c>
      <c r="BA3">
        <v>100.20685252751601</v>
      </c>
      <c r="BB3">
        <v>112.042128612494</v>
      </c>
      <c r="BC3">
        <v>126.989634907164</v>
      </c>
      <c r="BD3">
        <v>96.391131242071793</v>
      </c>
      <c r="BE3">
        <v>102.932616707482</v>
      </c>
      <c r="BF3">
        <v>109.289052755258</v>
      </c>
      <c r="BG3">
        <v>109.02505505161</v>
      </c>
      <c r="BH3">
        <v>112.026363102446</v>
      </c>
      <c r="BI3">
        <v>124.24515080603599</v>
      </c>
      <c r="BJ3">
        <v>105.286700388436</v>
      </c>
      <c r="BK3">
        <v>116.002859680722</v>
      </c>
      <c r="BL3">
        <v>127.79077664693401</v>
      </c>
      <c r="BM3">
        <v>138.01139712986401</v>
      </c>
      <c r="BN3">
        <v>132.047504400408</v>
      </c>
      <c r="BO3">
        <v>169.56332391827399</v>
      </c>
      <c r="BP3">
        <v>133.27405839652201</v>
      </c>
      <c r="BQ3">
        <v>149.740027005049</v>
      </c>
      <c r="BR3">
        <v>154.42129107257099</v>
      </c>
      <c r="BS3">
        <v>174.83741297809601</v>
      </c>
      <c r="BT3">
        <v>177.828073707898</v>
      </c>
      <c r="BU3">
        <v>257.83769952692001</v>
      </c>
      <c r="BV3">
        <v>158.34248356916501</v>
      </c>
      <c r="BW3">
        <v>182.553815225047</v>
      </c>
      <c r="BX3">
        <v>157.999464053862</v>
      </c>
    </row>
    <row r="4" spans="1:76" x14ac:dyDescent="0.25">
      <c r="A4">
        <v>3</v>
      </c>
      <c r="B4">
        <v>1000</v>
      </c>
      <c r="C4">
        <v>500</v>
      </c>
      <c r="D4">
        <v>1</v>
      </c>
      <c r="E4">
        <v>0.95399999999999996</v>
      </c>
      <c r="F4">
        <v>0.72372372372372396</v>
      </c>
      <c r="G4">
        <v>0.94</v>
      </c>
      <c r="H4">
        <v>0.93200000000000005</v>
      </c>
      <c r="I4">
        <v>0.98299999999999998</v>
      </c>
      <c r="J4">
        <v>0.94399999999999995</v>
      </c>
      <c r="K4">
        <v>0.95099999999999996</v>
      </c>
      <c r="L4">
        <v>0.91891891891891897</v>
      </c>
      <c r="M4">
        <v>0.94699999999999995</v>
      </c>
      <c r="N4">
        <v>0.94399999999999995</v>
      </c>
      <c r="O4">
        <v>0.95399999999999996</v>
      </c>
      <c r="P4">
        <v>0.94399999999999995</v>
      </c>
      <c r="Q4">
        <v>0.95</v>
      </c>
      <c r="R4">
        <v>0.89789789789789798</v>
      </c>
      <c r="S4">
        <v>0.94899999999999995</v>
      </c>
      <c r="T4">
        <v>0.94699999999999995</v>
      </c>
      <c r="U4">
        <v>0.96099999999999997</v>
      </c>
      <c r="V4">
        <v>0.94299999999999995</v>
      </c>
      <c r="W4">
        <v>0.94899999999999995</v>
      </c>
      <c r="X4">
        <v>0.84684684684684697</v>
      </c>
      <c r="Y4">
        <v>0.94599999999999995</v>
      </c>
      <c r="Z4">
        <v>0.94699999999999995</v>
      </c>
      <c r="AA4">
        <v>0.98099999999999998</v>
      </c>
      <c r="AB4">
        <v>0.95699999999999996</v>
      </c>
      <c r="AC4">
        <v>0.93700000000000006</v>
      </c>
      <c r="AD4">
        <v>0.69169169169169198</v>
      </c>
      <c r="AE4">
        <v>0.93</v>
      </c>
      <c r="AF4">
        <v>0.93400000000000005</v>
      </c>
      <c r="AG4">
        <v>0.97299999999999998</v>
      </c>
      <c r="AH4">
        <v>0.94199999999999995</v>
      </c>
      <c r="AI4">
        <v>0.94</v>
      </c>
      <c r="AJ4">
        <v>0.64864864864864902</v>
      </c>
      <c r="AK4">
        <v>0.92900000000000005</v>
      </c>
      <c r="AL4">
        <v>0.92200000000000004</v>
      </c>
      <c r="AM4">
        <v>0.96299999999999997</v>
      </c>
      <c r="AN4">
        <v>0.92</v>
      </c>
      <c r="AO4">
        <v>101.282591626718</v>
      </c>
      <c r="AP4">
        <v>92.2339358976037</v>
      </c>
      <c r="AQ4">
        <v>97.127481936902697</v>
      </c>
      <c r="AR4">
        <v>100.32434967914099</v>
      </c>
      <c r="AS4">
        <v>134.25079166264899</v>
      </c>
      <c r="AT4">
        <v>116.950857764818</v>
      </c>
      <c r="AU4">
        <v>104.23064975378</v>
      </c>
      <c r="AV4">
        <v>117.765055745035</v>
      </c>
      <c r="AW4">
        <v>103.710919352129</v>
      </c>
      <c r="AX4">
        <v>100.146484040145</v>
      </c>
      <c r="AY4">
        <v>106.290411750789</v>
      </c>
      <c r="AZ4">
        <v>101.593276360411</v>
      </c>
      <c r="BA4">
        <v>97.880214425873604</v>
      </c>
      <c r="BB4">
        <v>107.08717038048501</v>
      </c>
      <c r="BC4">
        <v>96.863333323907597</v>
      </c>
      <c r="BD4">
        <v>94.627708406138098</v>
      </c>
      <c r="BE4">
        <v>103.079218450211</v>
      </c>
      <c r="BF4">
        <v>97.851723811811993</v>
      </c>
      <c r="BG4">
        <v>105.924991954026</v>
      </c>
      <c r="BH4">
        <v>106.558332332821</v>
      </c>
      <c r="BI4">
        <v>103.369049301066</v>
      </c>
      <c r="BJ4">
        <v>105.825690767179</v>
      </c>
      <c r="BK4">
        <v>117.58762657042</v>
      </c>
      <c r="BL4">
        <v>112.817845980117</v>
      </c>
      <c r="BM4">
        <v>135.25473871864901</v>
      </c>
      <c r="BN4">
        <v>121.516834807279</v>
      </c>
      <c r="BO4">
        <v>129.98520074783301</v>
      </c>
      <c r="BP4">
        <v>139.60066256763</v>
      </c>
      <c r="BQ4">
        <v>155.901633831857</v>
      </c>
      <c r="BR4">
        <v>153.03579271969099</v>
      </c>
      <c r="BS4">
        <v>224.10180955532999</v>
      </c>
      <c r="BT4">
        <v>158.189103876541</v>
      </c>
      <c r="BU4">
        <v>194.67041017433601</v>
      </c>
      <c r="BV4">
        <v>224.208022352591</v>
      </c>
      <c r="BW4">
        <v>241.56975795573501</v>
      </c>
      <c r="BX4">
        <v>276.965734217369</v>
      </c>
    </row>
    <row r="5" spans="1:76" x14ac:dyDescent="0.25">
      <c r="A5">
        <v>4</v>
      </c>
      <c r="B5">
        <v>1000</v>
      </c>
      <c r="C5">
        <v>500</v>
      </c>
      <c r="D5">
        <v>2</v>
      </c>
      <c r="E5">
        <v>0.93500000000000005</v>
      </c>
      <c r="F5">
        <v>0.96496496496496498</v>
      </c>
      <c r="G5">
        <v>0.98960498960498999</v>
      </c>
      <c r="H5">
        <v>0.61099999999999999</v>
      </c>
      <c r="I5">
        <v>0.74099999999999999</v>
      </c>
      <c r="J5">
        <v>0.628</v>
      </c>
      <c r="K5">
        <v>0.91900000000000004</v>
      </c>
      <c r="L5">
        <v>0.86686686686686698</v>
      </c>
      <c r="M5">
        <v>0.96153846153846201</v>
      </c>
      <c r="N5">
        <v>0.94299999999999995</v>
      </c>
      <c r="O5">
        <v>0.94699999999999995</v>
      </c>
      <c r="P5">
        <v>0.94499999999999995</v>
      </c>
      <c r="Q5">
        <v>0.95899999999999996</v>
      </c>
      <c r="R5">
        <v>0.901901901901902</v>
      </c>
      <c r="S5">
        <v>0.96257796257796302</v>
      </c>
      <c r="T5">
        <v>0.93600000000000005</v>
      </c>
      <c r="U5">
        <v>0.94199999999999995</v>
      </c>
      <c r="V5">
        <v>0.92700000000000005</v>
      </c>
      <c r="W5">
        <v>0.96199999999999997</v>
      </c>
      <c r="X5">
        <v>0.92692692692692702</v>
      </c>
      <c r="Y5">
        <v>0.970893970893971</v>
      </c>
      <c r="Z5">
        <v>0.86899999999999999</v>
      </c>
      <c r="AA5">
        <v>0.90600000000000003</v>
      </c>
      <c r="AB5">
        <v>0.85</v>
      </c>
      <c r="AC5">
        <v>0.93400000000000005</v>
      </c>
      <c r="AD5">
        <v>0.94794794794794801</v>
      </c>
      <c r="AE5">
        <v>0.98232848232848202</v>
      </c>
      <c r="AF5">
        <v>0.76100000000000001</v>
      </c>
      <c r="AG5">
        <v>0.83</v>
      </c>
      <c r="AH5">
        <v>0.76400000000000001</v>
      </c>
      <c r="AI5">
        <v>0.86199999999999999</v>
      </c>
      <c r="AJ5">
        <v>0.94994994994994997</v>
      </c>
      <c r="AK5">
        <v>0.98648648648648696</v>
      </c>
      <c r="AL5">
        <v>0.69699999999999995</v>
      </c>
      <c r="AM5">
        <v>0.754</v>
      </c>
      <c r="AN5">
        <v>0.63</v>
      </c>
      <c r="AO5">
        <v>122.368196651636</v>
      </c>
      <c r="AP5">
        <v>115.36661023871</v>
      </c>
      <c r="AQ5">
        <v>162.86707818484601</v>
      </c>
      <c r="AR5">
        <v>105.72129827977</v>
      </c>
      <c r="AS5">
        <v>139.78423271694399</v>
      </c>
      <c r="AT5">
        <v>139.40714021177601</v>
      </c>
      <c r="AU5">
        <v>103.833054431619</v>
      </c>
      <c r="AV5">
        <v>112.61209500343</v>
      </c>
      <c r="AW5">
        <v>139.08841326165299</v>
      </c>
      <c r="AX5">
        <v>100.24817977528301</v>
      </c>
      <c r="AY5">
        <v>105.087047916529</v>
      </c>
      <c r="AZ5">
        <v>107.054578310859</v>
      </c>
      <c r="BA5">
        <v>99.249200835247393</v>
      </c>
      <c r="BB5">
        <v>104.90391893073</v>
      </c>
      <c r="BC5">
        <v>117.312507036109</v>
      </c>
      <c r="BD5">
        <v>94.493003847199802</v>
      </c>
      <c r="BE5">
        <v>102.132417618585</v>
      </c>
      <c r="BF5">
        <v>118.017291099137</v>
      </c>
      <c r="BG5">
        <v>110.486792976628</v>
      </c>
      <c r="BH5">
        <v>111.022830752709</v>
      </c>
      <c r="BI5">
        <v>127.028085284613</v>
      </c>
      <c r="BJ5">
        <v>104.851087182999</v>
      </c>
      <c r="BK5">
        <v>118.16128447540601</v>
      </c>
      <c r="BL5">
        <v>146.675316908837</v>
      </c>
      <c r="BM5">
        <v>145.13531025408301</v>
      </c>
      <c r="BN5">
        <v>143.600493818084</v>
      </c>
      <c r="BO5">
        <v>190.32133592495501</v>
      </c>
      <c r="BP5">
        <v>138.83219689327001</v>
      </c>
      <c r="BQ5">
        <v>160.710354706434</v>
      </c>
      <c r="BR5">
        <v>188.124858256262</v>
      </c>
      <c r="BS5">
        <v>213.13954369338299</v>
      </c>
      <c r="BT5">
        <v>215.77982196500699</v>
      </c>
      <c r="BU5">
        <v>313.51039518444799</v>
      </c>
      <c r="BV5">
        <v>199.260403929392</v>
      </c>
      <c r="BW5">
        <v>228.70821051655</v>
      </c>
      <c r="BX5">
        <v>210.87584007521801</v>
      </c>
    </row>
    <row r="6" spans="1:76" x14ac:dyDescent="0.25">
      <c r="A6">
        <v>5</v>
      </c>
      <c r="B6">
        <v>1000</v>
      </c>
      <c r="C6">
        <v>1000</v>
      </c>
      <c r="D6">
        <v>1</v>
      </c>
      <c r="E6">
        <v>0.95099999999999996</v>
      </c>
      <c r="F6">
        <v>0.63500000000000001</v>
      </c>
      <c r="G6">
        <v>0.94199999999999995</v>
      </c>
      <c r="H6">
        <v>0.94299999999999995</v>
      </c>
      <c r="I6">
        <v>0.98199999999999998</v>
      </c>
      <c r="J6">
        <v>0.94899999999999995</v>
      </c>
      <c r="K6">
        <v>0.95399999999999996</v>
      </c>
      <c r="L6">
        <v>0.88700000000000001</v>
      </c>
      <c r="M6">
        <v>0.95399999999999996</v>
      </c>
      <c r="N6">
        <v>0.94899999999999995</v>
      </c>
      <c r="O6">
        <v>0.96099999999999997</v>
      </c>
      <c r="P6">
        <v>0.94499999999999995</v>
      </c>
      <c r="Q6">
        <v>0.96</v>
      </c>
      <c r="R6">
        <v>0.86599999999999999</v>
      </c>
      <c r="S6">
        <v>0.95199999999999996</v>
      </c>
      <c r="T6">
        <v>0.95899999999999996</v>
      </c>
      <c r="U6">
        <v>0.96899999999999997</v>
      </c>
      <c r="V6">
        <v>0.96199999999999997</v>
      </c>
      <c r="W6">
        <v>0.95699999999999996</v>
      </c>
      <c r="X6">
        <v>0.76800000000000002</v>
      </c>
      <c r="Y6">
        <v>0.94799999999999995</v>
      </c>
      <c r="Z6">
        <v>0.94799999999999995</v>
      </c>
      <c r="AA6">
        <v>0.97099999999999997</v>
      </c>
      <c r="AB6">
        <v>0.94699999999999995</v>
      </c>
      <c r="AC6">
        <v>0.94699999999999995</v>
      </c>
      <c r="AD6">
        <v>0.64300000000000002</v>
      </c>
      <c r="AE6">
        <v>0.94699999999999995</v>
      </c>
      <c r="AF6">
        <v>0.94799999999999995</v>
      </c>
      <c r="AG6">
        <v>0.97099999999999997</v>
      </c>
      <c r="AH6">
        <v>0.95099999999999996</v>
      </c>
      <c r="AI6">
        <v>0.95099999999999996</v>
      </c>
      <c r="AJ6">
        <v>0.64300000000000002</v>
      </c>
      <c r="AK6">
        <v>0.94299999999999995</v>
      </c>
      <c r="AL6">
        <v>0.94699999999999995</v>
      </c>
      <c r="AM6">
        <v>0.97299999999999998</v>
      </c>
      <c r="AN6">
        <v>0.95699999999999996</v>
      </c>
      <c r="AO6">
        <v>103.078460988213</v>
      </c>
      <c r="AP6">
        <v>90.920171055795706</v>
      </c>
      <c r="AQ6">
        <v>99.500653070124898</v>
      </c>
      <c r="AR6">
        <v>103.27331334256699</v>
      </c>
      <c r="AS6">
        <v>135.85290806939301</v>
      </c>
      <c r="AT6">
        <v>118.46387549464799</v>
      </c>
      <c r="AU6">
        <v>104.087978476261</v>
      </c>
      <c r="AV6">
        <v>112.68153863272801</v>
      </c>
      <c r="AW6">
        <v>104.152170805635</v>
      </c>
      <c r="AX6">
        <v>100.231270656737</v>
      </c>
      <c r="AY6">
        <v>106.49655263753201</v>
      </c>
      <c r="AZ6">
        <v>101.70792707059699</v>
      </c>
      <c r="BA6">
        <v>97.282404157112595</v>
      </c>
      <c r="BB6">
        <v>103.505257308192</v>
      </c>
      <c r="BC6">
        <v>96.919580438869204</v>
      </c>
      <c r="BD6">
        <v>93.975494813307606</v>
      </c>
      <c r="BE6">
        <v>102.96981046147199</v>
      </c>
      <c r="BF6">
        <v>97.008451085158299</v>
      </c>
      <c r="BG6">
        <v>105.76562102537601</v>
      </c>
      <c r="BH6">
        <v>105.291402255835</v>
      </c>
      <c r="BI6">
        <v>104.101557832845</v>
      </c>
      <c r="BJ6">
        <v>105.653686589542</v>
      </c>
      <c r="BK6">
        <v>117.85364177047001</v>
      </c>
      <c r="BL6">
        <v>111.715111367484</v>
      </c>
      <c r="BM6">
        <v>137.01568162196099</v>
      </c>
      <c r="BN6">
        <v>124.88555127414</v>
      </c>
      <c r="BO6">
        <v>132.67942734884301</v>
      </c>
      <c r="BP6">
        <v>141.74060717402199</v>
      </c>
      <c r="BQ6">
        <v>158.71265664287299</v>
      </c>
      <c r="BR6">
        <v>152.993220198773</v>
      </c>
      <c r="BS6">
        <v>225.77237747944801</v>
      </c>
      <c r="BT6">
        <v>170.088374766746</v>
      </c>
      <c r="BU6">
        <v>200.348476665112</v>
      </c>
      <c r="BV6">
        <v>217.267245910067</v>
      </c>
      <c r="BW6">
        <v>242.367242795148</v>
      </c>
      <c r="BX6">
        <v>257.36005765906299</v>
      </c>
    </row>
    <row r="7" spans="1:76" x14ac:dyDescent="0.25">
      <c r="A7">
        <v>6</v>
      </c>
      <c r="B7">
        <v>1000</v>
      </c>
      <c r="C7">
        <v>1000</v>
      </c>
      <c r="D7">
        <v>2</v>
      </c>
      <c r="E7">
        <v>0.84499999999999997</v>
      </c>
      <c r="F7">
        <v>0.97799999999999998</v>
      </c>
      <c r="G7">
        <v>0.97773279352226705</v>
      </c>
      <c r="H7">
        <v>0.35099999999999998</v>
      </c>
      <c r="I7">
        <v>0.46200000000000002</v>
      </c>
      <c r="J7">
        <v>0.38</v>
      </c>
      <c r="K7">
        <v>0.90500000000000003</v>
      </c>
      <c r="L7">
        <v>0.82299999999999995</v>
      </c>
      <c r="M7">
        <v>0.956477732793522</v>
      </c>
      <c r="N7">
        <v>0.95099999999999996</v>
      </c>
      <c r="O7">
        <v>0.95399999999999996</v>
      </c>
      <c r="P7">
        <v>0.95199999999999996</v>
      </c>
      <c r="Q7">
        <v>0.96399999999999997</v>
      </c>
      <c r="R7">
        <v>0.89100000000000001</v>
      </c>
      <c r="S7">
        <v>0.97165991902834004</v>
      </c>
      <c r="T7">
        <v>0.93700000000000006</v>
      </c>
      <c r="U7">
        <v>0.93400000000000005</v>
      </c>
      <c r="V7">
        <v>0.91300000000000003</v>
      </c>
      <c r="W7">
        <v>0.95499999999999996</v>
      </c>
      <c r="X7">
        <v>0.93500000000000005</v>
      </c>
      <c r="Y7">
        <v>0.97672064777327905</v>
      </c>
      <c r="Z7">
        <v>0.80100000000000005</v>
      </c>
      <c r="AA7">
        <v>0.82199999999999995</v>
      </c>
      <c r="AB7">
        <v>0.76300000000000001</v>
      </c>
      <c r="AC7">
        <v>0.85599999999999998</v>
      </c>
      <c r="AD7">
        <v>0.98</v>
      </c>
      <c r="AE7">
        <v>0.97975708502024295</v>
      </c>
      <c r="AF7">
        <v>0.56299999999999994</v>
      </c>
      <c r="AG7">
        <v>0.64</v>
      </c>
      <c r="AH7">
        <v>0.625</v>
      </c>
      <c r="AI7">
        <v>0.74099999999999999</v>
      </c>
      <c r="AJ7">
        <v>0.96299999999999997</v>
      </c>
      <c r="AK7">
        <v>0.98684210526315796</v>
      </c>
      <c r="AL7">
        <v>0.496</v>
      </c>
      <c r="AM7">
        <v>0.55200000000000005</v>
      </c>
      <c r="AN7">
        <v>0.47799999999999998</v>
      </c>
      <c r="AO7">
        <v>127.563901543398</v>
      </c>
      <c r="AP7">
        <v>123.315805694652</v>
      </c>
      <c r="AQ7">
        <v>183.941678306375</v>
      </c>
      <c r="AR7">
        <v>109.518911403768</v>
      </c>
      <c r="AS7">
        <v>145.24524681211</v>
      </c>
      <c r="AT7">
        <v>157.634502979693</v>
      </c>
      <c r="AU7">
        <v>104.254992365558</v>
      </c>
      <c r="AV7">
        <v>112.114815227479</v>
      </c>
      <c r="AW7">
        <v>141.25139212245</v>
      </c>
      <c r="AX7">
        <v>100.497909280645</v>
      </c>
      <c r="AY7">
        <v>105.54886646634</v>
      </c>
      <c r="AZ7">
        <v>111.15469036100799</v>
      </c>
      <c r="BA7">
        <v>99.329597815613198</v>
      </c>
      <c r="BB7">
        <v>105.553466188399</v>
      </c>
      <c r="BC7">
        <v>115.24677937837301</v>
      </c>
      <c r="BD7">
        <v>93.835740289600594</v>
      </c>
      <c r="BE7">
        <v>102.513778433176</v>
      </c>
      <c r="BF7">
        <v>120.022968823664</v>
      </c>
      <c r="BG7">
        <v>111.32064635530701</v>
      </c>
      <c r="BH7">
        <v>114.509520896281</v>
      </c>
      <c r="BI7">
        <v>126.00489915785199</v>
      </c>
      <c r="BJ7">
        <v>104.431161057802</v>
      </c>
      <c r="BK7">
        <v>120.83834311528901</v>
      </c>
      <c r="BL7">
        <v>163.586511741724</v>
      </c>
      <c r="BM7">
        <v>151.24879216678099</v>
      </c>
      <c r="BN7">
        <v>154.62806401986199</v>
      </c>
      <c r="BO7">
        <v>210.04142300226201</v>
      </c>
      <c r="BP7">
        <v>140.81043710435901</v>
      </c>
      <c r="BQ7">
        <v>170.740503450071</v>
      </c>
      <c r="BR7">
        <v>222.510048307494</v>
      </c>
      <c r="BS7">
        <v>238.076945195332</v>
      </c>
      <c r="BT7">
        <v>238.45838721039499</v>
      </c>
      <c r="BU7">
        <v>358.19093996371402</v>
      </c>
      <c r="BV7">
        <v>215.56716264136901</v>
      </c>
      <c r="BW7">
        <v>259.04469255663702</v>
      </c>
      <c r="BX7">
        <v>244.395698883676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0"/>
  <sheetViews>
    <sheetView workbookViewId="0">
      <selection activeCell="O9" sqref="O9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6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10.42578125" style="1" bestFit="1" customWidth="1"/>
    <col min="9" max="9" width="5.140625" style="1" bestFit="1" customWidth="1"/>
    <col min="10" max="10" width="8.28515625" style="1" customWidth="1"/>
    <col min="11" max="17" width="9.28515625" style="1"/>
    <col min="18" max="18" width="28" style="1" bestFit="1" customWidth="1"/>
    <col min="19" max="16384" width="9.28515625" style="1"/>
  </cols>
  <sheetData>
    <row r="1" spans="1:18" x14ac:dyDescent="0.25">
      <c r="C1" s="16" t="s">
        <v>71</v>
      </c>
      <c r="D1" s="16"/>
      <c r="E1" s="16"/>
      <c r="F1" s="16"/>
      <c r="G1" s="16"/>
      <c r="H1" s="11"/>
      <c r="I1" s="11"/>
      <c r="J1" s="11"/>
      <c r="R1" s="10" t="s">
        <v>215</v>
      </c>
    </row>
    <row r="2" spans="1:18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5</v>
      </c>
    </row>
    <row r="3" spans="1:18" x14ac:dyDescent="0.2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I3" s="11">
        <v>500</v>
      </c>
      <c r="J3" s="11"/>
      <c r="K3" s="11"/>
      <c r="L3" s="11"/>
      <c r="M3" s="11"/>
      <c r="N3" s="11"/>
      <c r="O3" s="11"/>
      <c r="P3" s="11"/>
    </row>
    <row r="4" spans="1:18" x14ac:dyDescent="0.25">
      <c r="C4" s="11"/>
      <c r="D4" s="11"/>
      <c r="E4" s="11"/>
      <c r="F4" s="11"/>
      <c r="G4" s="11"/>
      <c r="H4" s="11"/>
      <c r="I4" s="11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5.1055816146108599</v>
      </c>
      <c r="D5" s="5">
        <f>HLOOKUP("ATE-RMSE-IPS-exp",Point!$D$1:$DR$96,$R$2,FALSE)</f>
        <v>6.6205635642494496</v>
      </c>
      <c r="E5" s="5">
        <f>(D5/$D$9)^2</f>
        <v>0.37967172014177825</v>
      </c>
      <c r="F5" s="5">
        <f>HLOOKUP("ATE-Empcov-IPS-exp",inference!$D$1:$DR$96,$R$2,FALSE)</f>
        <v>0.93500000000000005</v>
      </c>
      <c r="G5" s="5">
        <f>HLOOKUP("ATE-ASSD-IPS-exp",inference!$D$1:$DR$96,$R$2,FALSE)*2*1.96/SQRT(G$3)</f>
        <v>21.452090710174225</v>
      </c>
      <c r="H5" s="5">
        <f>G5/(2*1.96/SQRT(G$3))</f>
        <v>122.368196651636</v>
      </c>
      <c r="I5" s="5">
        <f t="shared" ref="I5:I10" si="0">($H$9/H5)^2</f>
        <v>1.3049060784629476</v>
      </c>
      <c r="J5" s="5"/>
      <c r="K5" s="5">
        <f>HLOOKUP("ks-IPS-exp",balance!$D$1:$DR$96,$R$2,FALSE)</f>
        <v>2.90482587669019</v>
      </c>
      <c r="L5" s="5">
        <f>HLOOKUP("cvm-IPS-exp",balance!$D$1:$DR$96,$R$2,FALSE)</f>
        <v>0.53948205572731101</v>
      </c>
      <c r="M5" s="5">
        <f>HLOOKUP("ks-IPS-exp_1",balance!$D$1:$DR$96,$R$2,FALSE)</f>
        <v>1.8030865784582899</v>
      </c>
      <c r="N5" s="5">
        <f>HLOOKUP("cvm-IPS-exp_1",balance!$D$1:$DR$96,$R$2,FALSE)</f>
        <v>0.14651587010466799</v>
      </c>
      <c r="O5" s="5">
        <f>HLOOKUP("ks-IPS-exp_0",balance!$D$1:$DR$96,$R$2,FALSE)</f>
        <v>1.6559086668598699</v>
      </c>
      <c r="P5" s="5">
        <f>HLOOKUP("cvm-IPS-exp_0",balance!$D$1:$DR$96,$R$2,FALSE)</f>
        <v>0.17896652000309901</v>
      </c>
    </row>
    <row r="6" spans="1:18" x14ac:dyDescent="0.25">
      <c r="B6" s="1" t="s">
        <v>5</v>
      </c>
      <c r="C6" s="5">
        <f>HLOOKUP("ATE-bias-IPS-ind",Point!$D$1:$DR$96,$R$2,FALSE)</f>
        <v>-0.77599253498772203</v>
      </c>
      <c r="D6" s="5">
        <f>HLOOKUP("ATE-RMSE-IPS-ind",Point!$D$1:$DR$96,$R$2,FALSE)</f>
        <v>4.79373058450361</v>
      </c>
      <c r="E6" s="5">
        <f t="shared" ref="E6:E10" si="1">(D6/$D$9)^2</f>
        <v>0.19905155532265678</v>
      </c>
      <c r="F6" s="5">
        <f>HLOOKUP("ATE-Empcov-IPS-ind",inference!$D$1:$DR$96,$R$2,FALSE)</f>
        <v>0.96496496496496498</v>
      </c>
      <c r="G6" s="5">
        <f>HLOOKUP("ATE-ASSD-IPS-ind",inference!$D$1:$DR$96,$R$2,FALSE)*2*1.96/SQRT(G$3)</f>
        <v>20.224658493674337</v>
      </c>
      <c r="H6" s="5">
        <f t="shared" ref="H6:H9" si="2">G6/(2*1.96/SQRT(G$3))</f>
        <v>115.36661023871001</v>
      </c>
      <c r="I6" s="5">
        <f t="shared" si="0"/>
        <v>1.4681015918073848</v>
      </c>
      <c r="J6" s="5"/>
      <c r="K6" s="5">
        <f>HLOOKUP("ks-IPS-ind",balance!$D$1:$DR$96,$R$2,FALSE)</f>
        <v>2.3271879829253499</v>
      </c>
      <c r="L6" s="5">
        <f>HLOOKUP("cvm-IPS-ind",balance!$D$1:$DR$96,$R$2,FALSE)</f>
        <v>0.300795215561661</v>
      </c>
      <c r="M6" s="5">
        <f>HLOOKUP("ks-IPS-ind_1",balance!$D$1:$DR$96,$R$2,FALSE)</f>
        <v>1.71459100714179</v>
      </c>
      <c r="N6" s="5">
        <f>HLOOKUP("cvm-IPS-ind_1",balance!$D$1:$DR$96,$R$2,FALSE)</f>
        <v>0.12549072824142801</v>
      </c>
      <c r="O6" s="5">
        <f>HLOOKUP("ks-IPS-ind_0",balance!$D$1:$DR$96,$R$2,FALSE)</f>
        <v>1.2966914552916</v>
      </c>
      <c r="P6" s="5">
        <f>HLOOKUP("cvm-IPS-ind_0",balance!$D$1:$DR$96,$R$2,FALSE)</f>
        <v>8.09261147921327E-2</v>
      </c>
    </row>
    <row r="7" spans="1:18" x14ac:dyDescent="0.25">
      <c r="B7" s="1" t="s">
        <v>4</v>
      </c>
      <c r="C7" s="5">
        <f>HLOOKUP("ATE-bias-IPS-proj",Point!$D$1:$DR$96,$R$2,FALSE)</f>
        <v>0.39321259690055399</v>
      </c>
      <c r="D7" s="5">
        <f>HLOOKUP("ATE-RMSE-IPS-proj",Point!$D$1:$DR$96,$R$2,FALSE)</f>
        <v>5.0657473026073898</v>
      </c>
      <c r="E7" s="5">
        <f t="shared" si="1"/>
        <v>0.22228255209868719</v>
      </c>
      <c r="F7" s="6">
        <f>HLOOKUP("ATE-Empcov-IPS-proj",inference!$D$1:$DR$96,$R$2,FALSE)</f>
        <v>0.98960498960498999</v>
      </c>
      <c r="G7" s="6">
        <f>HLOOKUP("ATE-ASSD-IPS-proj",inference!$D$1:$DR$96,$R$2,FALSE)*2*1.96/SQRT(G$3)</f>
        <v>28.551857676458155</v>
      </c>
      <c r="H7" s="5">
        <f t="shared" si="2"/>
        <v>162.86707818484601</v>
      </c>
      <c r="I7" s="5">
        <f t="shared" si="0"/>
        <v>0.73663061297022447</v>
      </c>
      <c r="J7" s="5"/>
      <c r="K7" s="5">
        <f>HLOOKUP("ks-IPS-proj",balance!$D$1:$DR$96,$R$2,FALSE)</f>
        <v>4.11801003262243</v>
      </c>
      <c r="L7" s="5">
        <f>HLOOKUP("cvm-IPS-proj",balance!$D$1:$DR$96,$R$2,FALSE)</f>
        <v>1.09650628590628</v>
      </c>
      <c r="M7" s="5">
        <f>HLOOKUP("ks-IPS-proj_1",balance!$D$1:$DR$96,$R$2,FALSE)</f>
        <v>2.37767417791297</v>
      </c>
      <c r="N7" s="5">
        <f>HLOOKUP("cvm-IPS-proj_1",balance!$D$1:$DR$96,$R$2,FALSE)</f>
        <v>0.26650167161730698</v>
      </c>
      <c r="O7" s="5">
        <f>HLOOKUP("ks-IPS-proj_0",balance!$D$1:$DR$96,$R$2,FALSE)</f>
        <v>2.05079670217832</v>
      </c>
      <c r="P7" s="5">
        <f>HLOOKUP("cvm-IPS-proj_0",balance!$D$1:$DR$96,$R$2,FALSE)</f>
        <v>0.34639807525281502</v>
      </c>
    </row>
    <row r="8" spans="1:18" x14ac:dyDescent="0.25">
      <c r="B8" s="1" t="s">
        <v>88</v>
      </c>
      <c r="C8" s="5">
        <f>HLOOKUP("ATE-bias-CBPS-just",Point!$D$1:$DR$96,$R$2,FALSE)</f>
        <v>7.92258300092145</v>
      </c>
      <c r="D8" s="5">
        <f>HLOOKUP("ATE-RMSE-CBPS-just",Point!$D$1:$DR$96,$R$2,FALSE)</f>
        <v>9.5619083938045595</v>
      </c>
      <c r="E8" s="5">
        <f t="shared" si="1"/>
        <v>0.79196773399544329</v>
      </c>
      <c r="F8" s="5">
        <f>HLOOKUP("ATE-Empcov-CBPS-just",inference!$D$1:$DR$96,$R$2,FALSE)</f>
        <v>0.61099999999999999</v>
      </c>
      <c r="G8" s="5">
        <f>HLOOKUP("ATE-ASSD-CBPS-just",inference!$D$1:$DR$96,$R$2,FALSE)*2*1.96/SQRT(G$3)</f>
        <v>18.533760754450828</v>
      </c>
      <c r="H8" s="5">
        <f t="shared" si="2"/>
        <v>105.72129827977001</v>
      </c>
      <c r="I8" s="5">
        <f t="shared" si="0"/>
        <v>1.7482011372533388</v>
      </c>
      <c r="J8" s="5"/>
      <c r="K8" s="5">
        <f>HLOOKUP("ks-CBPS-Just",balance!$D$1:$DR$96,$R$2,FALSE)</f>
        <v>3.2124399905562599</v>
      </c>
      <c r="L8" s="5">
        <f>HLOOKUP("cvm-CBPS-Just",balance!$D$1:$DR$96,$R$2,FALSE)</f>
        <v>0.67616772326326702</v>
      </c>
      <c r="M8" s="5">
        <f>HLOOKUP("ks-CBPS-Just_1",balance!$D$1:$DR$96,$R$2,FALSE)</f>
        <v>1.88911496600521</v>
      </c>
      <c r="N8" s="5">
        <f>HLOOKUP("cvm-CBPS-Just_1",balance!$D$1:$DR$96,$R$2,FALSE)</f>
        <v>0.168813378774929</v>
      </c>
      <c r="O8" s="5">
        <f>HLOOKUP("ks-CBPS-Just_0",balance!$D$1:$DR$96,$R$2,FALSE)</f>
        <v>1.79955057738888</v>
      </c>
      <c r="P8" s="5">
        <f>HLOOKUP("cvm-CBPS-Just_0",balance!$D$1:$DR$96,$R$2,FALSE)</f>
        <v>0.22812057385065501</v>
      </c>
    </row>
    <row r="9" spans="1:18" x14ac:dyDescent="0.25">
      <c r="B9" s="1" t="s">
        <v>89</v>
      </c>
      <c r="C9" s="5">
        <f>HLOOKUP("ATE-bias-CBPS-over",Point!$D$1:$DR$96,$R$2,FALSE)</f>
        <v>9.0304088838832204</v>
      </c>
      <c r="D9" s="5">
        <f>HLOOKUP("ATE-RMSE-CBPS-over",Point!$D$1:$DR$96,$R$2,FALSE)</f>
        <v>10.744614409494901</v>
      </c>
      <c r="E9" s="5">
        <f t="shared" si="1"/>
        <v>1</v>
      </c>
      <c r="F9" s="5">
        <f>HLOOKUP("ATE-Empcov-CBPS-over",inference!$D$1:$DR$96,$R$2,FALSE)</f>
        <v>0.74099999999999999</v>
      </c>
      <c r="G9" s="5">
        <f>HLOOKUP("ATE-ASSD-CBPS-over",inference!$D$1:$DR$96,$R$2,FALSE)*2*1.96/SQRT(G$3)</f>
        <v>24.505256448558569</v>
      </c>
      <c r="H9" s="5">
        <f t="shared" si="2"/>
        <v>139.78423271694399</v>
      </c>
      <c r="I9" s="5">
        <f t="shared" si="0"/>
        <v>1</v>
      </c>
      <c r="J9" s="5"/>
      <c r="K9" s="5">
        <f>HLOOKUP("ks-CBPS-over",balance!$D$1:$DR$96,$R$2,FALSE)</f>
        <v>3.1934796090609701</v>
      </c>
      <c r="L9" s="5">
        <f>HLOOKUP("cvm-CBPS-over",balance!$D$1:$DR$96,$R$2,FALSE)</f>
        <v>0.66372576996322397</v>
      </c>
      <c r="M9" s="5">
        <f>HLOOKUP("ks-CBPS-over_1",balance!$D$1:$DR$96,$R$2,FALSE)</f>
        <v>1.83282727238951</v>
      </c>
      <c r="N9" s="5">
        <f>HLOOKUP("cvm-CBPS-over_1",balance!$D$1:$DR$96,$R$2,FALSE)</f>
        <v>0.15184170001806199</v>
      </c>
      <c r="O9" s="5">
        <f>HLOOKUP("ks-CBPS-over_0",balance!$D$1:$DR$96,$R$2,FALSE)</f>
        <v>1.80839380331641</v>
      </c>
      <c r="P9" s="5">
        <f>HLOOKUP("cvm-CBPS-over_0",balance!$D$1:$DR$96,$R$2,FALSE)</f>
        <v>0.23197702947342899</v>
      </c>
    </row>
    <row r="10" spans="1:18" s="3" customFormat="1" x14ac:dyDescent="0.25">
      <c r="B10" s="3" t="s">
        <v>2</v>
      </c>
      <c r="C10" s="5">
        <f>HLOOKUP("ATE-bias-GLM",Point!$D$1:$DR$96,$R$2,FALSE)</f>
        <v>10.605288075578301</v>
      </c>
      <c r="D10" s="5">
        <f>HLOOKUP("ATE-RMSE-GLM",Point!$D$1:$DR$96,$R$2,FALSE)</f>
        <v>14.143382883559401</v>
      </c>
      <c r="E10" s="5">
        <f t="shared" si="1"/>
        <v>1.7327061938266062</v>
      </c>
      <c r="F10" s="5">
        <f>HLOOKUP("ATE-Empcov-GLM",inference!$D$1:$DR$96,$R$2,FALSE)</f>
        <v>0.628</v>
      </c>
      <c r="G10" s="5">
        <f>HLOOKUP("ATE-ASSD-GLM",inference!$D$1:$DR$96,$R$2,FALSE)*2*1.96/SQRT(G$3)</f>
        <v>24.439149217690243</v>
      </c>
      <c r="H10" s="5">
        <f>G10/(2*1.96/SQRT(G$3))</f>
        <v>139.40714021177601</v>
      </c>
      <c r="I10" s="5">
        <f t="shared" si="0"/>
        <v>1.0054172622299808</v>
      </c>
      <c r="J10" s="5"/>
      <c r="K10" s="5">
        <f>HLOOKUP("ks-GLM",balance!$D$1:$DR$96,$R$2,FALSE)</f>
        <v>3.6219869834396299</v>
      </c>
      <c r="L10" s="5">
        <f>HLOOKUP("cvm-GLM",balance!$D$1:$DR$96,$R$2,FALSE)</f>
        <v>0.76891125390176795</v>
      </c>
      <c r="M10" s="5">
        <f>HLOOKUP("ks-GLM_1",balance!$D$1:$DR$96,$R$2,FALSE)</f>
        <v>2.4977668114754601</v>
      </c>
      <c r="N10" s="5">
        <f>HLOOKUP("cvm-GLM_1",balance!$D$1:$DR$96,$R$2,FALSE)</f>
        <v>0.295244636407271</v>
      </c>
      <c r="O10" s="5">
        <f>HLOOKUP("ks-GLM_0",balance!$D$1:$DR$96,$R$2,FALSE)</f>
        <v>1.74283263425</v>
      </c>
      <c r="P10" s="5">
        <f>HLOOKUP("cvm-GLM_0",balance!$D$1:$DR$96,$R$2,FALSE)</f>
        <v>0.20745922502488001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-1.67117748369357</v>
      </c>
      <c r="D12" s="5">
        <f>HLOOKUP("QTE-0.10-RMSE-IPS-exp",Point!$D$1:$DR$96,$R$2,FALSE)</f>
        <v>4.9064536911793697</v>
      </c>
      <c r="E12" s="5">
        <f t="shared" ref="E12:E15" si="3">(D12/$D$16)^2</f>
        <v>1.18352578575017</v>
      </c>
      <c r="F12" s="5">
        <f>HLOOKUP("QTE-0.1-Empcov-IPS-exp",inference!$D$1:$DR$96,$R$2,FALSE)</f>
        <v>0.91900000000000004</v>
      </c>
      <c r="G12" s="5">
        <f>HLOOKUP("QTE-0.1-ASSD-IPS-exp",inference!$D$1:$DR$96,$R$2,FALSE)*2*1.96/SQRT(G$3)</f>
        <v>18.202737012810012</v>
      </c>
      <c r="H12" s="5">
        <f>G12/(2*1.96/SQRT(G$3))</f>
        <v>103.833054431619</v>
      </c>
      <c r="I12" s="5">
        <f t="shared" ref="I12:I17" si="4">($H$16/H12)^2</f>
        <v>1.0242998868069251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-3.9734804276729898</v>
      </c>
      <c r="D13" s="5">
        <f>HLOOKUP("QTE-0.10-RMSE-IPS-ind",Point!$D$1:$DR$96,$R$2,FALSE)</f>
        <v>6.2424035512633802</v>
      </c>
      <c r="E13" s="5">
        <f t="shared" si="3"/>
        <v>1.9157816010933566</v>
      </c>
      <c r="F13" s="5">
        <f>HLOOKUP("QTE-0.1-Empcov-IPS-ind",inference!$D$1:$DR$96,$R$2,FALSE)</f>
        <v>0.86686686686686698</v>
      </c>
      <c r="G13" s="5">
        <f>HLOOKUP("QTE-0.1-ASSD-IPS-ind",inference!$D$1:$DR$96,$R$2,FALSE)*2*1.96/SQRT(G$3)</f>
        <v>19.741770682080578</v>
      </c>
      <c r="H13" s="5">
        <f t="shared" ref="H13:H16" si="5">G13/(2*1.96/SQRT(G$3))</f>
        <v>112.61209500343001</v>
      </c>
      <c r="I13" s="5">
        <f t="shared" si="4"/>
        <v>0.87081982606575348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-0.91669330267057303</v>
      </c>
      <c r="D14" s="5">
        <f>HLOOKUP("QTE-0.10-RMSE-IPS-proj",Point!$D$1:$DR$96,$R$2,FALSE)</f>
        <v>5.5356375449715101</v>
      </c>
      <c r="E14" s="5">
        <f t="shared" si="3"/>
        <v>1.5065293902035617</v>
      </c>
      <c r="F14" s="6">
        <f>HLOOKUP("QTE-0.1-Empcov-IPS-proj",inference!$D$1:$DR$96,$R$2,FALSE)</f>
        <v>0.96153846153846201</v>
      </c>
      <c r="G14" s="6">
        <f>HLOOKUP("QTE-0.1-ASSD-IPS-proj",inference!$D$1:$DR$96,$R$2,FALSE)*2*1.96/SQRT(G$3)</f>
        <v>24.383273919754121</v>
      </c>
      <c r="H14" s="5">
        <f t="shared" si="5"/>
        <v>139.08841326165299</v>
      </c>
      <c r="I14" s="5">
        <f t="shared" si="4"/>
        <v>0.57084273581273726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-0.193878837330999</v>
      </c>
      <c r="D15" s="5">
        <f>HLOOKUP("QTE-0.10-RMSE-CBPS-just",Point!$D$1:$DR$96,$R$2,FALSE)</f>
        <v>4.46680671279056</v>
      </c>
      <c r="E15" s="5">
        <f t="shared" si="3"/>
        <v>0.98092688187995358</v>
      </c>
      <c r="F15" s="5">
        <f>HLOOKUP("QTE-0.1-Empcov-CBPS-just",inference!$D$1:$DR$96,$R$2,FALSE)</f>
        <v>0.94299999999999995</v>
      </c>
      <c r="G15" s="5">
        <f>HLOOKUP("QTE-0.1-ASSD-CBPS-just",inference!$D$1:$DR$96,$R$2,FALSE)*2*1.96/SQRT(G$3)</f>
        <v>17.574280776495147</v>
      </c>
      <c r="H15" s="5">
        <f t="shared" si="5"/>
        <v>100.24817977528302</v>
      </c>
      <c r="I15" s="5">
        <f t="shared" si="4"/>
        <v>1.0988676611193815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0.37293513164441799</v>
      </c>
      <c r="D16" s="5">
        <f>HLOOKUP("QTE-0.10-RMSE-CBPS-over",Point!$D$1:$DR$96,$R$2,FALSE)</f>
        <v>4.5100238855886996</v>
      </c>
      <c r="E16" s="5">
        <f>(D16/$D$16)^2</f>
        <v>1</v>
      </c>
      <c r="F16" s="5">
        <f>HLOOKUP("QTE-0.1-Empcov-CBPS-over",inference!$D$1:$DR$96,$R$2,FALSE)</f>
        <v>0.94699999999999995</v>
      </c>
      <c r="G16" s="5">
        <f>HLOOKUP("QTE-0.1-ASSD-CBPS-over",inference!$D$1:$DR$96,$R$2,FALSE)*2*1.96/SQRT(G$3)</f>
        <v>18.4225717633771</v>
      </c>
      <c r="H16" s="5">
        <f t="shared" si="5"/>
        <v>105.087047916529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25">
      <c r="B17" s="3" t="s">
        <v>2</v>
      </c>
      <c r="C17" s="5">
        <f>HLOOKUP("QTE-0.10-bias-GLM",Point!$D$1:$DR$96,$R$2,FALSE)</f>
        <v>0.908834693527247</v>
      </c>
      <c r="D17" s="5">
        <f>HLOOKUP("QTE-0.10-RMSE-GLM",Point!$D$1:$DR$96,$R$2,FALSE)</f>
        <v>5.1679294231010902</v>
      </c>
      <c r="E17" s="5">
        <f>(D17/$D$16)^2</f>
        <v>1.313032464499841</v>
      </c>
      <c r="F17" s="5">
        <f>HLOOKUP("QTE-0.1-Empcov-GLM",inference!$D$1:$DR$96,$R$2,FALSE)</f>
        <v>0.94499999999999995</v>
      </c>
      <c r="G17" s="5">
        <f>HLOOKUP("QTE-0.1-ASSD-GLM",inference!$D$1:$DR$96,$R$2,FALSE)*2*1.96/SQRT(G$3)</f>
        <v>18.767495049403376</v>
      </c>
      <c r="H17" s="5">
        <f>G17/(2*1.96/SQRT(G$3))</f>
        <v>107.054578310859</v>
      </c>
      <c r="I17" s="5">
        <f t="shared" si="4"/>
        <v>0.96358025895386257</v>
      </c>
      <c r="J17" s="5"/>
      <c r="K17" s="5"/>
      <c r="L17" s="5"/>
      <c r="M17" s="5"/>
      <c r="N17" s="5"/>
    </row>
    <row r="18" spans="1:17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25">
      <c r="A19" s="2" t="s">
        <v>59</v>
      </c>
      <c r="B19" s="1" t="s">
        <v>3</v>
      </c>
      <c r="C19" s="5">
        <f>HLOOKUP("QTE-0.25-bias-IPS-exp",Point!$D$1:$DR$96,$R$2,FALSE)</f>
        <v>-0.423423734298851</v>
      </c>
      <c r="D19" s="5">
        <f>HLOOKUP("QTE-0.25-RMSE-IPS-exp",Point!$D$1:$DR$96,$R$2,FALSE)</f>
        <v>4.2223147320506502</v>
      </c>
      <c r="E19" s="5">
        <f>(D19/$D$23)^2</f>
        <v>0.82617889736886518</v>
      </c>
      <c r="F19" s="5">
        <f>HLOOKUP("QTE-0.25-Empcov-IPS-exp",inference!$D$1:$DR$96,$R$2,FALSE)</f>
        <v>0.95899999999999996</v>
      </c>
      <c r="G19" s="5">
        <f>HLOOKUP("QTE-0.25-ASSD-IPS-exp",inference!$D$1:$DR$96,$R$2,FALSE)*2*1.96/SQRT(G$3)</f>
        <v>17.399152046763138</v>
      </c>
      <c r="H19" s="5">
        <f>G19/(2*1.96/SQRT(G$3))</f>
        <v>99.249200835247393</v>
      </c>
      <c r="I19" s="5">
        <f>($H$23/H19)^2</f>
        <v>1.0589444727398676</v>
      </c>
      <c r="J19" s="5"/>
      <c r="K19" s="5"/>
      <c r="L19" s="5"/>
      <c r="M19" s="5"/>
      <c r="N19" s="5"/>
    </row>
    <row r="20" spans="1:17" x14ac:dyDescent="0.25">
      <c r="B20" s="1" t="s">
        <v>5</v>
      </c>
      <c r="C20" s="5">
        <f>HLOOKUP("QTE-0.25-bias-IPS-ind",Point!$D$1:$DR$96,$R$2,FALSE)</f>
        <v>-3.2158267071019102</v>
      </c>
      <c r="D20" s="5">
        <f>HLOOKUP("QTE-0.25-RMSE-IPS-ind",Point!$D$1:$DR$96,$R$2,FALSE)</f>
        <v>5.4889569899849002</v>
      </c>
      <c r="E20" s="5">
        <f t="shared" ref="E20:E24" si="6">(D20/$D$23)^2</f>
        <v>1.3962157998873943</v>
      </c>
      <c r="F20" s="5">
        <f>HLOOKUP("QTE-0.25-Empcov-IPS-ind",inference!$D$1:$DR$96,$R$2,FALSE)</f>
        <v>0.901901901901902</v>
      </c>
      <c r="G20" s="5">
        <f>HLOOKUP("QTE-0.25-ASSD-IPS-ind",inference!$D$1:$DR$96,$R$2,FALSE)*2*1.96/SQRT(G$3)</f>
        <v>18.390467836682763</v>
      </c>
      <c r="H20" s="5">
        <f t="shared" ref="H20:H23" si="7">G20/(2*1.96/SQRT(G$3))</f>
        <v>104.90391893073001</v>
      </c>
      <c r="I20" s="5">
        <f t="shared" ref="I20:I24" si="8">($H$23/H20)^2</f>
        <v>0.94785913427722912</v>
      </c>
      <c r="J20" s="5"/>
      <c r="K20" s="5"/>
      <c r="L20" s="5"/>
      <c r="M20" s="5"/>
      <c r="N20" s="5"/>
    </row>
    <row r="21" spans="1:17" x14ac:dyDescent="0.25">
      <c r="B21" s="1" t="s">
        <v>4</v>
      </c>
      <c r="C21" s="5">
        <f>HLOOKUP("QTE-0.25-bias-IPS-proj",Point!$D$1:$DR$96,$R$2,FALSE)</f>
        <v>-0.86336353422674295</v>
      </c>
      <c r="D21" s="5">
        <f>HLOOKUP("QTE-0.25-RMSE-IPS-proj",Point!$D$1:$DR$96,$R$2,FALSE)</f>
        <v>4.7821354989519698</v>
      </c>
      <c r="E21" s="5">
        <f t="shared" si="6"/>
        <v>1.0597822651557351</v>
      </c>
      <c r="F21" s="6">
        <f>HLOOKUP("QTE-0.25-Empcov-IPS-proj",inference!$D$1:$DR$96,$R$2,FALSE)</f>
        <v>0.96257796257796302</v>
      </c>
      <c r="G21" s="6">
        <f>HLOOKUP("QTE-0.25-ASSD-IPS-proj",inference!$D$1:$DR$96,$R$2,FALSE)*2*1.96/SQRT(G$3)</f>
        <v>20.565789242943108</v>
      </c>
      <c r="H21" s="5">
        <f t="shared" si="7"/>
        <v>117.31250703610901</v>
      </c>
      <c r="I21" s="5">
        <f t="shared" si="8"/>
        <v>0.7579465714156256</v>
      </c>
      <c r="J21" s="5"/>
      <c r="K21" s="5"/>
      <c r="L21" s="5"/>
      <c r="M21" s="5"/>
      <c r="N21" s="5"/>
    </row>
    <row r="22" spans="1:17" x14ac:dyDescent="0.25">
      <c r="B22" s="1" t="s">
        <v>88</v>
      </c>
      <c r="C22" s="5">
        <f>HLOOKUP("QTE-0.25-bias-CBPS-just",Point!$D$1:$DR$96,$R$2,FALSE)</f>
        <v>1.2645441849683701</v>
      </c>
      <c r="D22" s="5">
        <f>HLOOKUP("QTE-0.25-RMSE-CBPS-just",Point!$D$1:$DR$96,$R$2,FALSE)</f>
        <v>4.3720394421913999</v>
      </c>
      <c r="E22" s="5">
        <f t="shared" si="6"/>
        <v>0.88581093105432551</v>
      </c>
      <c r="F22" s="5">
        <f>HLOOKUP("QTE-0.25-Empcov-CBPS-just",inference!$D$1:$DR$96,$R$2,FALSE)</f>
        <v>0.93600000000000005</v>
      </c>
      <c r="G22" s="5">
        <f>HLOOKUP("QTE-0.25-ASSD-CBPS-just",inference!$D$1:$DR$96,$R$2,FALSE)*2*1.96/SQRT(G$3)</f>
        <v>16.565353952038251</v>
      </c>
      <c r="H22" s="5">
        <f t="shared" si="7"/>
        <v>94.493003847199802</v>
      </c>
      <c r="I22" s="5">
        <f t="shared" si="8"/>
        <v>1.1682288165188621</v>
      </c>
      <c r="J22" s="5"/>
      <c r="K22" s="5"/>
      <c r="L22" s="5"/>
      <c r="M22" s="5"/>
      <c r="N22" s="5"/>
    </row>
    <row r="23" spans="1:17" x14ac:dyDescent="0.25">
      <c r="B23" s="1" t="s">
        <v>89</v>
      </c>
      <c r="C23" s="5">
        <f>HLOOKUP("QTE-0.25-bias-CBPS-over",Point!$D$1:$DR$96,$R$2,FALSE)</f>
        <v>1.88059202242521</v>
      </c>
      <c r="D23" s="5">
        <f>HLOOKUP("QTE-0.25-RMSE-CBPS-over",Point!$D$1:$DR$96,$R$2,FALSE)</f>
        <v>4.6452977223492598</v>
      </c>
      <c r="E23" s="5">
        <f>(D23/$D$23)^2</f>
        <v>1</v>
      </c>
      <c r="F23" s="5">
        <f>HLOOKUP("QTE-0.25-Empcov-CBPS-over",inference!$D$1:$DR$96,$R$2,FALSE)</f>
        <v>0.94199999999999995</v>
      </c>
      <c r="G23" s="5">
        <f>HLOOKUP("QTE-0.25-ASSD-CBPS-over",inference!$D$1:$DR$96,$R$2,FALSE)*2*1.96/SQRT(G$3)</f>
        <v>17.904602234521771</v>
      </c>
      <c r="H23" s="5">
        <f t="shared" si="7"/>
        <v>102.132417618585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25">
      <c r="B24" s="3" t="s">
        <v>2</v>
      </c>
      <c r="C24" s="5">
        <f>HLOOKUP("QTE-0.25-bias-GLM",Point!$D$1:$DR$96,$R$2,FALSE)</f>
        <v>3.07718274110655</v>
      </c>
      <c r="D24" s="5">
        <f>HLOOKUP("QTE-0.25-RMSE-GLM",Point!$D$1:$DR$96,$R$2,FALSE)</f>
        <v>7.3866240908960199</v>
      </c>
      <c r="E24" s="5">
        <f t="shared" si="6"/>
        <v>2.5285112423149281</v>
      </c>
      <c r="F24" s="5">
        <f>HLOOKUP("QTE-0.25-Empcov-GLM",inference!$D$1:$DR$96,$R$2,FALSE)</f>
        <v>0.92700000000000005</v>
      </c>
      <c r="G24" s="5">
        <f>HLOOKUP("QTE-0.25-ASSD-GLM",inference!$D$1:$DR$96,$R$2,FALSE)*2*1.96/SQRT(G$3)</f>
        <v>20.689343336775213</v>
      </c>
      <c r="H24" s="5">
        <f>G24/(2*1.96/SQRT(G$3))</f>
        <v>118.017291099137</v>
      </c>
      <c r="I24" s="5">
        <f t="shared" si="8"/>
        <v>0.74892088363296216</v>
      </c>
      <c r="J24" s="5"/>
      <c r="K24" s="5"/>
      <c r="L24" s="5"/>
      <c r="M24" s="5"/>
      <c r="N24" s="5"/>
    </row>
    <row r="25" spans="1:17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25">
      <c r="A26" s="2" t="s">
        <v>60</v>
      </c>
      <c r="B26" s="1" t="s">
        <v>3</v>
      </c>
      <c r="C26" s="5">
        <f>HLOOKUP("QTE-0.5-bias-IPS-exp",Point!$D$1:$DR$96,$R$2,FALSE)</f>
        <v>1.7032120119839</v>
      </c>
      <c r="D26" s="5">
        <f>HLOOKUP("QTE-0.5-RMSE-IPS-exp",Point!$D$1:$DR$96,$R$2,FALSE)</f>
        <v>4.7054865875193599</v>
      </c>
      <c r="E26" s="5">
        <f>(D26/$D$30)^2</f>
        <v>0.52057413721533319</v>
      </c>
      <c r="F26" s="5">
        <f>HLOOKUP("QTE-0.5-Empcov-IPS-exp",inference!$D$1:$DR$96,$R$2,FALSE)</f>
        <v>0.96199999999999997</v>
      </c>
      <c r="G26" s="5">
        <f>HLOOKUP("QTE-0.5-ASSD-IPS-exp",inference!$D$1:$DR$96,$R$2,FALSE)*2*1.96/SQRT(G$3)</f>
        <v>19.369188809396224</v>
      </c>
      <c r="H26" s="5">
        <f>G26/(2*1.96/SQRT(G$3))</f>
        <v>110.48679297662801</v>
      </c>
      <c r="I26" s="5">
        <f>($H$30/H26)^2</f>
        <v>1.1437462182289684</v>
      </c>
      <c r="J26" s="5"/>
      <c r="K26"/>
      <c r="L26"/>
      <c r="M26"/>
      <c r="N26"/>
      <c r="O26"/>
      <c r="P26"/>
      <c r="Q26"/>
    </row>
    <row r="27" spans="1:17" x14ac:dyDescent="0.25">
      <c r="B27" s="1" t="s">
        <v>5</v>
      </c>
      <c r="C27" s="5">
        <f>HLOOKUP("QTE-0.5-bias-IPS-ind",Point!$D$1:$DR$96,$R$2,FALSE)</f>
        <v>-2.54218784635753</v>
      </c>
      <c r="D27" s="5">
        <f>HLOOKUP("QTE-0.5-RMSE-IPS-ind",Point!$D$1:$DR$96,$R$2,FALSE)</f>
        <v>5.2968615513840502</v>
      </c>
      <c r="E27" s="5">
        <f t="shared" ref="E27:E31" si="9">(D27/$D$30)^2</f>
        <v>0.65964572378509612</v>
      </c>
      <c r="F27" s="5">
        <f>HLOOKUP("QTE-0.5-Empcov-IPS-ind",inference!$D$1:$DR$96,$R$2,FALSE)</f>
        <v>0.92692692692692702</v>
      </c>
      <c r="G27" s="5">
        <f>HLOOKUP("QTE-0.5-ASSD-IPS-ind",inference!$D$1:$DR$96,$R$2,FALSE)*2*1.96/SQRT(G$3)</f>
        <v>19.463160374812897</v>
      </c>
      <c r="H27" s="5">
        <f t="shared" ref="H27:H30" si="10">G27/(2*1.96/SQRT(G$3))</f>
        <v>111.022830752709</v>
      </c>
      <c r="I27" s="5">
        <f t="shared" ref="I27:I31" si="11">($H$30/H27)^2</f>
        <v>1.1327284641510029</v>
      </c>
      <c r="J27" s="5"/>
      <c r="K27" s="5"/>
      <c r="L27" s="5"/>
      <c r="M27" s="5"/>
      <c r="N27" s="5"/>
    </row>
    <row r="28" spans="1:17" x14ac:dyDescent="0.25">
      <c r="B28" s="1" t="s">
        <v>4</v>
      </c>
      <c r="C28" s="5">
        <f>HLOOKUP("QTE-0.5-bias-IPS-proj",Point!$D$1:$DR$96,$R$2,FALSE)</f>
        <v>-0.57884184135524197</v>
      </c>
      <c r="D28" s="5">
        <f>HLOOKUP("QTE-0.5-RMSE-IPS-proj",Point!$D$1:$DR$96,$R$2,FALSE)</f>
        <v>4.86862968055389</v>
      </c>
      <c r="E28" s="5">
        <f t="shared" si="9"/>
        <v>0.55729736930716967</v>
      </c>
      <c r="F28" s="6">
        <f>HLOOKUP("QTE-0.5-Empcov-IPS-proj",inference!$D$1:$DR$96,$R$2,FALSE)</f>
        <v>0.970893970893971</v>
      </c>
      <c r="G28" s="6">
        <f>HLOOKUP("QTE-0.5-ASSD-IPS-proj",inference!$D$1:$DR$96,$R$2,FALSE)*2*1.96/SQRT(G$3)</f>
        <v>22.269005205845975</v>
      </c>
      <c r="H28" s="5">
        <f t="shared" si="10"/>
        <v>127.02808528461301</v>
      </c>
      <c r="I28" s="5">
        <f t="shared" si="11"/>
        <v>0.8652685183809764</v>
      </c>
      <c r="J28" s="5"/>
      <c r="K28" s="5"/>
      <c r="L28" s="5"/>
      <c r="M28" s="5"/>
      <c r="N28" s="5"/>
    </row>
    <row r="29" spans="1:17" x14ac:dyDescent="0.25">
      <c r="B29" s="1" t="s">
        <v>88</v>
      </c>
      <c r="C29" s="5">
        <f>HLOOKUP("QTE-0.5-bias-CBPS-just",Point!$D$1:$DR$96,$R$2,FALSE)</f>
        <v>3.9087551881932598</v>
      </c>
      <c r="D29" s="5">
        <f>HLOOKUP("QTE-0.5-RMSE-CBPS-just",Point!$D$1:$DR$96,$R$2,FALSE)</f>
        <v>6.2060477614203098</v>
      </c>
      <c r="E29" s="5">
        <f t="shared" si="9"/>
        <v>0.90553186089485127</v>
      </c>
      <c r="F29" s="5">
        <f>HLOOKUP("QTE-0.5-Empcov-CBPS-just",inference!$D$1:$DR$96,$R$2,FALSE)</f>
        <v>0.86899999999999999</v>
      </c>
      <c r="G29" s="5">
        <f>HLOOKUP("QTE-0.5-ASSD-CBPS-just",inference!$D$1:$DR$96,$R$2,FALSE)*2*1.96/SQRT(G$3)</f>
        <v>18.381206022945907</v>
      </c>
      <c r="H29" s="5">
        <f t="shared" si="10"/>
        <v>104.85108718299901</v>
      </c>
      <c r="I29" s="5">
        <f t="shared" si="11"/>
        <v>1.2700023681534027</v>
      </c>
      <c r="J29" s="5"/>
      <c r="K29" s="5"/>
      <c r="L29" s="5"/>
      <c r="M29" s="5"/>
      <c r="N29" s="5"/>
    </row>
    <row r="30" spans="1:17" x14ac:dyDescent="0.25">
      <c r="B30" s="1" t="s">
        <v>89</v>
      </c>
      <c r="C30" s="5">
        <f>HLOOKUP("QTE-0.5-bias-CBPS-over",Point!$D$1:$DR$96,$R$2,FALSE)</f>
        <v>4.3375254578629603</v>
      </c>
      <c r="D30" s="5">
        <f>HLOOKUP("QTE-0.5-RMSE-CBPS-over",Point!$D$1:$DR$96,$R$2,FALSE)</f>
        <v>6.5217364695070099</v>
      </c>
      <c r="E30" s="5">
        <f t="shared" si="9"/>
        <v>1</v>
      </c>
      <c r="F30" s="5">
        <f>HLOOKUP("QTE-0.5-Empcov-CBPS-over",inference!$D$1:$DR$96,$R$2,FALSE)</f>
        <v>0.90600000000000003</v>
      </c>
      <c r="G30" s="5">
        <f>HLOOKUP("QTE-0.5-ASSD-CBPS-over",inference!$D$1:$DR$96,$R$2,FALSE)*2*1.96/SQRT(G$3)</f>
        <v>20.714586488622754</v>
      </c>
      <c r="H30" s="5">
        <f t="shared" si="10"/>
        <v>118.16128447540601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25">
      <c r="A31" s="3"/>
      <c r="B31" s="3" t="s">
        <v>2</v>
      </c>
      <c r="C31" s="5">
        <f>HLOOKUP("QTE-0.5-bias-GLM",Point!$D$1:$DR$96,$R$2,FALSE)</f>
        <v>7.3224633805320796</v>
      </c>
      <c r="D31" s="5">
        <f>HLOOKUP("QTE-0.5-RMSE-GLM",Point!$D$1:$DR$96,$R$2,FALSE)</f>
        <v>13.580694260632299</v>
      </c>
      <c r="E31" s="5">
        <f t="shared" si="9"/>
        <v>4.3362813492292798</v>
      </c>
      <c r="F31" s="5">
        <f>HLOOKUP("QTE-0.5-Empcov-GLM",inference!$D$1:$DR$96,$R$2,FALSE)</f>
        <v>0.85</v>
      </c>
      <c r="G31" s="5">
        <f>HLOOKUP("QTE-0.5-ASSD-GLM",inference!$D$1:$DR$96,$R$2,FALSE)*2*1.96/SQRT(G$3)</f>
        <v>25.713316771591533</v>
      </c>
      <c r="H31" s="5">
        <f>G31/(2*1.96/SQRT(G$3))</f>
        <v>146.675316908837</v>
      </c>
      <c r="I31" s="5">
        <f t="shared" si="11"/>
        <v>0.6489875062460565</v>
      </c>
      <c r="J31" s="5"/>
      <c r="K31" s="5"/>
      <c r="L31" s="5"/>
      <c r="M31" s="5"/>
      <c r="N31" s="5"/>
      <c r="O31" s="3"/>
      <c r="P31" s="3"/>
      <c r="Q31" s="3"/>
    </row>
    <row r="32" spans="1:17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4.9832341838569603</v>
      </c>
      <c r="D33" s="5">
        <f>HLOOKUP("QTE-0.75-RMSE-IPS-exp",Point!$D$1:$DR$96,$R$2,FALSE)</f>
        <v>7.4716152694</v>
      </c>
      <c r="E33" s="5">
        <f>(D33/$D$37)^2</f>
        <v>0.5019828779405322</v>
      </c>
      <c r="F33" s="5">
        <f>HLOOKUP("QTE-0.75-Empcov-IPS-exp",inference!$D$1:$DR$96,$R$2,FALSE)</f>
        <v>0.93400000000000005</v>
      </c>
      <c r="G33" s="5">
        <f>HLOOKUP("QTE-0.75-ASSD-IPS-exp",inference!$D$1:$DR$96,$R$2,FALSE)*2*1.96/SQRT(G$3)</f>
        <v>25.443341701630306</v>
      </c>
      <c r="H33" s="5">
        <f>G33/(2*1.96/SQRT(G$3))</f>
        <v>145.13531025408301</v>
      </c>
      <c r="I33" s="5">
        <f>($H$37/H33)^2</f>
        <v>1.2261441994976561</v>
      </c>
      <c r="J33" s="5"/>
    </row>
    <row r="34" spans="1:10" x14ac:dyDescent="0.25">
      <c r="B34" s="1" t="s">
        <v>5</v>
      </c>
      <c r="C34" s="5">
        <f>HLOOKUP("QTE-0.75-bias-IPS-ind",Point!$D$1:$DR$96,$R$2,FALSE)</f>
        <v>-1.6393222110065699</v>
      </c>
      <c r="D34" s="5">
        <f>HLOOKUP("QTE-0.75-RMSE-IPS-ind",Point!$D$1:$DR$96,$R$2,FALSE)</f>
        <v>6.0208374090888599</v>
      </c>
      <c r="E34" s="5">
        <f t="shared" ref="E34:E38" si="12">(D34/$D$37)^2</f>
        <v>0.32596704907318835</v>
      </c>
      <c r="F34" s="5">
        <f>HLOOKUP("QTE-0.75-Empcov-IPS-ind",inference!$D$1:$DR$96,$R$2,FALSE)</f>
        <v>0.94794794794794801</v>
      </c>
      <c r="G34" s="5">
        <f>HLOOKUP("QTE-0.75-ASSD-IPS-ind",inference!$D$1:$DR$96,$R$2,FALSE)*2*1.96/SQRT(G$3)</f>
        <v>25.174276517134292</v>
      </c>
      <c r="H34" s="5">
        <f t="shared" ref="H34:H37" si="13">G34/(2*1.96/SQRT(G$3))</f>
        <v>143.600493818084</v>
      </c>
      <c r="I34" s="5">
        <f t="shared" ref="I34:I38" si="14">($H$37/H34)^2</f>
        <v>1.25249457227397</v>
      </c>
      <c r="J34" s="5"/>
    </row>
    <row r="35" spans="1:10" x14ac:dyDescent="0.25">
      <c r="B35" s="1" t="s">
        <v>4</v>
      </c>
      <c r="C35" s="5">
        <f>HLOOKUP("QTE-0.75-bias-IPS-proj",Point!$D$1:$DR$96,$R$2,FALSE)</f>
        <v>-0.23232382798801901</v>
      </c>
      <c r="D35" s="5">
        <f>HLOOKUP("QTE-0.75-RMSE-IPS-proj",Point!$D$1:$DR$96,$R$2,FALSE)</f>
        <v>6.0507425881981103</v>
      </c>
      <c r="E35" s="5">
        <f t="shared" si="12"/>
        <v>0.32921321284634314</v>
      </c>
      <c r="F35" s="6">
        <f>HLOOKUP("QTE-0.75-Empcov-IPS-proj",inference!$D$1:$DR$96,$R$2,FALSE)</f>
        <v>0.98232848232848202</v>
      </c>
      <c r="G35" s="6">
        <f>HLOOKUP("QTE-0.75-ASSD-IPS-proj",inference!$D$1:$DR$96,$R$2,FALSE)*2*1.96/SQRT(G$3)</f>
        <v>33.364801264226941</v>
      </c>
      <c r="H35" s="5">
        <f t="shared" si="13"/>
        <v>190.32133592495504</v>
      </c>
      <c r="I35" s="5">
        <f t="shared" si="14"/>
        <v>0.71303814599507065</v>
      </c>
      <c r="J35" s="5"/>
    </row>
    <row r="36" spans="1:10" x14ac:dyDescent="0.25">
      <c r="B36" s="1" t="s">
        <v>88</v>
      </c>
      <c r="C36" s="5">
        <f>HLOOKUP("QTE-0.75-bias-CBPS-just",Point!$D$1:$DR$96,$R$2,FALSE)</f>
        <v>7.6352733367257501</v>
      </c>
      <c r="D36" s="5">
        <f>HLOOKUP("QTE-0.75-RMSE-CBPS-just",Point!$D$1:$DR$96,$R$2,FALSE)</f>
        <v>10.1571304996896</v>
      </c>
      <c r="E36" s="5">
        <f t="shared" si="12"/>
        <v>0.92768805973916735</v>
      </c>
      <c r="F36" s="5">
        <f>HLOOKUP("QTE-0.75-Empcov-CBPS-just",inference!$D$1:$DR$96,$R$2,FALSE)</f>
        <v>0.76100000000000001</v>
      </c>
      <c r="G36" s="5">
        <f>HLOOKUP("QTE-0.75-ASSD-CBPS-just",inference!$D$1:$DR$96,$R$2,FALSE)*2*1.96/SQRT(G$3)</f>
        <v>24.338357209968567</v>
      </c>
      <c r="H36" s="5">
        <f t="shared" si="13"/>
        <v>138.83219689327001</v>
      </c>
      <c r="I36" s="5">
        <f t="shared" si="14"/>
        <v>1.3400078026703215</v>
      </c>
      <c r="J36" s="5"/>
    </row>
    <row r="37" spans="1:10" x14ac:dyDescent="0.25">
      <c r="B37" s="1" t="s">
        <v>89</v>
      </c>
      <c r="C37" s="5">
        <f>HLOOKUP("QTE-0.75-bias-CBPS-over",Point!$D$1:$DR$96,$R$2,FALSE)</f>
        <v>8.0933614332411494</v>
      </c>
      <c r="D37" s="5">
        <f>HLOOKUP("QTE-0.75-RMSE-CBPS-over",Point!$D$1:$DR$96,$R$2,FALSE)</f>
        <v>10.545569759727501</v>
      </c>
      <c r="E37" s="5">
        <f t="shared" si="12"/>
        <v>1</v>
      </c>
      <c r="F37" s="5">
        <f>HLOOKUP("QTE-0.75-Empcov-CBPS-over",inference!$D$1:$DR$96,$R$2,FALSE)</f>
        <v>0.83</v>
      </c>
      <c r="G37" s="5">
        <f>HLOOKUP("QTE-0.75-ASSD-CBPS-over",inference!$D$1:$DR$96,$R$2,FALSE)*2*1.96/SQRT(G$3)</f>
        <v>28.17376738043647</v>
      </c>
      <c r="H37" s="5">
        <f t="shared" si="13"/>
        <v>160.710354706434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12.7864899004053</v>
      </c>
      <c r="D38" s="5">
        <f>HLOOKUP("QTE-0.75-RMSE-GLM",Point!$D$1:$DR$96,$R$2,FALSE)</f>
        <v>19.958982973295399</v>
      </c>
      <c r="E38" s="5">
        <f t="shared" si="12"/>
        <v>3.5820918492775289</v>
      </c>
      <c r="F38" s="5">
        <f>HLOOKUP("QTE-0.75-Empcov-GLM",inference!$D$1:$DR$96,$R$2,FALSE)</f>
        <v>0.76400000000000001</v>
      </c>
      <c r="G38" s="5">
        <f>HLOOKUP("QTE-0.75-ASSD-GLM",inference!$D$1:$DR$96,$R$2,FALSE)*2*1.96/SQRT(G$3)</f>
        <v>32.979741751371527</v>
      </c>
      <c r="H38" s="5">
        <f>G38/(2*1.96/SQRT(G$3))</f>
        <v>188.12485825626203</v>
      </c>
      <c r="I38" s="5">
        <f t="shared" si="14"/>
        <v>0.72978569769749657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10.1378170593209</v>
      </c>
      <c r="D40" s="5">
        <f>HLOOKUP("QTE-0.9-RMSE-IPS-exp",Point!$D$1:$DR$96,$R$2,FALSE)</f>
        <v>13.8919288234114</v>
      </c>
      <c r="E40" s="5">
        <f t="shared" ref="E40:E45" si="15">(D40/$D$44)^2</f>
        <v>0.61091525785948098</v>
      </c>
      <c r="F40" s="5">
        <f>HLOOKUP("QTE-0.9-Empcov-IPS-exp",inference!$D$1:$DR$96,$R$2,FALSE)</f>
        <v>0.86199999999999999</v>
      </c>
      <c r="G40" s="5">
        <f>HLOOKUP("QTE-0.9-ASSD-IPS-exp",inference!$D$1:$DR$96,$R$2,FALSE)*2*1.96/SQRT(G$3)</f>
        <v>37.36500945790857</v>
      </c>
      <c r="H40" s="5">
        <f>G40/(2*1.96/SQRT(G$3))</f>
        <v>213.13954369338302</v>
      </c>
      <c r="I40" s="5">
        <f t="shared" ref="I40:I45" si="16">($H$44/H40)^2</f>
        <v>1.151424452903334</v>
      </c>
      <c r="J40" s="5"/>
    </row>
    <row r="41" spans="1:10" x14ac:dyDescent="0.25">
      <c r="B41" s="1" t="s">
        <v>5</v>
      </c>
      <c r="C41" s="5">
        <f>HLOOKUP("QTE-0.9-bias-IPS-ind",Point!$D$1:$DR$96,$R$2,FALSE)</f>
        <v>0.407637353808667</v>
      </c>
      <c r="D41" s="5">
        <f>HLOOKUP("QTE-0.9-RMSE-IPS-ind",Point!$D$1:$DR$96,$R$2,FALSE)</f>
        <v>9.22922689278254</v>
      </c>
      <c r="E41" s="5">
        <f t="shared" si="15"/>
        <v>0.26964136607482564</v>
      </c>
      <c r="F41" s="5">
        <f>HLOOKUP("QTE-0.9-Empcov-IPS-ind",inference!$D$1:$DR$96,$R$2,FALSE)</f>
        <v>0.94994994994994997</v>
      </c>
      <c r="G41" s="5">
        <f>HLOOKUP("QTE-0.9-ASSD-IPS-ind",inference!$D$1:$DR$96,$R$2,FALSE)*2*1.96/SQRT(G$3)</f>
        <v>37.827870646786131</v>
      </c>
      <c r="H41" s="5">
        <f t="shared" ref="H41:H44" si="17">G41/(2*1.96/SQRT(G$3))</f>
        <v>215.77982196500699</v>
      </c>
      <c r="I41" s="5">
        <f t="shared" si="16"/>
        <v>1.1234192228764257</v>
      </c>
      <c r="J41" s="5"/>
    </row>
    <row r="42" spans="1:10" x14ac:dyDescent="0.25">
      <c r="B42" s="1" t="s">
        <v>4</v>
      </c>
      <c r="C42" s="5">
        <f>HLOOKUP("QTE-0.9-bias-IPS-proj",Point!$D$1:$DR$96,$R$2,FALSE)</f>
        <v>0.87518690240887798</v>
      </c>
      <c r="D42" s="5">
        <f>HLOOKUP("QTE-0.9-RMSE-IPS-proj",Point!$D$1:$DR$96,$R$2,FALSE)</f>
        <v>9.4211448845048604</v>
      </c>
      <c r="E42" s="5">
        <f t="shared" si="15"/>
        <v>0.28097212649538528</v>
      </c>
      <c r="F42" s="6">
        <f>HLOOKUP("QTE-0.9-Empcov-IPS-proj",inference!$D$1:$DR$96,$R$2,FALSE)</f>
        <v>0.98648648648648696</v>
      </c>
      <c r="G42" s="6">
        <f>HLOOKUP("QTE-0.9-ASSD-IPS-proj",inference!$D$1:$DR$96,$R$2,FALSE)*2*1.96/SQRT(G$3)</f>
        <v>54.96079553436347</v>
      </c>
      <c r="H42" s="5">
        <f t="shared" si="17"/>
        <v>313.51039518444799</v>
      </c>
      <c r="I42" s="5">
        <f t="shared" si="16"/>
        <v>0.53218131309683003</v>
      </c>
      <c r="J42" s="5"/>
    </row>
    <row r="43" spans="1:10" x14ac:dyDescent="0.25">
      <c r="B43" s="1" t="s">
        <v>88</v>
      </c>
      <c r="C43" s="5">
        <f>HLOOKUP("QTE-0.9-bias-CBPS-just",Point!$D$1:$DR$96,$R$2,FALSE)</f>
        <v>13.040230967844</v>
      </c>
      <c r="D43" s="5">
        <f>HLOOKUP("QTE-0.9-RMSE-CBPS-just",Point!$D$1:$DR$96,$R$2,FALSE)</f>
        <v>17.2150836422298</v>
      </c>
      <c r="E43" s="5">
        <f t="shared" si="15"/>
        <v>0.93815402726569774</v>
      </c>
      <c r="F43" s="5">
        <f>HLOOKUP("QTE-0.9-Empcov-CBPS-just",inference!$D$1:$DR$96,$R$2,FALSE)</f>
        <v>0.69699999999999995</v>
      </c>
      <c r="G43" s="5">
        <f>HLOOKUP("QTE-0.9-ASSD-CBPS-just",inference!$D$1:$DR$96,$R$2,FALSE)*2*1.96/SQRT(G$3)</f>
        <v>34.931888979358632</v>
      </c>
      <c r="H43" s="5">
        <f t="shared" si="17"/>
        <v>199.26040392939197</v>
      </c>
      <c r="I43" s="5">
        <f t="shared" si="16"/>
        <v>1.3174116480431155</v>
      </c>
      <c r="J43" s="5"/>
    </row>
    <row r="44" spans="1:10" x14ac:dyDescent="0.25">
      <c r="B44" s="1" t="s">
        <v>89</v>
      </c>
      <c r="C44" s="5">
        <f>HLOOKUP("QTE-0.9-bias-CBPS-over",Point!$D$1:$DR$96,$R$2,FALSE)</f>
        <v>13.604823950702</v>
      </c>
      <c r="D44" s="5">
        <f>HLOOKUP("QTE-0.9-RMSE-CBPS-over",Point!$D$1:$DR$96,$R$2,FALSE)</f>
        <v>17.773463371718201</v>
      </c>
      <c r="E44" s="5">
        <f t="shared" si="15"/>
        <v>1</v>
      </c>
      <c r="F44" s="5">
        <f>HLOOKUP("QTE-0.9-Empcov-CBPS-over",inference!$D$1:$DR$96,$R$2,FALSE)</f>
        <v>0.754</v>
      </c>
      <c r="G44" s="5">
        <f>HLOOKUP("QTE-0.9-ASSD-CBPS-over",inference!$D$1:$DR$96,$R$2,FALSE)*2*1.96/SQRT(G$3)</f>
        <v>40.094317089023306</v>
      </c>
      <c r="H44" s="5">
        <f t="shared" si="17"/>
        <v>228.70821051655003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16.7859372015409</v>
      </c>
      <c r="D45" s="5">
        <f>HLOOKUP("QTE-0.9-RMSE-GLM",Point!$D$1:$DR$96,$R$2,FALSE)</f>
        <v>23.6368944250253</v>
      </c>
      <c r="E45" s="5">
        <f t="shared" si="15"/>
        <v>1.768628845127576</v>
      </c>
      <c r="F45" s="5">
        <f>HLOOKUP("QTE-0.9-Empcov-GLM",inference!$D$1:$DR$96,$R$2,FALSE)</f>
        <v>0.63</v>
      </c>
      <c r="G45" s="5">
        <f>HLOOKUP("QTE-0.9-ASSD-GLM",inference!$D$1:$DR$96,$R$2,FALSE)*2*1.96/SQRT(G$3)</f>
        <v>36.968164716492048</v>
      </c>
      <c r="H45" s="5">
        <f>G45/(2*1.96/SQRT(G$3))</f>
        <v>210.87584007521804</v>
      </c>
      <c r="I45" s="5">
        <f t="shared" si="16"/>
        <v>1.1762776907186752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J114" s="7"/>
    </row>
    <row r="115" spans="8:10" x14ac:dyDescent="0.25">
      <c r="J115" s="7"/>
    </row>
    <row r="116" spans="8:10" x14ac:dyDescent="0.25">
      <c r="J116" s="7"/>
    </row>
    <row r="117" spans="8:10" x14ac:dyDescent="0.25">
      <c r="J117" s="7"/>
    </row>
    <row r="118" spans="8:10" x14ac:dyDescent="0.25">
      <c r="J118" s="7"/>
    </row>
    <row r="119" spans="8:10" x14ac:dyDescent="0.25">
      <c r="J119" s="7"/>
    </row>
    <row r="120" spans="8:10" x14ac:dyDescent="0.25">
      <c r="J120" s="7"/>
    </row>
  </sheetData>
  <mergeCells count="1">
    <mergeCell ref="C1:G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0"/>
  <sheetViews>
    <sheetView workbookViewId="0">
      <selection activeCell="O9" sqref="O9"/>
    </sheetView>
  </sheetViews>
  <sheetFormatPr defaultColWidth="9.28515625" defaultRowHeight="15" x14ac:dyDescent="0.25"/>
  <cols>
    <col min="1" max="1" width="8" style="1" bestFit="1" customWidth="1"/>
    <col min="2" max="2" width="11.7109375" style="1" bestFit="1" customWidth="1"/>
    <col min="3" max="4" width="6.5703125" style="1" bestFit="1" customWidth="1"/>
    <col min="5" max="5" width="6.5703125" style="1" customWidth="1"/>
    <col min="6" max="7" width="8.28515625" style="1" bestFit="1" customWidth="1"/>
    <col min="8" max="10" width="8.28515625" style="1" customWidth="1"/>
    <col min="11" max="17" width="9.28515625" style="1"/>
    <col min="18" max="18" width="14" style="1" bestFit="1" customWidth="1"/>
    <col min="19" max="16384" width="9.28515625" style="1"/>
  </cols>
  <sheetData>
    <row r="1" spans="1:18" x14ac:dyDescent="0.25">
      <c r="C1" s="16" t="s">
        <v>61</v>
      </c>
      <c r="D1" s="16"/>
      <c r="E1" s="16"/>
      <c r="F1" s="16"/>
      <c r="G1" s="16"/>
      <c r="H1" s="11"/>
      <c r="I1" s="11"/>
      <c r="J1" s="11"/>
      <c r="R1" s="10" t="s">
        <v>216</v>
      </c>
    </row>
    <row r="2" spans="1:18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6</v>
      </c>
    </row>
    <row r="3" spans="1:18" x14ac:dyDescent="0.2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I3" s="11">
        <v>1000</v>
      </c>
      <c r="J3" s="11"/>
      <c r="K3" s="11"/>
      <c r="L3" s="11"/>
      <c r="M3" s="11"/>
      <c r="N3" s="11"/>
      <c r="O3" s="11"/>
      <c r="P3" s="11"/>
    </row>
    <row r="4" spans="1:18" x14ac:dyDescent="0.25">
      <c r="C4" s="11"/>
      <c r="D4" s="11"/>
      <c r="E4" s="11"/>
      <c r="F4" s="11"/>
      <c r="G4" s="11"/>
      <c r="H4" s="11"/>
      <c r="I4" s="11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-0.28508290649789098</v>
      </c>
      <c r="D5" s="5">
        <f>HLOOKUP("ATE-RMSE-IPS-exp",Point!$D$1:$DR$96,$R$2,FALSE)</f>
        <v>3.1670820747542798</v>
      </c>
      <c r="E5" s="5">
        <f>(D5/$D$9)^2</f>
        <v>0.73932277872683538</v>
      </c>
      <c r="F5" s="5">
        <f>HLOOKUP("ATE-Empcov-IPS-exp",inference!$D$1:$DR$96,$R$2,FALSE)</f>
        <v>0.95099999999999996</v>
      </c>
      <c r="G5" s="5">
        <f>HLOOKUP("ATE-ASSD-IPS-exp",inference!$D$1:$DR$96,$R$2,FALSE)*2*1.96/SQRT(G$3)</f>
        <v>12.777738405560498</v>
      </c>
      <c r="H5" s="5">
        <f>G5/(2*1.96/SQRT(G$3))</f>
        <v>103.078460988213</v>
      </c>
      <c r="I5" s="5">
        <f t="shared" ref="I5:I10" si="0">($H$9/H5)^2</f>
        <v>1.7370088346823953</v>
      </c>
      <c r="J5" s="5"/>
      <c r="K5" s="5">
        <f>HLOOKUP("ks-IPS-exp",balance!$D$1:$DR$96,$R$2,FALSE)</f>
        <v>2.8313590168551701</v>
      </c>
      <c r="L5" s="5">
        <f>HLOOKUP("cvm-IPS-exp",balance!$D$1:$DR$96,$R$2,FALSE)</f>
        <v>0.38426641253589799</v>
      </c>
      <c r="M5" s="5">
        <f>HLOOKUP("ks-IPS-exp_1",balance!$D$1:$DR$96,$R$2,FALSE)</f>
        <v>1.5765062968194801</v>
      </c>
      <c r="N5" s="5">
        <f>HLOOKUP("cvm-IPS-exp_1",balance!$D$1:$DR$96,$R$2,FALSE)</f>
        <v>7.6905985166336593E-2</v>
      </c>
      <c r="O5" s="5">
        <f>HLOOKUP("ks-IPS-exp_0",balance!$D$1:$DR$96,$R$2,FALSE)</f>
        <v>1.8293186705941</v>
      </c>
      <c r="P5" s="5">
        <f>HLOOKUP("cvm-IPS-exp_0",balance!$D$1:$DR$96,$R$2,FALSE)</f>
        <v>0.18089613315064201</v>
      </c>
    </row>
    <row r="6" spans="1:18" x14ac:dyDescent="0.25">
      <c r="B6" s="1" t="s">
        <v>5</v>
      </c>
      <c r="C6" s="5">
        <f>HLOOKUP("ATE-bias-IPS-ind",Point!$D$1:$DR$96,$R$2,FALSE)</f>
        <v>-4.5477883475843601</v>
      </c>
      <c r="D6" s="5">
        <f>HLOOKUP("ATE-RMSE-IPS-ind",Point!$D$1:$DR$96,$R$2,FALSE)</f>
        <v>5.3852613021132898</v>
      </c>
      <c r="E6" s="5">
        <f t="shared" ref="E6:E10" si="1">(D6/$D$9)^2</f>
        <v>2.137612657373178</v>
      </c>
      <c r="F6" s="5">
        <f>HLOOKUP("ATE-Empcov-IPS-ind",inference!$D$1:$DR$96,$R$2,FALSE)</f>
        <v>0.63500000000000001</v>
      </c>
      <c r="G6" s="5">
        <f>HLOOKUP("ATE-ASSD-IPS-ind",inference!$D$1:$DR$96,$R$2,FALSE)*2*1.96/SQRT(G$3)</f>
        <v>11.270581170906473</v>
      </c>
      <c r="H6" s="5">
        <f t="shared" ref="H6:H9" si="2">G6/(2*1.96/SQRT(G$3))</f>
        <v>90.920171055795706</v>
      </c>
      <c r="I6" s="5">
        <f t="shared" si="0"/>
        <v>2.2326332612845654</v>
      </c>
      <c r="J6" s="5"/>
      <c r="K6" s="5">
        <f>HLOOKUP("ks-IPS-ind",balance!$D$1:$DR$96,$R$2,FALSE)</f>
        <v>2.5523545436627999</v>
      </c>
      <c r="L6" s="5">
        <f>HLOOKUP("cvm-IPS-ind",balance!$D$1:$DR$96,$R$2,FALSE)</f>
        <v>0.207031609093041</v>
      </c>
      <c r="M6" s="5">
        <f>HLOOKUP("ks-IPS-ind_1",balance!$D$1:$DR$96,$R$2,FALSE)</f>
        <v>1.8274922123101001</v>
      </c>
      <c r="N6" s="5">
        <f>HLOOKUP("cvm-IPS-ind_1",balance!$D$1:$DR$96,$R$2,FALSE)</f>
        <v>7.9988022276308496E-2</v>
      </c>
      <c r="O6" s="5">
        <f>HLOOKUP("ks-IPS-ind_0",balance!$D$1:$DR$96,$R$2,FALSE)</f>
        <v>1.3793952876187401</v>
      </c>
      <c r="P6" s="5">
        <f>HLOOKUP("cvm-IPS-ind_0",balance!$D$1:$DR$96,$R$2,FALSE)</f>
        <v>6.9652754510935999E-2</v>
      </c>
    </row>
    <row r="7" spans="1:18" x14ac:dyDescent="0.25">
      <c r="B7" s="1" t="s">
        <v>4</v>
      </c>
      <c r="C7" s="5">
        <f>HLOOKUP("ATE-bias-IPS-proj",Point!$D$1:$DR$96,$R$2,FALSE)</f>
        <v>-0.64086675608199095</v>
      </c>
      <c r="D7" s="5">
        <f>HLOOKUP("ATE-RMSE-IPS-proj",Point!$D$1:$DR$96,$R$2,FALSE)</f>
        <v>3.1359986699412699</v>
      </c>
      <c r="E7" s="5">
        <f t="shared" si="1"/>
        <v>0.72488179077159309</v>
      </c>
      <c r="F7" s="6">
        <f>HLOOKUP("ATE-Empcov-IPS-proj",inference!$D$1:$DR$96,$R$2,FALSE)</f>
        <v>0.94199999999999995</v>
      </c>
      <c r="G7" s="6">
        <f>HLOOKUP("ATE-ASSD-IPS-proj",inference!$D$1:$DR$96,$R$2,FALSE)*2*1.96/SQRT(G$3)</f>
        <v>12.334228741132154</v>
      </c>
      <c r="H7" s="5">
        <f t="shared" si="2"/>
        <v>99.500653070124912</v>
      </c>
      <c r="I7" s="5">
        <f t="shared" si="0"/>
        <v>1.8641721532812625</v>
      </c>
      <c r="J7" s="5"/>
      <c r="K7" s="5">
        <f>HLOOKUP("ks-IPS-proj",balance!$D$1:$DR$96,$R$2,FALSE)</f>
        <v>2.7988142923560102</v>
      </c>
      <c r="L7" s="5">
        <f>HLOOKUP("cvm-IPS-proj",balance!$D$1:$DR$96,$R$2,FALSE)</f>
        <v>0.37389644557017998</v>
      </c>
      <c r="M7" s="5">
        <f>HLOOKUP("ks-IPS-proj_1",balance!$D$1:$DR$96,$R$2,FALSE)</f>
        <v>1.55283636080525</v>
      </c>
      <c r="N7" s="5">
        <f>HLOOKUP("cvm-IPS-proj_1",balance!$D$1:$DR$96,$R$2,FALSE)</f>
        <v>7.5203018718521794E-2</v>
      </c>
      <c r="O7" s="5">
        <f>HLOOKUP("ks-IPS-proj_0",balance!$D$1:$DR$96,$R$2,FALSE)</f>
        <v>1.79573525809347</v>
      </c>
      <c r="P7" s="5">
        <f>HLOOKUP("cvm-IPS-proj_0",balance!$D$1:$DR$96,$R$2,FALSE)</f>
        <v>0.17389325461517799</v>
      </c>
    </row>
    <row r="8" spans="1:18" x14ac:dyDescent="0.25">
      <c r="B8" s="1" t="s">
        <v>88</v>
      </c>
      <c r="C8" s="5">
        <f>HLOOKUP("ATE-bias-CBPS-just",Point!$D$1:$DR$96,$R$2,FALSE)</f>
        <v>-0.157149473767554</v>
      </c>
      <c r="D8" s="5">
        <f>HLOOKUP("ATE-RMSE-CBPS-just",Point!$D$1:$DR$96,$R$2,FALSE)</f>
        <v>3.4154586085281502</v>
      </c>
      <c r="E8" s="5">
        <f t="shared" si="1"/>
        <v>0.85983180146479787</v>
      </c>
      <c r="F8" s="5">
        <f>HLOOKUP("ATE-Empcov-CBPS-just",inference!$D$1:$DR$96,$R$2,FALSE)</f>
        <v>0.94299999999999995</v>
      </c>
      <c r="G8" s="5">
        <f>HLOOKUP("ATE-ASSD-CBPS-just",inference!$D$1:$DR$96,$R$2,FALSE)*2*1.96/SQRT(G$3)</f>
        <v>12.80189255365093</v>
      </c>
      <c r="H8" s="5">
        <f t="shared" si="2"/>
        <v>103.27331334256699</v>
      </c>
      <c r="I8" s="5">
        <f t="shared" si="0"/>
        <v>1.7304603672664762</v>
      </c>
      <c r="J8" s="5"/>
      <c r="K8" s="5">
        <f>HLOOKUP("ks-CBPS-Just",balance!$D$1:$DR$96,$R$2,FALSE)</f>
        <v>2.9316877311432998</v>
      </c>
      <c r="L8" s="5">
        <f>HLOOKUP("cvm-CBPS-Just",balance!$D$1:$DR$96,$R$2,FALSE)</f>
        <v>0.40858061242341998</v>
      </c>
      <c r="M8" s="5">
        <f>HLOOKUP("ks-CBPS-Just_1",balance!$D$1:$DR$96,$R$2,FALSE)</f>
        <v>1.63531399866085</v>
      </c>
      <c r="N8" s="5">
        <f>HLOOKUP("cvm-CBPS-Just_1",balance!$D$1:$DR$96,$R$2,FALSE)</f>
        <v>8.1435897767978604E-2</v>
      </c>
      <c r="O8" s="5">
        <f>HLOOKUP("ks-CBPS-Just_0",balance!$D$1:$DR$96,$R$2,FALSE)</f>
        <v>1.9052044615024899</v>
      </c>
      <c r="P8" s="5">
        <f>HLOOKUP("cvm-CBPS-Just_0",balance!$D$1:$DR$96,$R$2,FALSE)</f>
        <v>0.19439050998271901</v>
      </c>
    </row>
    <row r="9" spans="1:18" x14ac:dyDescent="0.25">
      <c r="B9" s="1" t="s">
        <v>89</v>
      </c>
      <c r="C9" s="5">
        <f>HLOOKUP("ATE-bias-CBPS-over",Point!$D$1:$DR$96,$R$2,FALSE)</f>
        <v>0.76687692741570102</v>
      </c>
      <c r="D9" s="5">
        <f>HLOOKUP("ATE-RMSE-CBPS-over",Point!$D$1:$DR$96,$R$2,FALSE)</f>
        <v>3.6833439464422999</v>
      </c>
      <c r="E9" s="5">
        <f t="shared" si="1"/>
        <v>1</v>
      </c>
      <c r="F9" s="5">
        <f>HLOOKUP("ATE-Empcov-CBPS-over",inference!$D$1:$DR$96,$R$2,FALSE)</f>
        <v>0.98199999999999998</v>
      </c>
      <c r="G9" s="5">
        <f>HLOOKUP("ATE-ASSD-CBPS-over",inference!$D$1:$DR$96,$R$2,FALSE)*2*1.96/SQRT(G$3)</f>
        <v>16.840500957264602</v>
      </c>
      <c r="H9" s="5">
        <f t="shared" si="2"/>
        <v>135.85290806939301</v>
      </c>
      <c r="I9" s="5">
        <f t="shared" si="0"/>
        <v>1</v>
      </c>
      <c r="J9" s="5"/>
      <c r="K9" s="5">
        <f>HLOOKUP("ks-CBPS-over",balance!$D$1:$DR$96,$R$2,FALSE)</f>
        <v>2.9501591136210399</v>
      </c>
      <c r="L9" s="5">
        <f>HLOOKUP("cvm-CBPS-over",balance!$D$1:$DR$96,$R$2,FALSE)</f>
        <v>0.40750228220502499</v>
      </c>
      <c r="M9" s="5">
        <f>HLOOKUP("ks-CBPS-over_1",balance!$D$1:$DR$96,$R$2,FALSE)</f>
        <v>1.5856067861877099</v>
      </c>
      <c r="N9" s="5">
        <f>HLOOKUP("cvm-CBPS-over_1",balance!$D$1:$DR$96,$R$2,FALSE)</f>
        <v>7.5556022427489294E-2</v>
      </c>
      <c r="O9" s="5">
        <f>HLOOKUP("ks-CBPS-over_0",balance!$D$1:$DR$96,$R$2,FALSE)</f>
        <v>1.9197424307127799</v>
      </c>
      <c r="P9" s="5">
        <f>HLOOKUP("cvm-CBPS-over_0",balance!$D$1:$DR$96,$R$2,FALSE)</f>
        <v>0.19377275886779699</v>
      </c>
    </row>
    <row r="10" spans="1:18" s="3" customFormat="1" x14ac:dyDescent="0.25">
      <c r="B10" s="3" t="s">
        <v>2</v>
      </c>
      <c r="C10" s="5">
        <f>HLOOKUP("ATE-bias-GLM",Point!$D$1:$DR$96,$R$2,FALSE)</f>
        <v>-8.1691120178291499E-2</v>
      </c>
      <c r="D10" s="5">
        <f>HLOOKUP("ATE-RMSE-GLM",Point!$D$1:$DR$96,$R$2,FALSE)</f>
        <v>3.8748227173886001</v>
      </c>
      <c r="E10" s="5">
        <f t="shared" si="1"/>
        <v>1.1066725178472743</v>
      </c>
      <c r="F10" s="5">
        <f>HLOOKUP("ATE-Empcov-GLM",inference!$D$1:$DR$96,$R$2,FALSE)</f>
        <v>0.94899999999999995</v>
      </c>
      <c r="G10" s="5">
        <f>HLOOKUP("ATE-ASSD-GLM",inference!$D$1:$DR$96,$R$2,FALSE)*2*1.96/SQRT(G$3)</f>
        <v>14.684934146936792</v>
      </c>
      <c r="H10" s="5">
        <f>G10/(2*1.96/SQRT(G$3))</f>
        <v>118.46387549464799</v>
      </c>
      <c r="I10" s="5">
        <f t="shared" si="0"/>
        <v>1.3151218886552714</v>
      </c>
      <c r="J10" s="5"/>
      <c r="K10" s="5">
        <f>HLOOKUP("ks-GLM",balance!$D$1:$DR$96,$R$2,FALSE)</f>
        <v>2.9044711129246901</v>
      </c>
      <c r="L10" s="5">
        <f>HLOOKUP("cvm-GLM",balance!$D$1:$DR$96,$R$2,FALSE)</f>
        <v>0.40404185663989201</v>
      </c>
      <c r="M10" s="5">
        <f>HLOOKUP("ks-GLM_1",balance!$D$1:$DR$96,$R$2,FALSE)</f>
        <v>1.6194061691820101</v>
      </c>
      <c r="N10" s="5">
        <f>HLOOKUP("cvm-GLM_1",balance!$D$1:$DR$96,$R$2,FALSE)</f>
        <v>7.4838451158464797E-2</v>
      </c>
      <c r="O10" s="5">
        <f>HLOOKUP("ks-GLM_0",balance!$D$1:$DR$96,$R$2,FALSE)</f>
        <v>1.9452484937433401</v>
      </c>
      <c r="P10" s="5">
        <f>HLOOKUP("cvm-GLM_0",balance!$D$1:$DR$96,$R$2,FALSE)</f>
        <v>0.20616619970821901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1.5357506952383901E-2</v>
      </c>
      <c r="D12" s="5">
        <f>HLOOKUP("QTE-0.10-RMSE-IPS-exp",Point!$D$1:$DR$96,$R$2,FALSE)</f>
        <v>3.32547808567042</v>
      </c>
      <c r="E12" s="5">
        <f t="shared" ref="E12:E15" si="3">(D12/$D$16)^2</f>
        <v>1.052659503906044</v>
      </c>
      <c r="F12" s="5">
        <f>HLOOKUP("QTE-0.1-Empcov-IPS-exp",inference!$D$1:$DR$96,$R$2,FALSE)</f>
        <v>0.95399999999999996</v>
      </c>
      <c r="G12" s="5">
        <f>HLOOKUP("QTE-0.1-ASSD-IPS-exp",inference!$D$1:$DR$96,$R$2,FALSE)*2*1.96/SQRT(G$3)</f>
        <v>12.902879489880638</v>
      </c>
      <c r="H12" s="5">
        <f>G12/(2*1.96/SQRT(G$3))</f>
        <v>104.08797847626101</v>
      </c>
      <c r="I12" s="5">
        <f t="shared" ref="I12:I17" si="4">($H$16/H12)^2</f>
        <v>1.0468150337699351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-2.2322442525788402</v>
      </c>
      <c r="D13" s="5">
        <f>HLOOKUP("QTE-0.10-RMSE-IPS-ind",Point!$D$1:$DR$96,$R$2,FALSE)</f>
        <v>4.2203087649239404</v>
      </c>
      <c r="E13" s="5">
        <f t="shared" si="3"/>
        <v>1.6953844168238612</v>
      </c>
      <c r="F13" s="5">
        <f>HLOOKUP("QTE-0.1-Empcov-IPS-ind",inference!$D$1:$DR$96,$R$2,FALSE)</f>
        <v>0.88700000000000001</v>
      </c>
      <c r="G13" s="5">
        <f>HLOOKUP("QTE-0.1-ASSD-IPS-ind",inference!$D$1:$DR$96,$R$2,FALSE)*2*1.96/SQRT(G$3)</f>
        <v>13.968148243401698</v>
      </c>
      <c r="H13" s="5">
        <f t="shared" ref="H13:H16" si="5">G13/(2*1.96/SQRT(G$3))</f>
        <v>112.68153863272801</v>
      </c>
      <c r="I13" s="5">
        <f t="shared" si="4"/>
        <v>0.89323465099150723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-0.20396181094371699</v>
      </c>
      <c r="D14" s="5">
        <f>HLOOKUP("QTE-0.10-RMSE-IPS-proj",Point!$D$1:$DR$96,$R$2,FALSE)</f>
        <v>3.32943443058039</v>
      </c>
      <c r="E14" s="5">
        <f t="shared" si="3"/>
        <v>1.0551657068278331</v>
      </c>
      <c r="F14" s="6">
        <f>HLOOKUP("QTE-0.1-Empcov-IPS-proj",inference!$D$1:$DR$96,$R$2,FALSE)</f>
        <v>0.95399999999999996</v>
      </c>
      <c r="G14" s="6">
        <f>HLOOKUP("QTE-0.1-ASSD-IPS-proj",inference!$D$1:$DR$96,$R$2,FALSE)*2*1.96/SQRT(G$3)</f>
        <v>12.910836853470672</v>
      </c>
      <c r="H14" s="5">
        <f t="shared" si="5"/>
        <v>104.152170805635</v>
      </c>
      <c r="I14" s="5">
        <f t="shared" si="4"/>
        <v>1.0455250599377242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8.2955740243193105E-2</v>
      </c>
      <c r="D15" s="5">
        <f>HLOOKUP("QTE-0.10-RMSE-CBPS-just",Point!$D$1:$DR$96,$R$2,FALSE)</f>
        <v>3.1735157481326</v>
      </c>
      <c r="E15" s="5">
        <f t="shared" si="3"/>
        <v>0.95865215060827691</v>
      </c>
      <c r="F15" s="5">
        <f>HLOOKUP("QTE-0.1-Empcov-CBPS-just",inference!$D$1:$DR$96,$R$2,FALSE)</f>
        <v>0.94899999999999995</v>
      </c>
      <c r="G15" s="5">
        <f>HLOOKUP("QTE-0.1-ASSD-CBPS-just",inference!$D$1:$DR$96,$R$2,FALSE)*2*1.96/SQRT(G$3)</f>
        <v>12.42479703548512</v>
      </c>
      <c r="H15" s="5">
        <f t="shared" si="5"/>
        <v>100.231270656737</v>
      </c>
      <c r="I15" s="5">
        <f t="shared" si="4"/>
        <v>1.1289237952422466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0.40930302456470002</v>
      </c>
      <c r="D16" s="5">
        <f>HLOOKUP("QTE-0.10-RMSE-CBPS-over",Point!$D$1:$DR$96,$R$2,FALSE)</f>
        <v>3.2412321073504802</v>
      </c>
      <c r="E16" s="5">
        <f>(D16/$D$16)^2</f>
        <v>1</v>
      </c>
      <c r="F16" s="5">
        <f>HLOOKUP("QTE-0.1-Empcov-CBPS-over",inference!$D$1:$DR$96,$R$2,FALSE)</f>
        <v>0.96099999999999997</v>
      </c>
      <c r="G16" s="5">
        <f>HLOOKUP("QTE-0.1-ASSD-CBPS-over",inference!$D$1:$DR$96,$R$2,FALSE)*2*1.96/SQRT(G$3)</f>
        <v>13.201449436192044</v>
      </c>
      <c r="H16" s="5">
        <f t="shared" si="5"/>
        <v>106.49655263753202</v>
      </c>
      <c r="I16" s="5">
        <f>($H$16/H16)^2</f>
        <v>1</v>
      </c>
      <c r="J16" s="5"/>
      <c r="K16" s="5"/>
      <c r="L16" s="5"/>
      <c r="M16" s="5"/>
      <c r="N16" s="5"/>
    </row>
    <row r="17" spans="1:18" s="3" customFormat="1" x14ac:dyDescent="0.25">
      <c r="B17" s="3" t="s">
        <v>2</v>
      </c>
      <c r="C17" s="5">
        <f>HLOOKUP("QTE-0.10-bias-GLM",Point!$D$1:$DR$96,$R$2,FALSE)</f>
        <v>0.139473417509201</v>
      </c>
      <c r="D17" s="5">
        <f>HLOOKUP("QTE-0.10-RMSE-GLM",Point!$D$1:$DR$96,$R$2,FALSE)</f>
        <v>3.2247538916327501</v>
      </c>
      <c r="E17" s="5">
        <f>(D17/$D$16)^2</f>
        <v>0.98985797494376671</v>
      </c>
      <c r="F17" s="5">
        <f>HLOOKUP("QTE-0.1-Empcov-GLM",inference!$D$1:$DR$96,$R$2,FALSE)</f>
        <v>0.94499999999999995</v>
      </c>
      <c r="G17" s="5">
        <f>HLOOKUP("QTE-0.1-ASSD-GLM",inference!$D$1:$DR$96,$R$2,FALSE)*2*1.96/SQRT(G$3)</f>
        <v>12.607845260985439</v>
      </c>
      <c r="H17" s="5">
        <f>G17/(2*1.96/SQRT(G$3))</f>
        <v>101.70792707059699</v>
      </c>
      <c r="I17" s="5">
        <f t="shared" si="4"/>
        <v>1.0963809812529899</v>
      </c>
      <c r="J17" s="5"/>
      <c r="K17" s="5"/>
      <c r="L17" s="5"/>
      <c r="M17" s="5"/>
      <c r="N17" s="5"/>
    </row>
    <row r="18" spans="1:18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8" x14ac:dyDescent="0.25">
      <c r="A19" s="2" t="s">
        <v>59</v>
      </c>
      <c r="B19" s="1" t="s">
        <v>3</v>
      </c>
      <c r="C19" s="5">
        <f>HLOOKUP("QTE-0.25-bias-IPS-exp",Point!$D$1:$DR$96,$R$2,FALSE)</f>
        <v>-2.94059993358857E-2</v>
      </c>
      <c r="D19" s="5">
        <f>HLOOKUP("QTE-0.25-RMSE-IPS-exp",Point!$D$1:$DR$96,$R$2,FALSE)</f>
        <v>2.9246658894183901</v>
      </c>
      <c r="E19" s="5">
        <f>(D19/$D$23)^2</f>
        <v>0.99950393746468524</v>
      </c>
      <c r="F19" s="5">
        <f>HLOOKUP("QTE-0.25-Empcov-IPS-exp",inference!$D$1:$DR$96,$R$2,FALSE)</f>
        <v>0.96</v>
      </c>
      <c r="G19" s="5">
        <f>HLOOKUP("QTE-0.25-ASSD-IPS-exp",inference!$D$1:$DR$96,$R$2,FALSE)*2*1.96/SQRT(G$3)</f>
        <v>12.059251757025537</v>
      </c>
      <c r="H19" s="5">
        <f>G19/(2*1.96/SQRT(G$3))</f>
        <v>97.28240415711258</v>
      </c>
      <c r="I19" s="5">
        <f>($H$23/H19)^2</f>
        <v>1.1203435983559622</v>
      </c>
      <c r="J19" s="5"/>
      <c r="K19" s="5"/>
      <c r="L19" s="5"/>
      <c r="M19" s="5"/>
      <c r="N19" s="5"/>
    </row>
    <row r="20" spans="1:18" x14ac:dyDescent="0.25">
      <c r="B20" s="1" t="s">
        <v>5</v>
      </c>
      <c r="C20" s="5">
        <f>HLOOKUP("QTE-0.25-bias-IPS-ind",Point!$D$1:$DR$96,$R$2,FALSE)</f>
        <v>-2.8217017901378401</v>
      </c>
      <c r="D20" s="5">
        <f>HLOOKUP("QTE-0.25-RMSE-IPS-ind",Point!$D$1:$DR$96,$R$2,FALSE)</f>
        <v>4.136121102942</v>
      </c>
      <c r="E20" s="5">
        <f t="shared" ref="E20:E24" si="6">(D20/$D$23)^2</f>
        <v>1.999026179473421</v>
      </c>
      <c r="F20" s="5">
        <f>HLOOKUP("QTE-0.25-Empcov-IPS-ind",inference!$D$1:$DR$96,$R$2,FALSE)</f>
        <v>0.86599999999999999</v>
      </c>
      <c r="G20" s="5">
        <f>HLOOKUP("QTE-0.25-ASSD-IPS-ind",inference!$D$1:$DR$96,$R$2,FALSE)*2*1.96/SQRT(G$3)</f>
        <v>12.830644625510478</v>
      </c>
      <c r="H20" s="5">
        <f t="shared" ref="H20:H23" si="7">G20/(2*1.96/SQRT(G$3))</f>
        <v>103.50525730819201</v>
      </c>
      <c r="I20" s="5">
        <f t="shared" ref="I20:I24" si="8">($H$23/H20)^2</f>
        <v>0.98968048791455832</v>
      </c>
      <c r="J20" s="5"/>
      <c r="K20" s="5"/>
      <c r="L20" s="5"/>
      <c r="M20" s="5"/>
      <c r="N20" s="5"/>
    </row>
    <row r="21" spans="1:18" x14ac:dyDescent="0.25">
      <c r="B21" s="1" t="s">
        <v>4</v>
      </c>
      <c r="C21" s="5">
        <f>HLOOKUP("QTE-0.25-bias-IPS-proj",Point!$D$1:$DR$96,$R$2,FALSE)</f>
        <v>-0.29939711640132999</v>
      </c>
      <c r="D21" s="5">
        <f>HLOOKUP("QTE-0.25-RMSE-IPS-proj",Point!$D$1:$DR$96,$R$2,FALSE)</f>
        <v>2.92932125863542</v>
      </c>
      <c r="E21" s="5">
        <f t="shared" si="6"/>
        <v>1.0026884127644615</v>
      </c>
      <c r="F21" s="6">
        <f>HLOOKUP("QTE-0.25-Empcov-IPS-proj",inference!$D$1:$DR$96,$R$2,FALSE)</f>
        <v>0.95199999999999996</v>
      </c>
      <c r="G21" s="6">
        <f>HLOOKUP("QTE-0.25-ASSD-IPS-proj",inference!$D$1:$DR$96,$R$2,FALSE)*2*1.96/SQRT(G$3)</f>
        <v>12.014275662945352</v>
      </c>
      <c r="H21" s="5">
        <f t="shared" si="7"/>
        <v>96.919580438869218</v>
      </c>
      <c r="I21" s="5">
        <f t="shared" si="8"/>
        <v>1.1287474334064944</v>
      </c>
      <c r="J21" s="5"/>
      <c r="K21" s="5"/>
      <c r="L21" s="5"/>
      <c r="M21" s="5"/>
      <c r="N21" s="5"/>
    </row>
    <row r="22" spans="1:18" x14ac:dyDescent="0.25">
      <c r="B22" s="1" t="s">
        <v>88</v>
      </c>
      <c r="C22" s="5">
        <f>HLOOKUP("QTE-0.25-bias-CBPS-just",Point!$D$1:$DR$96,$R$2,FALSE)</f>
        <v>6.4336458109615094E-2</v>
      </c>
      <c r="D22" s="5">
        <f>HLOOKUP("QTE-0.25-RMSE-CBPS-just",Point!$D$1:$DR$96,$R$2,FALSE)</f>
        <v>2.8618408726968401</v>
      </c>
      <c r="E22" s="5">
        <f t="shared" si="6"/>
        <v>0.95702427401924173</v>
      </c>
      <c r="F22" s="5">
        <f>HLOOKUP("QTE-0.25-Empcov-CBPS-just",inference!$D$1:$DR$96,$R$2,FALSE)</f>
        <v>0.95899999999999996</v>
      </c>
      <c r="G22" s="5">
        <f>HLOOKUP("QTE-0.25-ASSD-CBPS-just",inference!$D$1:$DR$96,$R$2,FALSE)*2*1.96/SQRT(G$3)</f>
        <v>11.649323027774567</v>
      </c>
      <c r="H22" s="5">
        <f t="shared" si="7"/>
        <v>93.975494813307606</v>
      </c>
      <c r="I22" s="5">
        <f t="shared" si="8"/>
        <v>1.2005785628181675</v>
      </c>
      <c r="J22" s="5"/>
      <c r="K22" s="5"/>
      <c r="L22" s="5"/>
      <c r="M22" s="5"/>
      <c r="N22" s="5"/>
    </row>
    <row r="23" spans="1:18" x14ac:dyDescent="0.25">
      <c r="B23" s="1" t="s">
        <v>89</v>
      </c>
      <c r="C23" s="5">
        <f>HLOOKUP("QTE-0.25-bias-CBPS-over",Point!$D$1:$DR$96,$R$2,FALSE)</f>
        <v>0.43273461836411498</v>
      </c>
      <c r="D23" s="5">
        <f>HLOOKUP("QTE-0.25-RMSE-CBPS-over",Point!$D$1:$DR$96,$R$2,FALSE)</f>
        <v>2.9253915680040499</v>
      </c>
      <c r="E23" s="5">
        <f>(D23/$D$23)^2</f>
        <v>1</v>
      </c>
      <c r="F23" s="5">
        <f>HLOOKUP("QTE-0.25-Empcov-CBPS-over",inference!$D$1:$DR$96,$R$2,FALSE)</f>
        <v>0.96899999999999997</v>
      </c>
      <c r="G23" s="5">
        <f>HLOOKUP("QTE-0.25-ASSD-CBPS-over",inference!$D$1:$DR$96,$R$2,FALSE)*2*1.96/SQRT(G$3)</f>
        <v>12.764269946728138</v>
      </c>
      <c r="H23" s="5">
        <f t="shared" si="7"/>
        <v>102.96981046147199</v>
      </c>
      <c r="I23" s="5">
        <f t="shared" si="8"/>
        <v>1</v>
      </c>
      <c r="J23" s="5"/>
      <c r="K23" s="5"/>
      <c r="L23" s="5"/>
      <c r="M23" s="5"/>
      <c r="N23" s="5"/>
    </row>
    <row r="24" spans="1:18" s="3" customFormat="1" x14ac:dyDescent="0.25">
      <c r="B24" s="3" t="s">
        <v>2</v>
      </c>
      <c r="C24" s="5">
        <f>HLOOKUP("QTE-0.25-bias-GLM",Point!$D$1:$DR$96,$R$2,FALSE)</f>
        <v>0.10422482396906201</v>
      </c>
      <c r="D24" s="5">
        <f>HLOOKUP("QTE-0.25-RMSE-GLM",Point!$D$1:$DR$96,$R$2,FALSE)</f>
        <v>2.9572052624989702</v>
      </c>
      <c r="E24" s="5">
        <f t="shared" si="6"/>
        <v>1.0218683079156459</v>
      </c>
      <c r="F24" s="5">
        <f>HLOOKUP("QTE-0.25-Empcov-GLM",inference!$D$1:$DR$96,$R$2,FALSE)</f>
        <v>0.96199999999999997</v>
      </c>
      <c r="G24" s="5">
        <f>HLOOKUP("QTE-0.25-ASSD-GLM",inference!$D$1:$DR$96,$R$2,FALSE)*2*1.96/SQRT(G$3)</f>
        <v>12.025292182394017</v>
      </c>
      <c r="H24" s="5">
        <f>G24/(2*1.96/SQRT(G$3))</f>
        <v>97.008451085158299</v>
      </c>
      <c r="I24" s="5">
        <f t="shared" si="8"/>
        <v>1.1266802616495446</v>
      </c>
      <c r="J24" s="5"/>
      <c r="K24" s="5"/>
      <c r="L24" s="5"/>
      <c r="M24" s="5"/>
      <c r="N24" s="5"/>
    </row>
    <row r="25" spans="1:18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  <c r="R25" s="4"/>
    </row>
    <row r="26" spans="1:18" x14ac:dyDescent="0.25">
      <c r="A26" s="2" t="s">
        <v>60</v>
      </c>
      <c r="B26" s="1" t="s">
        <v>3</v>
      </c>
      <c r="C26" s="5">
        <f>HLOOKUP("QTE-0.5-bias-IPS-exp",Point!$D$1:$DR$96,$R$2,FALSE)</f>
        <v>-0.203598745852659</v>
      </c>
      <c r="D26" s="5">
        <f>HLOOKUP("QTE-0.5-RMSE-IPS-exp",Point!$D$1:$DR$96,$R$2,FALSE)</f>
        <v>3.2827372319037802</v>
      </c>
      <c r="E26" s="5">
        <f>(D26/$D$30)^2</f>
        <v>0.9588640356829734</v>
      </c>
      <c r="F26" s="5">
        <f>HLOOKUP("QTE-0.5-Empcov-IPS-exp",inference!$D$1:$DR$96,$R$2,FALSE)</f>
        <v>0.95699999999999996</v>
      </c>
      <c r="G26" s="5">
        <f>HLOOKUP("QTE-0.5-ASSD-IPS-exp",inference!$D$1:$DR$96,$R$2,FALSE)*2*1.96/SQRT(G$3)</f>
        <v>13.110842214829358</v>
      </c>
      <c r="H26" s="5">
        <f>G26/(2*1.96/SQRT(G$3))</f>
        <v>105.76562102537601</v>
      </c>
      <c r="I26" s="5">
        <f>($H$30/H26)^2</f>
        <v>1.2416436351980251</v>
      </c>
      <c r="J26" s="5"/>
      <c r="K26"/>
      <c r="L26"/>
      <c r="M26"/>
      <c r="N26"/>
      <c r="O26"/>
      <c r="P26"/>
      <c r="Q26"/>
    </row>
    <row r="27" spans="1:18" x14ac:dyDescent="0.25">
      <c r="B27" s="1" t="s">
        <v>5</v>
      </c>
      <c r="C27" s="5">
        <f>HLOOKUP("QTE-0.5-bias-IPS-ind",Point!$D$1:$DR$96,$R$2,FALSE)</f>
        <v>-4.2655733507226303</v>
      </c>
      <c r="D27" s="5">
        <f>HLOOKUP("QTE-0.5-RMSE-IPS-ind",Point!$D$1:$DR$96,$R$2,FALSE)</f>
        <v>5.3273124508616698</v>
      </c>
      <c r="E27" s="5">
        <f t="shared" ref="E27:E31" si="9">(D27/$D$30)^2</f>
        <v>2.5252310838055818</v>
      </c>
      <c r="F27" s="5">
        <f>HLOOKUP("QTE-0.5-Empcov-IPS-ind",inference!$D$1:$DR$96,$R$2,FALSE)</f>
        <v>0.76800000000000002</v>
      </c>
      <c r="G27" s="5">
        <f>HLOOKUP("QTE-0.5-ASSD-IPS-ind",inference!$D$1:$DR$96,$R$2,FALSE)*2*1.96/SQRT(G$3)</f>
        <v>13.052057447128037</v>
      </c>
      <c r="H27" s="5">
        <f t="shared" ref="H27:H30" si="10">G27/(2*1.96/SQRT(G$3))</f>
        <v>105.29140225583501</v>
      </c>
      <c r="I27" s="5">
        <f t="shared" ref="I27:I31" si="11">($H$30/H27)^2</f>
        <v>1.2528532243507764</v>
      </c>
      <c r="J27" s="5"/>
      <c r="K27" s="5"/>
      <c r="L27" s="5"/>
      <c r="M27" s="5"/>
      <c r="N27" s="5"/>
    </row>
    <row r="28" spans="1:18" x14ac:dyDescent="0.25">
      <c r="B28" s="1" t="s">
        <v>4</v>
      </c>
      <c r="C28" s="5">
        <f>HLOOKUP("QTE-0.5-bias-IPS-proj",Point!$D$1:$DR$96,$R$2,FALSE)</f>
        <v>-0.56275856281579495</v>
      </c>
      <c r="D28" s="5">
        <f>HLOOKUP("QTE-0.5-RMSE-IPS-proj",Point!$D$1:$DR$96,$R$2,FALSE)</f>
        <v>3.2687619499583902</v>
      </c>
      <c r="E28" s="5">
        <f t="shared" si="9"/>
        <v>0.95071725438829657</v>
      </c>
      <c r="F28" s="6">
        <f>HLOOKUP("QTE-0.5-Empcov-IPS-proj",inference!$D$1:$DR$96,$R$2,FALSE)</f>
        <v>0.94799999999999995</v>
      </c>
      <c r="G28" s="6">
        <f>HLOOKUP("QTE-0.5-ASSD-IPS-proj",inference!$D$1:$DR$96,$R$2,FALSE)*2*1.96/SQRT(G$3)</f>
        <v>12.904562804362468</v>
      </c>
      <c r="H28" s="5">
        <f t="shared" si="10"/>
        <v>104.10155783284502</v>
      </c>
      <c r="I28" s="5">
        <f t="shared" si="11"/>
        <v>1.2816562422007134</v>
      </c>
      <c r="J28" s="5"/>
      <c r="K28" s="5"/>
      <c r="L28" s="5"/>
      <c r="M28" s="5"/>
      <c r="N28" s="5"/>
    </row>
    <row r="29" spans="1:18" x14ac:dyDescent="0.25">
      <c r="B29" s="1" t="s">
        <v>88</v>
      </c>
      <c r="C29" s="5">
        <f>HLOOKUP("QTE-0.5-bias-CBPS-just",Point!$D$1:$DR$96,$R$2,FALSE)</f>
        <v>-4.6187448678402597E-2</v>
      </c>
      <c r="D29" s="5">
        <f>HLOOKUP("QTE-0.5-RMSE-CBPS-just",Point!$D$1:$DR$96,$R$2,FALSE)</f>
        <v>3.3039778819174401</v>
      </c>
      <c r="E29" s="5">
        <f t="shared" si="9"/>
        <v>0.97131266316242426</v>
      </c>
      <c r="F29" s="5">
        <f>HLOOKUP("QTE-0.5-Empcov-CBPS-just",inference!$D$1:$DR$96,$R$2,FALSE)</f>
        <v>0.94799999999999995</v>
      </c>
      <c r="G29" s="5">
        <f>HLOOKUP("QTE-0.5-ASSD-CBPS-just",inference!$D$1:$DR$96,$R$2,FALSE)*2*1.96/SQRT(G$3)</f>
        <v>13.096966678408373</v>
      </c>
      <c r="H29" s="5">
        <f t="shared" si="10"/>
        <v>105.65368658954199</v>
      </c>
      <c r="I29" s="5">
        <f t="shared" si="11"/>
        <v>1.2442759390326217</v>
      </c>
      <c r="J29" s="5"/>
      <c r="K29" s="5"/>
      <c r="L29" s="5"/>
      <c r="M29" s="5"/>
      <c r="N29" s="5"/>
    </row>
    <row r="30" spans="1:18" x14ac:dyDescent="0.25">
      <c r="B30" s="1" t="s">
        <v>89</v>
      </c>
      <c r="C30" s="5">
        <f>HLOOKUP("QTE-0.5-bias-CBPS-over",Point!$D$1:$DR$96,$R$2,FALSE)</f>
        <v>0.37590015146447803</v>
      </c>
      <c r="D30" s="5">
        <f>HLOOKUP("QTE-0.5-RMSE-CBPS-over",Point!$D$1:$DR$96,$R$2,FALSE)</f>
        <v>3.3524136936475202</v>
      </c>
      <c r="E30" s="5">
        <f t="shared" si="9"/>
        <v>1</v>
      </c>
      <c r="F30" s="5">
        <f>HLOOKUP("QTE-0.5-Empcov-CBPS-over",inference!$D$1:$DR$96,$R$2,FALSE)</f>
        <v>0.97099999999999997</v>
      </c>
      <c r="G30" s="5">
        <f>HLOOKUP("QTE-0.5-ASSD-CBPS-over",inference!$D$1:$DR$96,$R$2,FALSE)*2*1.96/SQRT(G$3)</f>
        <v>14.609288790777576</v>
      </c>
      <c r="H30" s="5">
        <f t="shared" si="10"/>
        <v>117.85364177047002</v>
      </c>
      <c r="I30" s="5">
        <f t="shared" si="11"/>
        <v>1</v>
      </c>
      <c r="J30" s="5"/>
      <c r="K30" s="5"/>
      <c r="L30" s="5"/>
      <c r="M30" s="5"/>
      <c r="N30" s="5"/>
    </row>
    <row r="31" spans="1:18" x14ac:dyDescent="0.25">
      <c r="A31" s="3"/>
      <c r="B31" s="3" t="s">
        <v>2</v>
      </c>
      <c r="C31" s="5">
        <f>HLOOKUP("QTE-0.5-bias-GLM",Point!$D$1:$DR$96,$R$2,FALSE)</f>
        <v>-3.5616110484752998E-3</v>
      </c>
      <c r="D31" s="5">
        <f>HLOOKUP("QTE-0.5-RMSE-GLM",Point!$D$1:$DR$96,$R$2,FALSE)</f>
        <v>3.46621577379122</v>
      </c>
      <c r="E31" s="5">
        <f t="shared" si="9"/>
        <v>1.0690449754482978</v>
      </c>
      <c r="F31" s="5">
        <f>HLOOKUP("QTE-0.5-Empcov-GLM",inference!$D$1:$DR$96,$R$2,FALSE)</f>
        <v>0.94699999999999995</v>
      </c>
      <c r="G31" s="5">
        <f>HLOOKUP("QTE-0.5-ASSD-GLM",inference!$D$1:$DR$96,$R$2,FALSE)*2*1.96/SQRT(G$3)</f>
        <v>13.848348678440194</v>
      </c>
      <c r="H31" s="5">
        <f>G31/(2*1.96/SQRT(G$3))</f>
        <v>111.715111367484</v>
      </c>
      <c r="I31" s="5">
        <f t="shared" si="11"/>
        <v>1.1129154425502683</v>
      </c>
      <c r="J31" s="5"/>
      <c r="K31" s="5"/>
      <c r="L31" s="5"/>
      <c r="M31" s="5"/>
      <c r="N31" s="5"/>
      <c r="O31" s="3"/>
      <c r="P31" s="3"/>
      <c r="Q31" s="3"/>
      <c r="R31" s="3"/>
    </row>
    <row r="32" spans="1:18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-0.448557394983915</v>
      </c>
      <c r="D33" s="5">
        <f>HLOOKUP("QTE-0.75-RMSE-IPS-exp",Point!$D$1:$DR$96,$R$2,FALSE)</f>
        <v>4.3507967500765901</v>
      </c>
      <c r="E33" s="5">
        <f>(D33/$D$37)^2</f>
        <v>0.92720083595091163</v>
      </c>
      <c r="F33" s="5">
        <f>HLOOKUP("QTE-0.75-Empcov-IPS-exp",inference!$D$1:$DR$96,$R$2,FALSE)</f>
        <v>0.94699999999999995</v>
      </c>
      <c r="G33" s="5">
        <f>HLOOKUP("QTE-0.75-ASSD-IPS-exp",inference!$D$1:$DR$96,$R$2,FALSE)*2*1.96/SQRT(G$3)</f>
        <v>16.984639860166123</v>
      </c>
      <c r="H33" s="5">
        <f>G33/(2*1.96/SQRT(G$3))</f>
        <v>137.01568162196102</v>
      </c>
      <c r="I33" s="5">
        <f>($H$37/H33)^2</f>
        <v>1.3417838840336398</v>
      </c>
      <c r="J33" s="5"/>
    </row>
    <row r="34" spans="1:10" x14ac:dyDescent="0.25">
      <c r="B34" s="1" t="s">
        <v>5</v>
      </c>
      <c r="C34" s="5">
        <f>HLOOKUP("QTE-0.75-bias-IPS-ind",Point!$D$1:$DR$96,$R$2,FALSE)</f>
        <v>-6.0980942285937303</v>
      </c>
      <c r="D34" s="5">
        <f>HLOOKUP("QTE-0.75-RMSE-IPS-ind",Point!$D$1:$DR$96,$R$2,FALSE)</f>
        <v>7.25458071377673</v>
      </c>
      <c r="E34" s="5">
        <f t="shared" ref="E34:E38" si="12">(D34/$D$37)^2</f>
        <v>2.5778690807853906</v>
      </c>
      <c r="F34" s="5">
        <f>HLOOKUP("QTE-0.75-Empcov-IPS-ind",inference!$D$1:$DR$96,$R$2,FALSE)</f>
        <v>0.64300000000000002</v>
      </c>
      <c r="G34" s="5">
        <f>HLOOKUP("QTE-0.75-ASSD-IPS-ind",inference!$D$1:$DR$96,$R$2,FALSE)*2*1.96/SQRT(G$3)</f>
        <v>15.480973323783404</v>
      </c>
      <c r="H34" s="5">
        <f t="shared" ref="H34:H37" si="13">G34/(2*1.96/SQRT(G$3))</f>
        <v>124.88555127414001</v>
      </c>
      <c r="I34" s="5">
        <f t="shared" ref="I34:I38" si="14">($H$37/H34)^2</f>
        <v>1.6150974518170904</v>
      </c>
      <c r="J34" s="5"/>
    </row>
    <row r="35" spans="1:10" x14ac:dyDescent="0.25">
      <c r="B35" s="1" t="s">
        <v>4</v>
      </c>
      <c r="C35" s="5">
        <f>HLOOKUP("QTE-0.75-bias-IPS-proj",Point!$D$1:$DR$96,$R$2,FALSE)</f>
        <v>-0.91738649519419402</v>
      </c>
      <c r="D35" s="5">
        <f>HLOOKUP("QTE-0.75-RMSE-IPS-proj",Point!$D$1:$DR$96,$R$2,FALSE)</f>
        <v>4.2849197811914204</v>
      </c>
      <c r="E35" s="5">
        <f t="shared" si="12"/>
        <v>0.89933524805653198</v>
      </c>
      <c r="F35" s="6">
        <f>HLOOKUP("QTE-0.75-Empcov-IPS-proj",inference!$D$1:$DR$96,$R$2,FALSE)</f>
        <v>0.94699999999999995</v>
      </c>
      <c r="G35" s="6">
        <f>HLOOKUP("QTE-0.75-ASSD-IPS-proj",inference!$D$1:$DR$96,$R$2,FALSE)*2*1.96/SQRT(G$3)</f>
        <v>16.447112211511847</v>
      </c>
      <c r="H35" s="5">
        <f t="shared" si="13"/>
        <v>132.67942734884301</v>
      </c>
      <c r="I35" s="5">
        <f t="shared" si="14"/>
        <v>1.4309219497529324</v>
      </c>
      <c r="J35" s="5"/>
    </row>
    <row r="36" spans="1:10" x14ac:dyDescent="0.25">
      <c r="B36" s="1" t="s">
        <v>88</v>
      </c>
      <c r="C36" s="5">
        <f>HLOOKUP("QTE-0.75-bias-CBPS-just",Point!$D$1:$DR$96,$R$2,FALSE)</f>
        <v>-0.239837655708179</v>
      </c>
      <c r="D36" s="5">
        <f>HLOOKUP("QTE-0.75-RMSE-CBPS-just",Point!$D$1:$DR$96,$R$2,FALSE)</f>
        <v>4.51786355116759</v>
      </c>
      <c r="E36" s="5">
        <f t="shared" si="12"/>
        <v>0.99977539418866035</v>
      </c>
      <c r="F36" s="5">
        <f>HLOOKUP("QTE-0.75-Empcov-CBPS-just",inference!$D$1:$DR$96,$R$2,FALSE)</f>
        <v>0.94799999999999995</v>
      </c>
      <c r="G36" s="5">
        <f>HLOOKUP("QTE-0.75-ASSD-CBPS-just",inference!$D$1:$DR$96,$R$2,FALSE)*2*1.96/SQRT(G$3)</f>
        <v>17.570347699720379</v>
      </c>
      <c r="H36" s="5">
        <f t="shared" si="13"/>
        <v>141.74060717402202</v>
      </c>
      <c r="I36" s="5">
        <f t="shared" si="14"/>
        <v>1.2538181284157697</v>
      </c>
      <c r="J36" s="5"/>
    </row>
    <row r="37" spans="1:10" x14ac:dyDescent="0.25">
      <c r="B37" s="1" t="s">
        <v>89</v>
      </c>
      <c r="C37" s="5">
        <f>HLOOKUP("QTE-0.75-bias-CBPS-over",Point!$D$1:$DR$96,$R$2,FALSE)</f>
        <v>0.37174141776464598</v>
      </c>
      <c r="D37" s="5">
        <f>HLOOKUP("QTE-0.75-RMSE-CBPS-over",Point!$D$1:$DR$96,$R$2,FALSE)</f>
        <v>4.51837100585636</v>
      </c>
      <c r="E37" s="5">
        <f t="shared" si="12"/>
        <v>1</v>
      </c>
      <c r="F37" s="5">
        <f>HLOOKUP("QTE-0.75-Empcov-CBPS-over",inference!$D$1:$DR$96,$R$2,FALSE)</f>
        <v>0.97099999999999997</v>
      </c>
      <c r="G37" s="5">
        <f>HLOOKUP("QTE-0.75-ASSD-CBPS-over",inference!$D$1:$DR$96,$R$2,FALSE)*2*1.96/SQRT(G$3)</f>
        <v>19.674224748719084</v>
      </c>
      <c r="H37" s="5">
        <f t="shared" si="13"/>
        <v>158.71265664287299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-0.19412045819696999</v>
      </c>
      <c r="D38" s="5">
        <f>HLOOKUP("QTE-0.75-RMSE-GLM",Point!$D$1:$DR$96,$R$2,FALSE)</f>
        <v>4.7883211438401796</v>
      </c>
      <c r="E38" s="5">
        <f t="shared" si="12"/>
        <v>1.1230594942202106</v>
      </c>
      <c r="F38" s="5">
        <f>HLOOKUP("QTE-0.75-Empcov-GLM",inference!$D$1:$DR$96,$R$2,FALSE)</f>
        <v>0.95099999999999996</v>
      </c>
      <c r="G38" s="5">
        <f>HLOOKUP("QTE-0.75-ASSD-GLM",inference!$D$1:$DR$96,$R$2,FALSE)*2*1.96/SQRT(G$3)</f>
        <v>18.96523606175862</v>
      </c>
      <c r="H38" s="5">
        <f>G38/(2*1.96/SQRT(G$3))</f>
        <v>152.993220198773</v>
      </c>
      <c r="I38" s="5">
        <f t="shared" si="14"/>
        <v>1.0761647213096934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-0.73821630331586596</v>
      </c>
      <c r="D40" s="5">
        <f>HLOOKUP("QTE-0.9-RMSE-IPS-exp",Point!$D$1:$DR$96,$R$2,FALSE)</f>
        <v>6.6720534593185503</v>
      </c>
      <c r="E40" s="5">
        <f t="shared" ref="E40:E45" si="15">(D40/$D$44)^2</f>
        <v>0.95744757190907048</v>
      </c>
      <c r="F40" s="5">
        <f>HLOOKUP("QTE-0.9-Empcov-IPS-exp",inference!$D$1:$DR$96,$R$2,FALSE)</f>
        <v>0.95099999999999996</v>
      </c>
      <c r="G40" s="5">
        <f>HLOOKUP("QTE-0.9-ASSD-IPS-exp",inference!$D$1:$DR$96,$R$2,FALSE)*2*1.96/SQRT(G$3)</f>
        <v>27.98703386698535</v>
      </c>
      <c r="H40" s="5">
        <f>G40/(2*1.96/SQRT(G$3))</f>
        <v>225.77237747944801</v>
      </c>
      <c r="I40" s="5">
        <f t="shared" ref="I40:I45" si="16">($H$44/H40)^2</f>
        <v>1.1524079136353735</v>
      </c>
      <c r="J40" s="5"/>
    </row>
    <row r="41" spans="1:10" x14ac:dyDescent="0.25">
      <c r="B41" s="1" t="s">
        <v>5</v>
      </c>
      <c r="C41" s="5">
        <f>HLOOKUP("QTE-0.9-bias-IPS-ind",Point!$D$1:$DR$96,$R$2,FALSE)</f>
        <v>-7.9802734481130102</v>
      </c>
      <c r="D41" s="5">
        <f>HLOOKUP("QTE-0.9-RMSE-IPS-ind",Point!$D$1:$DR$96,$R$2,FALSE)</f>
        <v>9.8043481933667707</v>
      </c>
      <c r="E41" s="5">
        <f t="shared" si="15"/>
        <v>2.067442407273814</v>
      </c>
      <c r="F41" s="5">
        <f>HLOOKUP("QTE-0.9-Empcov-IPS-ind",inference!$D$1:$DR$96,$R$2,FALSE)</f>
        <v>0.64300000000000002</v>
      </c>
      <c r="G41" s="5">
        <f>HLOOKUP("QTE-0.9-ASSD-IPS-ind",inference!$D$1:$DR$96,$R$2,FALSE)*2*1.96/SQRT(G$3)</f>
        <v>21.084373376945734</v>
      </c>
      <c r="H41" s="5">
        <f t="shared" ref="H41:H44" si="17">G41/(2*1.96/SQRT(G$3))</f>
        <v>170.088374766746</v>
      </c>
      <c r="I41" s="5">
        <f t="shared" si="16"/>
        <v>2.0304793721097911</v>
      </c>
      <c r="J41" s="5"/>
    </row>
    <row r="42" spans="1:10" x14ac:dyDescent="0.25">
      <c r="B42" s="1" t="s">
        <v>4</v>
      </c>
      <c r="C42" s="5">
        <f>HLOOKUP("QTE-0.9-bias-IPS-proj",Point!$D$1:$DR$96,$R$2,FALSE)</f>
        <v>-1.2433254250260899</v>
      </c>
      <c r="D42" s="5">
        <f>HLOOKUP("QTE-0.9-RMSE-IPS-proj",Point!$D$1:$DR$96,$R$2,FALSE)</f>
        <v>6.4315068012505696</v>
      </c>
      <c r="E42" s="5">
        <f t="shared" si="15"/>
        <v>0.88965461057457562</v>
      </c>
      <c r="F42" s="6">
        <f>HLOOKUP("QTE-0.9-Empcov-IPS-proj",inference!$D$1:$DR$96,$R$2,FALSE)</f>
        <v>0.94299999999999995</v>
      </c>
      <c r="G42" s="6">
        <f>HLOOKUP("QTE-0.9-ASSD-IPS-proj",inference!$D$1:$DR$96,$R$2,FALSE)*2*1.96/SQRT(G$3)</f>
        <v>24.835454470668502</v>
      </c>
      <c r="H42" s="5">
        <f t="shared" si="17"/>
        <v>200.348476665112</v>
      </c>
      <c r="I42" s="5">
        <f t="shared" si="16"/>
        <v>1.463442809937644</v>
      </c>
      <c r="J42" s="5"/>
    </row>
    <row r="43" spans="1:10" x14ac:dyDescent="0.25">
      <c r="B43" s="1" t="s">
        <v>88</v>
      </c>
      <c r="C43" s="5">
        <f>HLOOKUP("QTE-0.9-bias-CBPS-just",Point!$D$1:$DR$96,$R$2,FALSE)</f>
        <v>-0.61023729768036405</v>
      </c>
      <c r="D43" s="5">
        <f>HLOOKUP("QTE-0.9-RMSE-CBPS-just",Point!$D$1:$DR$96,$R$2,FALSE)</f>
        <v>7.2309728624093701</v>
      </c>
      <c r="E43" s="5">
        <f t="shared" si="15"/>
        <v>1.1245776048890619</v>
      </c>
      <c r="F43" s="5">
        <f>HLOOKUP("QTE-0.9-Empcov-CBPS-just",inference!$D$1:$DR$96,$R$2,FALSE)</f>
        <v>0.94699999999999995</v>
      </c>
      <c r="G43" s="5">
        <f>HLOOKUP("QTE-0.9-ASSD-CBPS-just",inference!$D$1:$DR$96,$R$2,FALSE)*2*1.96/SQRT(G$3)</f>
        <v>26.932726834686413</v>
      </c>
      <c r="H43" s="5">
        <f t="shared" si="17"/>
        <v>217.26724591006703</v>
      </c>
      <c r="I43" s="5">
        <f t="shared" si="16"/>
        <v>1.2443980619206236</v>
      </c>
      <c r="J43" s="5"/>
    </row>
    <row r="44" spans="1:10" x14ac:dyDescent="0.25">
      <c r="B44" s="1" t="s">
        <v>89</v>
      </c>
      <c r="C44" s="5">
        <f>HLOOKUP("QTE-0.9-bias-CBPS-over",Point!$D$1:$DR$96,$R$2,FALSE)</f>
        <v>0.57480200707784901</v>
      </c>
      <c r="D44" s="5">
        <f>HLOOKUP("QTE-0.9-RMSE-CBPS-over",Point!$D$1:$DR$96,$R$2,FALSE)</f>
        <v>6.8187067980321903</v>
      </c>
      <c r="E44" s="5">
        <f t="shared" si="15"/>
        <v>1</v>
      </c>
      <c r="F44" s="5">
        <f>HLOOKUP("QTE-0.9-Empcov-CBPS-over",inference!$D$1:$DR$96,$R$2,FALSE)</f>
        <v>0.97299999999999998</v>
      </c>
      <c r="G44" s="5">
        <f>HLOOKUP("QTE-0.9-ASSD-CBPS-over",inference!$D$1:$DR$96,$R$2,FALSE)*2*1.96/SQRT(G$3)</f>
        <v>30.044154683949923</v>
      </c>
      <c r="H44" s="5">
        <f t="shared" si="17"/>
        <v>242.367242795148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-0.68422586517566897</v>
      </c>
      <c r="D45" s="5">
        <f>HLOOKUP("QTE-0.9-RMSE-GLM",Point!$D$1:$DR$96,$R$2,FALSE)</f>
        <v>8.1979288816321905</v>
      </c>
      <c r="E45" s="5">
        <f t="shared" si="15"/>
        <v>1.445453949709159</v>
      </c>
      <c r="F45" s="5">
        <f>HLOOKUP("QTE-0.9-Empcov-GLM",inference!$D$1:$DR$96,$R$2,FALSE)</f>
        <v>0.95699999999999996</v>
      </c>
      <c r="G45" s="5">
        <f>HLOOKUP("QTE-0.9-ASSD-GLM",inference!$D$1:$DR$96,$R$2,FALSE)*2*1.96/SQRT(G$3)</f>
        <v>31.902683269432114</v>
      </c>
      <c r="H45" s="5">
        <f>G45/(2*1.96/SQRT(G$3))</f>
        <v>257.36005765906299</v>
      </c>
      <c r="I45" s="5">
        <f t="shared" si="16"/>
        <v>0.88688141504246476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H114" s="7"/>
      <c r="I114" s="7"/>
      <c r="J114" s="7"/>
    </row>
    <row r="115" spans="8:10" x14ac:dyDescent="0.25">
      <c r="H115" s="7"/>
      <c r="I115" s="7"/>
      <c r="J115" s="7"/>
    </row>
    <row r="116" spans="8:10" x14ac:dyDescent="0.25">
      <c r="H116" s="7"/>
      <c r="I116" s="7"/>
      <c r="J116" s="7"/>
    </row>
    <row r="117" spans="8:10" x14ac:dyDescent="0.25">
      <c r="H117" s="7"/>
      <c r="I117" s="7"/>
      <c r="J117" s="7"/>
    </row>
    <row r="118" spans="8:10" x14ac:dyDescent="0.25">
      <c r="H118" s="7"/>
      <c r="I118" s="7"/>
      <c r="J118" s="7"/>
    </row>
    <row r="119" spans="8:10" x14ac:dyDescent="0.25">
      <c r="H119" s="7"/>
      <c r="I119" s="7"/>
      <c r="J119" s="7"/>
    </row>
    <row r="120" spans="8:10" x14ac:dyDescent="0.25">
      <c r="H120" s="7"/>
      <c r="I120" s="7"/>
      <c r="J120" s="7"/>
    </row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20"/>
  <sheetViews>
    <sheetView workbookViewId="0">
      <selection activeCell="O9" sqref="O9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6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10.42578125" style="1" bestFit="1" customWidth="1"/>
    <col min="9" max="9" width="5.140625" style="1" bestFit="1" customWidth="1"/>
    <col min="10" max="10" width="8.28515625" style="1" customWidth="1"/>
    <col min="11" max="17" width="9.28515625" style="1"/>
    <col min="18" max="18" width="28" style="1" bestFit="1" customWidth="1"/>
    <col min="19" max="16384" width="9.28515625" style="1"/>
  </cols>
  <sheetData>
    <row r="1" spans="1:18" x14ac:dyDescent="0.25">
      <c r="C1" s="16" t="s">
        <v>71</v>
      </c>
      <c r="D1" s="16"/>
      <c r="E1" s="16"/>
      <c r="F1" s="16"/>
      <c r="G1" s="16"/>
      <c r="H1" s="11"/>
      <c r="I1" s="11"/>
      <c r="J1" s="11"/>
      <c r="R1" s="10" t="s">
        <v>217</v>
      </c>
    </row>
    <row r="2" spans="1:18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7</v>
      </c>
    </row>
    <row r="3" spans="1:18" x14ac:dyDescent="0.2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I3" s="11">
        <v>1000</v>
      </c>
      <c r="J3" s="11"/>
      <c r="K3" s="11"/>
      <c r="L3" s="11"/>
      <c r="M3" s="11"/>
      <c r="N3" s="11"/>
      <c r="O3" s="11"/>
      <c r="P3" s="11"/>
    </row>
    <row r="4" spans="1:18" x14ac:dyDescent="0.25">
      <c r="C4" s="11"/>
      <c r="D4" s="11"/>
      <c r="E4" s="11"/>
      <c r="F4" s="11"/>
      <c r="G4" s="11"/>
      <c r="H4" s="11"/>
      <c r="I4" s="11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5.3395811060897502</v>
      </c>
      <c r="D5" s="5">
        <f>HLOOKUP("ATE-RMSE-IPS-exp",Point!$D$1:$DR$96,$R$2,FALSE)</f>
        <v>6.1240592538261103</v>
      </c>
      <c r="E5" s="5">
        <f>(D5/$D$9)^2</f>
        <v>0.34854278451761211</v>
      </c>
      <c r="F5" s="5">
        <f>HLOOKUP("ATE-Empcov-IPS-exp",inference!$D$1:$DR$96,$R$2,FALSE)</f>
        <v>0.84499999999999997</v>
      </c>
      <c r="G5" s="5">
        <f>HLOOKUP("ATE-ASSD-IPS-exp",inference!$D$1:$DR$96,$R$2,FALSE)*2*1.96/SQRT(G$3)</f>
        <v>15.812985062908561</v>
      </c>
      <c r="H5" s="5">
        <f>G5/(2*1.96/SQRT(G$3))</f>
        <v>127.563901543398</v>
      </c>
      <c r="I5" s="5">
        <f t="shared" ref="I5:I10" si="0">($H$9/H5)^2</f>
        <v>1.2964276064777949</v>
      </c>
      <c r="J5" s="5"/>
      <c r="K5" s="5">
        <f>HLOOKUP("ks-IPS-exp",balance!$D$1:$DR$96,$R$2,FALSE)</f>
        <v>3.4594036980889999</v>
      </c>
      <c r="L5" s="5">
        <f>HLOOKUP("cvm-IPS-exp",balance!$D$1:$DR$96,$R$2,FALSE)</f>
        <v>0.64058405091048998</v>
      </c>
      <c r="M5" s="5">
        <f>HLOOKUP("ks-IPS-exp_1",balance!$D$1:$DR$96,$R$2,FALSE)</f>
        <v>2.2751641039853601</v>
      </c>
      <c r="N5" s="5">
        <f>HLOOKUP("cvm-IPS-exp_1",balance!$D$1:$DR$96,$R$2,FALSE)</f>
        <v>0.193693852346531</v>
      </c>
      <c r="O5" s="5">
        <f>HLOOKUP("ks-IPS-exp_0",balance!$D$1:$DR$96,$R$2,FALSE)</f>
        <v>1.9136989107273801</v>
      </c>
      <c r="P5" s="5">
        <f>HLOOKUP("cvm-IPS-exp_0",balance!$D$1:$DR$96,$R$2,FALSE)</f>
        <v>0.19116668106891599</v>
      </c>
    </row>
    <row r="6" spans="1:18" x14ac:dyDescent="0.25">
      <c r="B6" s="1" t="s">
        <v>5</v>
      </c>
      <c r="C6" s="5">
        <f>HLOOKUP("ATE-bias-IPS-ind",Point!$D$1:$DR$96,$R$2,FALSE)</f>
        <v>1.0218272235499399</v>
      </c>
      <c r="D6" s="5">
        <f>HLOOKUP("ATE-RMSE-IPS-ind",Point!$D$1:$DR$96,$R$2,FALSE)</f>
        <v>3.5426179319164999</v>
      </c>
      <c r="E6" s="5">
        <f t="shared" ref="E6:E10" si="1">(D6/$D$9)^2</f>
        <v>0.11663421251623657</v>
      </c>
      <c r="F6" s="5">
        <f>HLOOKUP("ATE-Empcov-IPS-ind",inference!$D$1:$DR$96,$R$2,FALSE)</f>
        <v>0.97799999999999998</v>
      </c>
      <c r="G6" s="5">
        <f>HLOOKUP("ATE-ASSD-IPS-ind",inference!$D$1:$DR$96,$R$2,FALSE)*2*1.96/SQRT(G$3)</f>
        <v>15.286385645759415</v>
      </c>
      <c r="H6" s="5">
        <f t="shared" ref="H6:H9" si="2">G6/(2*1.96/SQRT(G$3))</f>
        <v>123.315805694652</v>
      </c>
      <c r="I6" s="5">
        <f t="shared" si="0"/>
        <v>1.3872871649755107</v>
      </c>
      <c r="J6" s="5"/>
      <c r="K6" s="5">
        <f>HLOOKUP("ks-IPS-ind",balance!$D$1:$DR$96,$R$2,FALSE)</f>
        <v>2.68697794671235</v>
      </c>
      <c r="L6" s="5">
        <f>HLOOKUP("cvm-IPS-ind",balance!$D$1:$DR$96,$R$2,FALSE)</f>
        <v>0.35656807459044199</v>
      </c>
      <c r="M6" s="5">
        <f>HLOOKUP("ks-IPS-ind_1",balance!$D$1:$DR$96,$R$2,FALSE)</f>
        <v>1.9967598240402999</v>
      </c>
      <c r="N6" s="5">
        <f>HLOOKUP("cvm-IPS-ind_1",balance!$D$1:$DR$96,$R$2,FALSE)</f>
        <v>0.14701611035019399</v>
      </c>
      <c r="O6" s="5">
        <f>HLOOKUP("ks-IPS-ind_0",balance!$D$1:$DR$96,$R$2,FALSE)</f>
        <v>1.62403765215913</v>
      </c>
      <c r="P6" s="5">
        <f>HLOOKUP("cvm-IPS-ind_0",balance!$D$1:$DR$96,$R$2,FALSE)</f>
        <v>0.104915886472997</v>
      </c>
    </row>
    <row r="7" spans="1:18" x14ac:dyDescent="0.25">
      <c r="B7" s="1" t="s">
        <v>4</v>
      </c>
      <c r="C7" s="5">
        <f>HLOOKUP("ATE-bias-IPS-proj",Point!$D$1:$DR$96,$R$2,FALSE)</f>
        <v>1.38395158658228</v>
      </c>
      <c r="D7" s="5">
        <f>HLOOKUP("ATE-RMSE-IPS-proj",Point!$D$1:$DR$96,$R$2,FALSE)</f>
        <v>4.1000902631927199</v>
      </c>
      <c r="E7" s="5">
        <f t="shared" si="1"/>
        <v>0.15622990325992839</v>
      </c>
      <c r="F7" s="6">
        <f>HLOOKUP("ATE-Empcov-IPS-proj",inference!$D$1:$DR$96,$R$2,FALSE)</f>
        <v>0.97773279352226705</v>
      </c>
      <c r="G7" s="6">
        <f>HLOOKUP("ATE-ASSD-IPS-proj",inference!$D$1:$DR$96,$R$2,FALSE)*2*1.96/SQRT(G$3)</f>
        <v>22.801646675219427</v>
      </c>
      <c r="H7" s="5">
        <f t="shared" si="2"/>
        <v>183.941678306375</v>
      </c>
      <c r="I7" s="5">
        <f t="shared" si="0"/>
        <v>0.62351020840460358</v>
      </c>
      <c r="J7" s="5"/>
      <c r="K7" s="5">
        <f>HLOOKUP("ks-IPS-proj",balance!$D$1:$DR$96,$R$2,FALSE)</f>
        <v>4.9320921892734697</v>
      </c>
      <c r="L7" s="5">
        <f>HLOOKUP("cvm-IPS-proj",balance!$D$1:$DR$96,$R$2,FALSE)</f>
        <v>1.4343378710033601</v>
      </c>
      <c r="M7" s="5">
        <f>HLOOKUP("ks-IPS-proj_1",balance!$D$1:$DR$96,$R$2,FALSE)</f>
        <v>2.8541671572773302</v>
      </c>
      <c r="N7" s="5">
        <f>HLOOKUP("cvm-IPS-proj_1",balance!$D$1:$DR$96,$R$2,FALSE)</f>
        <v>0.34366365243853803</v>
      </c>
      <c r="O7" s="5">
        <f>HLOOKUP("ks-IPS-proj_0",balance!$D$1:$DR$96,$R$2,FALSE)</f>
        <v>2.4546039290183899</v>
      </c>
      <c r="P7" s="5">
        <f>HLOOKUP("cvm-IPS-proj_0",balance!$D$1:$DR$96,$R$2,FALSE)</f>
        <v>0.446763741343844</v>
      </c>
    </row>
    <row r="8" spans="1:18" x14ac:dyDescent="0.25">
      <c r="B8" s="1" t="s">
        <v>88</v>
      </c>
      <c r="C8" s="5">
        <f>HLOOKUP("ATE-bias-CBPS-just",Point!$D$1:$DR$96,$R$2,FALSE)</f>
        <v>8.2271853002036401</v>
      </c>
      <c r="D8" s="5">
        <f>HLOOKUP("ATE-RMSE-CBPS-just",Point!$D$1:$DR$96,$R$2,FALSE)</f>
        <v>9.0199593536477494</v>
      </c>
      <c r="E8" s="5">
        <f t="shared" si="1"/>
        <v>0.75611262434107074</v>
      </c>
      <c r="F8" s="5">
        <f>HLOOKUP("ATE-Empcov-CBPS-just",inference!$D$1:$DR$96,$R$2,FALSE)</f>
        <v>0.35099999999999998</v>
      </c>
      <c r="G8" s="5">
        <f>HLOOKUP("ATE-ASSD-CBPS-just",inference!$D$1:$DR$96,$R$2,FALSE)*2*1.96/SQRT(G$3)</f>
        <v>13.576104910405345</v>
      </c>
      <c r="H8" s="5">
        <f t="shared" si="2"/>
        <v>109.51891140376802</v>
      </c>
      <c r="I8" s="5">
        <f t="shared" si="0"/>
        <v>1.7588371132560667</v>
      </c>
      <c r="J8" s="5"/>
      <c r="K8" s="5">
        <f>HLOOKUP("ks-CBPS-Just",balance!$D$1:$DR$96,$R$2,FALSE)</f>
        <v>3.81116639725724</v>
      </c>
      <c r="L8" s="5">
        <f>HLOOKUP("cvm-CBPS-Just",balance!$D$1:$DR$96,$R$2,FALSE)</f>
        <v>0.80082372997150897</v>
      </c>
      <c r="M8" s="5">
        <f>HLOOKUP("ks-CBPS-Just_1",balance!$D$1:$DR$96,$R$2,FALSE)</f>
        <v>2.3237246114300198</v>
      </c>
      <c r="N8" s="5">
        <f>HLOOKUP("cvm-CBPS-Just_1",balance!$D$1:$DR$96,$R$2,FALSE)</f>
        <v>0.21792804235559099</v>
      </c>
      <c r="O8" s="5">
        <f>HLOOKUP("ks-CBPS-Just_0",balance!$D$1:$DR$96,$R$2,FALSE)</f>
        <v>2.0595864874859702</v>
      </c>
      <c r="P8" s="5">
        <f>HLOOKUP("cvm-CBPS-Just_0",balance!$D$1:$DR$96,$R$2,FALSE)</f>
        <v>0.24032955706595899</v>
      </c>
    </row>
    <row r="9" spans="1:18" x14ac:dyDescent="0.25">
      <c r="B9" s="1" t="s">
        <v>89</v>
      </c>
      <c r="C9" s="5">
        <f>HLOOKUP("ATE-bias-CBPS-over",Point!$D$1:$DR$96,$R$2,FALSE)</f>
        <v>9.4610584659767607</v>
      </c>
      <c r="D9" s="5">
        <f>HLOOKUP("ATE-RMSE-CBPS-over",Point!$D$1:$DR$96,$R$2,FALSE)</f>
        <v>10.373166190465099</v>
      </c>
      <c r="E9" s="5">
        <f t="shared" si="1"/>
        <v>1</v>
      </c>
      <c r="F9" s="5">
        <f>HLOOKUP("ATE-Empcov-CBPS-over",inference!$D$1:$DR$96,$R$2,FALSE)</f>
        <v>0.46200000000000002</v>
      </c>
      <c r="G9" s="5">
        <f>HLOOKUP("ATE-ASSD-CBPS-over",inference!$D$1:$DR$96,$R$2,FALSE)*2*1.96/SQRT(G$3)</f>
        <v>18.004787330191458</v>
      </c>
      <c r="H9" s="5">
        <f t="shared" si="2"/>
        <v>145.24524681211003</v>
      </c>
      <c r="I9" s="5">
        <f t="shared" si="0"/>
        <v>1</v>
      </c>
      <c r="J9" s="5"/>
      <c r="K9" s="5">
        <f>HLOOKUP("ks-CBPS-over",balance!$D$1:$DR$96,$R$2,FALSE)</f>
        <v>3.9158030240639699</v>
      </c>
      <c r="L9" s="5">
        <f>HLOOKUP("cvm-CBPS-over",balance!$D$1:$DR$96,$R$2,FALSE)</f>
        <v>0.82706739519092098</v>
      </c>
      <c r="M9" s="5">
        <f>HLOOKUP("ks-CBPS-over_1",balance!$D$1:$DR$96,$R$2,FALSE)</f>
        <v>2.3446599122435998</v>
      </c>
      <c r="N9" s="5">
        <f>HLOOKUP("cvm-CBPS-over_1",balance!$D$1:$DR$96,$R$2,FALSE)</f>
        <v>0.21052087388231699</v>
      </c>
      <c r="O9" s="5">
        <f>HLOOKUP("ks-CBPS-over_0",balance!$D$1:$DR$96,$R$2,FALSE)</f>
        <v>2.14313234521155</v>
      </c>
      <c r="P9" s="5">
        <f>HLOOKUP("cvm-CBPS-over_0",balance!$D$1:$DR$96,$R$2,FALSE)</f>
        <v>0.26116028353704202</v>
      </c>
    </row>
    <row r="10" spans="1:18" s="3" customFormat="1" x14ac:dyDescent="0.25">
      <c r="B10" s="3" t="s">
        <v>2</v>
      </c>
      <c r="C10" s="5">
        <f>HLOOKUP("ATE-bias-GLM",Point!$D$1:$DR$96,$R$2,FALSE)</f>
        <v>11.1597382525299</v>
      </c>
      <c r="D10" s="5">
        <f>HLOOKUP("ATE-RMSE-GLM",Point!$D$1:$DR$96,$R$2,FALSE)</f>
        <v>13.9303492345003</v>
      </c>
      <c r="E10" s="5">
        <f t="shared" si="1"/>
        <v>1.8034385006296307</v>
      </c>
      <c r="F10" s="5">
        <f>HLOOKUP("ATE-Empcov-GLM",inference!$D$1:$DR$96,$R$2,FALSE)</f>
        <v>0.38</v>
      </c>
      <c r="G10" s="5">
        <f>HLOOKUP("ATE-ASSD-GLM",inference!$D$1:$DR$96,$R$2,FALSE)*2*1.96/SQRT(G$3)</f>
        <v>19.540575435981619</v>
      </c>
      <c r="H10" s="5">
        <f>G10/(2*1.96/SQRT(G$3))</f>
        <v>157.63450297969302</v>
      </c>
      <c r="I10" s="5">
        <f t="shared" si="0"/>
        <v>0.84898749661109818</v>
      </c>
      <c r="J10" s="5"/>
      <c r="K10" s="5">
        <f>HLOOKUP("ks-GLM",balance!$D$1:$DR$96,$R$2,FALSE)</f>
        <v>4.62430073206842</v>
      </c>
      <c r="L10" s="5">
        <f>HLOOKUP("cvm-GLM",balance!$D$1:$DR$96,$R$2,FALSE)</f>
        <v>1.12029021369269</v>
      </c>
      <c r="M10" s="5">
        <f>HLOOKUP("ks-GLM_1",balance!$D$1:$DR$96,$R$2,FALSE)</f>
        <v>3.3160987564147399</v>
      </c>
      <c r="N10" s="5">
        <f>HLOOKUP("cvm-GLM_1",balance!$D$1:$DR$96,$R$2,FALSE)</f>
        <v>0.50865783698109301</v>
      </c>
      <c r="O10" s="5">
        <f>HLOOKUP("ks-GLM_0",balance!$D$1:$DR$96,$R$2,FALSE)</f>
        <v>2.00314462503029</v>
      </c>
      <c r="P10" s="5">
        <f>HLOOKUP("cvm-GLM_0",balance!$D$1:$DR$96,$R$2,FALSE)</f>
        <v>0.226657656581982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-1.71207905456523</v>
      </c>
      <c r="D12" s="5">
        <f>HLOOKUP("QTE-0.10-RMSE-IPS-exp",Point!$D$1:$DR$96,$R$2,FALSE)</f>
        <v>3.7464115930886499</v>
      </c>
      <c r="E12" s="5">
        <f t="shared" ref="E12:E15" si="3">(D12/$D$16)^2</f>
        <v>1.3199947847155975</v>
      </c>
      <c r="F12" s="5">
        <f>HLOOKUP("QTE-0.1-Empcov-IPS-exp",inference!$D$1:$DR$96,$R$2,FALSE)</f>
        <v>0.90500000000000003</v>
      </c>
      <c r="G12" s="5">
        <f>HLOOKUP("QTE-0.1-ASSD-IPS-exp",inference!$D$1:$DR$96,$R$2,FALSE)*2*1.96/SQRT(G$3)</f>
        <v>12.923582746090258</v>
      </c>
      <c r="H12" s="5">
        <f>G12/(2*1.96/SQRT(G$3))</f>
        <v>104.25499236555801</v>
      </c>
      <c r="I12" s="5">
        <f t="shared" ref="I12:I17" si="4">($H$16/H12)^2</f>
        <v>1.0249753607421721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-3.432480952558</v>
      </c>
      <c r="D13" s="5">
        <f>HLOOKUP("QTE-0.10-RMSE-IPS-ind",Point!$D$1:$DR$96,$R$2,FALSE)</f>
        <v>4.9491269063841203</v>
      </c>
      <c r="E13" s="5">
        <f t="shared" si="3"/>
        <v>2.3035541109705644</v>
      </c>
      <c r="F13" s="5">
        <f>HLOOKUP("QTE-0.1-Empcov-IPS-ind",inference!$D$1:$DR$96,$R$2,FALSE)</f>
        <v>0.82299999999999995</v>
      </c>
      <c r="G13" s="5">
        <f>HLOOKUP("QTE-0.1-ASSD-IPS-ind",inference!$D$1:$DR$96,$R$2,FALSE)*2*1.96/SQRT(G$3)</f>
        <v>13.897896482256289</v>
      </c>
      <c r="H13" s="5">
        <f t="shared" ref="H13:H16" si="5">G13/(2*1.96/SQRT(G$3))</f>
        <v>112.114815227479</v>
      </c>
      <c r="I13" s="5">
        <f t="shared" si="4"/>
        <v>0.88630078949636282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-0.82368447768448805</v>
      </c>
      <c r="D14" s="5">
        <f>HLOOKUP("QTE-0.10-RMSE-IPS-proj",Point!$D$1:$DR$96,$R$2,FALSE)</f>
        <v>4.23448050234283</v>
      </c>
      <c r="E14" s="5">
        <f t="shared" si="3"/>
        <v>1.6863259102336368</v>
      </c>
      <c r="F14" s="6">
        <f>HLOOKUP("QTE-0.1-Empcov-IPS-proj",inference!$D$1:$DR$96,$R$2,FALSE)</f>
        <v>0.956477732793522</v>
      </c>
      <c r="G14" s="6">
        <f>HLOOKUP("QTE-0.1-ASSD-IPS-proj",inference!$D$1:$DR$96,$R$2,FALSE)*2*1.96/SQRT(G$3)</f>
        <v>17.509703973639091</v>
      </c>
      <c r="H14" s="5">
        <f t="shared" si="5"/>
        <v>141.25139212245</v>
      </c>
      <c r="I14" s="5">
        <f t="shared" si="4"/>
        <v>0.55836948202512227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-4.7927442946864601E-2</v>
      </c>
      <c r="D15" s="5">
        <f>HLOOKUP("QTE-0.10-RMSE-CBPS-just",Point!$D$1:$DR$96,$R$2,FALSE)</f>
        <v>3.1774174170177898</v>
      </c>
      <c r="E15" s="5">
        <f t="shared" si="3"/>
        <v>0.94948865857576925</v>
      </c>
      <c r="F15" s="5">
        <f>HLOOKUP("QTE-0.1-Empcov-CBPS-just",inference!$D$1:$DR$96,$R$2,FALSE)</f>
        <v>0.95099999999999996</v>
      </c>
      <c r="G15" s="5">
        <f>HLOOKUP("QTE-0.1-ASSD-CBPS-just",inference!$D$1:$DR$96,$R$2,FALSE)*2*1.96/SQRT(G$3)</f>
        <v>12.457849901743035</v>
      </c>
      <c r="H15" s="5">
        <f t="shared" si="5"/>
        <v>100.497909280645</v>
      </c>
      <c r="I15" s="5">
        <f t="shared" si="4"/>
        <v>1.1030446518675447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0.54517767199420297</v>
      </c>
      <c r="D16" s="5">
        <f>HLOOKUP("QTE-0.10-RMSE-CBPS-over",Point!$D$1:$DR$96,$R$2,FALSE)</f>
        <v>3.2608391836008201</v>
      </c>
      <c r="E16" s="5">
        <f>(D16/$D$16)^2</f>
        <v>1</v>
      </c>
      <c r="F16" s="5">
        <f>HLOOKUP("QTE-0.1-Empcov-CBPS-over",inference!$D$1:$DR$96,$R$2,FALSE)</f>
        <v>0.95399999999999996</v>
      </c>
      <c r="G16" s="5">
        <f>HLOOKUP("QTE-0.1-ASSD-CBPS-over",inference!$D$1:$DR$96,$R$2,FALSE)*2*1.96/SQRT(G$3)</f>
        <v>13.083973041318014</v>
      </c>
      <c r="H16" s="5">
        <f t="shared" si="5"/>
        <v>105.54886646634002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25">
      <c r="B17" s="3" t="s">
        <v>2</v>
      </c>
      <c r="C17" s="5">
        <f>HLOOKUP("QTE-0.10-bias-GLM",Point!$D$1:$DR$96,$R$2,FALSE)</f>
        <v>1.1501979662895501</v>
      </c>
      <c r="D17" s="5">
        <f>HLOOKUP("QTE-0.10-RMSE-GLM",Point!$D$1:$DR$96,$R$2,FALSE)</f>
        <v>4.2080420532210701</v>
      </c>
      <c r="E17" s="5">
        <f>(D17/$D$16)^2</f>
        <v>1.6653341216669237</v>
      </c>
      <c r="F17" s="5">
        <f>HLOOKUP("QTE-0.1-Empcov-GLM",inference!$D$1:$DR$96,$R$2,FALSE)</f>
        <v>0.95199999999999996</v>
      </c>
      <c r="G17" s="5">
        <f>HLOOKUP("QTE-0.1-ASSD-GLM",inference!$D$1:$DR$96,$R$2,FALSE)*2*1.96/SQRT(G$3)</f>
        <v>13.778878170740724</v>
      </c>
      <c r="H17" s="5">
        <f>G17/(2*1.96/SQRT(G$3))</f>
        <v>111.15469036100799</v>
      </c>
      <c r="I17" s="5">
        <f t="shared" si="4"/>
        <v>0.90167818123424681</v>
      </c>
      <c r="J17" s="5"/>
      <c r="K17" s="5"/>
      <c r="L17" s="5"/>
      <c r="M17" s="5"/>
      <c r="N17" s="5"/>
    </row>
    <row r="18" spans="1:17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25">
      <c r="A19" s="2" t="s">
        <v>59</v>
      </c>
      <c r="B19" s="1" t="s">
        <v>3</v>
      </c>
      <c r="C19" s="5">
        <f>HLOOKUP("QTE-0.25-bias-IPS-exp",Point!$D$1:$DR$96,$R$2,FALSE)</f>
        <v>-0.44842746712445303</v>
      </c>
      <c r="D19" s="5">
        <f>HLOOKUP("QTE-0.25-RMSE-IPS-exp",Point!$D$1:$DR$96,$R$2,FALSE)</f>
        <v>2.89044576015253</v>
      </c>
      <c r="E19" s="5">
        <f>(D19/$D$23)^2</f>
        <v>0.66578401683343891</v>
      </c>
      <c r="F19" s="5">
        <f>HLOOKUP("QTE-0.25-Empcov-IPS-exp",inference!$D$1:$DR$96,$R$2,FALSE)</f>
        <v>0.96399999999999997</v>
      </c>
      <c r="G19" s="5">
        <f>HLOOKUP("QTE-0.25-ASSD-IPS-exp",inference!$D$1:$DR$96,$R$2,FALSE)*2*1.96/SQRT(G$3)</f>
        <v>12.313024512100279</v>
      </c>
      <c r="H19" s="5">
        <f>G19/(2*1.96/SQRT(G$3))</f>
        <v>99.329597815613198</v>
      </c>
      <c r="I19" s="5">
        <f>($H$23/H19)^2</f>
        <v>1.0651410631703289</v>
      </c>
      <c r="J19" s="5"/>
      <c r="K19" s="5"/>
      <c r="L19" s="5"/>
      <c r="M19" s="5"/>
      <c r="N19" s="5"/>
    </row>
    <row r="20" spans="1:17" x14ac:dyDescent="0.25">
      <c r="B20" s="1" t="s">
        <v>5</v>
      </c>
      <c r="C20" s="5">
        <f>HLOOKUP("QTE-0.25-bias-IPS-ind",Point!$D$1:$DR$96,$R$2,FALSE)</f>
        <v>-2.5493871168163298</v>
      </c>
      <c r="D20" s="5">
        <f>HLOOKUP("QTE-0.25-RMSE-IPS-ind",Point!$D$1:$DR$96,$R$2,FALSE)</f>
        <v>3.9683649398315901</v>
      </c>
      <c r="E20" s="5">
        <f t="shared" ref="E20:E24" si="6">(D20/$D$23)^2</f>
        <v>1.2549514502208996</v>
      </c>
      <c r="F20" s="5">
        <f>HLOOKUP("QTE-0.25-Empcov-IPS-ind",inference!$D$1:$DR$96,$R$2,FALSE)</f>
        <v>0.89100000000000001</v>
      </c>
      <c r="G20" s="5">
        <f>HLOOKUP("QTE-0.25-ASSD-IPS-ind",inference!$D$1:$DR$96,$R$2,FALSE)*2*1.96/SQRT(G$3)</f>
        <v>13.084543228771771</v>
      </c>
      <c r="H20" s="5">
        <f t="shared" ref="H20:H23" si="7">G20/(2*1.96/SQRT(G$3))</f>
        <v>105.553466188399</v>
      </c>
      <c r="I20" s="5">
        <f t="shared" ref="I20:I24" si="8">($H$23/H20)^2</f>
        <v>0.94323407862851383</v>
      </c>
      <c r="J20" s="5"/>
      <c r="K20" s="5"/>
      <c r="L20" s="5"/>
      <c r="M20" s="5"/>
      <c r="N20" s="5"/>
    </row>
    <row r="21" spans="1:17" x14ac:dyDescent="0.25">
      <c r="B21" s="1" t="s">
        <v>4</v>
      </c>
      <c r="C21" s="5">
        <f>HLOOKUP("QTE-0.25-bias-IPS-proj",Point!$D$1:$DR$96,$R$2,FALSE)</f>
        <v>-0.61123253838827896</v>
      </c>
      <c r="D21" s="5">
        <f>HLOOKUP("QTE-0.25-RMSE-IPS-proj",Point!$D$1:$DR$96,$R$2,FALSE)</f>
        <v>3.3210529745650001</v>
      </c>
      <c r="E21" s="5">
        <f t="shared" si="6"/>
        <v>0.87893209418510532</v>
      </c>
      <c r="F21" s="6">
        <f>HLOOKUP("QTE-0.25-Empcov-IPS-proj",inference!$D$1:$DR$96,$R$2,FALSE)</f>
        <v>0.97165991902834004</v>
      </c>
      <c r="G21" s="6">
        <f>HLOOKUP("QTE-0.25-ASSD-IPS-proj",inference!$D$1:$DR$96,$R$2,FALSE)*2*1.96/SQRT(G$3)</f>
        <v>14.286138780715648</v>
      </c>
      <c r="H21" s="5">
        <f t="shared" si="7"/>
        <v>115.24677937837302</v>
      </c>
      <c r="I21" s="5">
        <f t="shared" si="8"/>
        <v>0.79123754457994944</v>
      </c>
      <c r="J21" s="5"/>
      <c r="K21" s="5"/>
      <c r="L21" s="5"/>
      <c r="M21" s="5"/>
      <c r="N21" s="5"/>
    </row>
    <row r="22" spans="1:17" x14ac:dyDescent="0.25">
      <c r="B22" s="1" t="s">
        <v>88</v>
      </c>
      <c r="C22" s="5">
        <f>HLOOKUP("QTE-0.25-bias-CBPS-just",Point!$D$1:$DR$96,$R$2,FALSE)</f>
        <v>1.3791993095320201</v>
      </c>
      <c r="D22" s="5">
        <f>HLOOKUP("QTE-0.25-RMSE-CBPS-just",Point!$D$1:$DR$96,$R$2,FALSE)</f>
        <v>3.1322264192423899</v>
      </c>
      <c r="E22" s="5">
        <f t="shared" si="6"/>
        <v>0.78182582798583544</v>
      </c>
      <c r="F22" s="5">
        <f>HLOOKUP("QTE-0.25-Empcov-CBPS-just",inference!$D$1:$DR$96,$R$2,FALSE)</f>
        <v>0.93700000000000006</v>
      </c>
      <c r="G22" s="5">
        <f>HLOOKUP("QTE-0.25-ASSD-CBPS-just",inference!$D$1:$DR$96,$R$2,FALSE)*2*1.96/SQRT(G$3)</f>
        <v>11.631998877532101</v>
      </c>
      <c r="H22" s="5">
        <f t="shared" si="7"/>
        <v>93.835740289600579</v>
      </c>
      <c r="I22" s="5">
        <f t="shared" si="8"/>
        <v>1.1935150857031946</v>
      </c>
      <c r="J22" s="5"/>
      <c r="K22" s="5"/>
      <c r="L22" s="5"/>
      <c r="M22" s="5"/>
      <c r="N22" s="5"/>
    </row>
    <row r="23" spans="1:17" x14ac:dyDescent="0.25">
      <c r="B23" s="1" t="s">
        <v>89</v>
      </c>
      <c r="C23" s="5">
        <f>HLOOKUP("QTE-0.25-bias-CBPS-over",Point!$D$1:$DR$96,$R$2,FALSE)</f>
        <v>2.0101340154752498</v>
      </c>
      <c r="D23" s="5">
        <f>HLOOKUP("QTE-0.25-RMSE-CBPS-over",Point!$D$1:$DR$96,$R$2,FALSE)</f>
        <v>3.5424044244916399</v>
      </c>
      <c r="E23" s="5">
        <f>(D23/$D$23)^2</f>
        <v>1</v>
      </c>
      <c r="F23" s="5">
        <f>HLOOKUP("QTE-0.25-Empcov-CBPS-over",inference!$D$1:$DR$96,$R$2,FALSE)</f>
        <v>0.93400000000000005</v>
      </c>
      <c r="G23" s="5">
        <f>HLOOKUP("QTE-0.25-ASSD-CBPS-over",inference!$D$1:$DR$96,$R$2,FALSE)*2*1.96/SQRT(G$3)</f>
        <v>12.707739630828392</v>
      </c>
      <c r="H23" s="5">
        <f t="shared" si="7"/>
        <v>102.513778433176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25">
      <c r="B24" s="3" t="s">
        <v>2</v>
      </c>
      <c r="C24" s="5">
        <f>HLOOKUP("QTE-0.25-bias-GLM",Point!$D$1:$DR$96,$R$2,FALSE)</f>
        <v>3.3008059306455602</v>
      </c>
      <c r="D24" s="5">
        <f>HLOOKUP("QTE-0.25-RMSE-GLM",Point!$D$1:$DR$96,$R$2,FALSE)</f>
        <v>7.3574804950069304</v>
      </c>
      <c r="E24" s="5">
        <f t="shared" si="6"/>
        <v>4.3138193641954272</v>
      </c>
      <c r="F24" s="5">
        <f>HLOOKUP("QTE-0.25-Empcov-GLM",inference!$D$1:$DR$96,$R$2,FALSE)</f>
        <v>0.91300000000000003</v>
      </c>
      <c r="G24" s="5">
        <f>HLOOKUP("QTE-0.25-ASSD-GLM",inference!$D$1:$DR$96,$R$2,FALSE)*2*1.96/SQRT(G$3)</f>
        <v>14.878201358311815</v>
      </c>
      <c r="H24" s="5">
        <f>G24/(2*1.96/SQRT(G$3))</f>
        <v>120.022968823664</v>
      </c>
      <c r="I24" s="5">
        <f t="shared" si="8"/>
        <v>0.72951756286904801</v>
      </c>
      <c r="J24" s="5"/>
      <c r="K24" s="5"/>
      <c r="L24" s="5"/>
      <c r="M24" s="5"/>
      <c r="N24" s="5"/>
    </row>
    <row r="25" spans="1:17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25">
      <c r="A26" s="2" t="s">
        <v>60</v>
      </c>
      <c r="B26" s="1" t="s">
        <v>3</v>
      </c>
      <c r="C26" s="5">
        <f>HLOOKUP("QTE-0.5-bias-IPS-exp",Point!$D$1:$DR$96,$R$2,FALSE)</f>
        <v>1.7096184180484599</v>
      </c>
      <c r="D26" s="5">
        <f>HLOOKUP("QTE-0.5-RMSE-IPS-exp",Point!$D$1:$DR$96,$R$2,FALSE)</f>
        <v>3.4711750201084</v>
      </c>
      <c r="E26" s="5">
        <f>(D26/$D$30)^2</f>
        <v>0.36523837961920258</v>
      </c>
      <c r="F26" s="5">
        <f>HLOOKUP("QTE-0.5-Empcov-IPS-exp",inference!$D$1:$DR$96,$R$2,FALSE)</f>
        <v>0.95499999999999996</v>
      </c>
      <c r="G26" s="5">
        <f>HLOOKUP("QTE-0.5-ASSD-IPS-exp",inference!$D$1:$DR$96,$R$2,FALSE)*2*1.96/SQRT(G$3)</f>
        <v>13.799450288927762</v>
      </c>
      <c r="H26" s="5">
        <f>G26/(2*1.96/SQRT(G$3))</f>
        <v>111.32064635530702</v>
      </c>
      <c r="I26" s="5">
        <f>($H$30/H26)^2</f>
        <v>1.1783059887020197</v>
      </c>
      <c r="J26" s="5"/>
      <c r="K26"/>
      <c r="L26"/>
      <c r="M26"/>
      <c r="N26"/>
      <c r="O26"/>
      <c r="P26"/>
      <c r="Q26"/>
    </row>
    <row r="27" spans="1:17" x14ac:dyDescent="0.25">
      <c r="B27" s="1" t="s">
        <v>5</v>
      </c>
      <c r="C27" s="5">
        <f>HLOOKUP("QTE-0.5-bias-IPS-ind",Point!$D$1:$DR$96,$R$2,FALSE)</f>
        <v>-1.44427100365025</v>
      </c>
      <c r="D27" s="5">
        <f>HLOOKUP("QTE-0.5-RMSE-IPS-ind",Point!$D$1:$DR$96,$R$2,FALSE)</f>
        <v>3.57182393456775</v>
      </c>
      <c r="E27" s="5">
        <f t="shared" ref="E27:E31" si="9">(D27/$D$30)^2</f>
        <v>0.38672608807767195</v>
      </c>
      <c r="F27" s="5">
        <f>HLOOKUP("QTE-0.5-Empcov-IPS-ind",inference!$D$1:$DR$96,$R$2,FALSE)</f>
        <v>0.93500000000000005</v>
      </c>
      <c r="G27" s="5">
        <f>HLOOKUP("QTE-0.5-ASSD-IPS-ind",inference!$D$1:$DR$96,$R$2,FALSE)*2*1.96/SQRT(G$3)</f>
        <v>14.194747272430229</v>
      </c>
      <c r="H27" s="5">
        <f t="shared" ref="H27:H30" si="10">G27/(2*1.96/SQRT(G$3))</f>
        <v>114.50952089628099</v>
      </c>
      <c r="I27" s="5">
        <f t="shared" ref="I27:I31" si="11">($H$30/H27)^2</f>
        <v>1.1135925795793402</v>
      </c>
      <c r="J27" s="5"/>
      <c r="K27" s="5"/>
      <c r="L27" s="5"/>
      <c r="M27" s="5"/>
      <c r="N27" s="5"/>
    </row>
    <row r="28" spans="1:17" x14ac:dyDescent="0.25">
      <c r="B28" s="1" t="s">
        <v>4</v>
      </c>
      <c r="C28" s="5">
        <f>HLOOKUP("QTE-0.5-bias-IPS-proj",Point!$D$1:$DR$96,$R$2,FALSE)</f>
        <v>-0.245637896605849</v>
      </c>
      <c r="D28" s="5">
        <f>HLOOKUP("QTE-0.5-RMSE-IPS-proj",Point!$D$1:$DR$96,$R$2,FALSE)</f>
        <v>3.4161290375998301</v>
      </c>
      <c r="E28" s="5">
        <f t="shared" si="9"/>
        <v>0.35374630947741148</v>
      </c>
      <c r="F28" s="6">
        <f>HLOOKUP("QTE-0.5-Empcov-IPS-proj",inference!$D$1:$DR$96,$R$2,FALSE)</f>
        <v>0.97672064777327905</v>
      </c>
      <c r="G28" s="6">
        <f>HLOOKUP("QTE-0.5-ASSD-IPS-proj",inference!$D$1:$DR$96,$R$2,FALSE)*2*1.96/SQRT(G$3)</f>
        <v>15.619729125002875</v>
      </c>
      <c r="H28" s="5">
        <f t="shared" si="10"/>
        <v>126.00489915785199</v>
      </c>
      <c r="I28" s="5">
        <f t="shared" si="11"/>
        <v>0.919675593633549</v>
      </c>
      <c r="J28" s="5"/>
      <c r="K28" s="5"/>
      <c r="L28" s="5"/>
      <c r="M28" s="5"/>
      <c r="N28" s="5"/>
    </row>
    <row r="29" spans="1:17" x14ac:dyDescent="0.25">
      <c r="B29" s="1" t="s">
        <v>88</v>
      </c>
      <c r="C29" s="5">
        <f>HLOOKUP("QTE-0.5-bias-CBPS-just",Point!$D$1:$DR$96,$R$2,FALSE)</f>
        <v>3.9442857507815998</v>
      </c>
      <c r="D29" s="5">
        <f>HLOOKUP("QTE-0.5-RMSE-CBPS-just",Point!$D$1:$DR$96,$R$2,FALSE)</f>
        <v>5.0533495267091304</v>
      </c>
      <c r="E29" s="5">
        <f t="shared" si="9"/>
        <v>0.774073251295467</v>
      </c>
      <c r="F29" s="5">
        <f>HLOOKUP("QTE-0.5-Empcov-CBPS-just",inference!$D$1:$DR$96,$R$2,FALSE)</f>
        <v>0.80100000000000005</v>
      </c>
      <c r="G29" s="5">
        <f>HLOOKUP("QTE-0.5-ASSD-CBPS-just",inference!$D$1:$DR$96,$R$2,FALSE)*2*1.96/SQRT(G$3)</f>
        <v>12.945420843430504</v>
      </c>
      <c r="H29" s="5">
        <f t="shared" si="10"/>
        <v>104.431161057802</v>
      </c>
      <c r="I29" s="5">
        <f t="shared" si="11"/>
        <v>1.3389036040368698</v>
      </c>
      <c r="J29" s="5"/>
      <c r="K29" s="5"/>
      <c r="L29" s="5"/>
      <c r="M29" s="5"/>
      <c r="N29" s="5"/>
    </row>
    <row r="30" spans="1:17" x14ac:dyDescent="0.25">
      <c r="B30" s="1" t="s">
        <v>89</v>
      </c>
      <c r="C30" s="5">
        <f>HLOOKUP("QTE-0.5-bias-CBPS-over",Point!$D$1:$DR$96,$R$2,FALSE)</f>
        <v>4.6361041654449702</v>
      </c>
      <c r="D30" s="5">
        <f>HLOOKUP("QTE-0.5-RMSE-CBPS-over",Point!$D$1:$DR$96,$R$2,FALSE)</f>
        <v>5.74365450457422</v>
      </c>
      <c r="E30" s="5">
        <f t="shared" si="9"/>
        <v>1</v>
      </c>
      <c r="F30" s="5">
        <f>HLOOKUP("QTE-0.5-Empcov-CBPS-over",inference!$D$1:$DR$96,$R$2,FALSE)</f>
        <v>0.82199999999999995</v>
      </c>
      <c r="G30" s="5">
        <f>HLOOKUP("QTE-0.5-ASSD-CBPS-over",inference!$D$1:$DR$96,$R$2,FALSE)*2*1.96/SQRT(G$3)</f>
        <v>14.979276202669405</v>
      </c>
      <c r="H30" s="5">
        <f t="shared" si="10"/>
        <v>120.83834311528902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25">
      <c r="A31" s="3"/>
      <c r="B31" s="3" t="s">
        <v>2</v>
      </c>
      <c r="C31" s="5">
        <f>HLOOKUP("QTE-0.5-bias-GLM",Point!$D$1:$DR$96,$R$2,FALSE)</f>
        <v>7.5958988224193904</v>
      </c>
      <c r="D31" s="5">
        <f>HLOOKUP("QTE-0.5-RMSE-GLM",Point!$D$1:$DR$96,$R$2,FALSE)</f>
        <v>12.8070842774844</v>
      </c>
      <c r="E31" s="5">
        <f t="shared" si="9"/>
        <v>4.9719175566298492</v>
      </c>
      <c r="F31" s="5">
        <f>HLOOKUP("QTE-0.5-Empcov-GLM",inference!$D$1:$DR$96,$R$2,FALSE)</f>
        <v>0.76300000000000001</v>
      </c>
      <c r="G31" s="5">
        <f>HLOOKUP("QTE-0.5-ASSD-GLM",inference!$D$1:$DR$96,$R$2,FALSE)*2*1.96/SQRT(G$3)</f>
        <v>20.278394086160464</v>
      </c>
      <c r="H31" s="5">
        <f>G31/(2*1.96/SQRT(G$3))</f>
        <v>163.58651174172402</v>
      </c>
      <c r="I31" s="5">
        <f t="shared" si="11"/>
        <v>0.54565047803313504</v>
      </c>
      <c r="J31" s="5"/>
      <c r="K31" s="5"/>
      <c r="L31" s="5"/>
      <c r="M31" s="5"/>
      <c r="N31" s="5"/>
      <c r="O31" s="3"/>
      <c r="P31" s="3"/>
      <c r="Q31" s="3"/>
    </row>
    <row r="32" spans="1:17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5.33974579050592</v>
      </c>
      <c r="D33" s="5">
        <f>HLOOKUP("QTE-0.75-RMSE-IPS-exp",Point!$D$1:$DR$96,$R$2,FALSE)</f>
        <v>6.5745992177518504</v>
      </c>
      <c r="E33" s="5">
        <f>(D33/$D$37)^2</f>
        <v>0.41630401264865763</v>
      </c>
      <c r="F33" s="5">
        <f>HLOOKUP("QTE-0.75-Empcov-IPS-exp",inference!$D$1:$DR$96,$R$2,FALSE)</f>
        <v>0.85599999999999998</v>
      </c>
      <c r="G33" s="5">
        <f>HLOOKUP("QTE-0.75-ASSD-IPS-exp",inference!$D$1:$DR$96,$R$2,FALSE)*2*1.96/SQRT(G$3)</f>
        <v>18.748994522581299</v>
      </c>
      <c r="H33" s="5">
        <f>G33/(2*1.96/SQRT(G$3))</f>
        <v>151.24879216678099</v>
      </c>
      <c r="I33" s="5">
        <f>($H$37/H33)^2</f>
        <v>1.2743516481469299</v>
      </c>
      <c r="J33" s="5"/>
    </row>
    <row r="34" spans="1:10" x14ac:dyDescent="0.25">
      <c r="B34" s="1" t="s">
        <v>5</v>
      </c>
      <c r="C34" s="5">
        <f>HLOOKUP("QTE-0.75-bias-IPS-ind",Point!$D$1:$DR$96,$R$2,FALSE)</f>
        <v>0.34471666827843001</v>
      </c>
      <c r="D34" s="5">
        <f>HLOOKUP("QTE-0.75-RMSE-IPS-ind",Point!$D$1:$DR$96,$R$2,FALSE)</f>
        <v>4.1556401172822497</v>
      </c>
      <c r="E34" s="5">
        <f t="shared" ref="E34:E38" si="12">(D34/$D$37)^2</f>
        <v>0.16632130726261346</v>
      </c>
      <c r="F34" s="5">
        <f>HLOOKUP("QTE-0.75-Empcov-IPS-ind",inference!$D$1:$DR$96,$R$2,FALSE)</f>
        <v>0.98</v>
      </c>
      <c r="G34" s="5">
        <f>HLOOKUP("QTE-0.75-ASSD-IPS-ind",inference!$D$1:$DR$96,$R$2,FALSE)*2*1.96/SQRT(G$3)</f>
        <v>19.167893401415746</v>
      </c>
      <c r="H34" s="5">
        <f t="shared" ref="H34:H37" si="13">G34/(2*1.96/SQRT(G$3))</f>
        <v>154.62806401986199</v>
      </c>
      <c r="I34" s="5">
        <f t="shared" ref="I34:I38" si="14">($H$37/H34)^2</f>
        <v>1.2192604272697898</v>
      </c>
      <c r="J34" s="5"/>
    </row>
    <row r="35" spans="1:10" x14ac:dyDescent="0.25">
      <c r="B35" s="1" t="s">
        <v>4</v>
      </c>
      <c r="C35" s="5">
        <f>HLOOKUP("QTE-0.75-bias-IPS-proj",Point!$D$1:$DR$96,$R$2,FALSE)</f>
        <v>0.73234669022618004</v>
      </c>
      <c r="D35" s="5">
        <f>HLOOKUP("QTE-0.75-RMSE-IPS-proj",Point!$D$1:$DR$96,$R$2,FALSE)</f>
        <v>4.7302520824675698</v>
      </c>
      <c r="E35" s="5">
        <f t="shared" si="12"/>
        <v>0.2154966884232406</v>
      </c>
      <c r="F35" s="6">
        <f>HLOOKUP("QTE-0.75-Empcov-IPS-proj",inference!$D$1:$DR$96,$R$2,FALSE)</f>
        <v>0.97975708502024295</v>
      </c>
      <c r="G35" s="6">
        <f>HLOOKUP("QTE-0.75-ASSD-IPS-proj",inference!$D$1:$DR$96,$R$2,FALSE)*2*1.96/SQRT(G$3)</f>
        <v>26.037004547065173</v>
      </c>
      <c r="H35" s="5">
        <f t="shared" si="13"/>
        <v>210.04142300226201</v>
      </c>
      <c r="I35" s="5">
        <f t="shared" si="14"/>
        <v>0.66078961883922871</v>
      </c>
      <c r="J35" s="5"/>
    </row>
    <row r="36" spans="1:10" x14ac:dyDescent="0.25">
      <c r="B36" s="1" t="s">
        <v>88</v>
      </c>
      <c r="C36" s="5">
        <f>HLOOKUP("QTE-0.75-bias-CBPS-just",Point!$D$1:$DR$96,$R$2,FALSE)</f>
        <v>8.0680572000894593</v>
      </c>
      <c r="D36" s="5">
        <f>HLOOKUP("QTE-0.75-RMSE-CBPS-just",Point!$D$1:$DR$96,$R$2,FALSE)</f>
        <v>9.2503773221862602</v>
      </c>
      <c r="E36" s="5">
        <f t="shared" si="12"/>
        <v>0.82412089476192063</v>
      </c>
      <c r="F36" s="5">
        <f>HLOOKUP("QTE-0.75-Empcov-CBPS-just",inference!$D$1:$DR$96,$R$2,FALSE)</f>
        <v>0.56299999999999994</v>
      </c>
      <c r="G36" s="5">
        <f>HLOOKUP("QTE-0.75-ASSD-CBPS-just",inference!$D$1:$DR$96,$R$2,FALSE)*2*1.96/SQRT(G$3)</f>
        <v>17.45504262328744</v>
      </c>
      <c r="H36" s="5">
        <f t="shared" si="13"/>
        <v>140.81043710435901</v>
      </c>
      <c r="I36" s="5">
        <f t="shared" si="14"/>
        <v>1.4702914172209736</v>
      </c>
      <c r="J36" s="5"/>
    </row>
    <row r="37" spans="1:10" x14ac:dyDescent="0.25">
      <c r="B37" s="1" t="s">
        <v>89</v>
      </c>
      <c r="C37" s="5">
        <f>HLOOKUP("QTE-0.75-bias-CBPS-over",Point!$D$1:$DR$96,$R$2,FALSE)</f>
        <v>8.9377958548723306</v>
      </c>
      <c r="D37" s="5">
        <f>HLOOKUP("QTE-0.75-RMSE-CBPS-over",Point!$D$1:$DR$96,$R$2,FALSE)</f>
        <v>10.1897607058498</v>
      </c>
      <c r="E37" s="5">
        <f t="shared" si="12"/>
        <v>1</v>
      </c>
      <c r="F37" s="5">
        <f>HLOOKUP("QTE-0.75-Empcov-CBPS-over",inference!$D$1:$DR$96,$R$2,FALSE)</f>
        <v>0.64</v>
      </c>
      <c r="G37" s="5">
        <f>HLOOKUP("QTE-0.75-ASSD-CBPS-over",inference!$D$1:$DR$96,$R$2,FALSE)*2*1.96/SQRT(G$3)</f>
        <v>21.165212086045617</v>
      </c>
      <c r="H37" s="5">
        <f t="shared" si="13"/>
        <v>170.74050345007103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13.581215164731001</v>
      </c>
      <c r="D38" s="5">
        <f>HLOOKUP("QTE-0.75-RMSE-GLM",Point!$D$1:$DR$96,$R$2,FALSE)</f>
        <v>18.849839528013099</v>
      </c>
      <c r="E38" s="5">
        <f t="shared" si="12"/>
        <v>3.4220578274616149</v>
      </c>
      <c r="F38" s="5">
        <f>HLOOKUP("QTE-0.75-Empcov-GLM",inference!$D$1:$DR$96,$R$2,FALSE)</f>
        <v>0.625</v>
      </c>
      <c r="G38" s="5">
        <f>HLOOKUP("QTE-0.75-ASSD-GLM",inference!$D$1:$DR$96,$R$2,FALSE)*2*1.96/SQRT(G$3)</f>
        <v>27.582631353090388</v>
      </c>
      <c r="H38" s="5">
        <f>G38/(2*1.96/SQRT(G$3))</f>
        <v>222.510048307494</v>
      </c>
      <c r="I38" s="5">
        <f t="shared" si="14"/>
        <v>0.5888082132027973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10.9619339993118</v>
      </c>
      <c r="D40" s="5">
        <f>HLOOKUP("QTE-0.9-RMSE-IPS-exp",Point!$D$1:$DR$96,$R$2,FALSE)</f>
        <v>13.2352112746747</v>
      </c>
      <c r="E40" s="5">
        <f t="shared" ref="E40:E45" si="15">(D40/$D$44)^2</f>
        <v>0.57090936691506788</v>
      </c>
      <c r="F40" s="5">
        <f>HLOOKUP("QTE-0.9-Empcov-IPS-exp",inference!$D$1:$DR$96,$R$2,FALSE)</f>
        <v>0.74099999999999999</v>
      </c>
      <c r="G40" s="5">
        <f>HLOOKUP("QTE-0.9-ASSD-IPS-exp",inference!$D$1:$DR$96,$R$2,FALSE)*2*1.96/SQRT(G$3)</f>
        <v>29.512323883539334</v>
      </c>
      <c r="H40" s="5">
        <f>G40/(2*1.96/SQRT(G$3))</f>
        <v>238.076945195332</v>
      </c>
      <c r="I40" s="5">
        <f t="shared" ref="I40:I45" si="16">($H$44/H40)^2</f>
        <v>1.1838991657473603</v>
      </c>
      <c r="J40" s="5"/>
    </row>
    <row r="41" spans="1:10" x14ac:dyDescent="0.25">
      <c r="B41" s="1" t="s">
        <v>5</v>
      </c>
      <c r="C41" s="5">
        <f>HLOOKUP("QTE-0.9-bias-IPS-ind",Point!$D$1:$DR$96,$R$2,FALSE)</f>
        <v>3.67929386794223</v>
      </c>
      <c r="D41" s="5">
        <f>HLOOKUP("QTE-0.9-RMSE-IPS-ind",Point!$D$1:$DR$96,$R$2,FALSE)</f>
        <v>7.4825933995082696</v>
      </c>
      <c r="E41" s="5">
        <f t="shared" si="15"/>
        <v>0.18247766071159194</v>
      </c>
      <c r="F41" s="5">
        <f>HLOOKUP("QTE-0.9-Empcov-IPS-ind",inference!$D$1:$DR$96,$R$2,FALSE)</f>
        <v>0.96299999999999997</v>
      </c>
      <c r="G41" s="5">
        <f>HLOOKUP("QTE-0.9-ASSD-IPS-ind",inference!$D$1:$DR$96,$R$2,FALSE)*2*1.96/SQRT(G$3)</f>
        <v>29.559607925604361</v>
      </c>
      <c r="H41" s="5">
        <f t="shared" ref="H41:H44" si="17">G41/(2*1.96/SQRT(G$3))</f>
        <v>238.45838721039502</v>
      </c>
      <c r="I41" s="5">
        <f t="shared" si="16"/>
        <v>1.1801146253574308</v>
      </c>
      <c r="J41" s="5"/>
    </row>
    <row r="42" spans="1:10" x14ac:dyDescent="0.25">
      <c r="B42" s="1" t="s">
        <v>4</v>
      </c>
      <c r="C42" s="5">
        <f>HLOOKUP("QTE-0.9-bias-IPS-proj",Point!$D$1:$DR$96,$R$2,FALSE)</f>
        <v>2.5465749239766602</v>
      </c>
      <c r="D42" s="5">
        <f>HLOOKUP("QTE-0.9-RMSE-IPS-proj",Point!$D$1:$DR$96,$R$2,FALSE)</f>
        <v>7.6563509922021602</v>
      </c>
      <c r="E42" s="5">
        <f t="shared" si="15"/>
        <v>0.19105089706012277</v>
      </c>
      <c r="F42" s="6">
        <f>HLOOKUP("QTE-0.9-Empcov-IPS-proj",inference!$D$1:$DR$96,$R$2,FALSE)</f>
        <v>0.98684210526315796</v>
      </c>
      <c r="G42" s="6">
        <f>HLOOKUP("QTE-0.9-ASSD-IPS-proj",inference!$D$1:$DR$96,$R$2,FALSE)*2*1.96/SQRT(G$3)</f>
        <v>44.401808934861066</v>
      </c>
      <c r="H42" s="5">
        <f t="shared" si="17"/>
        <v>358.19093996371402</v>
      </c>
      <c r="I42" s="5">
        <f t="shared" si="16"/>
        <v>0.52302229735891514</v>
      </c>
      <c r="J42" s="5"/>
    </row>
    <row r="43" spans="1:10" x14ac:dyDescent="0.25">
      <c r="B43" s="1" t="s">
        <v>88</v>
      </c>
      <c r="C43" s="5">
        <f>HLOOKUP("QTE-0.9-bias-CBPS-just",Point!$D$1:$DR$96,$R$2,FALSE)</f>
        <v>13.736531287904301</v>
      </c>
      <c r="D43" s="5">
        <f>HLOOKUP("QTE-0.9-RMSE-CBPS-just",Point!$D$1:$DR$96,$R$2,FALSE)</f>
        <v>15.7286082821851</v>
      </c>
      <c r="E43" s="5">
        <f t="shared" si="15"/>
        <v>0.80628021863971966</v>
      </c>
      <c r="F43" s="5">
        <f>HLOOKUP("QTE-0.9-Empcov-CBPS-just",inference!$D$1:$DR$96,$R$2,FALSE)</f>
        <v>0.496</v>
      </c>
      <c r="G43" s="5">
        <f>HLOOKUP("QTE-0.9-ASSD-CBPS-just",inference!$D$1:$DR$96,$R$2,FALSE)*2*1.96/SQRT(G$3)</f>
        <v>26.721982329318045</v>
      </c>
      <c r="H43" s="5">
        <f t="shared" si="17"/>
        <v>215.56716264136901</v>
      </c>
      <c r="I43" s="5">
        <f t="shared" si="16"/>
        <v>1.4440565023265739</v>
      </c>
      <c r="J43" s="5"/>
    </row>
    <row r="44" spans="1:10" x14ac:dyDescent="0.25">
      <c r="B44" s="1" t="s">
        <v>89</v>
      </c>
      <c r="C44" s="5">
        <f>HLOOKUP("QTE-0.9-bias-CBPS-over",Point!$D$1:$DR$96,$R$2,FALSE)</f>
        <v>15.168493061149301</v>
      </c>
      <c r="D44" s="5">
        <f>HLOOKUP("QTE-0.9-RMSE-CBPS-over",Point!$D$1:$DR$96,$R$2,FALSE)</f>
        <v>17.516498413956299</v>
      </c>
      <c r="E44" s="5">
        <f t="shared" si="15"/>
        <v>1</v>
      </c>
      <c r="F44" s="5">
        <f>HLOOKUP("QTE-0.9-Empcov-CBPS-over",inference!$D$1:$DR$96,$R$2,FALSE)</f>
        <v>0.55200000000000005</v>
      </c>
      <c r="G44" s="5">
        <f>HLOOKUP("QTE-0.9-ASSD-CBPS-over",inference!$D$1:$DR$96,$R$2,FALSE)*2*1.96/SQRT(G$3)</f>
        <v>32.111512774875941</v>
      </c>
      <c r="H44" s="5">
        <f t="shared" si="17"/>
        <v>259.04469255663702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18.9072371213176</v>
      </c>
      <c r="D45" s="5">
        <f>HLOOKUP("QTE-0.9-RMSE-GLM",Point!$D$1:$DR$96,$R$2,FALSE)</f>
        <v>24.064675517307499</v>
      </c>
      <c r="E45" s="5">
        <f t="shared" si="15"/>
        <v>1.8874064377492095</v>
      </c>
      <c r="F45" s="5">
        <f>HLOOKUP("QTE-0.9-Empcov-GLM",inference!$D$1:$DR$96,$R$2,FALSE)</f>
        <v>0.47799999999999998</v>
      </c>
      <c r="G45" s="5">
        <f>HLOOKUP("QTE-0.9-ASSD-GLM",inference!$D$1:$DR$96,$R$2,FALSE)*2*1.96/SQRT(G$3)</f>
        <v>30.295604705786602</v>
      </c>
      <c r="H45" s="5">
        <f>G45/(2*1.96/SQRT(G$3))</f>
        <v>244.395698883676</v>
      </c>
      <c r="I45" s="5">
        <f t="shared" si="16"/>
        <v>1.1234720704927577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J114" s="7"/>
    </row>
    <row r="115" spans="8:10" x14ac:dyDescent="0.25">
      <c r="J115" s="7"/>
    </row>
    <row r="116" spans="8:10" x14ac:dyDescent="0.25">
      <c r="J116" s="7"/>
    </row>
    <row r="117" spans="8:10" x14ac:dyDescent="0.25">
      <c r="J117" s="7"/>
    </row>
    <row r="118" spans="8:10" x14ac:dyDescent="0.25">
      <c r="J118" s="7"/>
    </row>
    <row r="119" spans="8:10" x14ac:dyDescent="0.25">
      <c r="J119" s="7"/>
    </row>
    <row r="120" spans="8:10" x14ac:dyDescent="0.25">
      <c r="J120" s="7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4932-4DF2-474B-AAD7-0F3B4624A884}">
  <dimension ref="A1:AN7"/>
  <sheetViews>
    <sheetView tabSelected="1" workbookViewId="0">
      <selection activeCell="G18" sqref="A1:XFD1048576"/>
    </sheetView>
  </sheetViews>
  <sheetFormatPr defaultRowHeight="15" x14ac:dyDescent="0.25"/>
  <sheetData>
    <row r="1" spans="1:40" x14ac:dyDescent="0.25">
      <c r="B1" t="s">
        <v>168</v>
      </c>
      <c r="C1" t="s">
        <v>7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</row>
    <row r="2" spans="1:40" x14ac:dyDescent="0.25">
      <c r="A2">
        <v>1</v>
      </c>
      <c r="B2">
        <v>1000</v>
      </c>
      <c r="C2">
        <v>200</v>
      </c>
      <c r="D2">
        <v>1</v>
      </c>
      <c r="E2">
        <v>2.37312408280357</v>
      </c>
      <c r="F2">
        <v>1.8158068089616699</v>
      </c>
      <c r="G2">
        <v>2.24940768979575</v>
      </c>
      <c r="H2">
        <v>2.54489771394497</v>
      </c>
      <c r="I2">
        <v>2.5261405064538098</v>
      </c>
      <c r="J2">
        <v>2.5297518547058302</v>
      </c>
      <c r="K2">
        <v>1.33605904197396</v>
      </c>
      <c r="L2">
        <v>1.2953887380429701</v>
      </c>
      <c r="M2">
        <v>1.27026265381382</v>
      </c>
      <c r="N2">
        <v>1.4699394639344301</v>
      </c>
      <c r="O2">
        <v>1.3368923026642201</v>
      </c>
      <c r="P2">
        <v>1.44642777504517</v>
      </c>
      <c r="Q2">
        <v>1.48367763148854</v>
      </c>
      <c r="R2">
        <v>0.798199714223782</v>
      </c>
      <c r="S2">
        <v>1.37103976801632</v>
      </c>
      <c r="T2">
        <v>1.65236268178569</v>
      </c>
      <c r="U2">
        <v>1.5763572718968399</v>
      </c>
      <c r="V2">
        <v>1.6623422428839001</v>
      </c>
      <c r="W2">
        <v>0.398587407817525</v>
      </c>
      <c r="X2">
        <v>0.17150122149799399</v>
      </c>
      <c r="Y2">
        <v>0.349859490612414</v>
      </c>
      <c r="Z2">
        <v>0.459712307362384</v>
      </c>
      <c r="AA2">
        <v>0.44914453373969498</v>
      </c>
      <c r="AB2">
        <v>0.45299737012234897</v>
      </c>
      <c r="AC2">
        <v>9.2586686878704E-2</v>
      </c>
      <c r="AD2">
        <v>7.9266814345205494E-2</v>
      </c>
      <c r="AE2">
        <v>8.5049619947956595E-2</v>
      </c>
      <c r="AF2">
        <v>0.10590098356347399</v>
      </c>
      <c r="AG2">
        <v>9.1677186839072403E-2</v>
      </c>
      <c r="AH2">
        <v>9.5760107893445606E-2</v>
      </c>
      <c r="AI2">
        <v>0.17105775946150101</v>
      </c>
      <c r="AJ2">
        <v>3.4758695387334698E-2</v>
      </c>
      <c r="AK2">
        <v>0.14176062437732101</v>
      </c>
      <c r="AL2">
        <v>0.21196121912482699</v>
      </c>
      <c r="AM2">
        <v>0.192999867160041</v>
      </c>
      <c r="AN2">
        <v>0.22036541384059599</v>
      </c>
    </row>
    <row r="3" spans="1:40" x14ac:dyDescent="0.25">
      <c r="A3">
        <v>2</v>
      </c>
      <c r="B3">
        <v>1000</v>
      </c>
      <c r="C3">
        <v>200</v>
      </c>
      <c r="D3">
        <v>2</v>
      </c>
      <c r="E3">
        <v>2.46592185744651</v>
      </c>
      <c r="F3">
        <v>1.96366989424571</v>
      </c>
      <c r="G3">
        <v>3.2503030958443602</v>
      </c>
      <c r="H3">
        <v>2.77110797342158</v>
      </c>
      <c r="I3">
        <v>2.69136670120449</v>
      </c>
      <c r="J3">
        <v>2.8701115316782499</v>
      </c>
      <c r="K3">
        <v>1.44512599862058</v>
      </c>
      <c r="L3">
        <v>1.39182580413414</v>
      </c>
      <c r="M3">
        <v>1.82740275971969</v>
      </c>
      <c r="N3">
        <v>1.60256448093179</v>
      </c>
      <c r="O3">
        <v>1.47642057687561</v>
      </c>
      <c r="P3">
        <v>1.85262364024835</v>
      </c>
      <c r="Q3">
        <v>1.4321235293058301</v>
      </c>
      <c r="R3">
        <v>0.94641141041449695</v>
      </c>
      <c r="S3">
        <v>1.64521977666865</v>
      </c>
      <c r="T3">
        <v>1.6150892173149101</v>
      </c>
      <c r="U3">
        <v>1.5550717396026099</v>
      </c>
      <c r="V3">
        <v>1.55742287412916</v>
      </c>
      <c r="W3">
        <v>0.49965620686805901</v>
      </c>
      <c r="X3">
        <v>0.26594493894613103</v>
      </c>
      <c r="Y3">
        <v>0.85100686365447298</v>
      </c>
      <c r="Z3">
        <v>0.65210200382452799</v>
      </c>
      <c r="AA3">
        <v>0.61485840973527806</v>
      </c>
      <c r="AB3">
        <v>0.62091855923436701</v>
      </c>
      <c r="AC3">
        <v>0.129692325444691</v>
      </c>
      <c r="AD3">
        <v>0.11388011650624399</v>
      </c>
      <c r="AE3">
        <v>0.205725710710398</v>
      </c>
      <c r="AF3">
        <v>0.15923258448833</v>
      </c>
      <c r="AG3">
        <v>0.13683695117594599</v>
      </c>
      <c r="AH3">
        <v>0.19191436712349499</v>
      </c>
      <c r="AI3">
        <v>0.176373433517026</v>
      </c>
      <c r="AJ3">
        <v>5.9919290693518701E-2</v>
      </c>
      <c r="AK3">
        <v>0.28068114122966997</v>
      </c>
      <c r="AL3">
        <v>0.23968190658451</v>
      </c>
      <c r="AM3">
        <v>0.22225887732827901</v>
      </c>
      <c r="AN3">
        <v>0.20763023646265899</v>
      </c>
    </row>
    <row r="4" spans="1:40" x14ac:dyDescent="0.25">
      <c r="A4">
        <v>3</v>
      </c>
      <c r="B4">
        <v>1000</v>
      </c>
      <c r="C4">
        <v>500</v>
      </c>
      <c r="D4">
        <v>1</v>
      </c>
      <c r="E4">
        <v>2.69567226703056</v>
      </c>
      <c r="F4">
        <v>2.2521077001453702</v>
      </c>
      <c r="G4">
        <v>2.6397237498559298</v>
      </c>
      <c r="H4">
        <v>2.8136834291276198</v>
      </c>
      <c r="I4">
        <v>2.81544810227106</v>
      </c>
      <c r="J4">
        <v>2.7802197985773902</v>
      </c>
      <c r="K4">
        <v>1.4940040859288399</v>
      </c>
      <c r="L4">
        <v>1.64635655606023</v>
      </c>
      <c r="M4">
        <v>1.46699579886444</v>
      </c>
      <c r="N4">
        <v>1.5666358880802</v>
      </c>
      <c r="O4">
        <v>1.4872769174862399</v>
      </c>
      <c r="P4">
        <v>1.5391948044899699</v>
      </c>
      <c r="Q4">
        <v>1.6975902657345301</v>
      </c>
      <c r="R4">
        <v>1.1082868266754</v>
      </c>
      <c r="S4">
        <v>1.64108687354493</v>
      </c>
      <c r="T4">
        <v>1.7895462917387901</v>
      </c>
      <c r="U4">
        <v>1.7739952922501401</v>
      </c>
      <c r="V4">
        <v>1.8274568591093301</v>
      </c>
      <c r="W4">
        <v>0.40014945914341898</v>
      </c>
      <c r="X4">
        <v>0.186250924575219</v>
      </c>
      <c r="Y4">
        <v>0.37764898122483698</v>
      </c>
      <c r="Z4">
        <v>0.43215283598801202</v>
      </c>
      <c r="AA4">
        <v>0.421493085618105</v>
      </c>
      <c r="AB4">
        <v>0.43318994284857298</v>
      </c>
      <c r="AC4">
        <v>8.2729498747094399E-2</v>
      </c>
      <c r="AD4">
        <v>8.1879352819624399E-2</v>
      </c>
      <c r="AE4">
        <v>8.00641470567134E-2</v>
      </c>
      <c r="AF4">
        <v>8.9726255927469703E-2</v>
      </c>
      <c r="AG4">
        <v>8.13012779858618E-2</v>
      </c>
      <c r="AH4">
        <v>8.0920991075885101E-2</v>
      </c>
      <c r="AI4">
        <v>0.18440166332961599</v>
      </c>
      <c r="AJ4">
        <v>5.0588701821044899E-2</v>
      </c>
      <c r="AK4">
        <v>0.169513607572081</v>
      </c>
      <c r="AL4">
        <v>0.202763974709776</v>
      </c>
      <c r="AM4">
        <v>0.19136476983422501</v>
      </c>
      <c r="AN4">
        <v>0.223243448750024</v>
      </c>
    </row>
    <row r="5" spans="1:40" x14ac:dyDescent="0.25">
      <c r="A5">
        <v>4</v>
      </c>
      <c r="B5">
        <v>1000</v>
      </c>
      <c r="C5">
        <v>500</v>
      </c>
      <c r="D5">
        <v>2</v>
      </c>
      <c r="E5">
        <v>2.90482587669019</v>
      </c>
      <c r="F5">
        <v>2.3271879829253499</v>
      </c>
      <c r="G5">
        <v>4.11801003262243</v>
      </c>
      <c r="H5">
        <v>3.2124399905562599</v>
      </c>
      <c r="I5">
        <v>3.1934796090609701</v>
      </c>
      <c r="J5">
        <v>3.6219869834396299</v>
      </c>
      <c r="K5">
        <v>1.8030865784582899</v>
      </c>
      <c r="L5">
        <v>1.71459100714179</v>
      </c>
      <c r="M5">
        <v>2.37767417791297</v>
      </c>
      <c r="N5">
        <v>1.88911496600521</v>
      </c>
      <c r="O5">
        <v>1.83282727238951</v>
      </c>
      <c r="P5">
        <v>2.4977668114754601</v>
      </c>
      <c r="Q5">
        <v>1.6559086668598699</v>
      </c>
      <c r="R5">
        <v>1.2966914552916</v>
      </c>
      <c r="S5">
        <v>2.05079670217832</v>
      </c>
      <c r="T5">
        <v>1.79955057738888</v>
      </c>
      <c r="U5">
        <v>1.80839380331641</v>
      </c>
      <c r="V5">
        <v>1.74283263425</v>
      </c>
      <c r="W5">
        <v>0.53948205572731101</v>
      </c>
      <c r="X5">
        <v>0.300795215561661</v>
      </c>
      <c r="Y5">
        <v>1.09650628590628</v>
      </c>
      <c r="Z5">
        <v>0.67616772326326702</v>
      </c>
      <c r="AA5">
        <v>0.66372576996322397</v>
      </c>
      <c r="AB5">
        <v>0.76891125390176795</v>
      </c>
      <c r="AC5">
        <v>0.14651587010466799</v>
      </c>
      <c r="AD5">
        <v>0.12549072824142801</v>
      </c>
      <c r="AE5">
        <v>0.26650167161730698</v>
      </c>
      <c r="AF5">
        <v>0.168813378774929</v>
      </c>
      <c r="AG5">
        <v>0.15184170001806199</v>
      </c>
      <c r="AH5">
        <v>0.295244636407271</v>
      </c>
      <c r="AI5">
        <v>0.17896652000309901</v>
      </c>
      <c r="AJ5">
        <v>8.09261147921327E-2</v>
      </c>
      <c r="AK5">
        <v>0.34639807525281502</v>
      </c>
      <c r="AL5">
        <v>0.22812057385065501</v>
      </c>
      <c r="AM5">
        <v>0.23197702947342899</v>
      </c>
      <c r="AN5">
        <v>0.20745922502488001</v>
      </c>
    </row>
    <row r="6" spans="1:40" x14ac:dyDescent="0.25">
      <c r="A6">
        <v>5</v>
      </c>
      <c r="B6">
        <v>1000</v>
      </c>
      <c r="C6">
        <v>1000</v>
      </c>
      <c r="D6">
        <v>1</v>
      </c>
      <c r="E6">
        <v>2.8313590168551701</v>
      </c>
      <c r="F6">
        <v>2.5523545436627999</v>
      </c>
      <c r="G6">
        <v>2.7988142923560102</v>
      </c>
      <c r="H6">
        <v>2.9316877311432998</v>
      </c>
      <c r="I6">
        <v>2.9501591136210399</v>
      </c>
      <c r="J6">
        <v>2.9044711129246901</v>
      </c>
      <c r="K6">
        <v>1.5765062968194801</v>
      </c>
      <c r="L6">
        <v>1.8274922123101001</v>
      </c>
      <c r="M6">
        <v>1.55283636080525</v>
      </c>
      <c r="N6">
        <v>1.63531399866085</v>
      </c>
      <c r="O6">
        <v>1.5856067861877099</v>
      </c>
      <c r="P6">
        <v>1.6194061691820101</v>
      </c>
      <c r="Q6">
        <v>1.8293186705941</v>
      </c>
      <c r="R6">
        <v>1.3793952876187401</v>
      </c>
      <c r="S6">
        <v>1.79573525809347</v>
      </c>
      <c r="T6">
        <v>1.9052044615024899</v>
      </c>
      <c r="U6">
        <v>1.9197424307127799</v>
      </c>
      <c r="V6">
        <v>1.9452484937433401</v>
      </c>
      <c r="W6">
        <v>0.38426641253589799</v>
      </c>
      <c r="X6">
        <v>0.207031609093041</v>
      </c>
      <c r="Y6">
        <v>0.37389644557017998</v>
      </c>
      <c r="Z6">
        <v>0.40858061242341998</v>
      </c>
      <c r="AA6">
        <v>0.40750228220502499</v>
      </c>
      <c r="AB6">
        <v>0.40404185663989201</v>
      </c>
      <c r="AC6">
        <v>7.6905985166336593E-2</v>
      </c>
      <c r="AD6">
        <v>7.9988022276308496E-2</v>
      </c>
      <c r="AE6">
        <v>7.5203018718521794E-2</v>
      </c>
      <c r="AF6">
        <v>8.1435897767978604E-2</v>
      </c>
      <c r="AG6">
        <v>7.5556022427489294E-2</v>
      </c>
      <c r="AH6">
        <v>7.4838451158464797E-2</v>
      </c>
      <c r="AI6">
        <v>0.18089613315064201</v>
      </c>
      <c r="AJ6">
        <v>6.9652754510935999E-2</v>
      </c>
      <c r="AK6">
        <v>0.17389325461517799</v>
      </c>
      <c r="AL6">
        <v>0.19439050998271901</v>
      </c>
      <c r="AM6">
        <v>0.19377275886779699</v>
      </c>
      <c r="AN6">
        <v>0.20616619970821901</v>
      </c>
    </row>
    <row r="7" spans="1:40" x14ac:dyDescent="0.25">
      <c r="A7">
        <v>6</v>
      </c>
      <c r="B7">
        <v>1000</v>
      </c>
      <c r="C7">
        <v>1000</v>
      </c>
      <c r="D7">
        <v>2</v>
      </c>
      <c r="E7">
        <v>3.4594036980889999</v>
      </c>
      <c r="F7">
        <v>2.68697794671235</v>
      </c>
      <c r="G7">
        <v>4.9320921892734697</v>
      </c>
      <c r="H7">
        <v>3.81116639725724</v>
      </c>
      <c r="I7">
        <v>3.9158030240639699</v>
      </c>
      <c r="J7">
        <v>4.62430073206842</v>
      </c>
      <c r="K7">
        <v>2.2751641039853601</v>
      </c>
      <c r="L7">
        <v>1.9967598240402999</v>
      </c>
      <c r="M7">
        <v>2.8541671572773302</v>
      </c>
      <c r="N7">
        <v>2.3237246114300198</v>
      </c>
      <c r="O7">
        <v>2.3446599122435998</v>
      </c>
      <c r="P7">
        <v>3.3160987564147399</v>
      </c>
      <c r="Q7">
        <v>1.9136989107273801</v>
      </c>
      <c r="R7">
        <v>1.62403765215913</v>
      </c>
      <c r="S7">
        <v>2.4546039290183899</v>
      </c>
      <c r="T7">
        <v>2.0595864874859702</v>
      </c>
      <c r="U7">
        <v>2.14313234521155</v>
      </c>
      <c r="V7">
        <v>2.00314462503029</v>
      </c>
      <c r="W7">
        <v>0.64058405091048998</v>
      </c>
      <c r="X7">
        <v>0.35656807459044199</v>
      </c>
      <c r="Y7">
        <v>1.4343378710033601</v>
      </c>
      <c r="Z7">
        <v>0.80082372997150897</v>
      </c>
      <c r="AA7">
        <v>0.82706739519092098</v>
      </c>
      <c r="AB7">
        <v>1.12029021369269</v>
      </c>
      <c r="AC7">
        <v>0.193693852346531</v>
      </c>
      <c r="AD7">
        <v>0.14701611035019399</v>
      </c>
      <c r="AE7">
        <v>0.34366365243853803</v>
      </c>
      <c r="AF7">
        <v>0.21792804235559099</v>
      </c>
      <c r="AG7">
        <v>0.21052087388231699</v>
      </c>
      <c r="AH7">
        <v>0.50865783698109301</v>
      </c>
      <c r="AI7">
        <v>0.19116668106891599</v>
      </c>
      <c r="AJ7">
        <v>0.104915886472997</v>
      </c>
      <c r="AK7">
        <v>0.446763741343844</v>
      </c>
      <c r="AL7">
        <v>0.24032955706595899</v>
      </c>
      <c r="AM7">
        <v>0.26116028353704202</v>
      </c>
      <c r="AN7">
        <v>0.226657656581982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7"/>
  <sheetViews>
    <sheetView workbookViewId="0">
      <selection sqref="A1:BX7"/>
    </sheetView>
  </sheetViews>
  <sheetFormatPr defaultRowHeight="15" x14ac:dyDescent="0.25"/>
  <sheetData>
    <row r="1" spans="1:76" x14ac:dyDescent="0.25">
      <c r="B1" t="s">
        <v>168</v>
      </c>
      <c r="C1" t="s">
        <v>7</v>
      </c>
      <c r="D1" t="s">
        <v>169</v>
      </c>
      <c r="E1" t="s">
        <v>8</v>
      </c>
      <c r="F1" t="s">
        <v>9</v>
      </c>
      <c r="G1" t="s">
        <v>10</v>
      </c>
      <c r="H1" t="s">
        <v>140</v>
      </c>
      <c r="I1" t="s">
        <v>141</v>
      </c>
      <c r="J1" t="s">
        <v>11</v>
      </c>
      <c r="K1" t="s">
        <v>72</v>
      </c>
      <c r="L1" t="s">
        <v>73</v>
      </c>
      <c r="M1" t="s">
        <v>74</v>
      </c>
      <c r="N1" t="s">
        <v>142</v>
      </c>
      <c r="O1" t="s">
        <v>143</v>
      </c>
      <c r="P1" t="s">
        <v>75</v>
      </c>
      <c r="Q1" t="s">
        <v>12</v>
      </c>
      <c r="R1" t="s">
        <v>13</v>
      </c>
      <c r="S1" t="s">
        <v>14</v>
      </c>
      <c r="T1" t="s">
        <v>144</v>
      </c>
      <c r="U1" t="s">
        <v>145</v>
      </c>
      <c r="V1" t="s">
        <v>15</v>
      </c>
      <c r="W1" t="s">
        <v>16</v>
      </c>
      <c r="X1" t="s">
        <v>17</v>
      </c>
      <c r="Y1" t="s">
        <v>18</v>
      </c>
      <c r="Z1" t="s">
        <v>146</v>
      </c>
      <c r="AA1" t="s">
        <v>147</v>
      </c>
      <c r="AB1" t="s">
        <v>19</v>
      </c>
      <c r="AC1" t="s">
        <v>20</v>
      </c>
      <c r="AD1" t="s">
        <v>21</v>
      </c>
      <c r="AE1" t="s">
        <v>22</v>
      </c>
      <c r="AF1" t="s">
        <v>148</v>
      </c>
      <c r="AG1" t="s">
        <v>149</v>
      </c>
      <c r="AH1" t="s">
        <v>23</v>
      </c>
      <c r="AI1" t="s">
        <v>76</v>
      </c>
      <c r="AJ1" t="s">
        <v>77</v>
      </c>
      <c r="AK1" t="s">
        <v>78</v>
      </c>
      <c r="AL1" t="s">
        <v>150</v>
      </c>
      <c r="AM1" t="s">
        <v>151</v>
      </c>
      <c r="AN1" t="s">
        <v>79</v>
      </c>
      <c r="AO1" t="s">
        <v>24</v>
      </c>
      <c r="AP1" t="s">
        <v>25</v>
      </c>
      <c r="AQ1" t="s">
        <v>26</v>
      </c>
      <c r="AR1" t="s">
        <v>152</v>
      </c>
      <c r="AS1" t="s">
        <v>153</v>
      </c>
      <c r="AT1" t="s">
        <v>27</v>
      </c>
      <c r="AU1" t="s">
        <v>80</v>
      </c>
      <c r="AV1" t="s">
        <v>81</v>
      </c>
      <c r="AW1" t="s">
        <v>82</v>
      </c>
      <c r="AX1" t="s">
        <v>154</v>
      </c>
      <c r="AY1" t="s">
        <v>155</v>
      </c>
      <c r="AZ1" t="s">
        <v>83</v>
      </c>
      <c r="BA1" t="s">
        <v>28</v>
      </c>
      <c r="BB1" t="s">
        <v>29</v>
      </c>
      <c r="BC1" t="s">
        <v>30</v>
      </c>
      <c r="BD1" t="s">
        <v>156</v>
      </c>
      <c r="BE1" t="s">
        <v>157</v>
      </c>
      <c r="BF1" t="s">
        <v>31</v>
      </c>
      <c r="BG1" t="s">
        <v>32</v>
      </c>
      <c r="BH1" t="s">
        <v>33</v>
      </c>
      <c r="BI1" t="s">
        <v>34</v>
      </c>
      <c r="BJ1" t="s">
        <v>158</v>
      </c>
      <c r="BK1" t="s">
        <v>159</v>
      </c>
      <c r="BL1" t="s">
        <v>35</v>
      </c>
      <c r="BM1" t="s">
        <v>36</v>
      </c>
      <c r="BN1" t="s">
        <v>37</v>
      </c>
      <c r="BO1" t="s">
        <v>38</v>
      </c>
      <c r="BP1" t="s">
        <v>160</v>
      </c>
      <c r="BQ1" t="s">
        <v>161</v>
      </c>
      <c r="BR1" t="s">
        <v>39</v>
      </c>
      <c r="BS1" t="s">
        <v>84</v>
      </c>
      <c r="BT1" t="s">
        <v>85</v>
      </c>
      <c r="BU1" t="s">
        <v>86</v>
      </c>
      <c r="BV1" t="s">
        <v>162</v>
      </c>
      <c r="BW1" t="s">
        <v>163</v>
      </c>
      <c r="BX1" t="s">
        <v>87</v>
      </c>
    </row>
    <row r="2" spans="1:76" x14ac:dyDescent="0.25">
      <c r="A2">
        <v>1</v>
      </c>
      <c r="B2">
        <v>1000</v>
      </c>
      <c r="C2">
        <v>200</v>
      </c>
      <c r="D2">
        <v>1</v>
      </c>
      <c r="E2">
        <v>-1.0328761327349301</v>
      </c>
      <c r="F2">
        <v>-5.6031729245144701</v>
      </c>
      <c r="G2">
        <v>-2.5452166655171502</v>
      </c>
      <c r="H2">
        <v>-0.373811832735299</v>
      </c>
      <c r="I2">
        <v>2.1010050690847102</v>
      </c>
      <c r="J2">
        <v>0.19226778686575599</v>
      </c>
      <c r="K2">
        <v>-0.54430544789519797</v>
      </c>
      <c r="L2">
        <v>-0.55362128593220195</v>
      </c>
      <c r="M2">
        <v>-1.4490045662661999</v>
      </c>
      <c r="N2">
        <v>-0.210498080341637</v>
      </c>
      <c r="O2">
        <v>0.67944274317547804</v>
      </c>
      <c r="P2">
        <v>2.2026031942345999E-4</v>
      </c>
      <c r="Q2">
        <v>-0.51171465691790996</v>
      </c>
      <c r="R2">
        <v>-1.8732705709654001</v>
      </c>
      <c r="S2">
        <v>-1.5904952712612599</v>
      </c>
      <c r="T2">
        <v>-5.4808535265593199E-2</v>
      </c>
      <c r="U2">
        <v>1.0391934118284401</v>
      </c>
      <c r="V2">
        <v>0.25458764739287398</v>
      </c>
      <c r="W2">
        <v>-1.00922291512983</v>
      </c>
      <c r="X2">
        <v>-4.5615213113430402</v>
      </c>
      <c r="Y2">
        <v>-2.4375778264124</v>
      </c>
      <c r="Z2">
        <v>-0.239462564387559</v>
      </c>
      <c r="AA2">
        <v>0.80503914104387098</v>
      </c>
      <c r="AB2">
        <v>8.9886319713976107E-2</v>
      </c>
      <c r="AC2">
        <v>-1.6362335328802999</v>
      </c>
      <c r="AD2">
        <v>-8.4561562257514993</v>
      </c>
      <c r="AE2">
        <v>-3.3748625026233099</v>
      </c>
      <c r="AF2">
        <v>-0.42955332191865397</v>
      </c>
      <c r="AG2">
        <v>1.0721473740792899</v>
      </c>
      <c r="AH2">
        <v>4.1093171318735203E-2</v>
      </c>
      <c r="AI2">
        <v>-3.8370056106072798</v>
      </c>
      <c r="AJ2">
        <v>-12.9986700737247</v>
      </c>
      <c r="AK2">
        <v>-5.9565307634834603</v>
      </c>
      <c r="AL2">
        <v>-3.41473802556744</v>
      </c>
      <c r="AM2">
        <v>0.61770958376838803</v>
      </c>
      <c r="AN2">
        <v>-3.9406405979304302</v>
      </c>
      <c r="AO2">
        <v>6.7643591507535401</v>
      </c>
      <c r="AP2">
        <v>8.2382329636254994</v>
      </c>
      <c r="AQ2">
        <v>6.7459637623843101</v>
      </c>
      <c r="AR2">
        <v>7.6010465915905998</v>
      </c>
      <c r="AS2">
        <v>7.97621721594495</v>
      </c>
      <c r="AT2">
        <v>9.0424685397100095</v>
      </c>
      <c r="AU2">
        <v>7.33739972758005</v>
      </c>
      <c r="AV2">
        <v>8.3941363430952602</v>
      </c>
      <c r="AW2">
        <v>7.3066946599505398</v>
      </c>
      <c r="AX2">
        <v>7.0771716058556198</v>
      </c>
      <c r="AY2">
        <v>7.1131064717139196</v>
      </c>
      <c r="AZ2">
        <v>7.14726968059668</v>
      </c>
      <c r="BA2">
        <v>6.5283276670060904</v>
      </c>
      <c r="BB2">
        <v>7.3089497762870401</v>
      </c>
      <c r="BC2">
        <v>6.5381182982447896</v>
      </c>
      <c r="BD2">
        <v>6.4780508746924399</v>
      </c>
      <c r="BE2">
        <v>6.5073762435014597</v>
      </c>
      <c r="BF2">
        <v>6.8291315285235799</v>
      </c>
      <c r="BG2">
        <v>7.3687420728895097</v>
      </c>
      <c r="BH2">
        <v>8.2559197881795505</v>
      </c>
      <c r="BI2">
        <v>7.3383086178796404</v>
      </c>
      <c r="BJ2">
        <v>7.60364517466747</v>
      </c>
      <c r="BK2">
        <v>7.3297696436057498</v>
      </c>
      <c r="BL2">
        <v>8.7862336124251996</v>
      </c>
      <c r="BM2">
        <v>9.2916622228407793</v>
      </c>
      <c r="BN2">
        <v>11.6243733232397</v>
      </c>
      <c r="BO2">
        <v>9.3000413744579902</v>
      </c>
      <c r="BP2">
        <v>10.737376045141099</v>
      </c>
      <c r="BQ2">
        <v>9.81836875696216</v>
      </c>
      <c r="BR2">
        <v>12.8749190254293</v>
      </c>
      <c r="BS2">
        <v>16.307842893488399</v>
      </c>
      <c r="BT2">
        <v>16.829087147192201</v>
      </c>
      <c r="BU2">
        <v>15.1810649409523</v>
      </c>
      <c r="BV2">
        <v>19.141007130783201</v>
      </c>
      <c r="BW2">
        <v>16.462994022872699</v>
      </c>
      <c r="BX2">
        <v>21.809648407243401</v>
      </c>
    </row>
    <row r="3" spans="1:76" x14ac:dyDescent="0.25">
      <c r="A3">
        <v>2</v>
      </c>
      <c r="B3">
        <v>1000</v>
      </c>
      <c r="C3">
        <v>200</v>
      </c>
      <c r="D3">
        <v>2</v>
      </c>
      <c r="E3">
        <v>4.03568470705763</v>
      </c>
      <c r="F3">
        <v>-3.3097828338596398</v>
      </c>
      <c r="G3">
        <v>-1.1470933679856301</v>
      </c>
      <c r="H3">
        <v>6.9498741024970299</v>
      </c>
      <c r="I3">
        <v>8.2771309572315399</v>
      </c>
      <c r="J3">
        <v>9.1488264745619592</v>
      </c>
      <c r="K3">
        <v>-1.6694254380240301</v>
      </c>
      <c r="L3">
        <v>-3.7126391967118102</v>
      </c>
      <c r="M3">
        <v>-0.65562983103761496</v>
      </c>
      <c r="N3">
        <v>-0.433391762073285</v>
      </c>
      <c r="O3">
        <v>0.26501398033587298</v>
      </c>
      <c r="P3">
        <v>0.771974526788334</v>
      </c>
      <c r="Q3">
        <v>-0.44033090804962399</v>
      </c>
      <c r="R3">
        <v>-3.40629348279862</v>
      </c>
      <c r="S3">
        <v>-0.87214784594712602</v>
      </c>
      <c r="T3">
        <v>1.14528324982314</v>
      </c>
      <c r="U3">
        <v>1.73696711932693</v>
      </c>
      <c r="V3">
        <v>2.9140057316635399</v>
      </c>
      <c r="W3">
        <v>1.0968750210837299</v>
      </c>
      <c r="X3">
        <v>-3.8237120878871802</v>
      </c>
      <c r="Y3">
        <v>-1.68139115526698</v>
      </c>
      <c r="Z3">
        <v>3.3067309799968698</v>
      </c>
      <c r="AA3">
        <v>3.4643537248187202</v>
      </c>
      <c r="AB3">
        <v>6.0643122680594503</v>
      </c>
      <c r="AC3">
        <v>4.0223795293452298</v>
      </c>
      <c r="AD3">
        <v>-4.5145779554542704</v>
      </c>
      <c r="AE3">
        <v>-1.96612552979192</v>
      </c>
      <c r="AF3">
        <v>6.9163766214321303</v>
      </c>
      <c r="AG3">
        <v>6.9498148096451597</v>
      </c>
      <c r="AH3">
        <v>10.503704406094601</v>
      </c>
      <c r="AI3">
        <v>7.8911058067846103</v>
      </c>
      <c r="AJ3">
        <v>-5.1325023627810902</v>
      </c>
      <c r="AK3">
        <v>-2.5290272490002401</v>
      </c>
      <c r="AL3">
        <v>10.8084917913081</v>
      </c>
      <c r="AM3">
        <v>11.189069661920101</v>
      </c>
      <c r="AN3">
        <v>12.0326140022004</v>
      </c>
      <c r="AO3">
        <v>7.5579521560201899</v>
      </c>
      <c r="AP3">
        <v>7.9630230577069101</v>
      </c>
      <c r="AQ3">
        <v>6.94478932007239</v>
      </c>
      <c r="AR3">
        <v>10.592123173650901</v>
      </c>
      <c r="AS3">
        <v>11.962735624581899</v>
      </c>
      <c r="AT3">
        <v>14.7437874533498</v>
      </c>
      <c r="AU3">
        <v>7.3706616238647902</v>
      </c>
      <c r="AV3">
        <v>8.9033161846283395</v>
      </c>
      <c r="AW3">
        <v>7.9848705783391596</v>
      </c>
      <c r="AX3">
        <v>7.1035542678085202</v>
      </c>
      <c r="AY3">
        <v>7.0361820812776097</v>
      </c>
      <c r="AZ3">
        <v>9.9286481961300908</v>
      </c>
      <c r="BA3">
        <v>6.5273362533696098</v>
      </c>
      <c r="BB3">
        <v>7.7986282006167498</v>
      </c>
      <c r="BC3">
        <v>7.0613802695826999</v>
      </c>
      <c r="BD3">
        <v>6.8804758412950804</v>
      </c>
      <c r="BE3">
        <v>6.8432501040296998</v>
      </c>
      <c r="BF3">
        <v>11.409449504596999</v>
      </c>
      <c r="BG3">
        <v>6.9228828232980701</v>
      </c>
      <c r="BH3">
        <v>8.1401865608661499</v>
      </c>
      <c r="BI3">
        <v>7.1358045935336003</v>
      </c>
      <c r="BJ3">
        <v>8.2430225909973398</v>
      </c>
      <c r="BK3">
        <v>8.1783976049146396</v>
      </c>
      <c r="BL3">
        <v>14.527175453458099</v>
      </c>
      <c r="BM3">
        <v>9.5092272990281792</v>
      </c>
      <c r="BN3">
        <v>9.9735672492024392</v>
      </c>
      <c r="BO3">
        <v>9.0921510787513693</v>
      </c>
      <c r="BP3">
        <v>12.5161899077056</v>
      </c>
      <c r="BQ3">
        <v>12.489882113551801</v>
      </c>
      <c r="BR3">
        <v>18.972696549622899</v>
      </c>
      <c r="BS3">
        <v>16.619223027336901</v>
      </c>
      <c r="BT3">
        <v>14.8127955541822</v>
      </c>
      <c r="BU3">
        <v>14.8437913410026</v>
      </c>
      <c r="BV3">
        <v>20.068641172160699</v>
      </c>
      <c r="BW3">
        <v>19.507788754039399</v>
      </c>
      <c r="BX3">
        <v>21.7242978334722</v>
      </c>
    </row>
    <row r="4" spans="1:76" x14ac:dyDescent="0.25">
      <c r="A4">
        <v>3</v>
      </c>
      <c r="B4">
        <v>1000</v>
      </c>
      <c r="C4">
        <v>500</v>
      </c>
      <c r="D4">
        <v>1</v>
      </c>
      <c r="E4">
        <v>-0.24019046491514501</v>
      </c>
      <c r="F4">
        <v>-5.5535953656211596</v>
      </c>
      <c r="G4">
        <v>-0.95886447394868002</v>
      </c>
      <c r="H4">
        <v>-0.15663562041824999</v>
      </c>
      <c r="I4">
        <v>1.3675182033388</v>
      </c>
      <c r="J4">
        <v>-8.2933816983754099E-2</v>
      </c>
      <c r="K4">
        <v>-0.15013394464521901</v>
      </c>
      <c r="L4">
        <v>-2.3280974944967401</v>
      </c>
      <c r="M4">
        <v>-0.60275253667636997</v>
      </c>
      <c r="N4">
        <v>-0.108925539821151</v>
      </c>
      <c r="O4">
        <v>0.44940322043199599</v>
      </c>
      <c r="P4">
        <v>-5.7329670651064597E-2</v>
      </c>
      <c r="Q4">
        <v>-5.8979156020775698E-2</v>
      </c>
      <c r="R4">
        <v>-3.0668903990438601</v>
      </c>
      <c r="S4">
        <v>-0.59191560944208299</v>
      </c>
      <c r="T4">
        <v>-1.2519801078696E-2</v>
      </c>
      <c r="U4">
        <v>0.60414080893443201</v>
      </c>
      <c r="V4">
        <v>3.62867383895846E-2</v>
      </c>
      <c r="W4">
        <v>-0.15080836179865301</v>
      </c>
      <c r="X4">
        <v>-4.9219513215690496</v>
      </c>
      <c r="Y4">
        <v>-0.87691215882058804</v>
      </c>
      <c r="Z4">
        <v>-1.4854726135901299E-2</v>
      </c>
      <c r="AA4">
        <v>0.68992851244431797</v>
      </c>
      <c r="AB4">
        <v>2.1845665202434399E-2</v>
      </c>
      <c r="AC4">
        <v>-0.54947911703991503</v>
      </c>
      <c r="AD4">
        <v>-7.6796639497333601</v>
      </c>
      <c r="AE4">
        <v>-1.4429844098517901</v>
      </c>
      <c r="AF4">
        <v>-0.33605315541238001</v>
      </c>
      <c r="AG4">
        <v>0.65319446051167795</v>
      </c>
      <c r="AH4">
        <v>-0.35088637203304501</v>
      </c>
      <c r="AI4">
        <v>-1.16602885456184</v>
      </c>
      <c r="AJ4">
        <v>-10.677072220104799</v>
      </c>
      <c r="AK4">
        <v>-2.1061455599178398</v>
      </c>
      <c r="AL4">
        <v>-1.14180532442025</v>
      </c>
      <c r="AM4">
        <v>1.12188225515115</v>
      </c>
      <c r="AN4">
        <v>-1.8419748047080799</v>
      </c>
      <c r="AO4">
        <v>4.3934671979531696</v>
      </c>
      <c r="AP4">
        <v>6.7868146449602804</v>
      </c>
      <c r="AQ4">
        <v>4.3113927103882999</v>
      </c>
      <c r="AR4">
        <v>4.8080327539083498</v>
      </c>
      <c r="AS4">
        <v>5.1164798112110903</v>
      </c>
      <c r="AT4">
        <v>5.7556480051109</v>
      </c>
      <c r="AU4">
        <v>4.6132884506203196</v>
      </c>
      <c r="AV4">
        <v>5.4576570534142999</v>
      </c>
      <c r="AW4">
        <v>4.6175388589624298</v>
      </c>
      <c r="AX4">
        <v>4.5553730704000701</v>
      </c>
      <c r="AY4">
        <v>4.5822798912405496</v>
      </c>
      <c r="AZ4">
        <v>4.6241204439277404</v>
      </c>
      <c r="BA4">
        <v>4.2960080610063001</v>
      </c>
      <c r="BB4">
        <v>5.4615752581454204</v>
      </c>
      <c r="BC4">
        <v>4.2621798609182902</v>
      </c>
      <c r="BD4">
        <v>4.1658365949704601</v>
      </c>
      <c r="BE4">
        <v>4.28930257674154</v>
      </c>
      <c r="BF4">
        <v>4.3390739620228498</v>
      </c>
      <c r="BG4">
        <v>4.5645392683423696</v>
      </c>
      <c r="BH4">
        <v>6.60171509935281</v>
      </c>
      <c r="BI4">
        <v>4.5188889664410201</v>
      </c>
      <c r="BJ4">
        <v>4.71908734986543</v>
      </c>
      <c r="BK4">
        <v>4.6757964331109596</v>
      </c>
      <c r="BL4">
        <v>5.0117377499000204</v>
      </c>
      <c r="BM4">
        <v>6.12277258823572</v>
      </c>
      <c r="BN4">
        <v>9.3308252349951903</v>
      </c>
      <c r="BO4">
        <v>6.0099093655003797</v>
      </c>
      <c r="BP4">
        <v>6.5682369458319503</v>
      </c>
      <c r="BQ4">
        <v>6.2910083047486998</v>
      </c>
      <c r="BR4">
        <v>7.7783150877356801</v>
      </c>
      <c r="BS4">
        <v>9.6468526125119904</v>
      </c>
      <c r="BT4">
        <v>12.948822073415799</v>
      </c>
      <c r="BU4">
        <v>9.2964526295712204</v>
      </c>
      <c r="BV4">
        <v>11.0068869599599</v>
      </c>
      <c r="BW4">
        <v>9.6453019132412496</v>
      </c>
      <c r="BX4">
        <v>15.0358069591011</v>
      </c>
    </row>
    <row r="5" spans="1:76" x14ac:dyDescent="0.25">
      <c r="A5">
        <v>4</v>
      </c>
      <c r="B5">
        <v>1000</v>
      </c>
      <c r="C5">
        <v>500</v>
      </c>
      <c r="D5">
        <v>2</v>
      </c>
      <c r="E5">
        <v>5.1055816146108599</v>
      </c>
      <c r="F5">
        <v>-0.77599253498772203</v>
      </c>
      <c r="G5">
        <v>0.39321259690055399</v>
      </c>
      <c r="H5">
        <v>7.92258300092145</v>
      </c>
      <c r="I5">
        <v>9.0304088838832204</v>
      </c>
      <c r="J5">
        <v>10.605288075578301</v>
      </c>
      <c r="K5">
        <v>-1.67117748369357</v>
      </c>
      <c r="L5">
        <v>-3.9734804276729898</v>
      </c>
      <c r="M5">
        <v>-0.91669330267057303</v>
      </c>
      <c r="N5">
        <v>-0.193878837330999</v>
      </c>
      <c r="O5">
        <v>0.37293513164441799</v>
      </c>
      <c r="P5">
        <v>0.908834693527247</v>
      </c>
      <c r="Q5">
        <v>-0.423423734298851</v>
      </c>
      <c r="R5">
        <v>-3.2158267071019102</v>
      </c>
      <c r="S5">
        <v>-0.86336353422674295</v>
      </c>
      <c r="T5">
        <v>1.2645441849683701</v>
      </c>
      <c r="U5">
        <v>1.88059202242521</v>
      </c>
      <c r="V5">
        <v>3.07718274110655</v>
      </c>
      <c r="W5">
        <v>1.7032120119839</v>
      </c>
      <c r="X5">
        <v>-2.54218784635753</v>
      </c>
      <c r="Y5">
        <v>-0.57884184135524197</v>
      </c>
      <c r="Z5">
        <v>3.9087551881932598</v>
      </c>
      <c r="AA5">
        <v>4.3375254578629603</v>
      </c>
      <c r="AB5">
        <v>7.3224633805320796</v>
      </c>
      <c r="AC5">
        <v>4.9832341838569603</v>
      </c>
      <c r="AD5">
        <v>-1.6393222110065699</v>
      </c>
      <c r="AE5">
        <v>-0.23232382798801901</v>
      </c>
      <c r="AF5">
        <v>7.6352733367257501</v>
      </c>
      <c r="AG5">
        <v>8.0933614332411494</v>
      </c>
      <c r="AH5">
        <v>12.7864899004053</v>
      </c>
      <c r="AI5">
        <v>10.1378170593209</v>
      </c>
      <c r="AJ5">
        <v>0.407637353808667</v>
      </c>
      <c r="AK5">
        <v>0.87518690240887798</v>
      </c>
      <c r="AL5">
        <v>13.040230967844</v>
      </c>
      <c r="AM5">
        <v>13.604823950702</v>
      </c>
      <c r="AN5">
        <v>16.7859372015409</v>
      </c>
      <c r="AO5">
        <v>6.6205635642494496</v>
      </c>
      <c r="AP5">
        <v>4.79373058450361</v>
      </c>
      <c r="AQ5">
        <v>5.0657473026073898</v>
      </c>
      <c r="AR5">
        <v>9.5619083938045595</v>
      </c>
      <c r="AS5">
        <v>10.744614409494901</v>
      </c>
      <c r="AT5">
        <v>14.143382883559401</v>
      </c>
      <c r="AU5">
        <v>4.9064536911793697</v>
      </c>
      <c r="AV5">
        <v>6.2424035512633802</v>
      </c>
      <c r="AW5">
        <v>5.5356375449715101</v>
      </c>
      <c r="AX5">
        <v>4.46680671279056</v>
      </c>
      <c r="AY5">
        <v>4.5100238855886996</v>
      </c>
      <c r="AZ5">
        <v>5.1679294231010902</v>
      </c>
      <c r="BA5">
        <v>4.2223147320506502</v>
      </c>
      <c r="BB5">
        <v>5.4889569899849002</v>
      </c>
      <c r="BC5">
        <v>4.7821354989519698</v>
      </c>
      <c r="BD5">
        <v>4.3720394421913999</v>
      </c>
      <c r="BE5">
        <v>4.6452977223492598</v>
      </c>
      <c r="BF5">
        <v>7.3866240908960199</v>
      </c>
      <c r="BG5">
        <v>4.7054865875193599</v>
      </c>
      <c r="BH5">
        <v>5.2968615513840502</v>
      </c>
      <c r="BI5">
        <v>4.86862968055389</v>
      </c>
      <c r="BJ5">
        <v>6.2060477614203098</v>
      </c>
      <c r="BK5">
        <v>6.5217364695070099</v>
      </c>
      <c r="BL5">
        <v>13.580694260632299</v>
      </c>
      <c r="BM5">
        <v>7.4716152694</v>
      </c>
      <c r="BN5">
        <v>6.0208374090888599</v>
      </c>
      <c r="BO5">
        <v>6.0507425881981103</v>
      </c>
      <c r="BP5">
        <v>10.1571304996896</v>
      </c>
      <c r="BQ5">
        <v>10.545569759727501</v>
      </c>
      <c r="BR5">
        <v>19.958982973295399</v>
      </c>
      <c r="BS5">
        <v>13.8919288234114</v>
      </c>
      <c r="BT5">
        <v>9.22922689278254</v>
      </c>
      <c r="BU5">
        <v>9.4211448845048604</v>
      </c>
      <c r="BV5">
        <v>17.2150836422298</v>
      </c>
      <c r="BW5">
        <v>17.773463371718201</v>
      </c>
      <c r="BX5">
        <v>23.6368944250253</v>
      </c>
    </row>
    <row r="6" spans="1:76" x14ac:dyDescent="0.25">
      <c r="A6">
        <v>5</v>
      </c>
      <c r="B6">
        <v>1000</v>
      </c>
      <c r="C6">
        <v>1000</v>
      </c>
      <c r="D6">
        <v>1</v>
      </c>
      <c r="E6">
        <v>-0.28508290649789098</v>
      </c>
      <c r="F6">
        <v>-4.5477883475843601</v>
      </c>
      <c r="G6">
        <v>-0.64086675608199095</v>
      </c>
      <c r="H6">
        <v>-0.157149473767554</v>
      </c>
      <c r="I6">
        <v>0.76687692741570102</v>
      </c>
      <c r="J6">
        <v>-8.1691120178291499E-2</v>
      </c>
      <c r="K6">
        <v>1.5357506952383901E-2</v>
      </c>
      <c r="L6">
        <v>-2.2322442525788402</v>
      </c>
      <c r="M6">
        <v>-0.20396181094371699</v>
      </c>
      <c r="N6">
        <v>8.2955740243193105E-2</v>
      </c>
      <c r="O6">
        <v>0.40930302456470002</v>
      </c>
      <c r="P6">
        <v>0.139473417509201</v>
      </c>
      <c r="Q6">
        <v>-2.94059993358857E-2</v>
      </c>
      <c r="R6">
        <v>-2.8217017901378401</v>
      </c>
      <c r="S6">
        <v>-0.29939711640132999</v>
      </c>
      <c r="T6">
        <v>6.4336458109615094E-2</v>
      </c>
      <c r="U6">
        <v>0.43273461836411498</v>
      </c>
      <c r="V6">
        <v>0.10422482396906201</v>
      </c>
      <c r="W6">
        <v>-0.203598745852659</v>
      </c>
      <c r="X6">
        <v>-4.2655733507226303</v>
      </c>
      <c r="Y6">
        <v>-0.56275856281579495</v>
      </c>
      <c r="Z6">
        <v>-4.6187448678402597E-2</v>
      </c>
      <c r="AA6">
        <v>0.37590015146447803</v>
      </c>
      <c r="AB6">
        <v>-3.5616110484752998E-3</v>
      </c>
      <c r="AC6">
        <v>-0.448557394983915</v>
      </c>
      <c r="AD6">
        <v>-6.0980942285937303</v>
      </c>
      <c r="AE6">
        <v>-0.91738649519419402</v>
      </c>
      <c r="AF6">
        <v>-0.239837655708179</v>
      </c>
      <c r="AG6">
        <v>0.37174141776464598</v>
      </c>
      <c r="AH6">
        <v>-0.19412045819696999</v>
      </c>
      <c r="AI6">
        <v>-0.73821630331586596</v>
      </c>
      <c r="AJ6">
        <v>-7.9802734481130102</v>
      </c>
      <c r="AK6">
        <v>-1.2433254250260899</v>
      </c>
      <c r="AL6">
        <v>-0.61023729768036405</v>
      </c>
      <c r="AM6">
        <v>0.57480200707784901</v>
      </c>
      <c r="AN6">
        <v>-0.68422586517566897</v>
      </c>
      <c r="AO6">
        <v>3.1670820747542798</v>
      </c>
      <c r="AP6">
        <v>5.3852613021132898</v>
      </c>
      <c r="AQ6">
        <v>3.1359986699412699</v>
      </c>
      <c r="AR6">
        <v>3.4154586085281502</v>
      </c>
      <c r="AS6">
        <v>3.6833439464422999</v>
      </c>
      <c r="AT6">
        <v>3.8748227173886001</v>
      </c>
      <c r="AU6">
        <v>3.32547808567042</v>
      </c>
      <c r="AV6">
        <v>4.2203087649239404</v>
      </c>
      <c r="AW6">
        <v>3.32943443058039</v>
      </c>
      <c r="AX6">
        <v>3.1735157481326</v>
      </c>
      <c r="AY6">
        <v>3.2412321073504802</v>
      </c>
      <c r="AZ6">
        <v>3.2247538916327501</v>
      </c>
      <c r="BA6">
        <v>2.9246658894183901</v>
      </c>
      <c r="BB6">
        <v>4.136121102942</v>
      </c>
      <c r="BC6">
        <v>2.92932125863542</v>
      </c>
      <c r="BD6">
        <v>2.8618408726968401</v>
      </c>
      <c r="BE6">
        <v>2.9253915680040499</v>
      </c>
      <c r="BF6">
        <v>2.9572052624989702</v>
      </c>
      <c r="BG6">
        <v>3.2827372319037802</v>
      </c>
      <c r="BH6">
        <v>5.3273124508616698</v>
      </c>
      <c r="BI6">
        <v>3.2687619499583902</v>
      </c>
      <c r="BJ6">
        <v>3.3039778819174401</v>
      </c>
      <c r="BK6">
        <v>3.3524136936475202</v>
      </c>
      <c r="BL6">
        <v>3.46621577379122</v>
      </c>
      <c r="BM6">
        <v>4.3507967500765901</v>
      </c>
      <c r="BN6">
        <v>7.25458071377673</v>
      </c>
      <c r="BO6">
        <v>4.2849197811914204</v>
      </c>
      <c r="BP6">
        <v>4.51786355116759</v>
      </c>
      <c r="BQ6">
        <v>4.51837100585636</v>
      </c>
      <c r="BR6">
        <v>4.7883211438401796</v>
      </c>
      <c r="BS6">
        <v>6.6720534593185503</v>
      </c>
      <c r="BT6">
        <v>9.8043481933667707</v>
      </c>
      <c r="BU6">
        <v>6.4315068012505696</v>
      </c>
      <c r="BV6">
        <v>7.2309728624093701</v>
      </c>
      <c r="BW6">
        <v>6.8187067980321903</v>
      </c>
      <c r="BX6">
        <v>8.1979288816321905</v>
      </c>
    </row>
    <row r="7" spans="1:76" x14ac:dyDescent="0.25">
      <c r="A7">
        <v>6</v>
      </c>
      <c r="B7">
        <v>1000</v>
      </c>
      <c r="C7">
        <v>1000</v>
      </c>
      <c r="D7">
        <v>2</v>
      </c>
      <c r="E7">
        <v>5.3395811060897502</v>
      </c>
      <c r="F7">
        <v>1.0218272235499399</v>
      </c>
      <c r="G7">
        <v>1.38395158658228</v>
      </c>
      <c r="H7">
        <v>8.2271853002036401</v>
      </c>
      <c r="I7">
        <v>9.4610584659767607</v>
      </c>
      <c r="J7">
        <v>11.1597382525299</v>
      </c>
      <c r="K7">
        <v>-1.71207905456523</v>
      </c>
      <c r="L7">
        <v>-3.432480952558</v>
      </c>
      <c r="M7">
        <v>-0.82368447768448805</v>
      </c>
      <c r="N7">
        <v>-4.7927442946864601E-2</v>
      </c>
      <c r="O7">
        <v>0.54517767199420297</v>
      </c>
      <c r="P7">
        <v>1.1501979662895501</v>
      </c>
      <c r="Q7">
        <v>-0.44842746712445303</v>
      </c>
      <c r="R7">
        <v>-2.5493871168163298</v>
      </c>
      <c r="S7">
        <v>-0.61123253838827896</v>
      </c>
      <c r="T7">
        <v>1.3791993095320201</v>
      </c>
      <c r="U7">
        <v>2.0101340154752498</v>
      </c>
      <c r="V7">
        <v>3.3008059306455602</v>
      </c>
      <c r="W7">
        <v>1.7096184180484599</v>
      </c>
      <c r="X7">
        <v>-1.44427100365025</v>
      </c>
      <c r="Y7">
        <v>-0.245637896605849</v>
      </c>
      <c r="Z7">
        <v>3.9442857507815998</v>
      </c>
      <c r="AA7">
        <v>4.6361041654449702</v>
      </c>
      <c r="AB7">
        <v>7.5958988224193904</v>
      </c>
      <c r="AC7">
        <v>5.33974579050592</v>
      </c>
      <c r="AD7">
        <v>0.34471666827843001</v>
      </c>
      <c r="AE7">
        <v>0.73234669022618004</v>
      </c>
      <c r="AF7">
        <v>8.0680572000894593</v>
      </c>
      <c r="AG7">
        <v>8.9377958548723306</v>
      </c>
      <c r="AH7">
        <v>13.581215164731001</v>
      </c>
      <c r="AI7">
        <v>10.9619339993118</v>
      </c>
      <c r="AJ7">
        <v>3.67929386794223</v>
      </c>
      <c r="AK7">
        <v>2.5465749239766602</v>
      </c>
      <c r="AL7">
        <v>13.736531287904301</v>
      </c>
      <c r="AM7">
        <v>15.168493061149301</v>
      </c>
      <c r="AN7">
        <v>18.9072371213176</v>
      </c>
      <c r="AO7">
        <v>6.1240592538261103</v>
      </c>
      <c r="AP7">
        <v>3.5426179319164999</v>
      </c>
      <c r="AQ7">
        <v>4.1000902631927199</v>
      </c>
      <c r="AR7">
        <v>9.0199593536477494</v>
      </c>
      <c r="AS7">
        <v>10.373166190465099</v>
      </c>
      <c r="AT7">
        <v>13.9303492345003</v>
      </c>
      <c r="AU7">
        <v>3.7464115930886499</v>
      </c>
      <c r="AV7">
        <v>4.9491269063841203</v>
      </c>
      <c r="AW7">
        <v>4.23448050234283</v>
      </c>
      <c r="AX7">
        <v>3.1774174170177898</v>
      </c>
      <c r="AY7">
        <v>3.2608391836008201</v>
      </c>
      <c r="AZ7">
        <v>4.2080420532210701</v>
      </c>
      <c r="BA7">
        <v>2.89044576015253</v>
      </c>
      <c r="BB7">
        <v>3.9683649398315901</v>
      </c>
      <c r="BC7">
        <v>3.3210529745650001</v>
      </c>
      <c r="BD7">
        <v>3.1322264192423899</v>
      </c>
      <c r="BE7">
        <v>3.5424044244916399</v>
      </c>
      <c r="BF7">
        <v>7.3574804950069304</v>
      </c>
      <c r="BG7">
        <v>3.4711750201084</v>
      </c>
      <c r="BH7">
        <v>3.57182393456775</v>
      </c>
      <c r="BI7">
        <v>3.4161290375998301</v>
      </c>
      <c r="BJ7">
        <v>5.0533495267091304</v>
      </c>
      <c r="BK7">
        <v>5.74365450457422</v>
      </c>
      <c r="BL7">
        <v>12.8070842774844</v>
      </c>
      <c r="BM7">
        <v>6.5745992177518504</v>
      </c>
      <c r="BN7">
        <v>4.1556401172822497</v>
      </c>
      <c r="BO7">
        <v>4.7302520824675698</v>
      </c>
      <c r="BP7">
        <v>9.2503773221862602</v>
      </c>
      <c r="BQ7">
        <v>10.1897607058498</v>
      </c>
      <c r="BR7">
        <v>18.849839528013099</v>
      </c>
      <c r="BS7">
        <v>13.2352112746747</v>
      </c>
      <c r="BT7">
        <v>7.4825933995082696</v>
      </c>
      <c r="BU7">
        <v>7.6563509922021602</v>
      </c>
      <c r="BV7">
        <v>15.7286082821851</v>
      </c>
      <c r="BW7">
        <v>17.516498413956299</v>
      </c>
      <c r="BX7">
        <v>24.064675517307499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20"/>
  <sheetViews>
    <sheetView zoomScaleNormal="100" workbookViewId="0">
      <selection activeCell="R12" sqref="R12:R17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5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5.140625" style="1" bestFit="1" customWidth="1"/>
    <col min="9" max="9" width="2.85546875" style="1" customWidth="1"/>
    <col min="10" max="10" width="5.85546875" style="1" bestFit="1" customWidth="1"/>
    <col min="11" max="11" width="6.140625" style="1" bestFit="1" customWidth="1"/>
    <col min="12" max="12" width="7.5703125" style="1" bestFit="1" customWidth="1"/>
    <col min="13" max="13" width="8" style="1" bestFit="1" customWidth="1"/>
    <col min="14" max="14" width="7.7109375" style="1" bestFit="1" customWidth="1"/>
    <col min="15" max="15" width="5.140625" style="1" bestFit="1" customWidth="1"/>
    <col min="16" max="18" width="9.28515625" style="1"/>
    <col min="19" max="19" width="6" style="1" bestFit="1" customWidth="1"/>
    <col min="20" max="20" width="7.5703125" style="1" bestFit="1" customWidth="1"/>
    <col min="21" max="21" width="7" style="1" bestFit="1" customWidth="1"/>
    <col min="22" max="22" width="8.5703125" style="1" bestFit="1" customWidth="1"/>
    <col min="23" max="23" width="7" style="1" bestFit="1" customWidth="1"/>
    <col min="24" max="24" width="8.5703125" style="1" bestFit="1" customWidth="1"/>
    <col min="25" max="25" width="2.85546875" style="1" customWidth="1"/>
    <col min="26" max="26" width="6" style="1" bestFit="1" customWidth="1"/>
    <col min="27" max="27" width="7.5703125" style="1" bestFit="1" customWidth="1"/>
    <col min="28" max="28" width="7" style="1" bestFit="1" customWidth="1"/>
    <col min="29" max="29" width="8.5703125" style="1" bestFit="1" customWidth="1"/>
    <col min="30" max="30" width="7" style="1" bestFit="1" customWidth="1"/>
    <col min="31" max="31" width="8.5703125" style="1" bestFit="1" customWidth="1"/>
    <col min="32" max="16384" width="9.28515625" style="1"/>
  </cols>
  <sheetData>
    <row r="1" spans="1:31" x14ac:dyDescent="0.25">
      <c r="C1" s="16" t="s">
        <v>61</v>
      </c>
      <c r="D1" s="16"/>
      <c r="E1" s="16"/>
      <c r="F1" s="16"/>
      <c r="G1" s="16"/>
      <c r="H1" s="9"/>
      <c r="J1" s="16" t="s">
        <v>71</v>
      </c>
      <c r="K1" s="16"/>
      <c r="L1" s="16"/>
      <c r="M1" s="16"/>
      <c r="N1" s="16"/>
      <c r="O1" s="9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25">
      <c r="C2" s="8" t="s">
        <v>0</v>
      </c>
      <c r="D2" s="8" t="s">
        <v>1</v>
      </c>
      <c r="E2" s="9" t="s">
        <v>90</v>
      </c>
      <c r="F2" s="8" t="s">
        <v>49</v>
      </c>
      <c r="G2" s="8" t="s">
        <v>48</v>
      </c>
      <c r="H2" s="9" t="s">
        <v>91</v>
      </c>
      <c r="J2" s="8" t="s">
        <v>0</v>
      </c>
      <c r="K2" s="8" t="s">
        <v>1</v>
      </c>
      <c r="L2" s="9" t="s">
        <v>90</v>
      </c>
      <c r="M2" s="8" t="s">
        <v>49</v>
      </c>
      <c r="N2" s="8" t="s">
        <v>48</v>
      </c>
      <c r="O2" s="9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25">
      <c r="B3" s="1" t="s">
        <v>6</v>
      </c>
      <c r="C3" s="8">
        <v>200</v>
      </c>
      <c r="D3" s="8">
        <v>200</v>
      </c>
      <c r="E3" s="9">
        <v>200</v>
      </c>
      <c r="F3" s="9">
        <v>200</v>
      </c>
      <c r="G3" s="9">
        <v>200</v>
      </c>
      <c r="H3" s="9">
        <v>200</v>
      </c>
      <c r="J3" s="8">
        <v>200</v>
      </c>
      <c r="K3" s="8">
        <v>200</v>
      </c>
      <c r="L3" s="11">
        <v>200</v>
      </c>
      <c r="M3" s="8">
        <v>200</v>
      </c>
      <c r="N3" s="8">
        <v>200</v>
      </c>
      <c r="O3" s="9">
        <v>200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25">
      <c r="C4" s="8"/>
      <c r="D4" s="8"/>
      <c r="E4" s="9"/>
      <c r="F4" s="8"/>
      <c r="G4" s="8"/>
      <c r="H4" s="9"/>
      <c r="J4" s="8"/>
      <c r="K4" s="8"/>
      <c r="L4" s="9"/>
      <c r="M4" s="8"/>
      <c r="N4" s="8"/>
      <c r="O4" s="9"/>
    </row>
    <row r="5" spans="1:31" x14ac:dyDescent="0.25">
      <c r="A5" s="2" t="s">
        <v>58</v>
      </c>
      <c r="B5" s="1" t="s">
        <v>3</v>
      </c>
      <c r="C5" s="12">
        <f>'Table-n=200-corr'!C5</f>
        <v>-1.0328761327349301</v>
      </c>
      <c r="D5" s="12">
        <f>'Table-n=200-corr'!D5</f>
        <v>6.7643591507535401</v>
      </c>
      <c r="E5" s="12">
        <f>'Table-n=200-corr'!E5</f>
        <v>0.71921605120890009</v>
      </c>
      <c r="F5" s="12">
        <f>'Table-n=200-corr'!F5</f>
        <v>0.94299999999999995</v>
      </c>
      <c r="G5" s="12">
        <f>'Table-n=200-corr'!G5</f>
        <v>26.665233691672107</v>
      </c>
      <c r="H5" s="12">
        <f>'Table-n=200-corr'!I5</f>
        <v>1.874768697670562</v>
      </c>
      <c r="I5" s="12"/>
      <c r="J5" s="12">
        <f>'Table-n=200-miss'!C5</f>
        <v>4.03568470705763</v>
      </c>
      <c r="K5" s="12">
        <f>'Table-n=200-miss'!D5</f>
        <v>7.5579521560201899</v>
      </c>
      <c r="L5" s="12">
        <f>'Table-n=200-miss'!E5</f>
        <v>0.39916023241258364</v>
      </c>
      <c r="M5" s="12">
        <f>'Table-n=200-miss'!F5</f>
        <v>0.97199999999999998</v>
      </c>
      <c r="N5" s="12">
        <f>'Table-n=200-miss'!G5</f>
        <v>32.080601310590474</v>
      </c>
      <c r="O5" s="12">
        <f>'Table-n=200-miss'!I5</f>
        <v>1.3478273318580596</v>
      </c>
      <c r="P5" s="5"/>
      <c r="Q5" s="5"/>
      <c r="R5" s="1" t="s">
        <v>3</v>
      </c>
      <c r="S5" s="15">
        <f>100*'Table-n=200-corr'!K5</f>
        <v>237.312408280357</v>
      </c>
      <c r="T5" s="15">
        <f>100*'Table-n=200-corr'!L5</f>
        <v>39.858740781752502</v>
      </c>
      <c r="U5" s="15">
        <f>100*'Table-n=200-corr'!M5</f>
        <v>133.605904197396</v>
      </c>
      <c r="V5" s="15">
        <f>100*'Table-n=200-corr'!N5</f>
        <v>9.2586686878704008</v>
      </c>
      <c r="W5" s="15">
        <f>100*'Table-n=200-corr'!O5</f>
        <v>148.36776314885401</v>
      </c>
      <c r="X5" s="15">
        <f>100*'Table-n=200-corr'!P5</f>
        <v>17.1057759461501</v>
      </c>
      <c r="Y5" s="12"/>
      <c r="Z5" s="15">
        <f>100*'Table-n=200-miss'!K5</f>
        <v>246.592185744651</v>
      </c>
      <c r="AA5" s="15">
        <f>100*'Table-n=200-miss'!L5</f>
        <v>49.965620686805899</v>
      </c>
      <c r="AB5" s="15">
        <f>100*'Table-n=200-miss'!M5</f>
        <v>144.51259986205801</v>
      </c>
      <c r="AC5" s="15">
        <f>100*'Table-n=200-miss'!N5</f>
        <v>12.969232544469101</v>
      </c>
      <c r="AD5" s="15">
        <f>100*'Table-n=200-miss'!O5</f>
        <v>143.21235293058299</v>
      </c>
      <c r="AE5" s="15">
        <f>100*'Table-n=200-miss'!P5</f>
        <v>17.637343351702601</v>
      </c>
    </row>
    <row r="6" spans="1:31" x14ac:dyDescent="0.25">
      <c r="B6" s="1" t="s">
        <v>5</v>
      </c>
      <c r="C6" s="12">
        <f>'Table-n=200-corr'!C6</f>
        <v>-5.6031729245144701</v>
      </c>
      <c r="D6" s="12">
        <f>'Table-n=200-corr'!D6</f>
        <v>8.2382329636254994</v>
      </c>
      <c r="E6" s="12">
        <f>'Table-n=200-corr'!E6</f>
        <v>1.0667783486961011</v>
      </c>
      <c r="F6" s="12">
        <f>'Table-n=200-corr'!F6</f>
        <v>0.89690721649484495</v>
      </c>
      <c r="G6" s="12">
        <f>'Table-n=200-corr'!G6</f>
        <v>26.582468037248564</v>
      </c>
      <c r="H6" s="12">
        <f>'Table-n=200-corr'!I6</f>
        <v>1.8864612174658788</v>
      </c>
      <c r="I6" s="12"/>
      <c r="J6" s="12">
        <f>'Table-n=200-miss'!C6</f>
        <v>-3.3097828338596398</v>
      </c>
      <c r="K6" s="12">
        <f>'Table-n=200-miss'!D6</f>
        <v>7.9630230577069101</v>
      </c>
      <c r="L6" s="12">
        <f>'Table-n=200-miss'!E6</f>
        <v>0.44309304847589487</v>
      </c>
      <c r="M6" s="12">
        <f>'Table-n=200-miss'!F6</f>
        <v>0.93186372745490997</v>
      </c>
      <c r="N6" s="12">
        <f>'Table-n=200-miss'!G6</f>
        <v>30.248710942955896</v>
      </c>
      <c r="O6" s="12">
        <f>'Table-n=200-miss'!I6</f>
        <v>1.516022040652041</v>
      </c>
      <c r="P6" s="5"/>
      <c r="Q6" s="5"/>
      <c r="R6" s="1" t="s">
        <v>5</v>
      </c>
      <c r="S6" s="15">
        <f>100*'Table-n=200-corr'!K6</f>
        <v>181.580680896167</v>
      </c>
      <c r="T6" s="15">
        <f>100*'Table-n=200-corr'!L6</f>
        <v>17.150122149799397</v>
      </c>
      <c r="U6" s="15">
        <f>100*'Table-n=200-corr'!M6</f>
        <v>129.538873804297</v>
      </c>
      <c r="V6" s="15">
        <f>100*'Table-n=200-corr'!N6</f>
        <v>7.9266814345205496</v>
      </c>
      <c r="W6" s="15">
        <f>100*'Table-n=200-corr'!O6</f>
        <v>79.819971422378202</v>
      </c>
      <c r="X6" s="15">
        <f>100*'Table-n=200-corr'!P6</f>
        <v>3.4758695387334697</v>
      </c>
      <c r="Y6" s="12"/>
      <c r="Z6" s="15">
        <f>100*'Table-n=200-miss'!K6</f>
        <v>196.36698942457102</v>
      </c>
      <c r="AA6" s="15">
        <f>100*'Table-n=200-miss'!L6</f>
        <v>26.594493894613102</v>
      </c>
      <c r="AB6" s="15">
        <f>100*'Table-n=200-miss'!M6</f>
        <v>139.182580413414</v>
      </c>
      <c r="AC6" s="15">
        <f>100*'Table-n=200-miss'!N6</f>
        <v>11.388011650624399</v>
      </c>
      <c r="AD6" s="15">
        <f>100*'Table-n=200-miss'!O6</f>
        <v>94.6411410414497</v>
      </c>
      <c r="AE6" s="15">
        <f>100*'Table-n=200-miss'!P6</f>
        <v>5.9919290693518699</v>
      </c>
    </row>
    <row r="7" spans="1:31" x14ac:dyDescent="0.25">
      <c r="B7" s="1" t="s">
        <v>4</v>
      </c>
      <c r="C7" s="12">
        <f>'Table-n=200-corr'!C7</f>
        <v>-2.5452166655171502</v>
      </c>
      <c r="D7" s="12">
        <f>'Table-n=200-corr'!D7</f>
        <v>6.7459637623843101</v>
      </c>
      <c r="E7" s="12">
        <f>'Table-n=200-corr'!E7</f>
        <v>0.71530961492282119</v>
      </c>
      <c r="F7" s="12">
        <f>'Table-n=200-corr'!F7</f>
        <v>0.92800000000000005</v>
      </c>
      <c r="G7" s="12">
        <f>'Table-n=200-corr'!G7</f>
        <v>25.15271128321033</v>
      </c>
      <c r="H7" s="12">
        <f>'Table-n=200-corr'!I7</f>
        <v>2.107021030649761</v>
      </c>
      <c r="I7" s="12"/>
      <c r="J7" s="12">
        <f>'Table-n=200-miss'!C7</f>
        <v>-1.1470933679856301</v>
      </c>
      <c r="K7" s="12">
        <f>'Table-n=200-miss'!D7</f>
        <v>6.94478932007239</v>
      </c>
      <c r="L7" s="12">
        <f>'Table-n=200-miss'!E7</f>
        <v>0.33702113801632649</v>
      </c>
      <c r="M7" s="12">
        <f>'Table-n=200-miss'!F7</f>
        <v>0.97613882863340595</v>
      </c>
      <c r="N7" s="12">
        <f>'Table-n=200-miss'!G7</f>
        <v>37.207356026331304</v>
      </c>
      <c r="O7" s="12">
        <f>'Table-n=200-miss'!I7</f>
        <v>1.0019859667059141</v>
      </c>
      <c r="P7" s="5"/>
      <c r="Q7" s="5"/>
      <c r="R7" s="1" t="s">
        <v>4</v>
      </c>
      <c r="S7" s="15">
        <f>100*'Table-n=200-corr'!K7</f>
        <v>224.94076897957501</v>
      </c>
      <c r="T7" s="15">
        <f>100*'Table-n=200-corr'!L7</f>
        <v>34.985949061241399</v>
      </c>
      <c r="U7" s="15">
        <f>100*'Table-n=200-corr'!M7</f>
        <v>127.026265381382</v>
      </c>
      <c r="V7" s="15">
        <f>100*'Table-n=200-corr'!N7</f>
        <v>8.504961994795659</v>
      </c>
      <c r="W7" s="15">
        <f>100*'Table-n=200-corr'!O7</f>
        <v>137.103976801632</v>
      </c>
      <c r="X7" s="15">
        <f>100*'Table-n=200-corr'!P7</f>
        <v>14.176062437732101</v>
      </c>
      <c r="Y7" s="12"/>
      <c r="Z7" s="15">
        <f>100*'Table-n=200-miss'!K7</f>
        <v>325.030309584436</v>
      </c>
      <c r="AA7" s="15">
        <f>100*'Table-n=200-miss'!L7</f>
        <v>85.100686365447302</v>
      </c>
      <c r="AB7" s="15">
        <f>100*'Table-n=200-miss'!M7</f>
        <v>182.740275971969</v>
      </c>
      <c r="AC7" s="15">
        <f>100*'Table-n=200-miss'!N7</f>
        <v>20.5725710710398</v>
      </c>
      <c r="AD7" s="15">
        <f>100*'Table-n=200-miss'!O7</f>
        <v>164.52197766686501</v>
      </c>
      <c r="AE7" s="15">
        <f>100*'Table-n=200-miss'!P7</f>
        <v>28.068114122966996</v>
      </c>
    </row>
    <row r="8" spans="1:31" x14ac:dyDescent="0.25">
      <c r="B8" s="1" t="s">
        <v>88</v>
      </c>
      <c r="C8" s="12">
        <f>'Table-n=200-corr'!C8</f>
        <v>-0.373811832735299</v>
      </c>
      <c r="D8" s="12">
        <f>'Table-n=200-corr'!D8</f>
        <v>7.6010465915905998</v>
      </c>
      <c r="E8" s="12">
        <f>'Table-n=200-corr'!E8</f>
        <v>0.9081400814968037</v>
      </c>
      <c r="F8" s="12">
        <f>'Table-n=200-corr'!F8</f>
        <v>0.90200000000000002</v>
      </c>
      <c r="G8" s="12">
        <f>'Table-n=200-corr'!G8</f>
        <v>25.79347928315461</v>
      </c>
      <c r="H8" s="12">
        <f>'Table-n=200-corr'!I8</f>
        <v>2.0036350753845236</v>
      </c>
      <c r="I8" s="12"/>
      <c r="J8" s="12">
        <f>'Table-n=200-miss'!C8</f>
        <v>6.9498741024970299</v>
      </c>
      <c r="K8" s="12">
        <f>'Table-n=200-miss'!D8</f>
        <v>10.592123173650901</v>
      </c>
      <c r="L8" s="12">
        <f>'Table-n=200-miss'!E8</f>
        <v>0.78398009269795621</v>
      </c>
      <c r="M8" s="12">
        <f>'Table-n=200-miss'!F8</f>
        <v>0.81599999999999995</v>
      </c>
      <c r="N8" s="12">
        <f>'Table-n=200-miss'!G8</f>
        <v>27.163598435069996</v>
      </c>
      <c r="O8" s="12">
        <f>'Table-n=200-miss'!I8</f>
        <v>1.8799428880974969</v>
      </c>
      <c r="P8" s="5"/>
      <c r="Q8" s="5"/>
      <c r="R8" s="1" t="s">
        <v>88</v>
      </c>
      <c r="S8" s="15">
        <f>100*'Table-n=200-corr'!K8</f>
        <v>254.48977139449701</v>
      </c>
      <c r="T8" s="15">
        <f>100*'Table-n=200-corr'!L8</f>
        <v>45.971230736238397</v>
      </c>
      <c r="U8" s="15">
        <f>100*'Table-n=200-corr'!M8</f>
        <v>146.993946393443</v>
      </c>
      <c r="V8" s="15">
        <f>100*'Table-n=200-corr'!N8</f>
        <v>10.590098356347399</v>
      </c>
      <c r="W8" s="15">
        <f>100*'Table-n=200-corr'!O8</f>
        <v>165.23626817856899</v>
      </c>
      <c r="X8" s="15">
        <f>100*'Table-n=200-corr'!P8</f>
        <v>21.196121912482699</v>
      </c>
      <c r="Y8" s="12"/>
      <c r="Z8" s="15">
        <f>100*'Table-n=200-miss'!K8</f>
        <v>277.11079734215798</v>
      </c>
      <c r="AA8" s="15">
        <f>100*'Table-n=200-miss'!L8</f>
        <v>65.210200382452797</v>
      </c>
      <c r="AB8" s="15">
        <f>100*'Table-n=200-miss'!M8</f>
        <v>160.25644809317902</v>
      </c>
      <c r="AC8" s="15">
        <f>100*'Table-n=200-miss'!N8</f>
        <v>15.923258448833</v>
      </c>
      <c r="AD8" s="15">
        <f>100*'Table-n=200-miss'!O8</f>
        <v>161.508921731491</v>
      </c>
      <c r="AE8" s="15">
        <f>100*'Table-n=200-miss'!P8</f>
        <v>23.968190658451</v>
      </c>
    </row>
    <row r="9" spans="1:31" x14ac:dyDescent="0.25">
      <c r="B9" s="1" t="s">
        <v>89</v>
      </c>
      <c r="C9" s="12">
        <f>'Table-n=200-corr'!C9</f>
        <v>2.1010050690847102</v>
      </c>
      <c r="D9" s="12">
        <f>'Table-n=200-corr'!D9</f>
        <v>7.97621721594495</v>
      </c>
      <c r="E9" s="12">
        <f>'Table-n=200-corr'!E9</f>
        <v>1</v>
      </c>
      <c r="F9" s="12">
        <f>'Table-n=200-corr'!F9</f>
        <v>0.97799999999999998</v>
      </c>
      <c r="G9" s="12">
        <f>'Table-n=200-corr'!G9</f>
        <v>36.510622778917757</v>
      </c>
      <c r="H9" s="12">
        <f>'Table-n=200-corr'!I9</f>
        <v>1</v>
      </c>
      <c r="I9" s="12"/>
      <c r="J9" s="12">
        <f>'Table-n=200-miss'!C9</f>
        <v>8.2771309572315399</v>
      </c>
      <c r="K9" s="12">
        <f>'Table-n=200-miss'!D9</f>
        <v>11.962735624581899</v>
      </c>
      <c r="L9" s="12">
        <f>'Table-n=200-miss'!E9</f>
        <v>1</v>
      </c>
      <c r="M9" s="12">
        <f>'Table-n=200-miss'!F9</f>
        <v>0.92200000000000004</v>
      </c>
      <c r="N9" s="12">
        <f>'Table-n=200-miss'!G9</f>
        <v>37.244283986142186</v>
      </c>
      <c r="O9" s="12">
        <f>'Table-n=200-miss'!I9</f>
        <v>1</v>
      </c>
      <c r="P9" s="5"/>
      <c r="Q9" s="5"/>
      <c r="R9" s="1" t="s">
        <v>89</v>
      </c>
      <c r="S9" s="15">
        <f>100*'Table-n=200-corr'!K9</f>
        <v>252.61405064538098</v>
      </c>
      <c r="T9" s="15">
        <f>100*'Table-n=200-corr'!L9</f>
        <v>44.914453373969501</v>
      </c>
      <c r="U9" s="15">
        <f>100*'Table-n=200-corr'!M9</f>
        <v>133.68923026642202</v>
      </c>
      <c r="V9" s="15">
        <f>100*'Table-n=200-corr'!N9</f>
        <v>9.1677186839072409</v>
      </c>
      <c r="W9" s="15">
        <f>100*'Table-n=200-corr'!O9</f>
        <v>157.63572718968399</v>
      </c>
      <c r="X9" s="15">
        <f>100*'Table-n=200-corr'!P9</f>
        <v>19.299986716004099</v>
      </c>
      <c r="Y9" s="12"/>
      <c r="Z9" s="15">
        <f>100*'Table-n=200-miss'!K9</f>
        <v>269.13667012044897</v>
      </c>
      <c r="AA9" s="15">
        <f>100*'Table-n=200-miss'!L9</f>
        <v>61.485840973527807</v>
      </c>
      <c r="AB9" s="15">
        <f>100*'Table-n=200-miss'!M9</f>
        <v>147.64205768756099</v>
      </c>
      <c r="AC9" s="15">
        <f>100*'Table-n=200-miss'!N9</f>
        <v>13.683695117594599</v>
      </c>
      <c r="AD9" s="15">
        <f>100*'Table-n=200-miss'!O9</f>
        <v>155.50717396026099</v>
      </c>
      <c r="AE9" s="15">
        <f>100*'Table-n=200-miss'!P9</f>
        <v>22.2258877328279</v>
      </c>
    </row>
    <row r="10" spans="1:31" s="3" customFormat="1" x14ac:dyDescent="0.25">
      <c r="B10" s="3" t="s">
        <v>2</v>
      </c>
      <c r="C10" s="14">
        <f>'Table-n=200-corr'!C10</f>
        <v>0.19226778686575599</v>
      </c>
      <c r="D10" s="14">
        <f>'Table-n=200-corr'!D10</f>
        <v>9.0424685397100095</v>
      </c>
      <c r="E10" s="14">
        <f>'Table-n=200-corr'!E10</f>
        <v>1.2852276721112053</v>
      </c>
      <c r="F10" s="14">
        <f>'Table-n=200-corr'!F10</f>
        <v>0.92100000000000004</v>
      </c>
      <c r="G10" s="14">
        <f>'Table-n=200-corr'!G10</f>
        <v>30.212982103186928</v>
      </c>
      <c r="H10" s="14">
        <f>'Table-n=200-corr'!I10</f>
        <v>1.4603309682487662</v>
      </c>
      <c r="I10" s="14"/>
      <c r="J10" s="14">
        <f>'Table-n=200-miss'!C10</f>
        <v>9.1488264745619592</v>
      </c>
      <c r="K10" s="14">
        <f>'Table-n=200-miss'!D10</f>
        <v>14.7437874533498</v>
      </c>
      <c r="L10" s="14">
        <f>'Table-n=200-miss'!E10</f>
        <v>1.5189976884802652</v>
      </c>
      <c r="M10" s="14">
        <f>'Table-n=200-miss'!F10</f>
        <v>0.81699999999999995</v>
      </c>
      <c r="N10" s="14">
        <f>'Table-n=200-miss'!G10</f>
        <v>32.370304539819685</v>
      </c>
      <c r="O10" s="14">
        <f>'Table-n=200-miss'!I10</f>
        <v>1.3238100944923641</v>
      </c>
      <c r="P10" s="13"/>
      <c r="Q10" s="13"/>
      <c r="R10" s="3" t="s">
        <v>2</v>
      </c>
      <c r="S10" s="15">
        <f>100*'Table-n=200-corr'!K10</f>
        <v>252.97518547058303</v>
      </c>
      <c r="T10" s="15">
        <f>100*'Table-n=200-corr'!L10</f>
        <v>45.2997370122349</v>
      </c>
      <c r="U10" s="15">
        <f>100*'Table-n=200-corr'!M10</f>
        <v>144.642777504517</v>
      </c>
      <c r="V10" s="15">
        <f>100*'Table-n=200-corr'!N10</f>
        <v>9.5760107893445614</v>
      </c>
      <c r="W10" s="15">
        <f>100*'Table-n=200-corr'!O10</f>
        <v>166.23422428839001</v>
      </c>
      <c r="X10" s="15">
        <f>100*'Table-n=200-corr'!P10</f>
        <v>22.0365413840596</v>
      </c>
      <c r="Y10" s="14"/>
      <c r="Z10" s="15">
        <f>100*'Table-n=200-miss'!K10</f>
        <v>287.011153167825</v>
      </c>
      <c r="AA10" s="15">
        <f>100*'Table-n=200-miss'!L10</f>
        <v>62.091855923436704</v>
      </c>
      <c r="AB10" s="15">
        <f>100*'Table-n=200-miss'!M10</f>
        <v>185.26236402483499</v>
      </c>
      <c r="AC10" s="15">
        <f>100*'Table-n=200-miss'!N10</f>
        <v>19.1914367123495</v>
      </c>
      <c r="AD10" s="15">
        <f>100*'Table-n=200-miss'!O10</f>
        <v>155.742287412916</v>
      </c>
      <c r="AE10" s="15">
        <f>100*'Table-n=200-miss'!P10</f>
        <v>20.7630236462659</v>
      </c>
    </row>
    <row r="11" spans="1:31" s="4" customFormat="1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 t="s">
        <v>219</v>
      </c>
      <c r="T11" s="16"/>
      <c r="U11" s="16"/>
      <c r="V11" s="16"/>
      <c r="W11" s="16"/>
      <c r="X11" s="16"/>
      <c r="Y11" s="7"/>
      <c r="Z11" s="16" t="s">
        <v>219</v>
      </c>
      <c r="AA11" s="16"/>
      <c r="AB11" s="16"/>
      <c r="AC11" s="16"/>
      <c r="AD11" s="16"/>
      <c r="AE11" s="16"/>
    </row>
    <row r="12" spans="1:31" x14ac:dyDescent="0.25">
      <c r="A12" s="2" t="s">
        <v>206</v>
      </c>
      <c r="B12" s="1" t="s">
        <v>3</v>
      </c>
      <c r="C12" s="12">
        <f>'Table-n=200-corr'!C12</f>
        <v>-0.54430544789519797</v>
      </c>
      <c r="D12" s="12">
        <f>'Table-n=200-corr'!D12</f>
        <v>7.33739972758005</v>
      </c>
      <c r="E12" s="12">
        <f>'Table-n=200-corr'!E12</f>
        <v>1.0640590740810985</v>
      </c>
      <c r="F12" s="12">
        <f>'Table-n=200-corr'!F12</f>
        <v>0.93500000000000005</v>
      </c>
      <c r="G12" s="12">
        <f>'Table-n=200-corr'!G12</f>
        <v>29.373146825715256</v>
      </c>
      <c r="H12" s="12">
        <f>'Table-n=200-corr'!I12</f>
        <v>1.0456116110933564</v>
      </c>
      <c r="I12" s="12"/>
      <c r="J12" s="12">
        <f>'Table-n=200-miss'!C12</f>
        <v>-1.6694254380240301</v>
      </c>
      <c r="K12" s="12">
        <f>'Table-n=200-miss'!D12</f>
        <v>7.3706616238647902</v>
      </c>
      <c r="L12" s="12">
        <f>'Table-n=200-miss'!E12</f>
        <v>1.0973339316211319</v>
      </c>
      <c r="M12" s="12">
        <f>'Table-n=200-miss'!F12</f>
        <v>0.94099999999999995</v>
      </c>
      <c r="N12" s="12">
        <f>'Table-n=200-miss'!G12</f>
        <v>29.220307489452356</v>
      </c>
      <c r="O12" s="12">
        <f>'Table-n=200-miss'!I12</f>
        <v>1.0273112531345172</v>
      </c>
      <c r="P12" s="5"/>
      <c r="Q12" s="5"/>
      <c r="R12" s="1" t="s">
        <v>3</v>
      </c>
      <c r="S12" s="15">
        <f>100*S5/S$9</f>
        <v>93.942679622954003</v>
      </c>
      <c r="T12" s="15">
        <f t="shared" ref="T12:X12" si="0">100*T5/T$9</f>
        <v>88.743684465840403</v>
      </c>
      <c r="U12" s="15">
        <f t="shared" si="0"/>
        <v>99.937671816301162</v>
      </c>
      <c r="V12" s="15">
        <f t="shared" si="0"/>
        <v>100.9920680062185</v>
      </c>
      <c r="W12" s="15">
        <f t="shared" si="0"/>
        <v>94.120644979372102</v>
      </c>
      <c r="X12" s="15">
        <f t="shared" si="0"/>
        <v>88.631024455397693</v>
      </c>
      <c r="Y12" s="12"/>
      <c r="Z12" s="15">
        <f>100*Z5/Z$9</f>
        <v>91.623406663347495</v>
      </c>
      <c r="AA12" s="15">
        <f t="shared" ref="AA12:AE12" si="1">100*AA5/AA$9</f>
        <v>81.263620852674293</v>
      </c>
      <c r="AB12" s="15">
        <f t="shared" si="1"/>
        <v>97.880375094659328</v>
      </c>
      <c r="AC12" s="15">
        <f t="shared" si="1"/>
        <v>94.778730693825253</v>
      </c>
      <c r="AD12" s="15">
        <f t="shared" si="1"/>
        <v>92.093727436124681</v>
      </c>
      <c r="AE12" s="15">
        <f t="shared" si="1"/>
        <v>79.354955643243144</v>
      </c>
    </row>
    <row r="13" spans="1:31" x14ac:dyDescent="0.25">
      <c r="B13" s="1" t="s">
        <v>5</v>
      </c>
      <c r="C13" s="12">
        <f>'Table-n=200-corr'!C13</f>
        <v>-0.55362128593220195</v>
      </c>
      <c r="D13" s="12">
        <f>'Table-n=200-corr'!D13</f>
        <v>8.3941363430952602</v>
      </c>
      <c r="E13" s="12">
        <f>'Table-n=200-corr'!E13</f>
        <v>1.3926225371606906</v>
      </c>
      <c r="F13" s="12">
        <f>'Table-n=200-corr'!F13</f>
        <v>0.95154639175257705</v>
      </c>
      <c r="G13" s="12">
        <f>'Table-n=200-corr'!G13</f>
        <v>38.129400518536031</v>
      </c>
      <c r="H13" s="12">
        <f>'Table-n=200-corr'!I13</f>
        <v>0.62051372951761929</v>
      </c>
      <c r="I13" s="12"/>
      <c r="J13" s="12">
        <f>'Table-n=200-miss'!C13</f>
        <v>-3.7126391967118102</v>
      </c>
      <c r="K13" s="12">
        <f>'Table-n=200-miss'!D13</f>
        <v>8.9033161846283395</v>
      </c>
      <c r="L13" s="12">
        <f>'Table-n=200-miss'!E13</f>
        <v>1.6011405428551804</v>
      </c>
      <c r="M13" s="12">
        <f>'Table-n=200-miss'!F13</f>
        <v>0.91382765531062105</v>
      </c>
      <c r="N13" s="12">
        <f>'Table-n=200-miss'!G13</f>
        <v>35.281319136364374</v>
      </c>
      <c r="O13" s="12">
        <f>'Table-n=200-miss'!I13</f>
        <v>0.7046638294562142</v>
      </c>
      <c r="P13" s="5"/>
      <c r="Q13" s="5"/>
      <c r="R13" s="1" t="s">
        <v>5</v>
      </c>
      <c r="S13" s="15">
        <f t="shared" ref="S13:X13" si="2">100*S6/S$9</f>
        <v>71.880673474916691</v>
      </c>
      <c r="T13" s="15">
        <f t="shared" si="2"/>
        <v>38.183971664984966</v>
      </c>
      <c r="U13" s="15">
        <f t="shared" si="2"/>
        <v>96.895519217326637</v>
      </c>
      <c r="V13" s="15">
        <f t="shared" si="2"/>
        <v>86.46296540964795</v>
      </c>
      <c r="W13" s="15">
        <f t="shared" si="2"/>
        <v>50.635711107755647</v>
      </c>
      <c r="X13" s="15">
        <f t="shared" si="2"/>
        <v>18.009699125083745</v>
      </c>
      <c r="Y13" s="12"/>
      <c r="Z13" s="15">
        <f t="shared" ref="Z13:AE13" si="3">100*Z6/Z$9</f>
        <v>72.961811311958812</v>
      </c>
      <c r="AA13" s="15">
        <f t="shared" si="3"/>
        <v>43.253037566914195</v>
      </c>
      <c r="AB13" s="15">
        <f t="shared" si="3"/>
        <v>94.270279480899077</v>
      </c>
      <c r="AC13" s="15">
        <f t="shared" si="3"/>
        <v>83.223219698761099</v>
      </c>
      <c r="AD13" s="15">
        <f t="shared" si="3"/>
        <v>60.859662375212821</v>
      </c>
      <c r="AE13" s="15">
        <f t="shared" si="3"/>
        <v>26.959233940976493</v>
      </c>
    </row>
    <row r="14" spans="1:31" x14ac:dyDescent="0.25">
      <c r="B14" s="1" t="s">
        <v>4</v>
      </c>
      <c r="C14" s="12">
        <f>'Table-n=200-corr'!C14</f>
        <v>-1.4490045662661999</v>
      </c>
      <c r="D14" s="12">
        <f>'Table-n=200-corr'!D14</f>
        <v>7.3066946599505398</v>
      </c>
      <c r="E14" s="12">
        <f>'Table-n=200-corr'!E14</f>
        <v>1.0551720990731277</v>
      </c>
      <c r="F14" s="12">
        <f>'Table-n=200-corr'!F14</f>
        <v>0.93200000000000005</v>
      </c>
      <c r="G14" s="12">
        <f>'Table-n=200-corr'!G14</f>
        <v>29.043778330225688</v>
      </c>
      <c r="H14" s="12">
        <f>'Table-n=200-corr'!I14</f>
        <v>1.0694614208976327</v>
      </c>
      <c r="I14" s="12"/>
      <c r="J14" s="12">
        <f>'Table-n=200-miss'!C14</f>
        <v>-0.65562983103761496</v>
      </c>
      <c r="K14" s="12">
        <f>'Table-n=200-miss'!D14</f>
        <v>7.9848705783391596</v>
      </c>
      <c r="L14" s="12">
        <f>'Table-n=200-miss'!E14</f>
        <v>1.2878391505260129</v>
      </c>
      <c r="M14" s="12">
        <f>'Table-n=200-miss'!F14</f>
        <v>0.95770065075921895</v>
      </c>
      <c r="N14" s="12">
        <f>'Table-n=200-miss'!G14</f>
        <v>40.345206501653458</v>
      </c>
      <c r="O14" s="12">
        <f>'Table-n=200-miss'!I14</f>
        <v>0.5388746124725432</v>
      </c>
      <c r="P14" s="5"/>
      <c r="Q14" s="5"/>
      <c r="R14" s="1" t="s">
        <v>4</v>
      </c>
      <c r="S14" s="15">
        <f t="shared" ref="S14:X14" si="4">100*S7/S$9</f>
        <v>89.045232600836727</v>
      </c>
      <c r="T14" s="15">
        <f t="shared" si="4"/>
        <v>77.894633983273096</v>
      </c>
      <c r="U14" s="15">
        <f t="shared" si="4"/>
        <v>95.016079551238533</v>
      </c>
      <c r="V14" s="15">
        <f t="shared" si="4"/>
        <v>92.770756695720095</v>
      </c>
      <c r="W14" s="15">
        <f t="shared" si="4"/>
        <v>86.975192265046601</v>
      </c>
      <c r="X14" s="15">
        <f t="shared" si="4"/>
        <v>73.451151269326544</v>
      </c>
      <c r="Y14" s="12"/>
      <c r="Z14" s="15">
        <f t="shared" ref="Z14:AE14" si="5">100*Z7/Z$9</f>
        <v>120.7677532158559</v>
      </c>
      <c r="AA14" s="15">
        <f t="shared" si="5"/>
        <v>138.4069649500064</v>
      </c>
      <c r="AB14" s="15">
        <f t="shared" si="5"/>
        <v>123.77250685484388</v>
      </c>
      <c r="AC14" s="15">
        <f t="shared" si="5"/>
        <v>150.34368198241594</v>
      </c>
      <c r="AD14" s="15">
        <f t="shared" si="5"/>
        <v>105.79703397407744</v>
      </c>
      <c r="AE14" s="15">
        <f t="shared" si="5"/>
        <v>126.28568298538671</v>
      </c>
    </row>
    <row r="15" spans="1:31" x14ac:dyDescent="0.25">
      <c r="B15" s="1" t="s">
        <v>88</v>
      </c>
      <c r="C15" s="12">
        <f>'Table-n=200-corr'!C15</f>
        <v>-0.210498080341637</v>
      </c>
      <c r="D15" s="12">
        <f>'Table-n=200-corr'!D15</f>
        <v>7.0771716058556198</v>
      </c>
      <c r="E15" s="12">
        <f>'Table-n=200-corr'!E15</f>
        <v>0.98992167601764447</v>
      </c>
      <c r="F15" s="12">
        <f>'Table-n=200-corr'!F15</f>
        <v>0.94299999999999995</v>
      </c>
      <c r="G15" s="12">
        <f>'Table-n=200-corr'!G15</f>
        <v>28.211548899852691</v>
      </c>
      <c r="H15" s="12">
        <f>'Table-n=200-corr'!I15</f>
        <v>1.1334894644759415</v>
      </c>
      <c r="I15" s="12"/>
      <c r="J15" s="12">
        <f>'Table-n=200-miss'!C15</f>
        <v>-0.433391762073285</v>
      </c>
      <c r="K15" s="12">
        <f>'Table-n=200-miss'!D15</f>
        <v>7.1035542678085202</v>
      </c>
      <c r="L15" s="12">
        <f>'Table-n=200-miss'!E15</f>
        <v>1.0192418938707393</v>
      </c>
      <c r="M15" s="12">
        <f>'Table-n=200-miss'!F15</f>
        <v>0.93799999999999994</v>
      </c>
      <c r="N15" s="12">
        <f>'Table-n=200-miss'!G15</f>
        <v>28.405191697594049</v>
      </c>
      <c r="O15" s="12">
        <f>'Table-n=200-miss'!I15</f>
        <v>1.0871166813009594</v>
      </c>
      <c r="P15" s="5"/>
      <c r="Q15" s="5"/>
      <c r="R15" s="1" t="s">
        <v>88</v>
      </c>
      <c r="S15" s="15">
        <f t="shared" ref="S15:X15" si="6">100*S8/S$9</f>
        <v>100.74252431498719</v>
      </c>
      <c r="T15" s="15">
        <f t="shared" si="6"/>
        <v>102.35286702360571</v>
      </c>
      <c r="U15" s="15">
        <f t="shared" si="6"/>
        <v>109.95197302019523</v>
      </c>
      <c r="V15" s="15">
        <f t="shared" si="6"/>
        <v>115.51508855673073</v>
      </c>
      <c r="W15" s="15">
        <f t="shared" si="6"/>
        <v>104.82158526140412</v>
      </c>
      <c r="X15" s="15">
        <f t="shared" si="6"/>
        <v>109.82454145891339</v>
      </c>
      <c r="Y15" s="12"/>
      <c r="Z15" s="15">
        <f t="shared" ref="Z15:AE15" si="7">100*Z8/Z$9</f>
        <v>102.96285423243896</v>
      </c>
      <c r="AA15" s="15">
        <f t="shared" si="7"/>
        <v>106.05726350970539</v>
      </c>
      <c r="AB15" s="15">
        <f t="shared" si="7"/>
        <v>108.54390043270224</v>
      </c>
      <c r="AC15" s="15">
        <f t="shared" si="7"/>
        <v>116.36665616993143</v>
      </c>
      <c r="AD15" s="15">
        <f t="shared" si="7"/>
        <v>103.85946681325694</v>
      </c>
      <c r="AE15" s="15">
        <f t="shared" si="7"/>
        <v>107.83907012654301</v>
      </c>
    </row>
    <row r="16" spans="1:31" x14ac:dyDescent="0.25">
      <c r="B16" s="1" t="s">
        <v>89</v>
      </c>
      <c r="C16" s="12">
        <f>'Table-n=200-corr'!C16</f>
        <v>0.67944274317547804</v>
      </c>
      <c r="D16" s="12">
        <f>'Table-n=200-corr'!D16</f>
        <v>7.1131064717139196</v>
      </c>
      <c r="E16" s="12">
        <f>'Table-n=200-corr'!E16</f>
        <v>1</v>
      </c>
      <c r="F16" s="12">
        <f>'Table-n=200-corr'!F16</f>
        <v>0.95599999999999996</v>
      </c>
      <c r="G16" s="12">
        <f>'Table-n=200-corr'!G16</f>
        <v>30.035555934379119</v>
      </c>
      <c r="H16" s="12">
        <f>'Table-n=200-corr'!I16</f>
        <v>1</v>
      </c>
      <c r="I16" s="12"/>
      <c r="J16" s="12">
        <f>'Table-n=200-miss'!C16</f>
        <v>0.26501398033587298</v>
      </c>
      <c r="K16" s="12">
        <f>'Table-n=200-miss'!D16</f>
        <v>7.0361820812776097</v>
      </c>
      <c r="L16" s="12">
        <f>'Table-n=200-miss'!E16</f>
        <v>1</v>
      </c>
      <c r="M16" s="12">
        <f>'Table-n=200-miss'!F16</f>
        <v>0.95599999999999996</v>
      </c>
      <c r="N16" s="12">
        <f>'Table-n=200-miss'!G16</f>
        <v>29.616641232524707</v>
      </c>
      <c r="O16" s="12">
        <f>'Table-n=200-miss'!I16</f>
        <v>1</v>
      </c>
      <c r="P16" s="5"/>
      <c r="Q16" s="5"/>
      <c r="R16" s="1" t="s">
        <v>89</v>
      </c>
      <c r="S16" s="15">
        <f t="shared" ref="S16:X16" si="8">100*S9/S$9</f>
        <v>100</v>
      </c>
      <c r="T16" s="15">
        <f t="shared" si="8"/>
        <v>100</v>
      </c>
      <c r="U16" s="15">
        <f t="shared" si="8"/>
        <v>100</v>
      </c>
      <c r="V16" s="15">
        <f t="shared" si="8"/>
        <v>100</v>
      </c>
      <c r="W16" s="15">
        <f t="shared" si="8"/>
        <v>100</v>
      </c>
      <c r="X16" s="15">
        <f t="shared" si="8"/>
        <v>100</v>
      </c>
      <c r="Y16" s="12"/>
      <c r="Z16" s="15">
        <f t="shared" ref="Z16:AE16" si="9">100*Z9/Z$9</f>
        <v>100</v>
      </c>
      <c r="AA16" s="15">
        <f t="shared" si="9"/>
        <v>100</v>
      </c>
      <c r="AB16" s="15">
        <f t="shared" si="9"/>
        <v>100</v>
      </c>
      <c r="AC16" s="15">
        <f t="shared" si="9"/>
        <v>100.00000000000001</v>
      </c>
      <c r="AD16" s="15">
        <f t="shared" si="9"/>
        <v>100</v>
      </c>
      <c r="AE16" s="15">
        <f t="shared" si="9"/>
        <v>100</v>
      </c>
    </row>
    <row r="17" spans="1:31" s="3" customFormat="1" x14ac:dyDescent="0.25">
      <c r="B17" s="3" t="s">
        <v>2</v>
      </c>
      <c r="C17" s="14">
        <f>'Table-n=200-corr'!C17</f>
        <v>2.2026031942345999E-4</v>
      </c>
      <c r="D17" s="14">
        <f>'Table-n=200-corr'!D17</f>
        <v>7.14726968059668</v>
      </c>
      <c r="E17" s="14">
        <f>'Table-n=200-corr'!E17</f>
        <v>1.0096287745625583</v>
      </c>
      <c r="F17" s="14">
        <f>'Table-n=200-corr'!F17</f>
        <v>0.93600000000000005</v>
      </c>
      <c r="G17" s="14">
        <f>'Table-n=200-corr'!G17</f>
        <v>28.644694378309747</v>
      </c>
      <c r="H17" s="14">
        <f>'Table-n=200-corr'!I17</f>
        <v>1.0994689366129844</v>
      </c>
      <c r="I17" s="14"/>
      <c r="J17" s="14">
        <f>'Table-n=200-miss'!C17</f>
        <v>0.771974526788334</v>
      </c>
      <c r="K17" s="14">
        <f>'Table-n=200-miss'!D17</f>
        <v>9.9286481961300908</v>
      </c>
      <c r="L17" s="14">
        <f>'Table-n=200-miss'!E17</f>
        <v>1.991159755754657</v>
      </c>
      <c r="M17" s="14">
        <f>'Table-n=200-miss'!F17</f>
        <v>0.93200000000000005</v>
      </c>
      <c r="N17" s="14">
        <f>'Table-n=200-miss'!G17</f>
        <v>30.197803767754905</v>
      </c>
      <c r="O17" s="14">
        <f>'Table-n=200-miss'!I17</f>
        <v>0.96187999317209072</v>
      </c>
      <c r="P17" s="13"/>
      <c r="Q17" s="13"/>
      <c r="R17" s="3" t="s">
        <v>2</v>
      </c>
      <c r="S17" s="15">
        <f t="shared" ref="S17:X17" si="10">100*S10/S$9</f>
        <v>100.1429591205554</v>
      </c>
      <c r="T17" s="15">
        <f t="shared" si="10"/>
        <v>100.85781660317099</v>
      </c>
      <c r="U17" s="15">
        <f t="shared" si="10"/>
        <v>108.19329067589533</v>
      </c>
      <c r="V17" s="15">
        <f t="shared" si="10"/>
        <v>104.4535845777426</v>
      </c>
      <c r="W17" s="15">
        <f t="shared" si="10"/>
        <v>105.454662627565</v>
      </c>
      <c r="X17" s="15">
        <f t="shared" si="10"/>
        <v>114.17904949015468</v>
      </c>
      <c r="Y17" s="14"/>
      <c r="Z17" s="15">
        <f t="shared" ref="Z17:AE17" si="11">100*Z10/Z$9</f>
        <v>106.64141495076703</v>
      </c>
      <c r="AA17" s="15">
        <f t="shared" si="11"/>
        <v>100.98561707917408</v>
      </c>
      <c r="AB17" s="15">
        <f t="shared" si="11"/>
        <v>125.48075184435984</v>
      </c>
      <c r="AC17" s="15">
        <f t="shared" si="11"/>
        <v>140.25039689515594</v>
      </c>
      <c r="AD17" s="15">
        <f t="shared" si="11"/>
        <v>100.15119138665274</v>
      </c>
      <c r="AE17" s="15">
        <f t="shared" si="11"/>
        <v>93.418197265518756</v>
      </c>
    </row>
    <row r="18" spans="1:31" s="4" customFormat="1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25">
      <c r="A19" s="2" t="s">
        <v>59</v>
      </c>
      <c r="B19" s="1" t="s">
        <v>3</v>
      </c>
      <c r="C19" s="12">
        <f>'Table-n=200-corr'!C19</f>
        <v>-0.51171465691790996</v>
      </c>
      <c r="D19" s="12">
        <f>'Table-n=200-corr'!D19</f>
        <v>6.5283276670060904</v>
      </c>
      <c r="E19" s="12">
        <f>'Table-n=200-corr'!E19</f>
        <v>1.0064496506006602</v>
      </c>
      <c r="F19" s="12">
        <f>'Table-n=200-corr'!F19</f>
        <v>0.95299999999999996</v>
      </c>
      <c r="G19" s="12">
        <f>'Table-n=200-corr'!G19</f>
        <v>27.356592812624783</v>
      </c>
      <c r="H19" s="12">
        <f>'Table-n=200-corr'!I19</f>
        <v>1.1261223305310073</v>
      </c>
      <c r="I19" s="12"/>
      <c r="J19" s="12">
        <f>'Table-n=200-miss'!C19</f>
        <v>-0.44033090804962399</v>
      </c>
      <c r="K19" s="12">
        <f>'Table-n=200-miss'!D19</f>
        <v>6.5273362533696098</v>
      </c>
      <c r="L19" s="12">
        <f>'Table-n=200-miss'!E19</f>
        <v>0.90980254262720828</v>
      </c>
      <c r="M19" s="12">
        <f>'Table-n=200-miss'!F19</f>
        <v>0.95599999999999996</v>
      </c>
      <c r="N19" s="12">
        <f>'Table-n=200-miss'!G19</f>
        <v>27.77592241787822</v>
      </c>
      <c r="O19" s="12">
        <f>'Table-n=200-miss'!I19</f>
        <v>1.0551426649412059</v>
      </c>
      <c r="P19" s="5"/>
      <c r="Q19" s="5"/>
      <c r="Y19" s="12"/>
    </row>
    <row r="20" spans="1:31" x14ac:dyDescent="0.25">
      <c r="B20" s="1" t="s">
        <v>5</v>
      </c>
      <c r="C20" s="12">
        <f>'Table-n=200-corr'!C20</f>
        <v>-1.8732705709654001</v>
      </c>
      <c r="D20" s="12">
        <f>'Table-n=200-corr'!D20</f>
        <v>7.3089497762870401</v>
      </c>
      <c r="E20" s="12">
        <f>'Table-n=200-corr'!E20</f>
        <v>1.2615315612286528</v>
      </c>
      <c r="F20" s="12">
        <f>'Table-n=200-corr'!F20</f>
        <v>0.94948453608247396</v>
      </c>
      <c r="G20" s="12">
        <f>'Table-n=200-corr'!G20</f>
        <v>32.581422032077832</v>
      </c>
      <c r="H20" s="12">
        <f>'Table-n=200-corr'!I20</f>
        <v>0.79390678240552848</v>
      </c>
      <c r="I20" s="12"/>
      <c r="J20" s="12">
        <f>'Table-n=200-miss'!C20</f>
        <v>-3.40629348279862</v>
      </c>
      <c r="K20" s="12">
        <f>'Table-n=200-miss'!D20</f>
        <v>7.7986282006167498</v>
      </c>
      <c r="L20" s="12">
        <f>'Table-n=200-miss'!E20</f>
        <v>1.2987082708146145</v>
      </c>
      <c r="M20" s="12">
        <f>'Table-n=200-miss'!F20</f>
        <v>0.92484969939879802</v>
      </c>
      <c r="N20" s="12">
        <f>'Table-n=200-miss'!G20</f>
        <v>31.056493576824167</v>
      </c>
      <c r="O20" s="12">
        <f>'Table-n=200-miss'!I20</f>
        <v>0.84400170609331582</v>
      </c>
      <c r="P20" s="5"/>
      <c r="Q20" s="5"/>
      <c r="Y20" s="12"/>
    </row>
    <row r="21" spans="1:31" x14ac:dyDescent="0.25">
      <c r="B21" s="1" t="s">
        <v>4</v>
      </c>
      <c r="C21" s="12">
        <f>'Table-n=200-corr'!C21</f>
        <v>-1.5904952712612599</v>
      </c>
      <c r="D21" s="12">
        <f>'Table-n=200-corr'!D21</f>
        <v>6.5381182982447896</v>
      </c>
      <c r="E21" s="12">
        <f>'Table-n=200-corr'!E21</f>
        <v>1.0094706896236556</v>
      </c>
      <c r="F21" s="12">
        <f>'Table-n=200-corr'!F21</f>
        <v>0.94399999999999995</v>
      </c>
      <c r="G21" s="12">
        <f>'Table-n=200-corr'!G21</f>
        <v>26.798181996748568</v>
      </c>
      <c r="H21" s="12">
        <f>'Table-n=200-corr'!I21</f>
        <v>1.173542759873428</v>
      </c>
      <c r="I21" s="12"/>
      <c r="J21" s="12">
        <f>'Table-n=200-miss'!C21</f>
        <v>-0.87214784594712602</v>
      </c>
      <c r="K21" s="12">
        <f>'Table-n=200-miss'!D21</f>
        <v>7.0613802695826999</v>
      </c>
      <c r="L21" s="12">
        <f>'Table-n=200-miss'!E21</f>
        <v>1.0647664886408137</v>
      </c>
      <c r="M21" s="12">
        <f>'Table-n=200-miss'!F21</f>
        <v>0.97180043383947901</v>
      </c>
      <c r="N21" s="12">
        <f>'Table-n=200-miss'!G21</f>
        <v>35.199730937437749</v>
      </c>
      <c r="O21" s="12">
        <f>'Table-n=200-miss'!I21</f>
        <v>0.65700621451964158</v>
      </c>
      <c r="P21" s="5"/>
      <c r="Q21" s="5"/>
      <c r="Y21" s="12"/>
    </row>
    <row r="22" spans="1:31" x14ac:dyDescent="0.25">
      <c r="B22" s="1" t="s">
        <v>88</v>
      </c>
      <c r="C22" s="12">
        <f>'Table-n=200-corr'!C22</f>
        <v>-5.4808535265593199E-2</v>
      </c>
      <c r="D22" s="12">
        <f>'Table-n=200-corr'!D22</f>
        <v>6.4780508746924399</v>
      </c>
      <c r="E22" s="12">
        <f>'Table-n=200-corr'!E22</f>
        <v>0.99100734594026618</v>
      </c>
      <c r="F22" s="12">
        <f>'Table-n=200-corr'!F22</f>
        <v>0.95099999999999996</v>
      </c>
      <c r="G22" s="12">
        <f>'Table-n=200-corr'!G22</f>
        <v>26.498119650533138</v>
      </c>
      <c r="H22" s="12">
        <f>'Table-n=200-corr'!I22</f>
        <v>1.2002714317108141</v>
      </c>
      <c r="I22" s="12"/>
      <c r="J22" s="12">
        <f>'Table-n=200-miss'!C22</f>
        <v>1.14528324982314</v>
      </c>
      <c r="K22" s="12">
        <f>'Table-n=200-miss'!D22</f>
        <v>6.8804758412950804</v>
      </c>
      <c r="L22" s="12">
        <f>'Table-n=200-miss'!E22</f>
        <v>1.0109091401032264</v>
      </c>
      <c r="M22" s="12">
        <f>'Table-n=200-miss'!F22</f>
        <v>0.93799999999999994</v>
      </c>
      <c r="N22" s="12">
        <f>'Table-n=200-miss'!G22</f>
        <v>26.718258438624485</v>
      </c>
      <c r="O22" s="12">
        <f>'Table-n=200-miss'!I22</f>
        <v>1.1403334723061669</v>
      </c>
      <c r="P22" s="5"/>
      <c r="Q22" s="5"/>
      <c r="Y22" s="12"/>
    </row>
    <row r="23" spans="1:31" x14ac:dyDescent="0.25">
      <c r="B23" s="1" t="s">
        <v>89</v>
      </c>
      <c r="C23" s="12">
        <f>'Table-n=200-corr'!C23</f>
        <v>1.0391934118284401</v>
      </c>
      <c r="D23" s="12">
        <f>'Table-n=200-corr'!D23</f>
        <v>6.5073762435014597</v>
      </c>
      <c r="E23" s="12">
        <f>'Table-n=200-corr'!E23</f>
        <v>1</v>
      </c>
      <c r="F23" s="12">
        <f>'Table-n=200-corr'!F23</f>
        <v>0.96699999999999997</v>
      </c>
      <c r="G23" s="12">
        <f>'Table-n=200-corr'!G23</f>
        <v>29.030518422621398</v>
      </c>
      <c r="H23" s="12">
        <f>'Table-n=200-corr'!I23</f>
        <v>1</v>
      </c>
      <c r="I23" s="12"/>
      <c r="J23" s="12">
        <f>'Table-n=200-miss'!C23</f>
        <v>1.73696711932693</v>
      </c>
      <c r="K23" s="12">
        <f>'Table-n=200-miss'!D23</f>
        <v>6.8432501040296998</v>
      </c>
      <c r="L23" s="12">
        <f>'Table-n=200-miss'!E23</f>
        <v>1</v>
      </c>
      <c r="M23" s="12">
        <f>'Table-n=200-miss'!F23</f>
        <v>0.95699999999999996</v>
      </c>
      <c r="N23" s="12">
        <f>'Table-n=200-miss'!G23</f>
        <v>28.531465701421403</v>
      </c>
      <c r="O23" s="12">
        <f>'Table-n=200-miss'!I23</f>
        <v>1</v>
      </c>
      <c r="P23" s="5"/>
      <c r="Q23" s="5"/>
      <c r="Y23" s="12"/>
    </row>
    <row r="24" spans="1:31" s="3" customFormat="1" x14ac:dyDescent="0.25">
      <c r="B24" s="3" t="s">
        <v>2</v>
      </c>
      <c r="C24" s="14">
        <f>'Table-n=200-corr'!C24</f>
        <v>0.25458764739287398</v>
      </c>
      <c r="D24" s="14">
        <f>'Table-n=200-corr'!D24</f>
        <v>6.8291315285235799</v>
      </c>
      <c r="E24" s="14">
        <f>'Table-n=200-corr'!E24</f>
        <v>1.1013341844460536</v>
      </c>
      <c r="F24" s="14">
        <f>'Table-n=200-corr'!F24</f>
        <v>0.94799999999999995</v>
      </c>
      <c r="G24" s="14">
        <f>'Table-n=200-corr'!G24</f>
        <v>27.551166980215804</v>
      </c>
      <c r="H24" s="14">
        <f>'Table-n=200-corr'!I24</f>
        <v>1.1102725052617222</v>
      </c>
      <c r="I24" s="14"/>
      <c r="J24" s="14">
        <f>'Table-n=200-miss'!C24</f>
        <v>2.9140057316635399</v>
      </c>
      <c r="K24" s="14">
        <f>'Table-n=200-miss'!D24</f>
        <v>11.409449504596999</v>
      </c>
      <c r="L24" s="14">
        <f>'Table-n=200-miss'!E24</f>
        <v>2.7797424278148499</v>
      </c>
      <c r="M24" s="14">
        <f>'Table-n=200-miss'!F24</f>
        <v>0.94</v>
      </c>
      <c r="N24" s="14">
        <f>'Table-n=200-miss'!G24</f>
        <v>30.293379882577327</v>
      </c>
      <c r="O24" s="14">
        <f>'Table-n=200-miss'!I24</f>
        <v>0.88705940147645601</v>
      </c>
      <c r="P24" s="13"/>
      <c r="Q24" s="13"/>
      <c r="Y24" s="14"/>
    </row>
    <row r="25" spans="1:31" s="4" customFormat="1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25">
      <c r="A26" s="2" t="s">
        <v>60</v>
      </c>
      <c r="B26" s="1" t="s">
        <v>3</v>
      </c>
      <c r="C26" s="12">
        <f>'Table-n=200-corr'!C26</f>
        <v>-1.00922291512983</v>
      </c>
      <c r="D26" s="12">
        <f>'Table-n=200-corr'!D26</f>
        <v>7.3687420728895097</v>
      </c>
      <c r="E26" s="12">
        <f>'Table-n=200-corr'!E26</f>
        <v>1.0106622825830029</v>
      </c>
      <c r="F26" s="12">
        <f>'Table-n=200-corr'!F26</f>
        <v>0.95</v>
      </c>
      <c r="G26" s="12">
        <f>'Table-n=200-corr'!G26</f>
        <v>29.025802617864297</v>
      </c>
      <c r="H26" s="12">
        <f>'Table-n=200-corr'!I26</f>
        <v>1.2642111349245717</v>
      </c>
      <c r="I26" s="12"/>
      <c r="J26" s="12">
        <f>'Table-n=200-miss'!C26</f>
        <v>1.0968750210837299</v>
      </c>
      <c r="K26" s="12">
        <f>'Table-n=200-miss'!D26</f>
        <v>6.9228828232980701</v>
      </c>
      <c r="L26" s="12">
        <f>'Table-n=200-miss'!E26</f>
        <v>0.71653518401210814</v>
      </c>
      <c r="M26" s="12">
        <f>'Table-n=200-miss'!F26</f>
        <v>0.97199999999999998</v>
      </c>
      <c r="N26" s="12">
        <f>'Table-n=200-miss'!G26</f>
        <v>30.220203452522192</v>
      </c>
      <c r="O26" s="12">
        <f>'Table-n=200-miss'!I26</f>
        <v>1.1320999252769213</v>
      </c>
      <c r="P26" s="5"/>
      <c r="Q26"/>
      <c r="R26"/>
      <c r="S26"/>
      <c r="T26"/>
      <c r="Y26" s="12"/>
    </row>
    <row r="27" spans="1:31" x14ac:dyDescent="0.25">
      <c r="B27" s="1" t="s">
        <v>5</v>
      </c>
      <c r="C27" s="12">
        <f>'Table-n=200-corr'!C27</f>
        <v>-4.5615213113430402</v>
      </c>
      <c r="D27" s="12">
        <f>'Table-n=200-corr'!D27</f>
        <v>8.2559197881795505</v>
      </c>
      <c r="E27" s="12">
        <f>'Table-n=200-corr'!E27</f>
        <v>1.2686746951336385</v>
      </c>
      <c r="F27" s="12">
        <f>'Table-n=200-corr'!F27</f>
        <v>0.92577319587628903</v>
      </c>
      <c r="G27" s="12">
        <f>'Table-n=200-corr'!G27</f>
        <v>30.68280054142938</v>
      </c>
      <c r="H27" s="12">
        <f>'Table-n=200-corr'!I27</f>
        <v>1.1313528955471179</v>
      </c>
      <c r="I27" s="12"/>
      <c r="J27" s="12">
        <f>'Table-n=200-miss'!C27</f>
        <v>-3.8237120878871802</v>
      </c>
      <c r="K27" s="12">
        <f>'Table-n=200-miss'!D27</f>
        <v>8.1401865608661499</v>
      </c>
      <c r="L27" s="12">
        <f>'Table-n=200-miss'!E27</f>
        <v>0.99067744533281465</v>
      </c>
      <c r="M27" s="12">
        <f>'Table-n=200-miss'!F27</f>
        <v>0.93687374749498997</v>
      </c>
      <c r="N27" s="12">
        <f>'Table-n=200-miss'!G27</f>
        <v>31.052123600391148</v>
      </c>
      <c r="O27" s="12">
        <f>'Table-n=200-miss'!I27</f>
        <v>1.072252128580043</v>
      </c>
      <c r="P27" s="5"/>
      <c r="Q27" s="5"/>
      <c r="Y27" s="12"/>
    </row>
    <row r="28" spans="1:31" x14ac:dyDescent="0.25">
      <c r="B28" s="1" t="s">
        <v>4</v>
      </c>
      <c r="C28" s="12">
        <f>'Table-n=200-corr'!C28</f>
        <v>-2.4375778264124</v>
      </c>
      <c r="D28" s="12">
        <f>'Table-n=200-corr'!D28</f>
        <v>7.3383086178796404</v>
      </c>
      <c r="E28" s="12">
        <f>'Table-n=200-corr'!E28</f>
        <v>1.0023313005786132</v>
      </c>
      <c r="F28" s="12">
        <f>'Table-n=200-corr'!F28</f>
        <v>0.93600000000000005</v>
      </c>
      <c r="G28" s="12">
        <f>'Table-n=200-corr'!G28</f>
        <v>27.979125510161111</v>
      </c>
      <c r="H28" s="12">
        <f>'Table-n=200-corr'!I28</f>
        <v>1.360566625386356</v>
      </c>
      <c r="I28" s="12"/>
      <c r="J28" s="12">
        <f>'Table-n=200-miss'!C28</f>
        <v>-1.68139115526698</v>
      </c>
      <c r="K28" s="12">
        <f>'Table-n=200-miss'!D28</f>
        <v>7.1358045935336003</v>
      </c>
      <c r="L28" s="12">
        <f>'Table-n=200-miss'!E28</f>
        <v>0.76128882791157393</v>
      </c>
      <c r="M28" s="12">
        <f>'Table-n=200-miss'!F28</f>
        <v>0.97613882863340595</v>
      </c>
      <c r="N28" s="12">
        <f>'Table-n=200-miss'!G28</f>
        <v>34.438998756481368</v>
      </c>
      <c r="O28" s="12">
        <f>'Table-n=200-miss'!I28</f>
        <v>0.8717229821638629</v>
      </c>
      <c r="P28" s="5"/>
      <c r="Q28" s="5"/>
      <c r="Y28" s="12"/>
    </row>
    <row r="29" spans="1:31" x14ac:dyDescent="0.25">
      <c r="B29" s="1" t="s">
        <v>88</v>
      </c>
      <c r="C29" s="12">
        <f>'Table-n=200-corr'!C29</f>
        <v>-0.239462564387559</v>
      </c>
      <c r="D29" s="12">
        <f>'Table-n=200-corr'!D29</f>
        <v>7.60364517466747</v>
      </c>
      <c r="E29" s="12">
        <f>'Table-n=200-corr'!E29</f>
        <v>1.0761257719494572</v>
      </c>
      <c r="F29" s="12">
        <f>'Table-n=200-corr'!F29</f>
        <v>0.94299999999999995</v>
      </c>
      <c r="G29" s="12">
        <f>'Table-n=200-corr'!G29</f>
        <v>29.244445987254952</v>
      </c>
      <c r="H29" s="12">
        <f>'Table-n=200-corr'!I29</f>
        <v>1.2453782871189905</v>
      </c>
      <c r="I29" s="12"/>
      <c r="J29" s="12">
        <f>'Table-n=200-miss'!C29</f>
        <v>3.3067309799968698</v>
      </c>
      <c r="K29" s="12">
        <f>'Table-n=200-miss'!D29</f>
        <v>8.2430225909973398</v>
      </c>
      <c r="L29" s="12">
        <f>'Table-n=200-miss'!E29</f>
        <v>1.015866266162327</v>
      </c>
      <c r="M29" s="12">
        <f>'Table-n=200-miss'!F29</f>
        <v>0.92300000000000004</v>
      </c>
      <c r="N29" s="12">
        <f>'Table-n=200-miss'!G29</f>
        <v>29.183984406860407</v>
      </c>
      <c r="O29" s="12">
        <f>'Table-n=200-miss'!I29</f>
        <v>1.2139208202695135</v>
      </c>
      <c r="P29" s="5"/>
      <c r="Q29" s="5"/>
      <c r="Y29" s="12"/>
    </row>
    <row r="30" spans="1:31" x14ac:dyDescent="0.25">
      <c r="B30" s="1" t="s">
        <v>89</v>
      </c>
      <c r="C30" s="12">
        <f>'Table-n=200-corr'!C30</f>
        <v>0.80503914104387098</v>
      </c>
      <c r="D30" s="12">
        <f>'Table-n=200-corr'!D30</f>
        <v>7.3297696436057498</v>
      </c>
      <c r="E30" s="12">
        <f>'Table-n=200-corr'!E30</f>
        <v>1</v>
      </c>
      <c r="F30" s="12">
        <f>'Table-n=200-corr'!F30</f>
        <v>0.97199999999999998</v>
      </c>
      <c r="G30" s="12">
        <f>'Table-n=200-corr'!G30</f>
        <v>32.635783484498603</v>
      </c>
      <c r="H30" s="12">
        <f>'Table-n=200-corr'!I30</f>
        <v>1</v>
      </c>
      <c r="I30" s="12"/>
      <c r="J30" s="12">
        <f>'Table-n=200-miss'!C30</f>
        <v>3.4643537248187202</v>
      </c>
      <c r="K30" s="12">
        <f>'Table-n=200-miss'!D30</f>
        <v>8.1783976049146396</v>
      </c>
      <c r="L30" s="12">
        <f>'Table-n=200-miss'!E30</f>
        <v>1</v>
      </c>
      <c r="M30" s="12">
        <f>'Table-n=200-miss'!F30</f>
        <v>0.95199999999999996</v>
      </c>
      <c r="N30" s="12">
        <f>'Table-n=200-miss'!G30</f>
        <v>32.154352217169865</v>
      </c>
      <c r="O30" s="12">
        <f>'Table-n=200-miss'!I30</f>
        <v>1</v>
      </c>
      <c r="P30" s="5"/>
      <c r="Q30" s="5"/>
      <c r="Y30" s="12"/>
    </row>
    <row r="31" spans="1:31" s="3" customFormat="1" x14ac:dyDescent="0.25">
      <c r="B31" s="3" t="s">
        <v>2</v>
      </c>
      <c r="C31" s="14">
        <f>'Table-n=200-corr'!C31</f>
        <v>8.9886319713976107E-2</v>
      </c>
      <c r="D31" s="14">
        <f>'Table-n=200-corr'!D31</f>
        <v>8.7862336124251996</v>
      </c>
      <c r="E31" s="14">
        <f>'Table-n=200-corr'!E31</f>
        <v>1.4368943612035432</v>
      </c>
      <c r="F31" s="14">
        <f>'Table-n=200-corr'!F31</f>
        <v>0.94</v>
      </c>
      <c r="G31" s="14">
        <f>'Table-n=200-corr'!G31</f>
        <v>31.463569928234598</v>
      </c>
      <c r="H31" s="14">
        <f>'Table-n=200-corr'!I31</f>
        <v>1.0759004575572275</v>
      </c>
      <c r="I31" s="14"/>
      <c r="J31" s="14">
        <f>'Table-n=200-miss'!C31</f>
        <v>6.0643122680594503</v>
      </c>
      <c r="K31" s="14">
        <f>'Table-n=200-miss'!D31</f>
        <v>14.527175453458099</v>
      </c>
      <c r="L31" s="14">
        <f>'Table-n=200-miss'!E31</f>
        <v>3.1551929465455926</v>
      </c>
      <c r="M31" s="14">
        <f>'Table-n=200-miss'!F31</f>
        <v>0.91</v>
      </c>
      <c r="N31" s="14">
        <f>'Table-n=200-miss'!G31</f>
        <v>35.421796098135871</v>
      </c>
      <c r="O31" s="14">
        <f>'Table-n=200-miss'!I31</f>
        <v>0.82402117481693193</v>
      </c>
      <c r="P31" s="13"/>
      <c r="Q31" s="13"/>
      <c r="Y31" s="14"/>
    </row>
    <row r="32" spans="1:31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25">
      <c r="A33" s="2" t="s">
        <v>62</v>
      </c>
      <c r="B33" s="1" t="s">
        <v>3</v>
      </c>
      <c r="C33" s="12">
        <f>'Table-n=200-corr'!C33</f>
        <v>-1.6362335328802999</v>
      </c>
      <c r="D33" s="12">
        <f>'Table-n=200-corr'!D33</f>
        <v>9.2916622228407793</v>
      </c>
      <c r="E33" s="12">
        <f>'Table-n=200-corr'!E33</f>
        <v>0.89558775862161177</v>
      </c>
      <c r="F33" s="12">
        <f>'Table-n=200-corr'!F33</f>
        <v>0.93400000000000005</v>
      </c>
      <c r="G33" s="12">
        <f>'Table-n=200-corr'!G33</f>
        <v>36.198087213130833</v>
      </c>
      <c r="H33" s="12">
        <f>'Table-n=200-corr'!I33</f>
        <v>1.4018940117659031</v>
      </c>
      <c r="I33" s="12"/>
      <c r="J33" s="12">
        <f>'Table-n=200-miss'!C33</f>
        <v>4.0223795293452298</v>
      </c>
      <c r="K33" s="12">
        <f>'Table-n=200-miss'!D33</f>
        <v>9.5092272990281792</v>
      </c>
      <c r="L33" s="12">
        <f>'Table-n=200-miss'!E33</f>
        <v>0.57966059510899348</v>
      </c>
      <c r="M33" s="12">
        <f>'Table-n=200-miss'!F33</f>
        <v>0.95199999999999996</v>
      </c>
      <c r="N33" s="12">
        <f>'Table-n=200-miss'!G33</f>
        <v>38.254807558290132</v>
      </c>
      <c r="O33" s="12">
        <f>'Table-n=200-miss'!I33</f>
        <v>1.177188225270372</v>
      </c>
      <c r="P33" s="5"/>
      <c r="Y33" s="12"/>
    </row>
    <row r="34" spans="1:25" x14ac:dyDescent="0.25">
      <c r="B34" s="1" t="s">
        <v>5</v>
      </c>
      <c r="C34" s="12">
        <f>'Table-n=200-corr'!C34</f>
        <v>-8.4561562257514993</v>
      </c>
      <c r="D34" s="12">
        <f>'Table-n=200-corr'!D34</f>
        <v>11.6243733232397</v>
      </c>
      <c r="E34" s="12">
        <f>'Table-n=200-corr'!E34</f>
        <v>1.4017172558547675</v>
      </c>
      <c r="F34" s="12">
        <f>'Table-n=200-corr'!F34</f>
        <v>0.83505154639175305</v>
      </c>
      <c r="G34" s="12">
        <f>'Table-n=200-corr'!G34</f>
        <v>33.424794309992357</v>
      </c>
      <c r="H34" s="12">
        <f>'Table-n=200-corr'!I34</f>
        <v>1.6441783982964546</v>
      </c>
      <c r="I34" s="12"/>
      <c r="J34" s="12">
        <f>'Table-n=200-miss'!C34</f>
        <v>-4.5145779554542704</v>
      </c>
      <c r="K34" s="12">
        <f>'Table-n=200-miss'!D34</f>
        <v>9.9735672492024392</v>
      </c>
      <c r="L34" s="12">
        <f>'Table-n=200-miss'!E34</f>
        <v>0.63765293373579668</v>
      </c>
      <c r="M34" s="12">
        <f>'Table-n=200-miss'!F34</f>
        <v>0.920841683366733</v>
      </c>
      <c r="N34" s="12">
        <f>'Table-n=200-miss'!G34</f>
        <v>36.601700833713274</v>
      </c>
      <c r="O34" s="12">
        <f>'Table-n=200-miss'!I34</f>
        <v>1.2859243457532388</v>
      </c>
      <c r="P34" s="5"/>
      <c r="Y34" s="12"/>
    </row>
    <row r="35" spans="1:25" x14ac:dyDescent="0.25">
      <c r="B35" s="1" t="s">
        <v>4</v>
      </c>
      <c r="C35" s="12">
        <f>'Table-n=200-corr'!C35</f>
        <v>-3.3748625026233099</v>
      </c>
      <c r="D35" s="12">
        <f>'Table-n=200-corr'!D35</f>
        <v>9.3000413744579902</v>
      </c>
      <c r="E35" s="12">
        <f>'Table-n=200-corr'!E35</f>
        <v>0.89720375564804355</v>
      </c>
      <c r="F35" s="12">
        <f>'Table-n=200-corr'!F35</f>
        <v>0.91900000000000004</v>
      </c>
      <c r="G35" s="12">
        <f>'Table-n=200-corr'!G35</f>
        <v>34.17946603524112</v>
      </c>
      <c r="H35" s="12">
        <f>'Table-n=200-corr'!I35</f>
        <v>1.572374084692598</v>
      </c>
      <c r="I35" s="12"/>
      <c r="J35" s="12">
        <f>'Table-n=200-miss'!C35</f>
        <v>-1.96612552979192</v>
      </c>
      <c r="K35" s="12">
        <f>'Table-n=200-miss'!D35</f>
        <v>9.0921510787513693</v>
      </c>
      <c r="L35" s="12">
        <f>'Table-n=200-miss'!E35</f>
        <v>0.52992768443329419</v>
      </c>
      <c r="M35" s="12">
        <f>'Table-n=200-miss'!F35</f>
        <v>0.96746203904555295</v>
      </c>
      <c r="N35" s="12">
        <f>'Table-n=200-miss'!G35</f>
        <v>47.000555463791919</v>
      </c>
      <c r="O35" s="12">
        <f>'Table-n=200-miss'!I35</f>
        <v>0.77985160711733692</v>
      </c>
      <c r="P35" s="5"/>
      <c r="Y35" s="12"/>
    </row>
    <row r="36" spans="1:25" x14ac:dyDescent="0.25">
      <c r="B36" s="1" t="s">
        <v>88</v>
      </c>
      <c r="C36" s="12">
        <f>'Table-n=200-corr'!C36</f>
        <v>-0.42955332191865397</v>
      </c>
      <c r="D36" s="12">
        <f>'Table-n=200-corr'!D36</f>
        <v>10.737376045141099</v>
      </c>
      <c r="E36" s="12">
        <f>'Table-n=200-corr'!E36</f>
        <v>1.1959627360096989</v>
      </c>
      <c r="F36" s="12">
        <f>'Table-n=200-corr'!F36</f>
        <v>0.91700000000000004</v>
      </c>
      <c r="G36" s="12">
        <f>'Table-n=200-corr'!G36</f>
        <v>37.710745279176848</v>
      </c>
      <c r="H36" s="12">
        <f>'Table-n=200-corr'!I36</f>
        <v>1.2916837435811026</v>
      </c>
      <c r="I36" s="12"/>
      <c r="J36" s="12">
        <f>'Table-n=200-miss'!C36</f>
        <v>6.9163766214321303</v>
      </c>
      <c r="K36" s="12">
        <f>'Table-n=200-miss'!D36</f>
        <v>12.5161899077056</v>
      </c>
      <c r="L36" s="12">
        <f>'Table-n=200-miss'!E36</f>
        <v>1.0042170935389367</v>
      </c>
      <c r="M36" s="12">
        <f>'Table-n=200-miss'!F36</f>
        <v>0.86799999999999999</v>
      </c>
      <c r="N36" s="12">
        <f>'Table-n=200-miss'!G36</f>
        <v>36.941684255785596</v>
      </c>
      <c r="O36" s="12">
        <f>'Table-n=200-miss'!I36</f>
        <v>1.2623639060440104</v>
      </c>
      <c r="P36" s="5"/>
      <c r="Y36" s="12"/>
    </row>
    <row r="37" spans="1:25" x14ac:dyDescent="0.25">
      <c r="B37" s="1" t="s">
        <v>89</v>
      </c>
      <c r="C37" s="12">
        <f>'Table-n=200-corr'!C37</f>
        <v>1.0721473740792899</v>
      </c>
      <c r="D37" s="12">
        <f>'Table-n=200-corr'!D37</f>
        <v>9.81836875696216</v>
      </c>
      <c r="E37" s="12">
        <f>'Table-n=200-corr'!E37</f>
        <v>1</v>
      </c>
      <c r="F37" s="12">
        <f>'Table-n=200-corr'!F37</f>
        <v>0.96899999999999997</v>
      </c>
      <c r="G37" s="12">
        <f>'Table-n=200-corr'!G37</f>
        <v>42.859116317732912</v>
      </c>
      <c r="H37" s="12">
        <f>'Table-n=200-corr'!I37</f>
        <v>1</v>
      </c>
      <c r="I37" s="12"/>
      <c r="J37" s="12">
        <f>'Table-n=200-miss'!C37</f>
        <v>6.9498148096451597</v>
      </c>
      <c r="K37" s="12">
        <f>'Table-n=200-miss'!D37</f>
        <v>12.489882113551801</v>
      </c>
      <c r="L37" s="12">
        <f>'Table-n=200-miss'!E37</f>
        <v>1</v>
      </c>
      <c r="M37" s="12">
        <f>'Table-n=200-miss'!F37</f>
        <v>0.92200000000000004</v>
      </c>
      <c r="N37" s="12">
        <f>'Table-n=200-miss'!G37</f>
        <v>41.505817896048143</v>
      </c>
      <c r="O37" s="12">
        <f>'Table-n=200-miss'!I37</f>
        <v>1</v>
      </c>
      <c r="P37" s="5"/>
      <c r="Y37" s="12"/>
    </row>
    <row r="38" spans="1:25" s="3" customFormat="1" x14ac:dyDescent="0.25">
      <c r="B38" s="3" t="s">
        <v>2</v>
      </c>
      <c r="C38" s="14">
        <f>'Table-n=200-corr'!C38</f>
        <v>4.1093171318735203E-2</v>
      </c>
      <c r="D38" s="14">
        <f>'Table-n=200-corr'!D38</f>
        <v>12.8749190254293</v>
      </c>
      <c r="E38" s="14">
        <f>'Table-n=200-corr'!E38</f>
        <v>1.7195322842331118</v>
      </c>
      <c r="F38" s="14">
        <f>'Table-n=200-corr'!F38</f>
        <v>0.92300000000000004</v>
      </c>
      <c r="G38" s="14">
        <f>'Table-n=200-corr'!G38</f>
        <v>43.823803964639602</v>
      </c>
      <c r="H38" s="14">
        <f>'Table-n=200-corr'!I38</f>
        <v>0.95645882879654809</v>
      </c>
      <c r="I38" s="14"/>
      <c r="J38" s="14">
        <f>'Table-n=200-miss'!C38</f>
        <v>10.503704406094601</v>
      </c>
      <c r="K38" s="14">
        <f>'Table-n=200-miss'!D38</f>
        <v>18.972696549622899</v>
      </c>
      <c r="L38" s="14">
        <f>'Table-n=200-miss'!E38</f>
        <v>2.3074985814871178</v>
      </c>
      <c r="M38" s="14">
        <f>'Table-n=200-miss'!F38</f>
        <v>0.83499999999999996</v>
      </c>
      <c r="N38" s="14">
        <f>'Table-n=200-miss'!G38</f>
        <v>42.803398094182675</v>
      </c>
      <c r="O38" s="14">
        <f>'Table-n=200-miss'!I38</f>
        <v>0.94028921739092219</v>
      </c>
      <c r="P38" s="13"/>
      <c r="Q38" s="13"/>
      <c r="Y38" s="14"/>
    </row>
    <row r="39" spans="1:25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25">
      <c r="A40" s="2" t="s">
        <v>207</v>
      </c>
      <c r="B40" s="1" t="s">
        <v>3</v>
      </c>
      <c r="C40" s="12">
        <f>'Table-n=200-corr'!C40</f>
        <v>-3.8370056106072798</v>
      </c>
      <c r="D40" s="12">
        <f>'Table-n=200-corr'!D40</f>
        <v>16.307842893488399</v>
      </c>
      <c r="E40" s="12">
        <f>'Table-n=200-corr'!E40</f>
        <v>0.98124034561456919</v>
      </c>
      <c r="F40" s="12">
        <f>'Table-n=200-corr'!F40</f>
        <v>0.90200000000000002</v>
      </c>
      <c r="G40" s="12">
        <f>'Table-n=200-corr'!G40</f>
        <v>62.086688113772389</v>
      </c>
      <c r="H40" s="12">
        <f>'Table-n=200-corr'!I40</f>
        <v>1.216532976188369</v>
      </c>
      <c r="I40" s="12"/>
      <c r="J40" s="12">
        <f>'Table-n=200-miss'!C40</f>
        <v>7.8911058067846103</v>
      </c>
      <c r="K40" s="12">
        <f>'Table-n=200-miss'!D40</f>
        <v>16.619223027336901</v>
      </c>
      <c r="L40" s="12">
        <f>'Table-n=200-miss'!E40</f>
        <v>0.7257805808607668</v>
      </c>
      <c r="M40" s="12">
        <f>'Table-n=200-miss'!F40</f>
        <v>0.86599999999999999</v>
      </c>
      <c r="N40" s="12">
        <f>'Table-n=200-miss'!G40</f>
        <v>48.462458366194433</v>
      </c>
      <c r="O40" s="12">
        <f>'Table-n=200-miss'!I40</f>
        <v>1.0902173371544077</v>
      </c>
      <c r="P40" s="5"/>
      <c r="Y40" s="12"/>
    </row>
    <row r="41" spans="1:25" x14ac:dyDescent="0.25">
      <c r="B41" s="1" t="s">
        <v>5</v>
      </c>
      <c r="C41" s="12">
        <f>'Table-n=200-corr'!C41</f>
        <v>-12.9986700737247</v>
      </c>
      <c r="D41" s="12">
        <f>'Table-n=200-corr'!D41</f>
        <v>16.829087147192201</v>
      </c>
      <c r="E41" s="12">
        <f>'Table-n=200-corr'!E41</f>
        <v>1.0449691704500788</v>
      </c>
      <c r="F41" s="12">
        <f>'Table-n=200-corr'!F41</f>
        <v>0.73608247422680395</v>
      </c>
      <c r="G41" s="12">
        <f>'Table-n=200-corr'!G41</f>
        <v>42.012516137097755</v>
      </c>
      <c r="H41" s="12">
        <f>'Table-n=200-corr'!I41</f>
        <v>2.6568283020943273</v>
      </c>
      <c r="I41" s="12"/>
      <c r="J41" s="12">
        <f>'Table-n=200-miss'!C41</f>
        <v>-5.1325023627810902</v>
      </c>
      <c r="K41" s="12">
        <f>'Table-n=200-miss'!D41</f>
        <v>14.8127955541822</v>
      </c>
      <c r="L41" s="12">
        <f>'Table-n=200-miss'!E41</f>
        <v>0.57657786994543969</v>
      </c>
      <c r="M41" s="12">
        <f>'Table-n=200-miss'!F41</f>
        <v>0.89078156312625201</v>
      </c>
      <c r="N41" s="12">
        <f>'Table-n=200-miss'!G41</f>
        <v>49.291427227244775</v>
      </c>
      <c r="O41" s="12">
        <f>'Table-n=200-miss'!I41</f>
        <v>1.0538557740890642</v>
      </c>
      <c r="P41" s="5"/>
      <c r="Y41" s="12"/>
    </row>
    <row r="42" spans="1:25" x14ac:dyDescent="0.25">
      <c r="B42" s="1" t="s">
        <v>4</v>
      </c>
      <c r="C42" s="12">
        <f>'Table-n=200-corr'!C42</f>
        <v>-5.9565307634834603</v>
      </c>
      <c r="D42" s="12">
        <f>'Table-n=200-corr'!D42</f>
        <v>15.1810649409523</v>
      </c>
      <c r="E42" s="12">
        <f>'Table-n=200-corr'!E42</f>
        <v>0.85032869541098677</v>
      </c>
      <c r="F42" s="12">
        <f>'Table-n=200-corr'!F42</f>
        <v>0.88300000000000001</v>
      </c>
      <c r="G42" s="12">
        <f>'Table-n=200-corr'!G42</f>
        <v>53.827067493920431</v>
      </c>
      <c r="H42" s="12">
        <f>'Table-n=200-corr'!I42</f>
        <v>1.6185250801621252</v>
      </c>
      <c r="I42" s="12"/>
      <c r="J42" s="12">
        <f>'Table-n=200-miss'!C42</f>
        <v>-2.5290272490002401</v>
      </c>
      <c r="K42" s="12">
        <f>'Table-n=200-miss'!D42</f>
        <v>14.8437913410026</v>
      </c>
      <c r="L42" s="12">
        <f>'Table-n=200-miss'!E42</f>
        <v>0.57899337385555238</v>
      </c>
      <c r="M42" s="12">
        <f>'Table-n=200-miss'!F42</f>
        <v>0.93926247288503295</v>
      </c>
      <c r="N42" s="12">
        <f>'Table-n=200-miss'!G42</f>
        <v>71.468964026161643</v>
      </c>
      <c r="O42" s="12">
        <f>'Table-n=200-miss'!I42</f>
        <v>0.5012899435059518</v>
      </c>
      <c r="P42" s="5"/>
      <c r="Y42" s="12"/>
    </row>
    <row r="43" spans="1:25" x14ac:dyDescent="0.25">
      <c r="B43" s="1" t="s">
        <v>88</v>
      </c>
      <c r="C43" s="12">
        <f>'Table-n=200-corr'!C43</f>
        <v>-3.41473802556744</v>
      </c>
      <c r="D43" s="12">
        <f>'Table-n=200-corr'!D43</f>
        <v>19.141007130783201</v>
      </c>
      <c r="E43" s="12">
        <f>'Table-n=200-corr'!E43</f>
        <v>1.3517984031467791</v>
      </c>
      <c r="F43" s="12">
        <f>'Table-n=200-corr'!F43</f>
        <v>0.84599999999999997</v>
      </c>
      <c r="G43" s="12">
        <f>'Table-n=200-corr'!G43</f>
        <v>65.17464168850195</v>
      </c>
      <c r="H43" s="12">
        <f>'Table-n=200-corr'!I43</f>
        <v>1.1039860079191097</v>
      </c>
      <c r="I43" s="12"/>
      <c r="J43" s="12">
        <f>'Table-n=200-miss'!C43</f>
        <v>10.8084917913081</v>
      </c>
      <c r="K43" s="12">
        <f>'Table-n=200-miss'!D43</f>
        <v>20.068641172160699</v>
      </c>
      <c r="L43" s="12">
        <f>'Table-n=200-miss'!E43</f>
        <v>1.0583269307449097</v>
      </c>
      <c r="M43" s="12">
        <f>'Table-n=200-miss'!F43</f>
        <v>0.74299999999999999</v>
      </c>
      <c r="N43" s="12">
        <f>'Table-n=200-miss'!G43</f>
        <v>43.890297201617017</v>
      </c>
      <c r="O43" s="12">
        <f>'Table-n=200-miss'!I43</f>
        <v>1.3291895634046365</v>
      </c>
      <c r="P43" s="5"/>
      <c r="Y43" s="12"/>
    </row>
    <row r="44" spans="1:25" x14ac:dyDescent="0.25">
      <c r="B44" s="1" t="s">
        <v>89</v>
      </c>
      <c r="C44" s="12">
        <f>'Table-n=200-corr'!C44</f>
        <v>0.61770958376838803</v>
      </c>
      <c r="D44" s="12">
        <f>'Table-n=200-corr'!D44</f>
        <v>16.462994022872699</v>
      </c>
      <c r="E44" s="12">
        <f>'Table-n=200-corr'!E44</f>
        <v>1</v>
      </c>
      <c r="F44" s="12">
        <f>'Table-n=200-corr'!F44</f>
        <v>0.93500000000000005</v>
      </c>
      <c r="G44" s="12">
        <f>'Table-n=200-corr'!G44</f>
        <v>68.479477306616303</v>
      </c>
      <c r="H44" s="12">
        <f>'Table-n=200-corr'!I44</f>
        <v>1</v>
      </c>
      <c r="I44" s="12"/>
      <c r="J44" s="12">
        <f>'Table-n=200-miss'!C44</f>
        <v>11.189069661920101</v>
      </c>
      <c r="K44" s="12">
        <f>'Table-n=200-miss'!D44</f>
        <v>19.507788754039399</v>
      </c>
      <c r="L44" s="12">
        <f>'Table-n=200-miss'!E44</f>
        <v>1</v>
      </c>
      <c r="M44" s="12">
        <f>'Table-n=200-miss'!F44</f>
        <v>0.83399999999999996</v>
      </c>
      <c r="N44" s="12">
        <f>'Table-n=200-miss'!G44</f>
        <v>50.601335945425838</v>
      </c>
      <c r="O44" s="12">
        <f>'Table-n=200-miss'!I44</f>
        <v>1</v>
      </c>
      <c r="P44" s="5"/>
      <c r="Y44" s="12"/>
    </row>
    <row r="45" spans="1:25" s="3" customFormat="1" x14ac:dyDescent="0.25">
      <c r="B45" s="3" t="s">
        <v>2</v>
      </c>
      <c r="C45" s="14">
        <f>'Table-n=200-corr'!C45</f>
        <v>-3.9406405979304302</v>
      </c>
      <c r="D45" s="14">
        <f>'Table-n=200-corr'!D45</f>
        <v>21.809648407243401</v>
      </c>
      <c r="E45" s="14">
        <f>'Table-n=200-corr'!E45</f>
        <v>1.755010373168298</v>
      </c>
      <c r="F45" s="14">
        <f>'Table-n=200-corr'!F45</f>
        <v>0.84599999999999997</v>
      </c>
      <c r="G45" s="14">
        <f>'Table-n=200-corr'!G45</f>
        <v>74.544295948987397</v>
      </c>
      <c r="H45" s="14">
        <f>'Table-n=200-corr'!I45</f>
        <v>0.84390204432178606</v>
      </c>
      <c r="I45" s="14"/>
      <c r="J45" s="14">
        <f>'Table-n=200-miss'!C45</f>
        <v>12.0326140022004</v>
      </c>
      <c r="K45" s="14">
        <f>'Table-n=200-miss'!D45</f>
        <v>21.7242978334722</v>
      </c>
      <c r="L45" s="14">
        <f>'Table-n=200-miss'!E45</f>
        <v>1.2401534000828758</v>
      </c>
      <c r="M45" s="14">
        <f>'Table-n=200-miss'!F45</f>
        <v>0.72399999999999998</v>
      </c>
      <c r="N45" s="14">
        <f>'Table-n=200-miss'!G45</f>
        <v>43.795217042879784</v>
      </c>
      <c r="O45" s="14">
        <f>'Table-n=200-miss'!I45</f>
        <v>1.3349672144497029</v>
      </c>
      <c r="P45" s="13"/>
      <c r="Q45" s="13"/>
      <c r="Y45" s="14"/>
    </row>
    <row r="46" spans="1:25" x14ac:dyDescent="0.25">
      <c r="G46" s="7"/>
      <c r="H46" s="7"/>
      <c r="O46" s="7"/>
    </row>
    <row r="47" spans="1:25" x14ac:dyDescent="0.25">
      <c r="G47" s="7"/>
      <c r="H47" s="7"/>
      <c r="O47" s="7"/>
    </row>
    <row r="48" spans="1:25" x14ac:dyDescent="0.25">
      <c r="G48" s="7"/>
      <c r="H48" s="7"/>
      <c r="O48" s="7"/>
    </row>
    <row r="49" spans="7:15" x14ac:dyDescent="0.25">
      <c r="G49" s="7"/>
      <c r="H49" s="7"/>
      <c r="O49" s="7"/>
    </row>
    <row r="50" spans="7:15" x14ac:dyDescent="0.25">
      <c r="G50" s="7"/>
      <c r="H50" s="7"/>
      <c r="O50" s="7"/>
    </row>
    <row r="51" spans="7:15" x14ac:dyDescent="0.25">
      <c r="G51" s="7"/>
      <c r="H51" s="7"/>
      <c r="O51" s="7"/>
    </row>
    <row r="52" spans="7:15" x14ac:dyDescent="0.25">
      <c r="G52" s="7"/>
      <c r="H52" s="7"/>
      <c r="O52" s="7"/>
    </row>
    <row r="53" spans="7:15" x14ac:dyDescent="0.25">
      <c r="G53" s="7"/>
      <c r="H53" s="7"/>
      <c r="O53" s="7"/>
    </row>
    <row r="54" spans="7:15" x14ac:dyDescent="0.25">
      <c r="G54" s="7"/>
      <c r="H54" s="7"/>
      <c r="O54" s="7"/>
    </row>
    <row r="55" spans="7:15" x14ac:dyDescent="0.25">
      <c r="G55" s="7"/>
      <c r="H55" s="7"/>
      <c r="O55" s="7"/>
    </row>
    <row r="56" spans="7:15" x14ac:dyDescent="0.25">
      <c r="G56" s="7"/>
      <c r="H56" s="7"/>
      <c r="O56" s="7"/>
    </row>
    <row r="57" spans="7:15" x14ac:dyDescent="0.25">
      <c r="G57" s="7"/>
      <c r="H57" s="7"/>
      <c r="O57" s="7"/>
    </row>
    <row r="58" spans="7:15" x14ac:dyDescent="0.25">
      <c r="G58" s="7"/>
      <c r="H58" s="7"/>
      <c r="O58" s="7"/>
    </row>
    <row r="59" spans="7:15" x14ac:dyDescent="0.25">
      <c r="G59" s="7"/>
      <c r="H59" s="7"/>
      <c r="O59" s="7"/>
    </row>
    <row r="60" spans="7:15" x14ac:dyDescent="0.25">
      <c r="G60" s="7"/>
      <c r="H60" s="7"/>
      <c r="O60" s="7"/>
    </row>
    <row r="61" spans="7:15" x14ac:dyDescent="0.25">
      <c r="G61" s="7"/>
      <c r="H61" s="7"/>
      <c r="O61" s="7"/>
    </row>
    <row r="62" spans="7:15" x14ac:dyDescent="0.25">
      <c r="G62" s="7"/>
      <c r="H62" s="7"/>
      <c r="O62" s="7"/>
    </row>
    <row r="63" spans="7:15" x14ac:dyDescent="0.25">
      <c r="G63" s="7"/>
      <c r="H63" s="7"/>
      <c r="O63" s="7"/>
    </row>
    <row r="64" spans="7:15" x14ac:dyDescent="0.25">
      <c r="G64" s="7"/>
      <c r="H64" s="7"/>
      <c r="O64" s="7"/>
    </row>
    <row r="65" spans="7:15" x14ac:dyDescent="0.25">
      <c r="G65" s="7"/>
      <c r="H65" s="7"/>
      <c r="O65" s="7"/>
    </row>
    <row r="66" spans="7:15" x14ac:dyDescent="0.25">
      <c r="G66" s="7"/>
      <c r="H66" s="7"/>
      <c r="O66" s="7"/>
    </row>
    <row r="67" spans="7:15" x14ac:dyDescent="0.25">
      <c r="G67" s="7"/>
      <c r="H67" s="7"/>
      <c r="O67" s="7"/>
    </row>
    <row r="68" spans="7:15" x14ac:dyDescent="0.25">
      <c r="G68" s="7"/>
      <c r="H68" s="7"/>
      <c r="O68" s="7"/>
    </row>
    <row r="69" spans="7:15" x14ac:dyDescent="0.25">
      <c r="G69" s="7"/>
      <c r="H69" s="7"/>
      <c r="O69" s="7"/>
    </row>
    <row r="70" spans="7:15" x14ac:dyDescent="0.25">
      <c r="G70" s="7"/>
      <c r="H70" s="7"/>
      <c r="O70" s="7"/>
    </row>
    <row r="71" spans="7:15" x14ac:dyDescent="0.25">
      <c r="G71" s="7"/>
      <c r="H71" s="7"/>
      <c r="O71" s="7"/>
    </row>
    <row r="72" spans="7:15" x14ac:dyDescent="0.25">
      <c r="G72" s="7"/>
      <c r="H72" s="7"/>
      <c r="O72" s="7"/>
    </row>
    <row r="73" spans="7:15" x14ac:dyDescent="0.25">
      <c r="G73" s="7"/>
      <c r="H73" s="7"/>
      <c r="O73" s="7"/>
    </row>
    <row r="74" spans="7:15" x14ac:dyDescent="0.25">
      <c r="G74" s="7"/>
      <c r="H74" s="7"/>
      <c r="O74" s="7"/>
    </row>
    <row r="75" spans="7:15" x14ac:dyDescent="0.25">
      <c r="G75" s="7"/>
      <c r="H75" s="7"/>
      <c r="O75" s="7"/>
    </row>
    <row r="76" spans="7:15" x14ac:dyDescent="0.25">
      <c r="G76" s="7"/>
      <c r="H76" s="7"/>
      <c r="O76" s="7"/>
    </row>
    <row r="77" spans="7:15" x14ac:dyDescent="0.25">
      <c r="G77" s="7"/>
      <c r="H77" s="7"/>
      <c r="O77" s="7"/>
    </row>
    <row r="78" spans="7:15" x14ac:dyDescent="0.25">
      <c r="G78" s="7"/>
      <c r="H78" s="7"/>
      <c r="O78" s="7"/>
    </row>
    <row r="79" spans="7:15" x14ac:dyDescent="0.25">
      <c r="G79" s="7"/>
      <c r="H79" s="7"/>
      <c r="O79" s="7"/>
    </row>
    <row r="80" spans="7:15" x14ac:dyDescent="0.25">
      <c r="G80" s="7"/>
      <c r="H80" s="7"/>
      <c r="O80" s="7"/>
    </row>
    <row r="81" spans="7:15" x14ac:dyDescent="0.25">
      <c r="G81" s="7"/>
      <c r="H81" s="7"/>
      <c r="O81" s="7"/>
    </row>
    <row r="82" spans="7:15" x14ac:dyDescent="0.25">
      <c r="G82" s="7"/>
      <c r="H82" s="7"/>
      <c r="O82" s="7"/>
    </row>
    <row r="83" spans="7:15" x14ac:dyDescent="0.25">
      <c r="G83" s="7"/>
      <c r="H83" s="7"/>
      <c r="O83" s="7"/>
    </row>
    <row r="84" spans="7:15" x14ac:dyDescent="0.25">
      <c r="G84" s="7"/>
      <c r="H84" s="7"/>
      <c r="O84" s="7"/>
    </row>
    <row r="85" spans="7:15" x14ac:dyDescent="0.25">
      <c r="G85" s="7"/>
      <c r="H85" s="7"/>
      <c r="O85" s="7"/>
    </row>
    <row r="86" spans="7:15" x14ac:dyDescent="0.25">
      <c r="G86" s="7"/>
      <c r="H86" s="7"/>
      <c r="O86" s="7"/>
    </row>
    <row r="87" spans="7:15" x14ac:dyDescent="0.25">
      <c r="G87" s="7"/>
      <c r="H87" s="7"/>
      <c r="O87" s="7"/>
    </row>
    <row r="88" spans="7:15" x14ac:dyDescent="0.25">
      <c r="G88" s="7"/>
      <c r="H88" s="7"/>
      <c r="O88" s="7"/>
    </row>
    <row r="89" spans="7:15" x14ac:dyDescent="0.25">
      <c r="G89" s="7"/>
      <c r="H89" s="7"/>
      <c r="O89" s="7"/>
    </row>
    <row r="90" spans="7:15" x14ac:dyDescent="0.25">
      <c r="G90" s="7"/>
      <c r="H90" s="7"/>
      <c r="O90" s="7"/>
    </row>
    <row r="91" spans="7:15" x14ac:dyDescent="0.25">
      <c r="G91" s="7"/>
      <c r="H91" s="7"/>
      <c r="O91" s="7"/>
    </row>
    <row r="92" spans="7:15" x14ac:dyDescent="0.25">
      <c r="G92" s="7"/>
      <c r="H92" s="7"/>
      <c r="O92" s="7"/>
    </row>
    <row r="93" spans="7:15" x14ac:dyDescent="0.25">
      <c r="G93" s="7"/>
      <c r="H93" s="7"/>
      <c r="O93" s="7"/>
    </row>
    <row r="94" spans="7:15" x14ac:dyDescent="0.25">
      <c r="G94" s="7"/>
      <c r="H94" s="7"/>
      <c r="O94" s="7"/>
    </row>
    <row r="95" spans="7:15" x14ac:dyDescent="0.25">
      <c r="G95" s="7"/>
      <c r="H95" s="7"/>
      <c r="O95" s="7"/>
    </row>
    <row r="96" spans="7:15" x14ac:dyDescent="0.25">
      <c r="G96" s="7"/>
      <c r="H96" s="7"/>
      <c r="O96" s="7"/>
    </row>
    <row r="97" spans="7:15" x14ac:dyDescent="0.25">
      <c r="G97" s="7"/>
      <c r="H97" s="7"/>
      <c r="O97" s="7"/>
    </row>
    <row r="98" spans="7:15" x14ac:dyDescent="0.25">
      <c r="G98" s="7"/>
      <c r="H98" s="7"/>
      <c r="O98" s="7"/>
    </row>
    <row r="99" spans="7:15" x14ac:dyDescent="0.25">
      <c r="G99" s="7"/>
      <c r="H99" s="7"/>
      <c r="O99" s="7"/>
    </row>
    <row r="100" spans="7:15" x14ac:dyDescent="0.25">
      <c r="G100" s="7"/>
      <c r="H100" s="7"/>
      <c r="O100" s="7"/>
    </row>
    <row r="101" spans="7:15" x14ac:dyDescent="0.25">
      <c r="G101" s="7"/>
      <c r="H101" s="7"/>
      <c r="O101" s="7"/>
    </row>
    <row r="102" spans="7:15" x14ac:dyDescent="0.25">
      <c r="G102" s="7"/>
      <c r="H102" s="7"/>
      <c r="O102" s="7"/>
    </row>
    <row r="103" spans="7:15" x14ac:dyDescent="0.25">
      <c r="G103" s="7"/>
      <c r="H103" s="7"/>
      <c r="O103" s="7"/>
    </row>
    <row r="104" spans="7:15" x14ac:dyDescent="0.25">
      <c r="G104" s="7"/>
      <c r="H104" s="7"/>
      <c r="O104" s="7"/>
    </row>
    <row r="105" spans="7:15" x14ac:dyDescent="0.25">
      <c r="G105" s="7"/>
      <c r="H105" s="7"/>
      <c r="O105" s="7"/>
    </row>
    <row r="106" spans="7:15" x14ac:dyDescent="0.25">
      <c r="G106" s="7"/>
      <c r="H106" s="7"/>
      <c r="O106" s="7"/>
    </row>
    <row r="107" spans="7:15" x14ac:dyDescent="0.25">
      <c r="G107" s="7"/>
      <c r="H107" s="7"/>
      <c r="O107" s="7"/>
    </row>
    <row r="108" spans="7:15" x14ac:dyDescent="0.25">
      <c r="G108" s="7"/>
      <c r="H108" s="7"/>
      <c r="O108" s="7"/>
    </row>
    <row r="109" spans="7:15" x14ac:dyDescent="0.25">
      <c r="G109" s="7"/>
      <c r="H109" s="7"/>
      <c r="O109" s="7"/>
    </row>
    <row r="110" spans="7:15" x14ac:dyDescent="0.25">
      <c r="G110" s="7"/>
      <c r="H110" s="7"/>
      <c r="O110" s="7"/>
    </row>
    <row r="111" spans="7:15" x14ac:dyDescent="0.25">
      <c r="G111" s="7"/>
      <c r="H111" s="7"/>
      <c r="O111" s="7"/>
    </row>
    <row r="112" spans="7:15" x14ac:dyDescent="0.25">
      <c r="G112" s="7"/>
      <c r="H112" s="7"/>
      <c r="O112" s="7"/>
    </row>
    <row r="113" spans="7:15" x14ac:dyDescent="0.25">
      <c r="G113" s="7"/>
      <c r="H113" s="7"/>
      <c r="O113" s="7"/>
    </row>
    <row r="114" spans="7:15" x14ac:dyDescent="0.25">
      <c r="G114" s="7"/>
      <c r="H114" s="7"/>
      <c r="O114" s="7"/>
    </row>
    <row r="115" spans="7:15" x14ac:dyDescent="0.25">
      <c r="G115" s="7"/>
      <c r="H115" s="7"/>
      <c r="O115" s="7"/>
    </row>
    <row r="116" spans="7:15" x14ac:dyDescent="0.25">
      <c r="G116" s="7"/>
      <c r="H116" s="7"/>
      <c r="O116" s="7"/>
    </row>
    <row r="117" spans="7:15" x14ac:dyDescent="0.25">
      <c r="G117" s="7"/>
      <c r="H117" s="7"/>
      <c r="O117" s="7"/>
    </row>
    <row r="118" spans="7:15" x14ac:dyDescent="0.25">
      <c r="G118" s="7"/>
      <c r="H118" s="7"/>
      <c r="O118" s="7"/>
    </row>
    <row r="119" spans="7:15" x14ac:dyDescent="0.25">
      <c r="G119" s="7"/>
      <c r="H119" s="7"/>
      <c r="O119" s="7"/>
    </row>
    <row r="120" spans="7:15" x14ac:dyDescent="0.2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topLeftCell="C1" workbookViewId="0">
      <selection activeCell="AD27" sqref="AD27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5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5.140625" style="1" bestFit="1" customWidth="1"/>
    <col min="9" max="9" width="2.85546875" style="1" customWidth="1"/>
    <col min="10" max="10" width="5.85546875" style="1" bestFit="1" customWidth="1"/>
    <col min="11" max="11" width="6.140625" style="1" bestFit="1" customWidth="1"/>
    <col min="12" max="12" width="7.5703125" style="1" bestFit="1" customWidth="1"/>
    <col min="13" max="13" width="8" style="1" bestFit="1" customWidth="1"/>
    <col min="14" max="14" width="7.7109375" style="1" bestFit="1" customWidth="1"/>
    <col min="15" max="15" width="5.140625" style="1" bestFit="1" customWidth="1"/>
    <col min="16" max="18" width="9.28515625" style="1"/>
    <col min="19" max="19" width="6" style="1" bestFit="1" customWidth="1"/>
    <col min="20" max="20" width="7.5703125" style="1" bestFit="1" customWidth="1"/>
    <col min="21" max="21" width="7" style="1" bestFit="1" customWidth="1"/>
    <col min="22" max="22" width="8.5703125" style="1" bestFit="1" customWidth="1"/>
    <col min="23" max="23" width="7" style="1" bestFit="1" customWidth="1"/>
    <col min="24" max="24" width="8.5703125" style="1" bestFit="1" customWidth="1"/>
    <col min="25" max="25" width="2.85546875" style="1" customWidth="1"/>
    <col min="26" max="26" width="6" style="1" bestFit="1" customWidth="1"/>
    <col min="27" max="27" width="7.5703125" style="1" bestFit="1" customWidth="1"/>
    <col min="28" max="28" width="7" style="1" bestFit="1" customWidth="1"/>
    <col min="29" max="29" width="8.5703125" style="1" bestFit="1" customWidth="1"/>
    <col min="30" max="30" width="7" style="1" bestFit="1" customWidth="1"/>
    <col min="31" max="31" width="8.5703125" style="1" bestFit="1" customWidth="1"/>
    <col min="32" max="16384" width="9.28515625" style="1"/>
  </cols>
  <sheetData>
    <row r="1" spans="1:31" x14ac:dyDescent="0.25">
      <c r="C1" s="16" t="s">
        <v>61</v>
      </c>
      <c r="D1" s="16"/>
      <c r="E1" s="16"/>
      <c r="F1" s="16"/>
      <c r="G1" s="16"/>
      <c r="H1" s="11"/>
      <c r="J1" s="16" t="s">
        <v>71</v>
      </c>
      <c r="K1" s="16"/>
      <c r="L1" s="16"/>
      <c r="M1" s="16"/>
      <c r="N1" s="16"/>
      <c r="O1" s="11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25">
      <c r="C2" s="11" t="s">
        <v>0</v>
      </c>
      <c r="D2" s="11" t="s">
        <v>1</v>
      </c>
      <c r="E2" s="11" t="s">
        <v>167</v>
      </c>
      <c r="F2" s="11" t="s">
        <v>49</v>
      </c>
      <c r="G2" s="11" t="s">
        <v>48</v>
      </c>
      <c r="H2" s="11" t="s">
        <v>91</v>
      </c>
      <c r="J2" s="11" t="s">
        <v>0</v>
      </c>
      <c r="K2" s="11" t="s">
        <v>1</v>
      </c>
      <c r="L2" s="11" t="s">
        <v>167</v>
      </c>
      <c r="M2" s="11" t="s">
        <v>49</v>
      </c>
      <c r="N2" s="11" t="s">
        <v>48</v>
      </c>
      <c r="O2" s="11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2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J3" s="11">
        <v>500</v>
      </c>
      <c r="K3" s="11">
        <v>500</v>
      </c>
      <c r="L3" s="11">
        <v>500</v>
      </c>
      <c r="M3" s="11">
        <v>500</v>
      </c>
      <c r="N3" s="11">
        <v>500</v>
      </c>
      <c r="O3" s="11">
        <v>500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25">
      <c r="C4" s="11"/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</row>
    <row r="5" spans="1:31" x14ac:dyDescent="0.25">
      <c r="A5" s="2" t="s">
        <v>58</v>
      </c>
      <c r="B5" s="1" t="s">
        <v>3</v>
      </c>
      <c r="C5" s="12">
        <f>'Table-n=500-corr'!C5</f>
        <v>-0.24019046491514501</v>
      </c>
      <c r="D5" s="12">
        <f>'Table-n=500-corr'!D5</f>
        <v>4.3934671979531696</v>
      </c>
      <c r="E5" s="12">
        <f>'Table-n=500-corr'!E5</f>
        <v>0.73734755909792271</v>
      </c>
      <c r="F5" s="12">
        <f>'Table-n=500-corr'!F5</f>
        <v>0.95399999999999996</v>
      </c>
      <c r="G5" s="12">
        <f>'Table-n=500-corr'!G5</f>
        <v>17.755621169471887</v>
      </c>
      <c r="H5" s="12">
        <f>'Table-n=500-corr'!I5</f>
        <v>1.7569690029199239</v>
      </c>
      <c r="I5" s="12"/>
      <c r="J5" s="12">
        <f>'Table-n=500-miss'!C5</f>
        <v>5.1055816146108599</v>
      </c>
      <c r="K5" s="12">
        <f>'Table-n=500-miss'!D5</f>
        <v>6.6205635642494496</v>
      </c>
      <c r="L5" s="12">
        <f>'Table-n=500-miss'!E5</f>
        <v>0.37967172014177825</v>
      </c>
      <c r="M5" s="12">
        <f>'Table-n=500-miss'!F5</f>
        <v>0.93500000000000005</v>
      </c>
      <c r="N5" s="12">
        <f>'Table-n=500-miss'!G5</f>
        <v>21.452090710174225</v>
      </c>
      <c r="O5" s="12">
        <f>'Table-n=500-miss'!I5</f>
        <v>1.3049060784629476</v>
      </c>
      <c r="P5" s="5"/>
      <c r="Q5" s="5"/>
      <c r="R5" s="1" t="s">
        <v>3</v>
      </c>
      <c r="S5" s="15">
        <f>100*'Table-n=500-corr'!K5</f>
        <v>269.56722670305601</v>
      </c>
      <c r="T5" s="15">
        <f>100*'Table-n=500-corr'!L5</f>
        <v>40.014945914341901</v>
      </c>
      <c r="U5" s="15">
        <f>100*'Table-n=500-corr'!M5</f>
        <v>149.40040859288399</v>
      </c>
      <c r="V5" s="15">
        <f>100*'Table-n=500-corr'!N5</f>
        <v>8.2729498747094397</v>
      </c>
      <c r="W5" s="15">
        <f>100*'Table-n=500-corr'!O5</f>
        <v>169.75902657345301</v>
      </c>
      <c r="X5" s="15">
        <f>100*'Table-n=500-corr'!P5</f>
        <v>18.440166332961599</v>
      </c>
      <c r="Y5" s="12"/>
      <c r="Z5" s="15">
        <f>100*'Table-n=500-miss'!K5</f>
        <v>290.48258766901898</v>
      </c>
      <c r="AA5" s="15">
        <f>100*'Table-n=500-miss'!L5</f>
        <v>53.948205572731098</v>
      </c>
      <c r="AB5" s="15">
        <f>100*'Table-n=500-miss'!M5</f>
        <v>180.308657845829</v>
      </c>
      <c r="AC5" s="15">
        <f>100*'Table-n=500-miss'!N5</f>
        <v>14.651587010466798</v>
      </c>
      <c r="AD5" s="15">
        <f>100*'Table-n=500-miss'!O5</f>
        <v>165.59086668598698</v>
      </c>
      <c r="AE5" s="15">
        <f>100*'Table-n=500-miss'!P5</f>
        <v>17.896652000309903</v>
      </c>
    </row>
    <row r="6" spans="1:31" x14ac:dyDescent="0.25">
      <c r="B6" s="1" t="s">
        <v>5</v>
      </c>
      <c r="C6" s="12">
        <f>'Table-n=500-corr'!C6</f>
        <v>-5.5535953656211596</v>
      </c>
      <c r="D6" s="12">
        <f>'Table-n=500-corr'!D6</f>
        <v>6.7868146449602804</v>
      </c>
      <c r="E6" s="12">
        <f>'Table-n=500-corr'!E6</f>
        <v>1.759500712376886</v>
      </c>
      <c r="F6" s="12">
        <f>'Table-n=500-corr'!F6</f>
        <v>0.72372372372372396</v>
      </c>
      <c r="G6" s="12">
        <f>'Table-n=500-corr'!G6</f>
        <v>16.169321879152957</v>
      </c>
      <c r="H6" s="12">
        <f>'Table-n=500-corr'!I6</f>
        <v>2.1186159004246421</v>
      </c>
      <c r="I6" s="12"/>
      <c r="J6" s="12">
        <f>'Table-n=500-miss'!C6</f>
        <v>-0.77599253498772203</v>
      </c>
      <c r="K6" s="12">
        <f>'Table-n=500-miss'!D6</f>
        <v>4.79373058450361</v>
      </c>
      <c r="L6" s="12">
        <f>'Table-n=500-miss'!E6</f>
        <v>0.19905155532265678</v>
      </c>
      <c r="M6" s="12">
        <f>'Table-n=500-miss'!F6</f>
        <v>0.96496496496496498</v>
      </c>
      <c r="N6" s="12">
        <f>'Table-n=500-miss'!G6</f>
        <v>20.224658493674337</v>
      </c>
      <c r="O6" s="12">
        <f>'Table-n=500-miss'!I6</f>
        <v>1.4681015918073848</v>
      </c>
      <c r="P6" s="5"/>
      <c r="Q6" s="5"/>
      <c r="R6" s="1" t="s">
        <v>5</v>
      </c>
      <c r="S6" s="15">
        <f>100*'Table-n=500-corr'!K6</f>
        <v>225.21077001453702</v>
      </c>
      <c r="T6" s="15">
        <f>100*'Table-n=500-corr'!L6</f>
        <v>18.625092457521898</v>
      </c>
      <c r="U6" s="15">
        <f>100*'Table-n=500-corr'!M6</f>
        <v>164.63565560602299</v>
      </c>
      <c r="V6" s="15">
        <f>100*'Table-n=500-corr'!N6</f>
        <v>8.1879352819624405</v>
      </c>
      <c r="W6" s="15">
        <f>100*'Table-n=500-corr'!O6</f>
        <v>110.82868266754001</v>
      </c>
      <c r="X6" s="15">
        <f>100*'Table-n=500-corr'!P6</f>
        <v>5.0588701821044895</v>
      </c>
      <c r="Y6" s="12"/>
      <c r="Z6" s="15">
        <f>100*'Table-n=500-miss'!K6</f>
        <v>232.71879829253498</v>
      </c>
      <c r="AA6" s="15">
        <f>100*'Table-n=500-miss'!L6</f>
        <v>30.0795215561661</v>
      </c>
      <c r="AB6" s="15">
        <f>100*'Table-n=500-miss'!M6</f>
        <v>171.45910071417902</v>
      </c>
      <c r="AC6" s="15">
        <f>100*'Table-n=500-miss'!N6</f>
        <v>12.549072824142801</v>
      </c>
      <c r="AD6" s="15">
        <f>100*'Table-n=500-miss'!O6</f>
        <v>129.66914552916001</v>
      </c>
      <c r="AE6" s="15">
        <f>100*'Table-n=500-miss'!P6</f>
        <v>8.0926114792132697</v>
      </c>
    </row>
    <row r="7" spans="1:31" x14ac:dyDescent="0.25">
      <c r="B7" s="1" t="s">
        <v>4</v>
      </c>
      <c r="C7" s="12">
        <f>'Table-n=500-corr'!C7</f>
        <v>-0.95886447394868002</v>
      </c>
      <c r="D7" s="12">
        <f>'Table-n=500-corr'!D7</f>
        <v>4.3113927103882999</v>
      </c>
      <c r="E7" s="12">
        <f>'Table-n=500-corr'!E7</f>
        <v>0.7100560571905723</v>
      </c>
      <c r="F7" s="12">
        <f>'Table-n=500-corr'!F7</f>
        <v>0.94</v>
      </c>
      <c r="G7" s="12">
        <f>'Table-n=500-corr'!G7</f>
        <v>17.027198324192913</v>
      </c>
      <c r="H7" s="12">
        <f>'Table-n=500-corr'!I7</f>
        <v>1.9105105992482034</v>
      </c>
      <c r="I7" s="12"/>
      <c r="J7" s="12">
        <f>'Table-n=500-miss'!C7</f>
        <v>0.39321259690055399</v>
      </c>
      <c r="K7" s="12">
        <f>'Table-n=500-miss'!D7</f>
        <v>5.0657473026073898</v>
      </c>
      <c r="L7" s="12">
        <f>'Table-n=500-miss'!E7</f>
        <v>0.22228255209868719</v>
      </c>
      <c r="M7" s="12">
        <f>'Table-n=500-miss'!F7</f>
        <v>0.98960498960498999</v>
      </c>
      <c r="N7" s="12">
        <f>'Table-n=500-miss'!G7</f>
        <v>28.551857676458155</v>
      </c>
      <c r="O7" s="12">
        <f>'Table-n=500-miss'!I7</f>
        <v>0.73663061297022447</v>
      </c>
      <c r="P7" s="5"/>
      <c r="Q7" s="5"/>
      <c r="R7" s="1" t="s">
        <v>4</v>
      </c>
      <c r="S7" s="15">
        <f>100*'Table-n=500-corr'!K7</f>
        <v>263.97237498559298</v>
      </c>
      <c r="T7" s="15">
        <f>100*'Table-n=500-corr'!L7</f>
        <v>37.7648981224837</v>
      </c>
      <c r="U7" s="15">
        <f>100*'Table-n=500-corr'!M7</f>
        <v>146.69957988644398</v>
      </c>
      <c r="V7" s="15">
        <f>100*'Table-n=500-corr'!N7</f>
        <v>8.0064147056713395</v>
      </c>
      <c r="W7" s="15">
        <f>100*'Table-n=500-corr'!O7</f>
        <v>164.10868735449299</v>
      </c>
      <c r="X7" s="15">
        <f>100*'Table-n=500-corr'!P7</f>
        <v>16.9513607572081</v>
      </c>
      <c r="Y7" s="12"/>
      <c r="Z7" s="15">
        <f>100*'Table-n=500-miss'!K7</f>
        <v>411.801003262243</v>
      </c>
      <c r="AA7" s="15">
        <f>100*'Table-n=500-miss'!L7</f>
        <v>109.650628590628</v>
      </c>
      <c r="AB7" s="15">
        <f>100*'Table-n=500-miss'!M7</f>
        <v>237.76741779129699</v>
      </c>
      <c r="AC7" s="15">
        <f>100*'Table-n=500-miss'!N7</f>
        <v>26.6501671617307</v>
      </c>
      <c r="AD7" s="15">
        <f>100*'Table-n=500-miss'!O7</f>
        <v>205.07967021783199</v>
      </c>
      <c r="AE7" s="15">
        <f>100*'Table-n=500-miss'!P7</f>
        <v>34.639807525281505</v>
      </c>
    </row>
    <row r="8" spans="1:31" x14ac:dyDescent="0.25">
      <c r="B8" s="1" t="s">
        <v>88</v>
      </c>
      <c r="C8" s="12">
        <f>'Table-n=500-corr'!C8</f>
        <v>-0.15663562041824999</v>
      </c>
      <c r="D8" s="12">
        <f>'Table-n=500-corr'!D8</f>
        <v>4.8080327539083498</v>
      </c>
      <c r="E8" s="12">
        <f>'Table-n=500-corr'!E8</f>
        <v>0.88306425481998629</v>
      </c>
      <c r="F8" s="12">
        <f>'Table-n=500-corr'!F8</f>
        <v>0.93200000000000005</v>
      </c>
      <c r="G8" s="12">
        <f>'Table-n=500-corr'!G8</f>
        <v>17.587633949391847</v>
      </c>
      <c r="H8" s="12">
        <f>'Table-n=500-corr'!I8</f>
        <v>1.7906924571557177</v>
      </c>
      <c r="I8" s="12"/>
      <c r="J8" s="12">
        <f>'Table-n=500-miss'!C8</f>
        <v>7.92258300092145</v>
      </c>
      <c r="K8" s="12">
        <f>'Table-n=500-miss'!D8</f>
        <v>9.5619083938045595</v>
      </c>
      <c r="L8" s="12">
        <f>'Table-n=500-miss'!E8</f>
        <v>0.79196773399544329</v>
      </c>
      <c r="M8" s="12">
        <f>'Table-n=500-miss'!F8</f>
        <v>0.61099999999999999</v>
      </c>
      <c r="N8" s="12">
        <f>'Table-n=500-miss'!G8</f>
        <v>18.533760754450828</v>
      </c>
      <c r="O8" s="12">
        <f>'Table-n=500-miss'!I8</f>
        <v>1.7482011372533388</v>
      </c>
      <c r="P8" s="5"/>
      <c r="Q8" s="5"/>
      <c r="R8" s="1" t="s">
        <v>88</v>
      </c>
      <c r="S8" s="15">
        <f>100*'Table-n=500-corr'!K8</f>
        <v>281.36834291276199</v>
      </c>
      <c r="T8" s="15">
        <f>100*'Table-n=500-corr'!L8</f>
        <v>43.2152835988012</v>
      </c>
      <c r="U8" s="15">
        <f>100*'Table-n=500-corr'!M8</f>
        <v>156.66358880801999</v>
      </c>
      <c r="V8" s="15">
        <f>100*'Table-n=500-corr'!N8</f>
        <v>8.9726255927469705</v>
      </c>
      <c r="W8" s="15">
        <f>100*'Table-n=500-corr'!O8</f>
        <v>178.954629173879</v>
      </c>
      <c r="X8" s="15">
        <f>100*'Table-n=500-corr'!P8</f>
        <v>20.276397470977599</v>
      </c>
      <c r="Y8" s="12"/>
      <c r="Z8" s="15">
        <f>100*'Table-n=500-miss'!K8</f>
        <v>321.24399905562598</v>
      </c>
      <c r="AA8" s="15">
        <f>100*'Table-n=500-miss'!L8</f>
        <v>67.616772326326696</v>
      </c>
      <c r="AB8" s="15">
        <f>100*'Table-n=500-miss'!M8</f>
        <v>188.91149660052099</v>
      </c>
      <c r="AC8" s="15">
        <f>100*'Table-n=500-miss'!N8</f>
        <v>16.8813378774929</v>
      </c>
      <c r="AD8" s="15">
        <f>100*'Table-n=500-miss'!O8</f>
        <v>179.955057738888</v>
      </c>
      <c r="AE8" s="15">
        <f>100*'Table-n=500-miss'!P8</f>
        <v>22.812057385065501</v>
      </c>
    </row>
    <row r="9" spans="1:31" x14ac:dyDescent="0.25">
      <c r="B9" s="1" t="s">
        <v>89</v>
      </c>
      <c r="C9" s="12">
        <f>'Table-n=500-corr'!C9</f>
        <v>1.3675182033388</v>
      </c>
      <c r="D9" s="12">
        <f>'Table-n=500-corr'!D9</f>
        <v>5.1164798112110903</v>
      </c>
      <c r="E9" s="12">
        <f>'Table-n=500-corr'!E9</f>
        <v>1</v>
      </c>
      <c r="F9" s="12">
        <f>'Table-n=500-corr'!F9</f>
        <v>0.98299999999999998</v>
      </c>
      <c r="G9" s="12">
        <f>'Table-n=500-corr'!G9</f>
        <v>23.535201461362259</v>
      </c>
      <c r="H9" s="12">
        <f>'Table-n=500-corr'!I9</f>
        <v>1</v>
      </c>
      <c r="I9" s="12"/>
      <c r="J9" s="12">
        <f>'Table-n=500-miss'!C9</f>
        <v>9.0304088838832204</v>
      </c>
      <c r="K9" s="12">
        <f>'Table-n=500-miss'!D9</f>
        <v>10.744614409494901</v>
      </c>
      <c r="L9" s="12">
        <f>'Table-n=500-miss'!E9</f>
        <v>1</v>
      </c>
      <c r="M9" s="12">
        <f>'Table-n=500-miss'!F9</f>
        <v>0.74099999999999999</v>
      </c>
      <c r="N9" s="12">
        <f>'Table-n=500-miss'!G9</f>
        <v>24.505256448558569</v>
      </c>
      <c r="O9" s="12">
        <f>'Table-n=500-miss'!I9</f>
        <v>1</v>
      </c>
      <c r="P9" s="5"/>
      <c r="Q9" s="5"/>
      <c r="R9" s="1" t="s">
        <v>89</v>
      </c>
      <c r="S9" s="15">
        <f>100*'Table-n=500-corr'!K9</f>
        <v>281.54481022710598</v>
      </c>
      <c r="T9" s="15">
        <f>100*'Table-n=500-corr'!L9</f>
        <v>42.1493085618105</v>
      </c>
      <c r="U9" s="15">
        <f>100*'Table-n=500-corr'!M9</f>
        <v>148.72769174862398</v>
      </c>
      <c r="V9" s="15">
        <f>100*'Table-n=500-corr'!N9</f>
        <v>8.1301277985861802</v>
      </c>
      <c r="W9" s="15">
        <f>100*'Table-n=500-corr'!O9</f>
        <v>177.39952922501402</v>
      </c>
      <c r="X9" s="15">
        <f>100*'Table-n=500-corr'!P9</f>
        <v>19.136476983422501</v>
      </c>
      <c r="Y9" s="12"/>
      <c r="Z9" s="15">
        <f>100*'Table-n=500-miss'!K9</f>
        <v>319.347960906097</v>
      </c>
      <c r="AA9" s="15">
        <f>100*'Table-n=500-miss'!L9</f>
        <v>66.372576996322394</v>
      </c>
      <c r="AB9" s="15">
        <f>100*'Table-n=500-miss'!M9</f>
        <v>183.282727238951</v>
      </c>
      <c r="AC9" s="15">
        <f>100*'Table-n=500-miss'!N9</f>
        <v>15.1841700018062</v>
      </c>
      <c r="AD9" s="15">
        <f>100*'Table-n=500-miss'!O9</f>
        <v>180.839380331641</v>
      </c>
      <c r="AE9" s="15">
        <f>100*'Table-n=500-miss'!P9</f>
        <v>23.197702947342901</v>
      </c>
    </row>
    <row r="10" spans="1:31" s="3" customFormat="1" x14ac:dyDescent="0.25">
      <c r="B10" s="3" t="s">
        <v>2</v>
      </c>
      <c r="C10" s="14">
        <f>'Table-n=500-corr'!C10</f>
        <v>-8.2933816983754099E-2</v>
      </c>
      <c r="D10" s="14">
        <f>'Table-n=500-corr'!D10</f>
        <v>5.7556480051109</v>
      </c>
      <c r="E10" s="14">
        <f>'Table-n=500-corr'!E10</f>
        <v>1.2654527173640391</v>
      </c>
      <c r="F10" s="14">
        <f>'Table-n=500-corr'!F10</f>
        <v>0.94399999999999995</v>
      </c>
      <c r="G10" s="14">
        <f>'Table-n=500-corr'!G10</f>
        <v>20.502389330340904</v>
      </c>
      <c r="H10" s="14">
        <f>'Table-n=500-corr'!I10</f>
        <v>1.3177313789076885</v>
      </c>
      <c r="I10" s="14"/>
      <c r="J10" s="14">
        <f>'Table-n=500-miss'!C10</f>
        <v>10.605288075578301</v>
      </c>
      <c r="K10" s="14">
        <f>'Table-n=500-miss'!D10</f>
        <v>14.143382883559401</v>
      </c>
      <c r="L10" s="14">
        <f>'Table-n=500-miss'!E10</f>
        <v>1.7327061938266062</v>
      </c>
      <c r="M10" s="14">
        <f>'Table-n=500-miss'!F10</f>
        <v>0.628</v>
      </c>
      <c r="N10" s="14">
        <f>'Table-n=500-miss'!G10</f>
        <v>24.439149217690243</v>
      </c>
      <c r="O10" s="14">
        <f>'Table-n=500-miss'!I10</f>
        <v>1.0054172622299808</v>
      </c>
      <c r="P10" s="13"/>
      <c r="Q10" s="13"/>
      <c r="R10" s="3" t="s">
        <v>2</v>
      </c>
      <c r="S10" s="15">
        <f>100*'Table-n=500-corr'!K10</f>
        <v>278.02197985773904</v>
      </c>
      <c r="T10" s="15">
        <f>100*'Table-n=500-corr'!L10</f>
        <v>43.318994284857297</v>
      </c>
      <c r="U10" s="15">
        <f>100*'Table-n=500-corr'!M10</f>
        <v>153.91948044899698</v>
      </c>
      <c r="V10" s="15">
        <f>100*'Table-n=500-corr'!N10</f>
        <v>8.0920991075885098</v>
      </c>
      <c r="W10" s="15">
        <f>100*'Table-n=500-corr'!O10</f>
        <v>182.74568591093302</v>
      </c>
      <c r="X10" s="15">
        <f>100*'Table-n=500-corr'!P10</f>
        <v>22.324344875002399</v>
      </c>
      <c r="Y10" s="14"/>
      <c r="Z10" s="15">
        <f>100*'Table-n=500-miss'!K10</f>
        <v>362.19869834396297</v>
      </c>
      <c r="AA10" s="15">
        <f>100*'Table-n=500-miss'!L10</f>
        <v>76.891125390176796</v>
      </c>
      <c r="AB10" s="15">
        <f>100*'Table-n=500-miss'!M10</f>
        <v>249.77668114754601</v>
      </c>
      <c r="AC10" s="15">
        <f>100*'Table-n=500-miss'!N10</f>
        <v>29.524463640727099</v>
      </c>
      <c r="AD10" s="15">
        <f>100*'Table-n=500-miss'!O10</f>
        <v>174.283263425</v>
      </c>
      <c r="AE10" s="15">
        <f>100*'Table-n=500-miss'!P10</f>
        <v>20.745922502488</v>
      </c>
    </row>
    <row r="11" spans="1:31" s="4" customFormat="1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 t="s">
        <v>219</v>
      </c>
      <c r="T11" s="16"/>
      <c r="U11" s="16"/>
      <c r="V11" s="16"/>
      <c r="W11" s="16"/>
      <c r="X11" s="16"/>
      <c r="Y11" s="7"/>
      <c r="Z11" s="16" t="s">
        <v>219</v>
      </c>
      <c r="AA11" s="16"/>
      <c r="AB11" s="16"/>
      <c r="AC11" s="16"/>
      <c r="AD11" s="16"/>
      <c r="AE11" s="16"/>
    </row>
    <row r="12" spans="1:31" x14ac:dyDescent="0.25">
      <c r="A12" s="2" t="s">
        <v>206</v>
      </c>
      <c r="B12" s="1" t="s">
        <v>3</v>
      </c>
      <c r="C12" s="12">
        <f>'Table-n=500-corr'!C12</f>
        <v>-0.15013394464521901</v>
      </c>
      <c r="D12" s="12">
        <f>'Table-n=500-corr'!D12</f>
        <v>4.6132884506203196</v>
      </c>
      <c r="E12" s="12">
        <f>'Table-n=500-corr'!E12</f>
        <v>1.0135799115274682</v>
      </c>
      <c r="F12" s="12">
        <f>'Table-n=500-corr'!F12</f>
        <v>0.95099999999999996</v>
      </c>
      <c r="G12" s="12">
        <f>'Table-n=500-corr'!G12</f>
        <v>18.272438545972424</v>
      </c>
      <c r="H12" s="12">
        <f>'Table-n=500-corr'!I12</f>
        <v>1.0399136736543158</v>
      </c>
      <c r="I12" s="12"/>
      <c r="J12" s="12">
        <f>'Table-n=500-miss'!C12</f>
        <v>-1.67117748369357</v>
      </c>
      <c r="K12" s="12">
        <f>'Table-n=500-miss'!D12</f>
        <v>4.9064536911793697</v>
      </c>
      <c r="L12" s="12">
        <f>'Table-n=500-miss'!E12</f>
        <v>1.18352578575017</v>
      </c>
      <c r="M12" s="12">
        <f>'Table-n=500-miss'!F12</f>
        <v>0.91900000000000004</v>
      </c>
      <c r="N12" s="12">
        <f>'Table-n=500-miss'!G12</f>
        <v>18.202737012810012</v>
      </c>
      <c r="O12" s="12">
        <f>'Table-n=500-miss'!I12</f>
        <v>1.0242998868069251</v>
      </c>
      <c r="P12" s="5"/>
      <c r="Q12" s="5"/>
      <c r="R12" s="1" t="s">
        <v>3</v>
      </c>
      <c r="S12" s="15">
        <f>100*S5/S$9</f>
        <v>95.745762987288472</v>
      </c>
      <c r="T12" s="15">
        <f t="shared" ref="T12:X12" si="0">100*T5/T$9</f>
        <v>94.936185858568408</v>
      </c>
      <c r="U12" s="15">
        <f t="shared" si="0"/>
        <v>100.45231445223868</v>
      </c>
      <c r="V12" s="15">
        <f t="shared" si="0"/>
        <v>101.75670148934309</v>
      </c>
      <c r="W12" s="15">
        <f t="shared" si="0"/>
        <v>95.693053592115362</v>
      </c>
      <c r="X12" s="15">
        <f t="shared" si="0"/>
        <v>96.361343568807882</v>
      </c>
      <c r="Y12" s="12"/>
      <c r="Z12" s="15">
        <f>100*Z5/Z$9</f>
        <v>90.96115310861002</v>
      </c>
      <c r="AA12" s="15">
        <f t="shared" ref="AA12:AE12" si="1">100*AA5/AA$9</f>
        <v>81.280866306758412</v>
      </c>
      <c r="AB12" s="15">
        <f t="shared" si="1"/>
        <v>98.377332420831664</v>
      </c>
      <c r="AC12" s="15">
        <f t="shared" si="1"/>
        <v>96.492511666584022</v>
      </c>
      <c r="AD12" s="15">
        <f t="shared" si="1"/>
        <v>91.567924189029071</v>
      </c>
      <c r="AE12" s="15">
        <f t="shared" si="1"/>
        <v>77.148379910433377</v>
      </c>
    </row>
    <row r="13" spans="1:31" x14ac:dyDescent="0.25">
      <c r="B13" s="1" t="s">
        <v>5</v>
      </c>
      <c r="C13" s="12">
        <f>'Table-n=500-corr'!C13</f>
        <v>-2.3280974944967401</v>
      </c>
      <c r="D13" s="12">
        <f>'Table-n=500-corr'!D13</f>
        <v>5.4576570534142999</v>
      </c>
      <c r="E13" s="12">
        <f>'Table-n=500-corr'!E13</f>
        <v>1.4185650590567855</v>
      </c>
      <c r="F13" s="12">
        <f>'Table-n=500-corr'!F13</f>
        <v>0.91891891891891897</v>
      </c>
      <c r="G13" s="12">
        <f>'Table-n=500-corr'!G13</f>
        <v>20.645124529564111</v>
      </c>
      <c r="H13" s="12">
        <f>'Table-n=500-corr'!I13</f>
        <v>0.8146204248661757</v>
      </c>
      <c r="I13" s="12"/>
      <c r="J13" s="12">
        <f>'Table-n=500-miss'!C13</f>
        <v>-3.9734804276729898</v>
      </c>
      <c r="K13" s="12">
        <f>'Table-n=500-miss'!D13</f>
        <v>6.2424035512633802</v>
      </c>
      <c r="L13" s="12">
        <f>'Table-n=500-miss'!E13</f>
        <v>1.9157816010933566</v>
      </c>
      <c r="M13" s="12">
        <f>'Table-n=500-miss'!F13</f>
        <v>0.86686686686686698</v>
      </c>
      <c r="N13" s="12">
        <f>'Table-n=500-miss'!G13</f>
        <v>19.741770682080578</v>
      </c>
      <c r="O13" s="12">
        <f>'Table-n=500-miss'!I13</f>
        <v>0.87081982606575348</v>
      </c>
      <c r="P13" s="5"/>
      <c r="Q13" s="5"/>
      <c r="R13" s="1" t="s">
        <v>5</v>
      </c>
      <c r="S13" s="15">
        <f t="shared" ref="S13:X17" si="2">100*S6/S$9</f>
        <v>79.991092655152286</v>
      </c>
      <c r="T13" s="15">
        <f t="shared" si="2"/>
        <v>44.188370089651286</v>
      </c>
      <c r="U13" s="15">
        <f t="shared" si="2"/>
        <v>110.69603358350123</v>
      </c>
      <c r="V13" s="15">
        <f t="shared" si="2"/>
        <v>100.71102797899823</v>
      </c>
      <c r="W13" s="15">
        <f t="shared" si="2"/>
        <v>62.474056809341711</v>
      </c>
      <c r="X13" s="15">
        <f t="shared" si="2"/>
        <v>26.435744606945548</v>
      </c>
      <c r="Y13" s="12"/>
      <c r="Z13" s="15">
        <f t="shared" ref="Z13:AE17" si="3">100*Z6/Z$9</f>
        <v>72.87311233559592</v>
      </c>
      <c r="AA13" s="15">
        <f t="shared" si="3"/>
        <v>45.319200967340414</v>
      </c>
      <c r="AB13" s="15">
        <f t="shared" si="3"/>
        <v>93.548968469157927</v>
      </c>
      <c r="AC13" s="15">
        <f t="shared" si="3"/>
        <v>82.64576083282823</v>
      </c>
      <c r="AD13" s="15">
        <f t="shared" si="3"/>
        <v>71.704042167895082</v>
      </c>
      <c r="AE13" s="15">
        <f t="shared" si="3"/>
        <v>34.885400065613865</v>
      </c>
    </row>
    <row r="14" spans="1:31" x14ac:dyDescent="0.25">
      <c r="B14" s="1" t="s">
        <v>4</v>
      </c>
      <c r="C14" s="12">
        <f>'Table-n=500-corr'!C14</f>
        <v>-0.60275253667636997</v>
      </c>
      <c r="D14" s="12">
        <f>'Table-n=500-corr'!D14</f>
        <v>4.6175388589624298</v>
      </c>
      <c r="E14" s="12">
        <f>'Table-n=500-corr'!E14</f>
        <v>1.0154484758644222</v>
      </c>
      <c r="F14" s="12">
        <f>'Table-n=500-corr'!F14</f>
        <v>0.94699999999999995</v>
      </c>
      <c r="G14" s="12">
        <f>'Table-n=500-corr'!G14</f>
        <v>18.181325789340136</v>
      </c>
      <c r="H14" s="12">
        <f>'Table-n=500-corr'!I14</f>
        <v>1.0503625059532471</v>
      </c>
      <c r="I14" s="12"/>
      <c r="J14" s="12">
        <f>'Table-n=500-miss'!C14</f>
        <v>-0.91669330267057303</v>
      </c>
      <c r="K14" s="12">
        <f>'Table-n=500-miss'!D14</f>
        <v>5.5356375449715101</v>
      </c>
      <c r="L14" s="12">
        <f>'Table-n=500-miss'!E14</f>
        <v>1.5065293902035617</v>
      </c>
      <c r="M14" s="12">
        <f>'Table-n=500-miss'!F14</f>
        <v>0.96153846153846201</v>
      </c>
      <c r="N14" s="12">
        <f>'Table-n=500-miss'!G14</f>
        <v>24.383273919754121</v>
      </c>
      <c r="O14" s="12">
        <f>'Table-n=500-miss'!I14</f>
        <v>0.57084273581273726</v>
      </c>
      <c r="P14" s="5"/>
      <c r="Q14" s="5"/>
      <c r="R14" s="1" t="s">
        <v>4</v>
      </c>
      <c r="S14" s="15">
        <f t="shared" si="2"/>
        <v>93.758565385262003</v>
      </c>
      <c r="T14" s="15">
        <f t="shared" si="2"/>
        <v>89.597906611214711</v>
      </c>
      <c r="U14" s="15">
        <f t="shared" si="2"/>
        <v>98.636358946787226</v>
      </c>
      <c r="V14" s="15">
        <f t="shared" si="2"/>
        <v>98.478337659878434</v>
      </c>
      <c r="W14" s="15">
        <f t="shared" si="2"/>
        <v>92.507961025272564</v>
      </c>
      <c r="X14" s="15">
        <f t="shared" si="2"/>
        <v>88.581408019316626</v>
      </c>
      <c r="Y14" s="12"/>
      <c r="Z14" s="15">
        <f t="shared" si="3"/>
        <v>128.95056605147118</v>
      </c>
      <c r="AA14" s="15">
        <f t="shared" si="3"/>
        <v>165.20471790134587</v>
      </c>
      <c r="AB14" s="15">
        <f t="shared" si="3"/>
        <v>129.72712779492457</v>
      </c>
      <c r="AC14" s="15">
        <f t="shared" si="3"/>
        <v>175.51283447538185</v>
      </c>
      <c r="AD14" s="15">
        <f t="shared" si="3"/>
        <v>113.40432036525273</v>
      </c>
      <c r="AE14" s="15">
        <f t="shared" si="3"/>
        <v>149.32429992707188</v>
      </c>
    </row>
    <row r="15" spans="1:31" x14ac:dyDescent="0.25">
      <c r="B15" s="1" t="s">
        <v>88</v>
      </c>
      <c r="C15" s="12">
        <f>'Table-n=500-corr'!C15</f>
        <v>-0.108925539821151</v>
      </c>
      <c r="D15" s="12">
        <f>'Table-n=500-corr'!D15</f>
        <v>4.5553730704000701</v>
      </c>
      <c r="E15" s="12">
        <f>'Table-n=500-corr'!E15</f>
        <v>0.98829062213118002</v>
      </c>
      <c r="F15" s="12">
        <f>'Table-n=500-corr'!F15</f>
        <v>0.94399999999999995</v>
      </c>
      <c r="G15" s="12">
        <f>'Table-n=500-corr'!G15</f>
        <v>17.556452728074778</v>
      </c>
      <c r="H15" s="12">
        <f>'Table-n=500-corr'!I15</f>
        <v>1.1264625701329252</v>
      </c>
      <c r="I15" s="12"/>
      <c r="J15" s="12">
        <f>'Table-n=500-miss'!C15</f>
        <v>-0.193878837330999</v>
      </c>
      <c r="K15" s="12">
        <f>'Table-n=500-miss'!D15</f>
        <v>4.46680671279056</v>
      </c>
      <c r="L15" s="12">
        <f>'Table-n=500-miss'!E15</f>
        <v>0.98092688187995358</v>
      </c>
      <c r="M15" s="12">
        <f>'Table-n=500-miss'!F15</f>
        <v>0.94299999999999995</v>
      </c>
      <c r="N15" s="12">
        <f>'Table-n=500-miss'!G15</f>
        <v>17.574280776495147</v>
      </c>
      <c r="O15" s="12">
        <f>'Table-n=500-miss'!I15</f>
        <v>1.0988676611193815</v>
      </c>
      <c r="P15" s="5"/>
      <c r="Q15" s="5"/>
      <c r="R15" s="1" t="s">
        <v>88</v>
      </c>
      <c r="S15" s="15">
        <f t="shared" si="2"/>
        <v>99.937321766221984</v>
      </c>
      <c r="T15" s="15">
        <f t="shared" si="2"/>
        <v>102.52904513351028</v>
      </c>
      <c r="U15" s="15">
        <f t="shared" si="2"/>
        <v>105.33585707281</v>
      </c>
      <c r="V15" s="15">
        <f t="shared" si="2"/>
        <v>110.36266360176158</v>
      </c>
      <c r="W15" s="15">
        <f t="shared" si="2"/>
        <v>100.87660883636984</v>
      </c>
      <c r="X15" s="15">
        <f t="shared" si="2"/>
        <v>105.95679386828927</v>
      </c>
      <c r="Y15" s="12"/>
      <c r="Z15" s="15">
        <f t="shared" si="3"/>
        <v>100.59372170223016</v>
      </c>
      <c r="AA15" s="15">
        <f t="shared" si="3"/>
        <v>101.87456233629929</v>
      </c>
      <c r="AB15" s="15">
        <f t="shared" si="3"/>
        <v>103.07108555528617</v>
      </c>
      <c r="AC15" s="15">
        <f t="shared" si="3"/>
        <v>111.17721861310046</v>
      </c>
      <c r="AD15" s="15">
        <f t="shared" si="3"/>
        <v>99.510990033735325</v>
      </c>
      <c r="AE15" s="15">
        <f t="shared" si="3"/>
        <v>98.337570046686139</v>
      </c>
    </row>
    <row r="16" spans="1:31" x14ac:dyDescent="0.25">
      <c r="B16" s="1" t="s">
        <v>89</v>
      </c>
      <c r="C16" s="12">
        <f>'Table-n=500-corr'!C16</f>
        <v>0.44940322043199599</v>
      </c>
      <c r="D16" s="12">
        <f>'Table-n=500-corr'!D16</f>
        <v>4.5822798912405496</v>
      </c>
      <c r="E16" s="12">
        <f>'Table-n=500-corr'!E16</f>
        <v>1</v>
      </c>
      <c r="F16" s="12">
        <f>'Table-n=500-corr'!F16</f>
        <v>0.95399999999999996</v>
      </c>
      <c r="G16" s="12">
        <f>'Table-n=500-corr'!G16</f>
        <v>18.633530744846599</v>
      </c>
      <c r="H16" s="12">
        <f>'Table-n=500-corr'!I16</f>
        <v>1</v>
      </c>
      <c r="I16" s="12"/>
      <c r="J16" s="12">
        <f>'Table-n=500-miss'!C16</f>
        <v>0.37293513164441799</v>
      </c>
      <c r="K16" s="12">
        <f>'Table-n=500-miss'!D16</f>
        <v>4.5100238855886996</v>
      </c>
      <c r="L16" s="12">
        <f>'Table-n=500-miss'!E16</f>
        <v>1</v>
      </c>
      <c r="M16" s="12">
        <f>'Table-n=500-miss'!F16</f>
        <v>0.94699999999999995</v>
      </c>
      <c r="N16" s="12">
        <f>'Table-n=500-miss'!G16</f>
        <v>18.4225717633771</v>
      </c>
      <c r="O16" s="12">
        <f>'Table-n=500-miss'!I16</f>
        <v>1</v>
      </c>
      <c r="P16" s="5"/>
      <c r="Q16" s="5"/>
      <c r="R16" s="1" t="s">
        <v>89</v>
      </c>
      <c r="S16" s="15">
        <f t="shared" si="2"/>
        <v>100</v>
      </c>
      <c r="T16" s="15">
        <f t="shared" si="2"/>
        <v>100.00000000000001</v>
      </c>
      <c r="U16" s="15">
        <f t="shared" si="2"/>
        <v>100</v>
      </c>
      <c r="V16" s="15">
        <f t="shared" si="2"/>
        <v>100</v>
      </c>
      <c r="W16" s="15">
        <f t="shared" si="2"/>
        <v>100</v>
      </c>
      <c r="X16" s="15">
        <f t="shared" si="2"/>
        <v>100</v>
      </c>
      <c r="Y16" s="12"/>
      <c r="Z16" s="15">
        <f t="shared" si="3"/>
        <v>100</v>
      </c>
      <c r="AA16" s="15">
        <f t="shared" si="3"/>
        <v>100</v>
      </c>
      <c r="AB16" s="15">
        <f t="shared" si="3"/>
        <v>100.00000000000001</v>
      </c>
      <c r="AC16" s="15">
        <f t="shared" si="3"/>
        <v>100</v>
      </c>
      <c r="AD16" s="15">
        <f t="shared" si="3"/>
        <v>100</v>
      </c>
      <c r="AE16" s="15">
        <f t="shared" si="3"/>
        <v>100</v>
      </c>
    </row>
    <row r="17" spans="1:31" s="3" customFormat="1" x14ac:dyDescent="0.25">
      <c r="B17" s="3" t="s">
        <v>2</v>
      </c>
      <c r="C17" s="14">
        <f>'Table-n=500-corr'!C17</f>
        <v>-5.7329670651064597E-2</v>
      </c>
      <c r="D17" s="14">
        <f>'Table-n=500-corr'!D17</f>
        <v>4.6241204439277404</v>
      </c>
      <c r="E17" s="14">
        <f>'Table-n=500-corr'!E17</f>
        <v>1.0183452672510431</v>
      </c>
      <c r="F17" s="14">
        <f>'Table-n=500-corr'!F17</f>
        <v>0.94399999999999995</v>
      </c>
      <c r="G17" s="14">
        <f>'Table-n=500-corr'!G17</f>
        <v>17.810086604706029</v>
      </c>
      <c r="H17" s="14">
        <f>'Table-n=500-corr'!I17</f>
        <v>1.0946070626397884</v>
      </c>
      <c r="I17" s="14"/>
      <c r="J17" s="14">
        <f>'Table-n=500-miss'!C17</f>
        <v>0.908834693527247</v>
      </c>
      <c r="K17" s="14">
        <f>'Table-n=500-miss'!D17</f>
        <v>5.1679294231010902</v>
      </c>
      <c r="L17" s="14">
        <f>'Table-n=500-miss'!E17</f>
        <v>1.313032464499841</v>
      </c>
      <c r="M17" s="14">
        <f>'Table-n=500-miss'!F17</f>
        <v>0.94499999999999995</v>
      </c>
      <c r="N17" s="14">
        <f>'Table-n=500-miss'!G17</f>
        <v>18.767495049403376</v>
      </c>
      <c r="O17" s="14">
        <f>'Table-n=500-miss'!I17</f>
        <v>0.96358025895386257</v>
      </c>
      <c r="P17" s="13"/>
      <c r="Q17" s="13"/>
      <c r="R17" s="3" t="s">
        <v>2</v>
      </c>
      <c r="S17" s="15">
        <f t="shared" si="2"/>
        <v>98.748749669182217</v>
      </c>
      <c r="T17" s="15">
        <f t="shared" si="2"/>
        <v>102.77510061957837</v>
      </c>
      <c r="U17" s="15">
        <f t="shared" si="2"/>
        <v>103.49080163843868</v>
      </c>
      <c r="V17" s="15">
        <f t="shared" si="2"/>
        <v>99.532249775897952</v>
      </c>
      <c r="W17" s="15">
        <f t="shared" si="2"/>
        <v>103.01362506951071</v>
      </c>
      <c r="X17" s="15">
        <f t="shared" si="2"/>
        <v>116.65859339909575</v>
      </c>
      <c r="Y17" s="14"/>
      <c r="Z17" s="15">
        <f t="shared" si="3"/>
        <v>113.41819666431691</v>
      </c>
      <c r="AA17" s="15">
        <f t="shared" si="3"/>
        <v>115.84773240676977</v>
      </c>
      <c r="AB17" s="15">
        <f t="shared" si="3"/>
        <v>136.279443737164</v>
      </c>
      <c r="AC17" s="15">
        <f t="shared" si="3"/>
        <v>194.44239386950412</v>
      </c>
      <c r="AD17" s="15">
        <f t="shared" si="3"/>
        <v>96.374618794524878</v>
      </c>
      <c r="AE17" s="15">
        <f t="shared" si="3"/>
        <v>89.430934388545879</v>
      </c>
    </row>
    <row r="18" spans="1:31" s="4" customFormat="1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25">
      <c r="A19" s="2" t="s">
        <v>59</v>
      </c>
      <c r="B19" s="1" t="s">
        <v>3</v>
      </c>
      <c r="C19" s="12">
        <f>'Table-n=500-corr'!C19</f>
        <v>-5.8979156020775698E-2</v>
      </c>
      <c r="D19" s="12">
        <f>'Table-n=500-corr'!D19</f>
        <v>4.2960080610063001</v>
      </c>
      <c r="E19" s="12">
        <f>'Table-n=500-corr'!E19</f>
        <v>1.0031290521012155</v>
      </c>
      <c r="F19" s="12">
        <f>'Table-n=500-corr'!F19</f>
        <v>0.95</v>
      </c>
      <c r="G19" s="12">
        <f>'Table-n=500-corr'!G19</f>
        <v>17.1591581477071</v>
      </c>
      <c r="H19" s="12">
        <f>'Table-n=500-corr'!I19</f>
        <v>1.1090532783595084</v>
      </c>
      <c r="I19" s="12"/>
      <c r="J19" s="12">
        <f>'Table-n=500-miss'!C19</f>
        <v>-0.423423734298851</v>
      </c>
      <c r="K19" s="12">
        <f>'Table-n=500-miss'!D19</f>
        <v>4.2223147320506502</v>
      </c>
      <c r="L19" s="12">
        <f>'Table-n=500-miss'!E19</f>
        <v>0.82617889736886518</v>
      </c>
      <c r="M19" s="12">
        <f>'Table-n=500-miss'!F19</f>
        <v>0.95899999999999996</v>
      </c>
      <c r="N19" s="12">
        <f>'Table-n=500-miss'!G19</f>
        <v>17.399152046763138</v>
      </c>
      <c r="O19" s="12">
        <f>'Table-n=500-miss'!I19</f>
        <v>1.0589444727398676</v>
      </c>
      <c r="P19" s="5"/>
      <c r="Q19" s="5"/>
      <c r="Y19" s="12"/>
    </row>
    <row r="20" spans="1:31" x14ac:dyDescent="0.25">
      <c r="B20" s="1" t="s">
        <v>5</v>
      </c>
      <c r="C20" s="12">
        <f>'Table-n=500-corr'!C20</f>
        <v>-3.0668903990438601</v>
      </c>
      <c r="D20" s="12">
        <f>'Table-n=500-corr'!D20</f>
        <v>5.4615752581454204</v>
      </c>
      <c r="E20" s="12">
        <f>'Table-n=500-corr'!E20</f>
        <v>1.6212966227613477</v>
      </c>
      <c r="F20" s="12">
        <f>'Table-n=500-corr'!F20</f>
        <v>0.89789789789789798</v>
      </c>
      <c r="G20" s="12">
        <f>'Table-n=500-corr'!G20</f>
        <v>18.773208691127135</v>
      </c>
      <c r="H20" s="12">
        <f>'Table-n=500-corr'!I20</f>
        <v>0.92654677305816657</v>
      </c>
      <c r="I20" s="12"/>
      <c r="J20" s="12">
        <f>'Table-n=500-miss'!C20</f>
        <v>-3.2158267071019102</v>
      </c>
      <c r="K20" s="12">
        <f>'Table-n=500-miss'!D20</f>
        <v>5.4889569899849002</v>
      </c>
      <c r="L20" s="12">
        <f>'Table-n=500-miss'!E20</f>
        <v>1.3962157998873943</v>
      </c>
      <c r="M20" s="12">
        <f>'Table-n=500-miss'!F20</f>
        <v>0.901901901901902</v>
      </c>
      <c r="N20" s="12">
        <f>'Table-n=500-miss'!G20</f>
        <v>18.390467836682763</v>
      </c>
      <c r="O20" s="12">
        <f>'Table-n=500-miss'!I20</f>
        <v>0.94785913427722912</v>
      </c>
      <c r="P20" s="5"/>
      <c r="Q20" s="5"/>
      <c r="Y20" s="12"/>
    </row>
    <row r="21" spans="1:31" x14ac:dyDescent="0.25">
      <c r="B21" s="1" t="s">
        <v>4</v>
      </c>
      <c r="C21" s="12">
        <f>'Table-n=500-corr'!C21</f>
        <v>-0.59191560944208299</v>
      </c>
      <c r="D21" s="12">
        <f>'Table-n=500-corr'!D21</f>
        <v>4.2621798609182902</v>
      </c>
      <c r="E21" s="12">
        <f>'Table-n=500-corr'!E21</f>
        <v>0.9873933058947354</v>
      </c>
      <c r="F21" s="12">
        <f>'Table-n=500-corr'!F21</f>
        <v>0.94899999999999995</v>
      </c>
      <c r="G21" s="12">
        <f>'Table-n=500-corr'!G21</f>
        <v>16.980891030615076</v>
      </c>
      <c r="H21" s="12">
        <f>'Table-n=500-corr'!I21</f>
        <v>1.1324614149743772</v>
      </c>
      <c r="I21" s="12"/>
      <c r="J21" s="12">
        <f>'Table-n=500-miss'!C21</f>
        <v>-0.86336353422674295</v>
      </c>
      <c r="K21" s="12">
        <f>'Table-n=500-miss'!D21</f>
        <v>4.7821354989519698</v>
      </c>
      <c r="L21" s="12">
        <f>'Table-n=500-miss'!E21</f>
        <v>1.0597822651557351</v>
      </c>
      <c r="M21" s="12">
        <f>'Table-n=500-miss'!F21</f>
        <v>0.96257796257796302</v>
      </c>
      <c r="N21" s="12">
        <f>'Table-n=500-miss'!G21</f>
        <v>20.565789242943108</v>
      </c>
      <c r="O21" s="12">
        <f>'Table-n=500-miss'!I21</f>
        <v>0.7579465714156256</v>
      </c>
      <c r="P21" s="5"/>
      <c r="Q21" s="5"/>
      <c r="Y21" s="12"/>
    </row>
    <row r="22" spans="1:31" x14ac:dyDescent="0.25">
      <c r="B22" s="1" t="s">
        <v>88</v>
      </c>
      <c r="C22" s="12">
        <f>'Table-n=500-corr'!C22</f>
        <v>-1.2519801078696E-2</v>
      </c>
      <c r="D22" s="12">
        <f>'Table-n=500-corr'!D22</f>
        <v>4.1658365949704601</v>
      </c>
      <c r="E22" s="12">
        <f>'Table-n=500-corr'!E22</f>
        <v>0.94325929757727334</v>
      </c>
      <c r="F22" s="12">
        <f>'Table-n=500-corr'!F22</f>
        <v>0.94699999999999995</v>
      </c>
      <c r="G22" s="12">
        <f>'Table-n=500-corr'!G22</f>
        <v>16.588968702410401</v>
      </c>
      <c r="H22" s="12">
        <f>'Table-n=500-corr'!I22</f>
        <v>1.1866033995929113</v>
      </c>
      <c r="I22" s="12"/>
      <c r="J22" s="12">
        <f>'Table-n=500-miss'!C22</f>
        <v>1.2645441849683701</v>
      </c>
      <c r="K22" s="12">
        <f>'Table-n=500-miss'!D22</f>
        <v>4.3720394421913999</v>
      </c>
      <c r="L22" s="12">
        <f>'Table-n=500-miss'!E22</f>
        <v>0.88581093105432551</v>
      </c>
      <c r="M22" s="12">
        <f>'Table-n=500-miss'!F22</f>
        <v>0.93600000000000005</v>
      </c>
      <c r="N22" s="12">
        <f>'Table-n=500-miss'!G22</f>
        <v>16.565353952038251</v>
      </c>
      <c r="O22" s="12">
        <f>'Table-n=500-miss'!I22</f>
        <v>1.1682288165188621</v>
      </c>
      <c r="P22" s="5"/>
      <c r="Q22" s="5"/>
      <c r="Y22" s="12"/>
    </row>
    <row r="23" spans="1:31" x14ac:dyDescent="0.25">
      <c r="B23" s="1" t="s">
        <v>89</v>
      </c>
      <c r="C23" s="12">
        <f>'Table-n=500-corr'!C23</f>
        <v>0.60414080893443201</v>
      </c>
      <c r="D23" s="12">
        <f>'Table-n=500-corr'!D23</f>
        <v>4.28930257674154</v>
      </c>
      <c r="E23" s="12">
        <f>'Table-n=500-corr'!E23</f>
        <v>1</v>
      </c>
      <c r="F23" s="12">
        <f>'Table-n=500-corr'!F23</f>
        <v>0.96099999999999997</v>
      </c>
      <c r="G23" s="12">
        <f>'Table-n=500-corr'!G23</f>
        <v>18.070583738542229</v>
      </c>
      <c r="H23" s="12">
        <f>'Table-n=500-corr'!I23</f>
        <v>1</v>
      </c>
      <c r="I23" s="12"/>
      <c r="J23" s="12">
        <f>'Table-n=500-miss'!C23</f>
        <v>1.88059202242521</v>
      </c>
      <c r="K23" s="12">
        <f>'Table-n=500-miss'!D23</f>
        <v>4.6452977223492598</v>
      </c>
      <c r="L23" s="12">
        <f>'Table-n=500-miss'!E23</f>
        <v>1</v>
      </c>
      <c r="M23" s="12">
        <f>'Table-n=500-miss'!F23</f>
        <v>0.94199999999999995</v>
      </c>
      <c r="N23" s="12">
        <f>'Table-n=500-miss'!G23</f>
        <v>17.904602234521771</v>
      </c>
      <c r="O23" s="12">
        <f>'Table-n=500-miss'!I23</f>
        <v>1</v>
      </c>
      <c r="P23" s="5"/>
      <c r="Q23" s="5"/>
      <c r="Y23" s="12"/>
    </row>
    <row r="24" spans="1:31" s="3" customFormat="1" x14ac:dyDescent="0.25">
      <c r="B24" s="3" t="s">
        <v>2</v>
      </c>
      <c r="C24" s="14">
        <f>'Table-n=500-corr'!C24</f>
        <v>3.62867383895846E-2</v>
      </c>
      <c r="D24" s="14">
        <f>'Table-n=500-corr'!D24</f>
        <v>4.3390739620228498</v>
      </c>
      <c r="E24" s="14">
        <f>'Table-n=500-corr'!E24</f>
        <v>1.0233418595240049</v>
      </c>
      <c r="F24" s="14">
        <f>'Table-n=500-corr'!F24</f>
        <v>0.94299999999999995</v>
      </c>
      <c r="G24" s="14">
        <f>'Table-n=500-corr'!G24</f>
        <v>17.154163522845721</v>
      </c>
      <c r="H24" s="14">
        <f>'Table-n=500-corr'!I24</f>
        <v>1.1096991986906688</v>
      </c>
      <c r="I24" s="14"/>
      <c r="J24" s="14">
        <f>'Table-n=500-miss'!C24</f>
        <v>3.07718274110655</v>
      </c>
      <c r="K24" s="14">
        <f>'Table-n=500-miss'!D24</f>
        <v>7.3866240908960199</v>
      </c>
      <c r="L24" s="14">
        <f>'Table-n=500-miss'!E24</f>
        <v>2.5285112423149281</v>
      </c>
      <c r="M24" s="14">
        <f>'Table-n=500-miss'!F24</f>
        <v>0.92700000000000005</v>
      </c>
      <c r="N24" s="14">
        <f>'Table-n=500-miss'!G24</f>
        <v>20.689343336775213</v>
      </c>
      <c r="O24" s="14">
        <f>'Table-n=500-miss'!I24</f>
        <v>0.74892088363296216</v>
      </c>
      <c r="P24" s="13"/>
      <c r="Q24" s="13"/>
      <c r="Y24" s="14"/>
    </row>
    <row r="25" spans="1:31" s="4" customFormat="1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25">
      <c r="A26" s="2" t="s">
        <v>60</v>
      </c>
      <c r="B26" s="1" t="s">
        <v>3</v>
      </c>
      <c r="C26" s="12">
        <f>'Table-n=500-corr'!C26</f>
        <v>-0.15080836179865301</v>
      </c>
      <c r="D26" s="12">
        <f>'Table-n=500-corr'!D26</f>
        <v>4.5645392683423696</v>
      </c>
      <c r="E26" s="12">
        <f>'Table-n=500-corr'!E26</f>
        <v>0.95297762646052897</v>
      </c>
      <c r="F26" s="12">
        <f>'Table-n=500-corr'!F26</f>
        <v>0.94899999999999995</v>
      </c>
      <c r="G26" s="12">
        <f>'Table-n=500-corr'!G26</f>
        <v>18.569469829985117</v>
      </c>
      <c r="H26" s="12">
        <f>'Table-n=500-corr'!I26</f>
        <v>1.2323281513685922</v>
      </c>
      <c r="I26" s="12"/>
      <c r="J26" s="12">
        <f>'Table-n=500-miss'!C26</f>
        <v>1.7032120119839</v>
      </c>
      <c r="K26" s="12">
        <f>'Table-n=500-miss'!D26</f>
        <v>4.7054865875193599</v>
      </c>
      <c r="L26" s="12">
        <f>'Table-n=500-miss'!E26</f>
        <v>0.52057413721533319</v>
      </c>
      <c r="M26" s="12">
        <f>'Table-n=500-miss'!F26</f>
        <v>0.96199999999999997</v>
      </c>
      <c r="N26" s="12">
        <f>'Table-n=500-miss'!G26</f>
        <v>19.369188809396224</v>
      </c>
      <c r="O26" s="12">
        <f>'Table-n=500-miss'!I26</f>
        <v>1.1437462182289684</v>
      </c>
      <c r="P26" s="5"/>
      <c r="Q26"/>
      <c r="R26"/>
      <c r="S26"/>
      <c r="T26"/>
      <c r="Y26" s="12"/>
    </row>
    <row r="27" spans="1:31" x14ac:dyDescent="0.25">
      <c r="B27" s="1" t="s">
        <v>5</v>
      </c>
      <c r="C27" s="12">
        <f>'Table-n=500-corr'!C27</f>
        <v>-4.9219513215690496</v>
      </c>
      <c r="D27" s="12">
        <f>'Table-n=500-corr'!D27</f>
        <v>6.60171509935281</v>
      </c>
      <c r="E27" s="12">
        <f>'Table-n=500-corr'!E27</f>
        <v>1.9934363152213888</v>
      </c>
      <c r="F27" s="12">
        <f>'Table-n=500-corr'!F27</f>
        <v>0.84684684684684697</v>
      </c>
      <c r="G27" s="12">
        <f>'Table-n=500-corr'!G27</f>
        <v>18.680499293751794</v>
      </c>
      <c r="H27" s="12">
        <f>'Table-n=500-corr'!I27</f>
        <v>1.2177227475444794</v>
      </c>
      <c r="I27" s="12"/>
      <c r="J27" s="12">
        <f>'Table-n=500-miss'!C27</f>
        <v>-2.54218784635753</v>
      </c>
      <c r="K27" s="12">
        <f>'Table-n=500-miss'!D27</f>
        <v>5.2968615513840502</v>
      </c>
      <c r="L27" s="12">
        <f>'Table-n=500-miss'!E27</f>
        <v>0.65964572378509612</v>
      </c>
      <c r="M27" s="12">
        <f>'Table-n=500-miss'!F27</f>
        <v>0.92692692692692702</v>
      </c>
      <c r="N27" s="12">
        <f>'Table-n=500-miss'!G27</f>
        <v>19.463160374812897</v>
      </c>
      <c r="O27" s="12">
        <f>'Table-n=500-miss'!I27</f>
        <v>1.1327284641510029</v>
      </c>
      <c r="P27" s="5"/>
      <c r="Q27" s="5"/>
      <c r="Y27" s="12"/>
    </row>
    <row r="28" spans="1:31" x14ac:dyDescent="0.25">
      <c r="B28" s="1" t="s">
        <v>4</v>
      </c>
      <c r="C28" s="12">
        <f>'Table-n=500-corr'!C28</f>
        <v>-0.87691215882058804</v>
      </c>
      <c r="D28" s="12">
        <f>'Table-n=500-corr'!D28</f>
        <v>4.5188889664410201</v>
      </c>
      <c r="E28" s="12">
        <f>'Table-n=500-corr'!E28</f>
        <v>0.93401134231561544</v>
      </c>
      <c r="F28" s="12">
        <f>'Table-n=500-corr'!F28</f>
        <v>0.94599999999999995</v>
      </c>
      <c r="G28" s="12">
        <f>'Table-n=500-corr'!G28</f>
        <v>18.121393326926118</v>
      </c>
      <c r="H28" s="12">
        <f>'Table-n=500-corr'!I28</f>
        <v>1.2940236238997409</v>
      </c>
      <c r="I28" s="12"/>
      <c r="J28" s="12">
        <f>'Table-n=500-miss'!C28</f>
        <v>-0.57884184135524197</v>
      </c>
      <c r="K28" s="12">
        <f>'Table-n=500-miss'!D28</f>
        <v>4.86862968055389</v>
      </c>
      <c r="L28" s="12">
        <f>'Table-n=500-miss'!E28</f>
        <v>0.55729736930716967</v>
      </c>
      <c r="M28" s="12">
        <f>'Table-n=500-miss'!F28</f>
        <v>0.970893970893971</v>
      </c>
      <c r="N28" s="12">
        <f>'Table-n=500-miss'!G28</f>
        <v>22.269005205845975</v>
      </c>
      <c r="O28" s="12">
        <f>'Table-n=500-miss'!I28</f>
        <v>0.8652685183809764</v>
      </c>
      <c r="P28" s="5"/>
      <c r="Q28" s="5"/>
      <c r="Y28" s="12"/>
    </row>
    <row r="29" spans="1:31" x14ac:dyDescent="0.25">
      <c r="B29" s="1" t="s">
        <v>88</v>
      </c>
      <c r="C29" s="12">
        <f>'Table-n=500-corr'!C29</f>
        <v>-1.4854726135901299E-2</v>
      </c>
      <c r="D29" s="12">
        <f>'Table-n=500-corr'!D29</f>
        <v>4.71908734986543</v>
      </c>
      <c r="E29" s="12">
        <f>'Table-n=500-corr'!E29</f>
        <v>1.0186027437720353</v>
      </c>
      <c r="F29" s="12">
        <f>'Table-n=500-corr'!F29</f>
        <v>0.94699999999999995</v>
      </c>
      <c r="G29" s="12">
        <f>'Table-n=500-corr'!G29</f>
        <v>18.552061564388673</v>
      </c>
      <c r="H29" s="12">
        <f>'Table-n=500-corr'!I29</f>
        <v>1.2346419385150567</v>
      </c>
      <c r="I29" s="12"/>
      <c r="J29" s="12">
        <f>'Table-n=500-miss'!C29</f>
        <v>3.9087551881932598</v>
      </c>
      <c r="K29" s="12">
        <f>'Table-n=500-miss'!D29</f>
        <v>6.2060477614203098</v>
      </c>
      <c r="L29" s="12">
        <f>'Table-n=500-miss'!E29</f>
        <v>0.90553186089485127</v>
      </c>
      <c r="M29" s="12">
        <f>'Table-n=500-miss'!F29</f>
        <v>0.86899999999999999</v>
      </c>
      <c r="N29" s="12">
        <f>'Table-n=500-miss'!G29</f>
        <v>18.381206022945907</v>
      </c>
      <c r="O29" s="12">
        <f>'Table-n=500-miss'!I29</f>
        <v>1.2700023681534027</v>
      </c>
      <c r="P29" s="5"/>
      <c r="Q29" s="5"/>
      <c r="Y29" s="12"/>
    </row>
    <row r="30" spans="1:31" x14ac:dyDescent="0.25">
      <c r="B30" s="1" t="s">
        <v>89</v>
      </c>
      <c r="C30" s="12">
        <f>'Table-n=500-corr'!C30</f>
        <v>0.68992851244431797</v>
      </c>
      <c r="D30" s="12">
        <f>'Table-n=500-corr'!D30</f>
        <v>4.6757964331109596</v>
      </c>
      <c r="E30" s="12">
        <f>'Table-n=500-corr'!E30</f>
        <v>1</v>
      </c>
      <c r="F30" s="12">
        <f>'Table-n=500-corr'!F30</f>
        <v>0.98099999999999998</v>
      </c>
      <c r="G30" s="12">
        <f>'Table-n=500-corr'!G30</f>
        <v>20.614019823826652</v>
      </c>
      <c r="H30" s="12">
        <f>'Table-n=500-corr'!I30</f>
        <v>1</v>
      </c>
      <c r="I30" s="12"/>
      <c r="J30" s="12">
        <f>'Table-n=500-miss'!C30</f>
        <v>4.3375254578629603</v>
      </c>
      <c r="K30" s="12">
        <f>'Table-n=500-miss'!D30</f>
        <v>6.5217364695070099</v>
      </c>
      <c r="L30" s="12">
        <f>'Table-n=500-miss'!E30</f>
        <v>1</v>
      </c>
      <c r="M30" s="12">
        <f>'Table-n=500-miss'!F30</f>
        <v>0.90600000000000003</v>
      </c>
      <c r="N30" s="12">
        <f>'Table-n=500-miss'!G30</f>
        <v>20.714586488622754</v>
      </c>
      <c r="O30" s="12">
        <f>'Table-n=500-miss'!I30</f>
        <v>1</v>
      </c>
      <c r="P30" s="5"/>
      <c r="Q30" s="5"/>
      <c r="Y30" s="12"/>
    </row>
    <row r="31" spans="1:31" s="3" customFormat="1" x14ac:dyDescent="0.25">
      <c r="B31" s="3" t="s">
        <v>2</v>
      </c>
      <c r="C31" s="14">
        <f>'Table-n=500-corr'!C31</f>
        <v>2.1845665202434399E-2</v>
      </c>
      <c r="D31" s="14">
        <f>'Table-n=500-corr'!D31</f>
        <v>5.0117377499000204</v>
      </c>
      <c r="E31" s="14">
        <f>'Table-n=500-corr'!E31</f>
        <v>1.1488557027859867</v>
      </c>
      <c r="F31" s="14">
        <f>'Table-n=500-corr'!F31</f>
        <v>0.95699999999999996</v>
      </c>
      <c r="G31" s="14">
        <f>'Table-n=500-corr'!G31</f>
        <v>19.77784041863281</v>
      </c>
      <c r="H31" s="14">
        <f>'Table-n=500-corr'!I31</f>
        <v>1.0863446801518832</v>
      </c>
      <c r="I31" s="14"/>
      <c r="J31" s="14">
        <f>'Table-n=500-miss'!C31</f>
        <v>7.3224633805320796</v>
      </c>
      <c r="K31" s="14">
        <f>'Table-n=500-miss'!D31</f>
        <v>13.580694260632299</v>
      </c>
      <c r="L31" s="14">
        <f>'Table-n=500-miss'!E31</f>
        <v>4.3362813492292798</v>
      </c>
      <c r="M31" s="14">
        <f>'Table-n=500-miss'!F31</f>
        <v>0.85</v>
      </c>
      <c r="N31" s="14">
        <f>'Table-n=500-miss'!G31</f>
        <v>25.713316771591533</v>
      </c>
      <c r="O31" s="14">
        <f>'Table-n=500-miss'!I31</f>
        <v>0.6489875062460565</v>
      </c>
      <c r="P31" s="13"/>
      <c r="Q31" s="13"/>
      <c r="Y31" s="14"/>
    </row>
    <row r="32" spans="1:31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25">
      <c r="A33" s="2" t="s">
        <v>62</v>
      </c>
      <c r="B33" s="1" t="s">
        <v>3</v>
      </c>
      <c r="C33" s="12">
        <f>'Table-n=500-corr'!C33</f>
        <v>-0.54947911703991503</v>
      </c>
      <c r="D33" s="12">
        <f>'Table-n=500-corr'!D33</f>
        <v>6.12277258823572</v>
      </c>
      <c r="E33" s="12">
        <f>'Table-n=500-corr'!E33</f>
        <v>0.94723064803552448</v>
      </c>
      <c r="F33" s="12">
        <f>'Table-n=500-corr'!F33</f>
        <v>0.93700000000000006</v>
      </c>
      <c r="G33" s="12">
        <f>'Table-n=500-corr'!G33</f>
        <v>23.711201140223562</v>
      </c>
      <c r="H33" s="12">
        <f>'Table-n=500-corr'!I33</f>
        <v>1.3286064411582312</v>
      </c>
      <c r="I33" s="12"/>
      <c r="J33" s="12">
        <f>'Table-n=500-miss'!C33</f>
        <v>4.9832341838569603</v>
      </c>
      <c r="K33" s="12">
        <f>'Table-n=500-miss'!D33</f>
        <v>7.4716152694</v>
      </c>
      <c r="L33" s="12">
        <f>'Table-n=500-miss'!E33</f>
        <v>0.5019828779405322</v>
      </c>
      <c r="M33" s="12">
        <f>'Table-n=500-miss'!F33</f>
        <v>0.93400000000000005</v>
      </c>
      <c r="N33" s="12">
        <f>'Table-n=500-miss'!G33</f>
        <v>25.443341701630306</v>
      </c>
      <c r="O33" s="12">
        <f>'Table-n=500-miss'!I33</f>
        <v>1.2261441994976561</v>
      </c>
      <c r="P33" s="5"/>
      <c r="Y33" s="12"/>
    </row>
    <row r="34" spans="1:25" x14ac:dyDescent="0.25">
      <c r="B34" s="1" t="s">
        <v>5</v>
      </c>
      <c r="C34" s="12">
        <f>'Table-n=500-corr'!C34</f>
        <v>-7.6796639497333601</v>
      </c>
      <c r="D34" s="12">
        <f>'Table-n=500-corr'!D34</f>
        <v>9.3308252349951903</v>
      </c>
      <c r="E34" s="12">
        <f>'Table-n=500-corr'!E34</f>
        <v>2.1998830498021191</v>
      </c>
      <c r="F34" s="12">
        <f>'Table-n=500-corr'!F34</f>
        <v>0.69169169169169198</v>
      </c>
      <c r="G34" s="12">
        <f>'Table-n=500-corr'!G34</f>
        <v>21.302840398311567</v>
      </c>
      <c r="H34" s="12">
        <f>'Table-n=500-corr'!I34</f>
        <v>1.6459947117842708</v>
      </c>
      <c r="I34" s="12"/>
      <c r="J34" s="12">
        <f>'Table-n=500-miss'!C34</f>
        <v>-1.6393222110065699</v>
      </c>
      <c r="K34" s="12">
        <f>'Table-n=500-miss'!D34</f>
        <v>6.0208374090888599</v>
      </c>
      <c r="L34" s="12">
        <f>'Table-n=500-miss'!E34</f>
        <v>0.32596704907318835</v>
      </c>
      <c r="M34" s="12">
        <f>'Table-n=500-miss'!F34</f>
        <v>0.94794794794794801</v>
      </c>
      <c r="N34" s="12">
        <f>'Table-n=500-miss'!G34</f>
        <v>25.174276517134292</v>
      </c>
      <c r="O34" s="12">
        <f>'Table-n=500-miss'!I34</f>
        <v>1.25249457227397</v>
      </c>
      <c r="P34" s="5"/>
      <c r="Y34" s="12"/>
    </row>
    <row r="35" spans="1:25" x14ac:dyDescent="0.25">
      <c r="B35" s="1" t="s">
        <v>4</v>
      </c>
      <c r="C35" s="12">
        <f>'Table-n=500-corr'!C35</f>
        <v>-1.4429844098517901</v>
      </c>
      <c r="D35" s="12">
        <f>'Table-n=500-corr'!D35</f>
        <v>6.0099093655003797</v>
      </c>
      <c r="E35" s="12">
        <f>'Table-n=500-corr'!E35</f>
        <v>0.91263123404185575</v>
      </c>
      <c r="F35" s="12">
        <f>'Table-n=500-corr'!F35</f>
        <v>0.93</v>
      </c>
      <c r="G35" s="12">
        <f>'Table-n=500-corr'!G35</f>
        <v>22.78741040338311</v>
      </c>
      <c r="H35" s="12">
        <f>'Table-n=500-corr'!I35</f>
        <v>1.4385120846855071</v>
      </c>
      <c r="I35" s="12"/>
      <c r="J35" s="12">
        <f>'Table-n=500-miss'!C35</f>
        <v>-0.23232382798801901</v>
      </c>
      <c r="K35" s="12">
        <f>'Table-n=500-miss'!D35</f>
        <v>6.0507425881981103</v>
      </c>
      <c r="L35" s="12">
        <f>'Table-n=500-miss'!E35</f>
        <v>0.32921321284634314</v>
      </c>
      <c r="M35" s="12">
        <f>'Table-n=500-miss'!F35</f>
        <v>0.98232848232848202</v>
      </c>
      <c r="N35" s="12">
        <f>'Table-n=500-miss'!G35</f>
        <v>33.364801264226941</v>
      </c>
      <c r="O35" s="12">
        <f>'Table-n=500-miss'!I35</f>
        <v>0.71303814599507065</v>
      </c>
      <c r="P35" s="5"/>
      <c r="Y35" s="12"/>
    </row>
    <row r="36" spans="1:25" x14ac:dyDescent="0.25">
      <c r="B36" s="1" t="s">
        <v>88</v>
      </c>
      <c r="C36" s="12">
        <f>'Table-n=500-corr'!C36</f>
        <v>-0.33605315541238001</v>
      </c>
      <c r="D36" s="12">
        <f>'Table-n=500-corr'!D36</f>
        <v>6.5682369458319503</v>
      </c>
      <c r="E36" s="12">
        <f>'Table-n=500-corr'!E36</f>
        <v>1.0900768226120314</v>
      </c>
      <c r="F36" s="12">
        <f>'Table-n=500-corr'!F36</f>
        <v>0.93400000000000005</v>
      </c>
      <c r="G36" s="12">
        <f>'Table-n=500-corr'!G36</f>
        <v>24.473075182490106</v>
      </c>
      <c r="H36" s="12">
        <f>'Table-n=500-corr'!I36</f>
        <v>1.2471720633414796</v>
      </c>
      <c r="I36" s="12"/>
      <c r="J36" s="12">
        <f>'Table-n=500-miss'!C36</f>
        <v>7.6352733367257501</v>
      </c>
      <c r="K36" s="12">
        <f>'Table-n=500-miss'!D36</f>
        <v>10.1571304996896</v>
      </c>
      <c r="L36" s="12">
        <f>'Table-n=500-miss'!E36</f>
        <v>0.92768805973916735</v>
      </c>
      <c r="M36" s="12">
        <f>'Table-n=500-miss'!F36</f>
        <v>0.76100000000000001</v>
      </c>
      <c r="N36" s="12">
        <f>'Table-n=500-miss'!G36</f>
        <v>24.338357209968567</v>
      </c>
      <c r="O36" s="12">
        <f>'Table-n=500-miss'!I36</f>
        <v>1.3400078026703215</v>
      </c>
      <c r="P36" s="5"/>
      <c r="Y36" s="12"/>
    </row>
    <row r="37" spans="1:25" x14ac:dyDescent="0.25">
      <c r="B37" s="1" t="s">
        <v>89</v>
      </c>
      <c r="C37" s="12">
        <f>'Table-n=500-corr'!C37</f>
        <v>0.65319446051167795</v>
      </c>
      <c r="D37" s="12">
        <f>'Table-n=500-corr'!D37</f>
        <v>6.2910083047486998</v>
      </c>
      <c r="E37" s="12">
        <f>'Table-n=500-corr'!E37</f>
        <v>1</v>
      </c>
      <c r="F37" s="12">
        <f>'Table-n=500-corr'!F37</f>
        <v>0.97299999999999998</v>
      </c>
      <c r="G37" s="12">
        <f>'Table-n=500-corr'!G37</f>
        <v>27.330761442422958</v>
      </c>
      <c r="H37" s="12">
        <f>'Table-n=500-corr'!I37</f>
        <v>1</v>
      </c>
      <c r="I37" s="12"/>
      <c r="J37" s="12">
        <f>'Table-n=500-miss'!C37</f>
        <v>8.0933614332411494</v>
      </c>
      <c r="K37" s="12">
        <f>'Table-n=500-miss'!D37</f>
        <v>10.545569759727501</v>
      </c>
      <c r="L37" s="12">
        <f>'Table-n=500-miss'!E37</f>
        <v>1</v>
      </c>
      <c r="M37" s="12">
        <f>'Table-n=500-miss'!F37</f>
        <v>0.83</v>
      </c>
      <c r="N37" s="12">
        <f>'Table-n=500-miss'!G37</f>
        <v>28.17376738043647</v>
      </c>
      <c r="O37" s="12">
        <f>'Table-n=500-miss'!I37</f>
        <v>1</v>
      </c>
      <c r="P37" s="5"/>
      <c r="Y37" s="12"/>
    </row>
    <row r="38" spans="1:25" s="3" customFormat="1" x14ac:dyDescent="0.25">
      <c r="B38" s="3" t="s">
        <v>2</v>
      </c>
      <c r="C38" s="14">
        <f>'Table-n=500-corr'!C38</f>
        <v>-0.35088637203304501</v>
      </c>
      <c r="D38" s="14">
        <f>'Table-n=500-corr'!D38</f>
        <v>7.7783150877356801</v>
      </c>
      <c r="E38" s="14">
        <f>'Table-n=500-corr'!E38</f>
        <v>1.528729149029705</v>
      </c>
      <c r="F38" s="14">
        <f>'Table-n=500-corr'!F38</f>
        <v>0.94199999999999995</v>
      </c>
      <c r="G38" s="14">
        <f>'Table-n=500-corr'!G38</f>
        <v>26.828357344124839</v>
      </c>
      <c r="H38" s="14">
        <f>'Table-n=500-corr'!I38</f>
        <v>1.03780389934337</v>
      </c>
      <c r="I38" s="14"/>
      <c r="J38" s="14">
        <f>'Table-n=500-miss'!C38</f>
        <v>12.7864899004053</v>
      </c>
      <c r="K38" s="14">
        <f>'Table-n=500-miss'!D38</f>
        <v>19.958982973295399</v>
      </c>
      <c r="L38" s="14">
        <f>'Table-n=500-miss'!E38</f>
        <v>3.5820918492775289</v>
      </c>
      <c r="M38" s="14">
        <f>'Table-n=500-miss'!F38</f>
        <v>0.76400000000000001</v>
      </c>
      <c r="N38" s="14">
        <f>'Table-n=500-miss'!G38</f>
        <v>32.979741751371527</v>
      </c>
      <c r="O38" s="14">
        <f>'Table-n=500-miss'!I38</f>
        <v>0.72978569769749657</v>
      </c>
      <c r="P38" s="13"/>
      <c r="Q38" s="13"/>
      <c r="Y38" s="14"/>
    </row>
    <row r="39" spans="1:25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25">
      <c r="A40" s="2" t="s">
        <v>207</v>
      </c>
      <c r="B40" s="1" t="s">
        <v>3</v>
      </c>
      <c r="C40" s="12">
        <f>'Table-n=500-corr'!C40</f>
        <v>-1.16602885456184</v>
      </c>
      <c r="D40" s="12">
        <f>'Table-n=500-corr'!D40</f>
        <v>9.6468526125119904</v>
      </c>
      <c r="E40" s="12">
        <f>'Table-n=500-corr'!E40</f>
        <v>1.0003215708413455</v>
      </c>
      <c r="F40" s="12">
        <f>'Table-n=500-corr'!F40</f>
        <v>0.94</v>
      </c>
      <c r="G40" s="12">
        <f>'Table-n=500-corr'!G40</f>
        <v>39.286779395640096</v>
      </c>
      <c r="H40" s="12">
        <f>'Table-n=500-corr'!I40</f>
        <v>1.1619686251340386</v>
      </c>
      <c r="I40" s="12"/>
      <c r="J40" s="12">
        <f>'Table-n=500-miss'!C40</f>
        <v>10.1378170593209</v>
      </c>
      <c r="K40" s="12">
        <f>'Table-n=500-miss'!D40</f>
        <v>13.8919288234114</v>
      </c>
      <c r="L40" s="12">
        <f>'Table-n=500-miss'!E40</f>
        <v>0.61091525785948098</v>
      </c>
      <c r="M40" s="12">
        <f>'Table-n=500-miss'!F40</f>
        <v>0.86199999999999999</v>
      </c>
      <c r="N40" s="12">
        <f>'Table-n=500-miss'!G40</f>
        <v>37.36500945790857</v>
      </c>
      <c r="O40" s="12">
        <f>'Table-n=500-miss'!I40</f>
        <v>1.151424452903334</v>
      </c>
      <c r="P40" s="5"/>
      <c r="Y40" s="12"/>
    </row>
    <row r="41" spans="1:25" x14ac:dyDescent="0.25">
      <c r="B41" s="1" t="s">
        <v>5</v>
      </c>
      <c r="C41" s="12">
        <f>'Table-n=500-corr'!C41</f>
        <v>-10.677072220104799</v>
      </c>
      <c r="D41" s="12">
        <f>'Table-n=500-corr'!D41</f>
        <v>12.948822073415799</v>
      </c>
      <c r="E41" s="12">
        <f>'Table-n=500-corr'!E41</f>
        <v>1.8023074344502203</v>
      </c>
      <c r="F41" s="12">
        <f>'Table-n=500-corr'!F41</f>
        <v>0.64864864864864902</v>
      </c>
      <c r="G41" s="12">
        <f>'Table-n=500-corr'!G41</f>
        <v>27.731772622109339</v>
      </c>
      <c r="H41" s="12">
        <f>'Table-n=500-corr'!I41</f>
        <v>2.3320185283648476</v>
      </c>
      <c r="I41" s="12"/>
      <c r="J41" s="12">
        <f>'Table-n=500-miss'!C41</f>
        <v>0.407637353808667</v>
      </c>
      <c r="K41" s="12">
        <f>'Table-n=500-miss'!D41</f>
        <v>9.22922689278254</v>
      </c>
      <c r="L41" s="12">
        <f>'Table-n=500-miss'!E41</f>
        <v>0.26964136607482564</v>
      </c>
      <c r="M41" s="12">
        <f>'Table-n=500-miss'!F41</f>
        <v>0.94994994994994997</v>
      </c>
      <c r="N41" s="12">
        <f>'Table-n=500-miss'!G41</f>
        <v>37.827870646786131</v>
      </c>
      <c r="O41" s="12">
        <f>'Table-n=500-miss'!I41</f>
        <v>1.1234192228764257</v>
      </c>
      <c r="P41" s="5"/>
      <c r="Y41" s="12"/>
    </row>
    <row r="42" spans="1:25" x14ac:dyDescent="0.25">
      <c r="B42" s="1" t="s">
        <v>4</v>
      </c>
      <c r="C42" s="12">
        <f>'Table-n=500-corr'!C42</f>
        <v>-2.1061455599178398</v>
      </c>
      <c r="D42" s="12">
        <f>'Table-n=500-corr'!D42</f>
        <v>9.2964526295712204</v>
      </c>
      <c r="E42" s="12">
        <f>'Table-n=500-corr'!E42</f>
        <v>0.92897252312070167</v>
      </c>
      <c r="F42" s="12">
        <f>'Table-n=500-corr'!F42</f>
        <v>0.92900000000000005</v>
      </c>
      <c r="G42" s="12">
        <f>'Table-n=500-corr'!G42</f>
        <v>34.127227596034423</v>
      </c>
      <c r="H42" s="12">
        <f>'Table-n=500-corr'!I42</f>
        <v>1.5398741922699568</v>
      </c>
      <c r="I42" s="12"/>
      <c r="J42" s="12">
        <f>'Table-n=500-miss'!C42</f>
        <v>0.87518690240887798</v>
      </c>
      <c r="K42" s="12">
        <f>'Table-n=500-miss'!D42</f>
        <v>9.4211448845048604</v>
      </c>
      <c r="L42" s="12">
        <f>'Table-n=500-miss'!E42</f>
        <v>0.28097212649538528</v>
      </c>
      <c r="M42" s="12">
        <f>'Table-n=500-miss'!F42</f>
        <v>0.98648648648648696</v>
      </c>
      <c r="N42" s="12">
        <f>'Table-n=500-miss'!G42</f>
        <v>54.96079553436347</v>
      </c>
      <c r="O42" s="12">
        <f>'Table-n=500-miss'!I42</f>
        <v>0.53218131309683003</v>
      </c>
      <c r="P42" s="5"/>
      <c r="Y42" s="12"/>
    </row>
    <row r="43" spans="1:25" x14ac:dyDescent="0.25">
      <c r="B43" s="1" t="s">
        <v>88</v>
      </c>
      <c r="C43" s="12">
        <f>'Table-n=500-corr'!C43</f>
        <v>-1.14180532442025</v>
      </c>
      <c r="D43" s="12">
        <f>'Table-n=500-corr'!D43</f>
        <v>11.0068869599599</v>
      </c>
      <c r="E43" s="12">
        <f>'Table-n=500-corr'!E43</f>
        <v>1.3022589774872995</v>
      </c>
      <c r="F43" s="12">
        <f>'Table-n=500-corr'!F43</f>
        <v>0.92200000000000004</v>
      </c>
      <c r="G43" s="12">
        <f>'Table-n=500-corr'!G43</f>
        <v>39.305399319964963</v>
      </c>
      <c r="H43" s="12">
        <f>'Table-n=500-corr'!I43</f>
        <v>1.1608679802584143</v>
      </c>
      <c r="I43" s="12"/>
      <c r="J43" s="12">
        <f>'Table-n=500-miss'!C43</f>
        <v>13.040230967844</v>
      </c>
      <c r="K43" s="12">
        <f>'Table-n=500-miss'!D43</f>
        <v>17.2150836422298</v>
      </c>
      <c r="L43" s="12">
        <f>'Table-n=500-miss'!E43</f>
        <v>0.93815402726569774</v>
      </c>
      <c r="M43" s="12">
        <f>'Table-n=500-miss'!F43</f>
        <v>0.69699999999999995</v>
      </c>
      <c r="N43" s="12">
        <f>'Table-n=500-miss'!G43</f>
        <v>34.931888979358632</v>
      </c>
      <c r="O43" s="12">
        <f>'Table-n=500-miss'!I43</f>
        <v>1.3174116480431155</v>
      </c>
      <c r="P43" s="5"/>
      <c r="Y43" s="12"/>
    </row>
    <row r="44" spans="1:25" x14ac:dyDescent="0.25">
      <c r="B44" s="1" t="s">
        <v>89</v>
      </c>
      <c r="C44" s="12">
        <f>'Table-n=500-corr'!C44</f>
        <v>1.12188225515115</v>
      </c>
      <c r="D44" s="12">
        <f>'Table-n=500-corr'!D44</f>
        <v>9.6453019132412496</v>
      </c>
      <c r="E44" s="12">
        <f>'Table-n=500-corr'!E44</f>
        <v>1</v>
      </c>
      <c r="F44" s="12">
        <f>'Table-n=500-corr'!F44</f>
        <v>0.96299999999999997</v>
      </c>
      <c r="G44" s="12">
        <f>'Table-n=500-corr'!G44</f>
        <v>42.349045767620019</v>
      </c>
      <c r="H44" s="12">
        <f>'Table-n=500-corr'!I44</f>
        <v>1</v>
      </c>
      <c r="I44" s="12"/>
      <c r="J44" s="12">
        <f>'Table-n=500-miss'!C44</f>
        <v>13.604823950702</v>
      </c>
      <c r="K44" s="12">
        <f>'Table-n=500-miss'!D44</f>
        <v>17.773463371718201</v>
      </c>
      <c r="L44" s="12">
        <f>'Table-n=500-miss'!E44</f>
        <v>1</v>
      </c>
      <c r="M44" s="12">
        <f>'Table-n=500-miss'!F44</f>
        <v>0.754</v>
      </c>
      <c r="N44" s="12">
        <f>'Table-n=500-miss'!G44</f>
        <v>40.094317089023306</v>
      </c>
      <c r="O44" s="12">
        <f>'Table-n=500-miss'!I44</f>
        <v>1</v>
      </c>
      <c r="P44" s="5"/>
      <c r="Y44" s="12"/>
    </row>
    <row r="45" spans="1:25" s="3" customFormat="1" x14ac:dyDescent="0.25">
      <c r="B45" s="3" t="s">
        <v>2</v>
      </c>
      <c r="C45" s="14">
        <f>'Table-n=500-corr'!C45</f>
        <v>-1.8419748047080799</v>
      </c>
      <c r="D45" s="14">
        <f>'Table-n=500-corr'!D45</f>
        <v>15.0358069591011</v>
      </c>
      <c r="E45" s="14">
        <f>'Table-n=500-corr'!E45</f>
        <v>2.4300870438170619</v>
      </c>
      <c r="F45" s="14">
        <f>'Table-n=500-corr'!F45</f>
        <v>0.92</v>
      </c>
      <c r="G45" s="14">
        <f>'Table-n=500-corr'!G45</f>
        <v>48.55423399721704</v>
      </c>
      <c r="H45" s="14">
        <f>'Table-n=500-corr'!I45</f>
        <v>0.76073438037275676</v>
      </c>
      <c r="I45" s="14"/>
      <c r="J45" s="14">
        <f>'Table-n=500-miss'!C45</f>
        <v>16.7859372015409</v>
      </c>
      <c r="K45" s="14">
        <f>'Table-n=500-miss'!D45</f>
        <v>23.6368944250253</v>
      </c>
      <c r="L45" s="14">
        <f>'Table-n=500-miss'!E45</f>
        <v>1.768628845127576</v>
      </c>
      <c r="M45" s="14">
        <f>'Table-n=500-miss'!F45</f>
        <v>0.63</v>
      </c>
      <c r="N45" s="14">
        <f>'Table-n=500-miss'!G45</f>
        <v>36.968164716492048</v>
      </c>
      <c r="O45" s="14">
        <f>'Table-n=500-miss'!I45</f>
        <v>1.1762776907186752</v>
      </c>
      <c r="P45" s="13"/>
      <c r="Q45" s="13"/>
      <c r="Y45" s="14"/>
    </row>
    <row r="46" spans="1:25" x14ac:dyDescent="0.25">
      <c r="G46" s="7"/>
      <c r="H46" s="7"/>
      <c r="O46" s="7"/>
    </row>
    <row r="47" spans="1:25" x14ac:dyDescent="0.25">
      <c r="G47" s="7"/>
      <c r="H47" s="7"/>
      <c r="O47" s="7"/>
    </row>
    <row r="48" spans="1:25" x14ac:dyDescent="0.25">
      <c r="G48" s="7"/>
      <c r="H48" s="7"/>
      <c r="O48" s="7"/>
    </row>
    <row r="49" spans="7:15" x14ac:dyDescent="0.25">
      <c r="G49" s="7"/>
      <c r="H49" s="7"/>
      <c r="O49" s="7"/>
    </row>
    <row r="50" spans="7:15" x14ac:dyDescent="0.25">
      <c r="G50" s="7"/>
      <c r="H50" s="7"/>
      <c r="O50" s="7"/>
    </row>
    <row r="51" spans="7:15" x14ac:dyDescent="0.25">
      <c r="G51" s="7"/>
      <c r="H51" s="7"/>
      <c r="O51" s="7"/>
    </row>
    <row r="52" spans="7:15" x14ac:dyDescent="0.25">
      <c r="G52" s="7"/>
      <c r="H52" s="7"/>
      <c r="O52" s="7"/>
    </row>
    <row r="53" spans="7:15" x14ac:dyDescent="0.25">
      <c r="G53" s="7"/>
      <c r="H53" s="7"/>
      <c r="O53" s="7"/>
    </row>
    <row r="54" spans="7:15" x14ac:dyDescent="0.25">
      <c r="G54" s="7"/>
      <c r="H54" s="7"/>
      <c r="O54" s="7"/>
    </row>
    <row r="55" spans="7:15" x14ac:dyDescent="0.25">
      <c r="G55" s="7"/>
      <c r="H55" s="7"/>
      <c r="O55" s="7"/>
    </row>
    <row r="56" spans="7:15" x14ac:dyDescent="0.25">
      <c r="G56" s="7"/>
      <c r="H56" s="7"/>
      <c r="O56" s="7"/>
    </row>
    <row r="57" spans="7:15" x14ac:dyDescent="0.25">
      <c r="G57" s="7"/>
      <c r="H57" s="7"/>
      <c r="O57" s="7"/>
    </row>
    <row r="58" spans="7:15" x14ac:dyDescent="0.25">
      <c r="G58" s="7"/>
      <c r="H58" s="7"/>
      <c r="O58" s="7"/>
    </row>
    <row r="59" spans="7:15" x14ac:dyDescent="0.25">
      <c r="G59" s="7"/>
      <c r="H59" s="7"/>
      <c r="O59" s="7"/>
    </row>
    <row r="60" spans="7:15" x14ac:dyDescent="0.25">
      <c r="G60" s="7"/>
      <c r="H60" s="7"/>
      <c r="O60" s="7"/>
    </row>
    <row r="61" spans="7:15" x14ac:dyDescent="0.25">
      <c r="G61" s="7"/>
      <c r="H61" s="7"/>
      <c r="O61" s="7"/>
    </row>
    <row r="62" spans="7:15" x14ac:dyDescent="0.25">
      <c r="G62" s="7"/>
      <c r="H62" s="7"/>
      <c r="O62" s="7"/>
    </row>
    <row r="63" spans="7:15" x14ac:dyDescent="0.25">
      <c r="G63" s="7"/>
      <c r="H63" s="7"/>
      <c r="O63" s="7"/>
    </row>
    <row r="64" spans="7:15" x14ac:dyDescent="0.25">
      <c r="G64" s="7"/>
      <c r="H64" s="7"/>
      <c r="O64" s="7"/>
    </row>
    <row r="65" spans="7:15" x14ac:dyDescent="0.25">
      <c r="G65" s="7"/>
      <c r="H65" s="7"/>
      <c r="O65" s="7"/>
    </row>
    <row r="66" spans="7:15" x14ac:dyDescent="0.25">
      <c r="G66" s="7"/>
      <c r="H66" s="7"/>
      <c r="O66" s="7"/>
    </row>
    <row r="67" spans="7:15" x14ac:dyDescent="0.25">
      <c r="G67" s="7"/>
      <c r="H67" s="7"/>
      <c r="O67" s="7"/>
    </row>
    <row r="68" spans="7:15" x14ac:dyDescent="0.25">
      <c r="G68" s="7"/>
      <c r="H68" s="7"/>
      <c r="O68" s="7"/>
    </row>
    <row r="69" spans="7:15" x14ac:dyDescent="0.25">
      <c r="G69" s="7"/>
      <c r="H69" s="7"/>
      <c r="O69" s="7"/>
    </row>
    <row r="70" spans="7:15" x14ac:dyDescent="0.25">
      <c r="G70" s="7"/>
      <c r="H70" s="7"/>
      <c r="O70" s="7"/>
    </row>
    <row r="71" spans="7:15" x14ac:dyDescent="0.25">
      <c r="G71" s="7"/>
      <c r="H71" s="7"/>
      <c r="O71" s="7"/>
    </row>
    <row r="72" spans="7:15" x14ac:dyDescent="0.25">
      <c r="G72" s="7"/>
      <c r="H72" s="7"/>
      <c r="O72" s="7"/>
    </row>
    <row r="73" spans="7:15" x14ac:dyDescent="0.25">
      <c r="G73" s="7"/>
      <c r="H73" s="7"/>
      <c r="O73" s="7"/>
    </row>
    <row r="74" spans="7:15" x14ac:dyDescent="0.25">
      <c r="G74" s="7"/>
      <c r="H74" s="7"/>
      <c r="O74" s="7"/>
    </row>
    <row r="75" spans="7:15" x14ac:dyDescent="0.25">
      <c r="G75" s="7"/>
      <c r="H75" s="7"/>
      <c r="O75" s="7"/>
    </row>
    <row r="76" spans="7:15" x14ac:dyDescent="0.25">
      <c r="G76" s="7"/>
      <c r="H76" s="7"/>
      <c r="O76" s="7"/>
    </row>
    <row r="77" spans="7:15" x14ac:dyDescent="0.25">
      <c r="G77" s="7"/>
      <c r="H77" s="7"/>
      <c r="O77" s="7"/>
    </row>
    <row r="78" spans="7:15" x14ac:dyDescent="0.25">
      <c r="G78" s="7"/>
      <c r="H78" s="7"/>
      <c r="O78" s="7"/>
    </row>
    <row r="79" spans="7:15" x14ac:dyDescent="0.25">
      <c r="G79" s="7"/>
      <c r="H79" s="7"/>
      <c r="O79" s="7"/>
    </row>
    <row r="80" spans="7:15" x14ac:dyDescent="0.25">
      <c r="G80" s="7"/>
      <c r="H80" s="7"/>
      <c r="O80" s="7"/>
    </row>
    <row r="81" spans="7:15" x14ac:dyDescent="0.25">
      <c r="G81" s="7"/>
      <c r="H81" s="7"/>
      <c r="O81" s="7"/>
    </row>
    <row r="82" spans="7:15" x14ac:dyDescent="0.25">
      <c r="G82" s="7"/>
      <c r="H82" s="7"/>
      <c r="O82" s="7"/>
    </row>
    <row r="83" spans="7:15" x14ac:dyDescent="0.25">
      <c r="G83" s="7"/>
      <c r="H83" s="7"/>
      <c r="O83" s="7"/>
    </row>
    <row r="84" spans="7:15" x14ac:dyDescent="0.25">
      <c r="G84" s="7"/>
      <c r="H84" s="7"/>
      <c r="O84" s="7"/>
    </row>
    <row r="85" spans="7:15" x14ac:dyDescent="0.25">
      <c r="G85" s="7"/>
      <c r="H85" s="7"/>
      <c r="O85" s="7"/>
    </row>
    <row r="86" spans="7:15" x14ac:dyDescent="0.25">
      <c r="G86" s="7"/>
      <c r="H86" s="7"/>
      <c r="O86" s="7"/>
    </row>
    <row r="87" spans="7:15" x14ac:dyDescent="0.25">
      <c r="G87" s="7"/>
      <c r="H87" s="7"/>
      <c r="O87" s="7"/>
    </row>
    <row r="88" spans="7:15" x14ac:dyDescent="0.25">
      <c r="G88" s="7"/>
      <c r="H88" s="7"/>
      <c r="O88" s="7"/>
    </row>
    <row r="89" spans="7:15" x14ac:dyDescent="0.25">
      <c r="G89" s="7"/>
      <c r="H89" s="7"/>
      <c r="O89" s="7"/>
    </row>
    <row r="90" spans="7:15" x14ac:dyDescent="0.25">
      <c r="G90" s="7"/>
      <c r="H90" s="7"/>
      <c r="O90" s="7"/>
    </row>
    <row r="91" spans="7:15" x14ac:dyDescent="0.25">
      <c r="G91" s="7"/>
      <c r="H91" s="7"/>
      <c r="O91" s="7"/>
    </row>
    <row r="92" spans="7:15" x14ac:dyDescent="0.25">
      <c r="G92" s="7"/>
      <c r="H92" s="7"/>
      <c r="O92" s="7"/>
    </row>
    <row r="93" spans="7:15" x14ac:dyDescent="0.25">
      <c r="G93" s="7"/>
      <c r="H93" s="7"/>
      <c r="O93" s="7"/>
    </row>
    <row r="94" spans="7:15" x14ac:dyDescent="0.25">
      <c r="G94" s="7"/>
      <c r="H94" s="7"/>
      <c r="O94" s="7"/>
    </row>
    <row r="95" spans="7:15" x14ac:dyDescent="0.25">
      <c r="G95" s="7"/>
      <c r="H95" s="7"/>
      <c r="O95" s="7"/>
    </row>
    <row r="96" spans="7:15" x14ac:dyDescent="0.25">
      <c r="G96" s="7"/>
      <c r="H96" s="7"/>
      <c r="O96" s="7"/>
    </row>
    <row r="97" spans="7:15" x14ac:dyDescent="0.25">
      <c r="G97" s="7"/>
      <c r="H97" s="7"/>
      <c r="O97" s="7"/>
    </row>
    <row r="98" spans="7:15" x14ac:dyDescent="0.25">
      <c r="G98" s="7"/>
      <c r="H98" s="7"/>
      <c r="O98" s="7"/>
    </row>
    <row r="99" spans="7:15" x14ac:dyDescent="0.25">
      <c r="G99" s="7"/>
      <c r="H99" s="7"/>
      <c r="O99" s="7"/>
    </row>
    <row r="100" spans="7:15" x14ac:dyDescent="0.25">
      <c r="G100" s="7"/>
      <c r="H100" s="7"/>
      <c r="O100" s="7"/>
    </row>
    <row r="101" spans="7:15" x14ac:dyDescent="0.25">
      <c r="G101" s="7"/>
      <c r="H101" s="7"/>
      <c r="O101" s="7"/>
    </row>
    <row r="102" spans="7:15" x14ac:dyDescent="0.25">
      <c r="G102" s="7"/>
      <c r="H102" s="7"/>
      <c r="O102" s="7"/>
    </row>
    <row r="103" spans="7:15" x14ac:dyDescent="0.25">
      <c r="G103" s="7"/>
      <c r="H103" s="7"/>
      <c r="O103" s="7"/>
    </row>
    <row r="104" spans="7:15" x14ac:dyDescent="0.25">
      <c r="G104" s="7"/>
      <c r="H104" s="7"/>
      <c r="O104" s="7"/>
    </row>
    <row r="105" spans="7:15" x14ac:dyDescent="0.25">
      <c r="G105" s="7"/>
      <c r="H105" s="7"/>
      <c r="O105" s="7"/>
    </row>
    <row r="106" spans="7:15" x14ac:dyDescent="0.25">
      <c r="G106" s="7"/>
      <c r="H106" s="7"/>
      <c r="O106" s="7"/>
    </row>
    <row r="107" spans="7:15" x14ac:dyDescent="0.25">
      <c r="G107" s="7"/>
      <c r="H107" s="7"/>
      <c r="O107" s="7"/>
    </row>
    <row r="108" spans="7:15" x14ac:dyDescent="0.25">
      <c r="G108" s="7"/>
      <c r="H108" s="7"/>
      <c r="O108" s="7"/>
    </row>
    <row r="109" spans="7:15" x14ac:dyDescent="0.25">
      <c r="G109" s="7"/>
      <c r="H109" s="7"/>
      <c r="O109" s="7"/>
    </row>
    <row r="110" spans="7:15" x14ac:dyDescent="0.25">
      <c r="G110" s="7"/>
      <c r="H110" s="7"/>
      <c r="O110" s="7"/>
    </row>
    <row r="111" spans="7:15" x14ac:dyDescent="0.25">
      <c r="G111" s="7"/>
      <c r="H111" s="7"/>
      <c r="O111" s="7"/>
    </row>
    <row r="112" spans="7:15" x14ac:dyDescent="0.25">
      <c r="G112" s="7"/>
      <c r="H112" s="7"/>
      <c r="O112" s="7"/>
    </row>
    <row r="113" spans="7:15" x14ac:dyDescent="0.25">
      <c r="G113" s="7"/>
      <c r="H113" s="7"/>
      <c r="O113" s="7"/>
    </row>
    <row r="114" spans="7:15" x14ac:dyDescent="0.25">
      <c r="G114" s="7"/>
      <c r="H114" s="7"/>
      <c r="O114" s="7"/>
    </row>
    <row r="115" spans="7:15" x14ac:dyDescent="0.25">
      <c r="G115" s="7"/>
      <c r="H115" s="7"/>
      <c r="O115" s="7"/>
    </row>
    <row r="116" spans="7:15" x14ac:dyDescent="0.25">
      <c r="G116" s="7"/>
      <c r="H116" s="7"/>
      <c r="O116" s="7"/>
    </row>
    <row r="117" spans="7:15" x14ac:dyDescent="0.25">
      <c r="G117" s="7"/>
      <c r="H117" s="7"/>
      <c r="O117" s="7"/>
    </row>
    <row r="118" spans="7:15" x14ac:dyDescent="0.25">
      <c r="G118" s="7"/>
      <c r="H118" s="7"/>
      <c r="O118" s="7"/>
    </row>
    <row r="119" spans="7:15" x14ac:dyDescent="0.25">
      <c r="G119" s="7"/>
      <c r="H119" s="7"/>
      <c r="O119" s="7"/>
    </row>
    <row r="120" spans="7:15" x14ac:dyDescent="0.2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0"/>
  <sheetViews>
    <sheetView workbookViewId="0">
      <selection activeCell="D41" sqref="D41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5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5.140625" style="1" bestFit="1" customWidth="1"/>
    <col min="9" max="9" width="2.85546875" style="1" customWidth="1"/>
    <col min="10" max="10" width="5.85546875" style="1" bestFit="1" customWidth="1"/>
    <col min="11" max="11" width="6.140625" style="1" bestFit="1" customWidth="1"/>
    <col min="12" max="12" width="7.5703125" style="1" bestFit="1" customWidth="1"/>
    <col min="13" max="13" width="8" style="1" bestFit="1" customWidth="1"/>
    <col min="14" max="14" width="7.7109375" style="1" bestFit="1" customWidth="1"/>
    <col min="15" max="15" width="5.140625" style="1" bestFit="1" customWidth="1"/>
    <col min="16" max="18" width="9.28515625" style="1"/>
    <col min="19" max="19" width="6" style="1" bestFit="1" customWidth="1"/>
    <col min="20" max="20" width="7.5703125" style="1" bestFit="1" customWidth="1"/>
    <col min="21" max="21" width="7" style="1" bestFit="1" customWidth="1"/>
    <col min="22" max="22" width="8.5703125" style="1" bestFit="1" customWidth="1"/>
    <col min="23" max="23" width="7" style="1" bestFit="1" customWidth="1"/>
    <col min="24" max="24" width="8.5703125" style="1" bestFit="1" customWidth="1"/>
    <col min="25" max="25" width="2.85546875" style="1" customWidth="1"/>
    <col min="26" max="26" width="6" style="1" bestFit="1" customWidth="1"/>
    <col min="27" max="27" width="7.5703125" style="1" bestFit="1" customWidth="1"/>
    <col min="28" max="28" width="7" style="1" bestFit="1" customWidth="1"/>
    <col min="29" max="29" width="8.5703125" style="1" bestFit="1" customWidth="1"/>
    <col min="30" max="30" width="7" style="1" bestFit="1" customWidth="1"/>
    <col min="31" max="31" width="8.5703125" style="1" bestFit="1" customWidth="1"/>
    <col min="32" max="16384" width="9.28515625" style="1"/>
  </cols>
  <sheetData>
    <row r="1" spans="1:31" x14ac:dyDescent="0.25">
      <c r="C1" s="16" t="s">
        <v>61</v>
      </c>
      <c r="D1" s="16"/>
      <c r="E1" s="16"/>
      <c r="F1" s="16"/>
      <c r="G1" s="16"/>
      <c r="H1" s="11"/>
      <c r="J1" s="16" t="s">
        <v>71</v>
      </c>
      <c r="K1" s="16"/>
      <c r="L1" s="16"/>
      <c r="M1" s="16"/>
      <c r="N1" s="16"/>
      <c r="O1" s="11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91</v>
      </c>
      <c r="J2" s="11" t="s">
        <v>0</v>
      </c>
      <c r="K2" s="11" t="s">
        <v>1</v>
      </c>
      <c r="L2" s="11" t="s">
        <v>90</v>
      </c>
      <c r="M2" s="11" t="s">
        <v>49</v>
      </c>
      <c r="N2" s="11" t="s">
        <v>48</v>
      </c>
      <c r="O2" s="11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2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J3" s="11">
        <v>1000</v>
      </c>
      <c r="K3" s="11">
        <v>1000</v>
      </c>
      <c r="L3" s="11">
        <v>1000</v>
      </c>
      <c r="M3" s="11">
        <v>1000</v>
      </c>
      <c r="N3" s="11">
        <v>1000</v>
      </c>
      <c r="O3" s="11">
        <v>1000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25">
      <c r="C4" s="11"/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</row>
    <row r="5" spans="1:31" x14ac:dyDescent="0.25">
      <c r="A5" s="2" t="s">
        <v>58</v>
      </c>
      <c r="B5" s="1" t="s">
        <v>3</v>
      </c>
      <c r="C5" s="12">
        <f>'Table-n=1000-corr'!C5</f>
        <v>-0.28508290649789098</v>
      </c>
      <c r="D5" s="12">
        <f>'Table-n=1000-corr'!D5</f>
        <v>3.1670820747542798</v>
      </c>
      <c r="E5" s="12">
        <f>'Table-n=1000-corr'!E5</f>
        <v>0.73932277872683538</v>
      </c>
      <c r="F5" s="12">
        <f>'Table-n=1000-corr'!F5</f>
        <v>0.95099999999999996</v>
      </c>
      <c r="G5" s="12">
        <f>'Table-n=1000-corr'!G5</f>
        <v>12.777738405560498</v>
      </c>
      <c r="H5" s="12">
        <f>'Table-n=1000-corr'!I5</f>
        <v>1.7370088346823953</v>
      </c>
      <c r="I5" s="12"/>
      <c r="J5" s="12">
        <f>'Table-n=1000-miss'!C5</f>
        <v>5.3395811060897502</v>
      </c>
      <c r="K5" s="12">
        <f>'Table-n=1000-miss'!D5</f>
        <v>6.1240592538261103</v>
      </c>
      <c r="L5" s="12">
        <f>'Table-n=1000-miss'!E5</f>
        <v>0.34854278451761211</v>
      </c>
      <c r="M5" s="12">
        <f>'Table-n=1000-miss'!F5</f>
        <v>0.84499999999999997</v>
      </c>
      <c r="N5" s="12">
        <f>'Table-n=1000-miss'!G5</f>
        <v>15.812985062908561</v>
      </c>
      <c r="O5" s="12">
        <f>'Table-n=1000-miss'!I5</f>
        <v>1.2964276064777949</v>
      </c>
      <c r="P5" s="5"/>
      <c r="Q5" s="5"/>
      <c r="R5" s="1" t="s">
        <v>3</v>
      </c>
      <c r="S5" s="15">
        <f>100*'Table-n=1000-corr'!K5</f>
        <v>283.13590168551701</v>
      </c>
      <c r="T5" s="15">
        <f>100*'Table-n=1000-corr'!L5</f>
        <v>38.4266412535898</v>
      </c>
      <c r="U5" s="15">
        <f>100*'Table-n=1000-corr'!M5</f>
        <v>157.650629681948</v>
      </c>
      <c r="V5" s="15">
        <f>100*'Table-n=1000-corr'!N5</f>
        <v>7.690598516633659</v>
      </c>
      <c r="W5" s="15">
        <f>100*'Table-n=1000-corr'!O5</f>
        <v>182.93186705941</v>
      </c>
      <c r="X5" s="15">
        <f>100*'Table-n=1000-corr'!P5</f>
        <v>18.089613315064202</v>
      </c>
      <c r="Y5" s="12"/>
      <c r="Z5" s="15">
        <f>100*'Table-n=1000-miss'!K5</f>
        <v>345.94036980890002</v>
      </c>
      <c r="AA5" s="15">
        <f>100*'Table-n=1000-miss'!L5</f>
        <v>64.058405091048996</v>
      </c>
      <c r="AB5" s="15">
        <f>100*'Table-n=1000-miss'!M5</f>
        <v>227.51641039853601</v>
      </c>
      <c r="AC5" s="15">
        <f>100*'Table-n=1000-miss'!N5</f>
        <v>19.369385234653098</v>
      </c>
      <c r="AD5" s="15">
        <f>100*'Table-n=1000-miss'!O5</f>
        <v>191.369891072738</v>
      </c>
      <c r="AE5" s="15">
        <f>100*'Table-n=1000-miss'!P5</f>
        <v>19.116668106891598</v>
      </c>
    </row>
    <row r="6" spans="1:31" x14ac:dyDescent="0.25">
      <c r="B6" s="1" t="s">
        <v>5</v>
      </c>
      <c r="C6" s="12">
        <f>'Table-n=1000-corr'!C6</f>
        <v>-4.5477883475843601</v>
      </c>
      <c r="D6" s="12">
        <f>'Table-n=1000-corr'!D6</f>
        <v>5.3852613021132898</v>
      </c>
      <c r="E6" s="12">
        <f>'Table-n=1000-corr'!E6</f>
        <v>2.137612657373178</v>
      </c>
      <c r="F6" s="12">
        <f>'Table-n=1000-corr'!F6</f>
        <v>0.63500000000000001</v>
      </c>
      <c r="G6" s="12">
        <f>'Table-n=1000-corr'!G6</f>
        <v>11.270581170906473</v>
      </c>
      <c r="H6" s="12">
        <f>'Table-n=1000-corr'!I6</f>
        <v>2.2326332612845654</v>
      </c>
      <c r="I6" s="12"/>
      <c r="J6" s="12">
        <f>'Table-n=1000-miss'!C6</f>
        <v>1.0218272235499399</v>
      </c>
      <c r="K6" s="12">
        <f>'Table-n=1000-miss'!D6</f>
        <v>3.5426179319164999</v>
      </c>
      <c r="L6" s="12">
        <f>'Table-n=1000-miss'!E6</f>
        <v>0.11663421251623657</v>
      </c>
      <c r="M6" s="12">
        <f>'Table-n=1000-miss'!F6</f>
        <v>0.97799999999999998</v>
      </c>
      <c r="N6" s="12">
        <f>'Table-n=1000-miss'!G6</f>
        <v>15.286385645759415</v>
      </c>
      <c r="O6" s="12">
        <f>'Table-n=1000-miss'!I6</f>
        <v>1.3872871649755107</v>
      </c>
      <c r="P6" s="5"/>
      <c r="Q6" s="5"/>
      <c r="R6" s="1" t="s">
        <v>5</v>
      </c>
      <c r="S6" s="15">
        <f>100*'Table-n=1000-corr'!K6</f>
        <v>255.23545436627998</v>
      </c>
      <c r="T6" s="15">
        <f>100*'Table-n=1000-corr'!L6</f>
        <v>20.703160909304099</v>
      </c>
      <c r="U6" s="15">
        <f>100*'Table-n=1000-corr'!M6</f>
        <v>182.74922123101001</v>
      </c>
      <c r="V6" s="15">
        <f>100*'Table-n=1000-corr'!N6</f>
        <v>7.9988022276308497</v>
      </c>
      <c r="W6" s="15">
        <f>100*'Table-n=1000-corr'!O6</f>
        <v>137.93952876187402</v>
      </c>
      <c r="X6" s="15">
        <f>100*'Table-n=1000-corr'!P6</f>
        <v>6.9652754510935999</v>
      </c>
      <c r="Y6" s="12"/>
      <c r="Z6" s="15">
        <f>100*'Table-n=1000-miss'!K6</f>
        <v>268.69779467123499</v>
      </c>
      <c r="AA6" s="15">
        <f>100*'Table-n=1000-miss'!L6</f>
        <v>35.656807459044195</v>
      </c>
      <c r="AB6" s="15">
        <f>100*'Table-n=1000-miss'!M6</f>
        <v>199.67598240402998</v>
      </c>
      <c r="AC6" s="15">
        <f>100*'Table-n=1000-miss'!N6</f>
        <v>14.701611035019399</v>
      </c>
      <c r="AD6" s="15">
        <f>100*'Table-n=1000-miss'!O6</f>
        <v>162.40376521591301</v>
      </c>
      <c r="AE6" s="15">
        <f>100*'Table-n=1000-miss'!P6</f>
        <v>10.4915886472997</v>
      </c>
    </row>
    <row r="7" spans="1:31" x14ac:dyDescent="0.25">
      <c r="B7" s="1" t="s">
        <v>4</v>
      </c>
      <c r="C7" s="12">
        <f>'Table-n=1000-corr'!C7</f>
        <v>-0.64086675608199095</v>
      </c>
      <c r="D7" s="12">
        <f>'Table-n=1000-corr'!D7</f>
        <v>3.1359986699412699</v>
      </c>
      <c r="E7" s="12">
        <f>'Table-n=1000-corr'!E7</f>
        <v>0.72488179077159309</v>
      </c>
      <c r="F7" s="12">
        <f>'Table-n=1000-corr'!F7</f>
        <v>0.94199999999999995</v>
      </c>
      <c r="G7" s="12">
        <f>'Table-n=1000-corr'!G7</f>
        <v>12.334228741132154</v>
      </c>
      <c r="H7" s="12">
        <f>'Table-n=1000-corr'!I7</f>
        <v>1.8641721532812625</v>
      </c>
      <c r="I7" s="12"/>
      <c r="J7" s="12">
        <f>'Table-n=1000-miss'!C7</f>
        <v>1.38395158658228</v>
      </c>
      <c r="K7" s="12">
        <f>'Table-n=1000-miss'!D7</f>
        <v>4.1000902631927199</v>
      </c>
      <c r="L7" s="12">
        <f>'Table-n=1000-miss'!E7</f>
        <v>0.15622990325992839</v>
      </c>
      <c r="M7" s="12">
        <f>'Table-n=1000-miss'!F7</f>
        <v>0.97773279352226705</v>
      </c>
      <c r="N7" s="12">
        <f>'Table-n=1000-miss'!G7</f>
        <v>22.801646675219427</v>
      </c>
      <c r="O7" s="12">
        <f>'Table-n=1000-miss'!I7</f>
        <v>0.62351020840460358</v>
      </c>
      <c r="P7" s="5"/>
      <c r="Q7" s="5"/>
      <c r="R7" s="1" t="s">
        <v>4</v>
      </c>
      <c r="S7" s="15">
        <f>100*'Table-n=1000-corr'!K7</f>
        <v>279.88142923560105</v>
      </c>
      <c r="T7" s="15">
        <f>100*'Table-n=1000-corr'!L7</f>
        <v>37.389644557017995</v>
      </c>
      <c r="U7" s="15">
        <f>100*'Table-n=1000-corr'!M7</f>
        <v>155.28363608052501</v>
      </c>
      <c r="V7" s="15">
        <f>100*'Table-n=1000-corr'!N7</f>
        <v>7.5203018718521797</v>
      </c>
      <c r="W7" s="15">
        <f>100*'Table-n=1000-corr'!O7</f>
        <v>179.57352580934699</v>
      </c>
      <c r="X7" s="15">
        <f>100*'Table-n=1000-corr'!P7</f>
        <v>17.389325461517799</v>
      </c>
      <c r="Y7" s="12"/>
      <c r="Z7" s="15">
        <f>100*'Table-n=1000-miss'!K7</f>
        <v>493.20921892734697</v>
      </c>
      <c r="AA7" s="15">
        <f>100*'Table-n=1000-miss'!L7</f>
        <v>143.43378710033602</v>
      </c>
      <c r="AB7" s="15">
        <f>100*'Table-n=1000-miss'!M7</f>
        <v>285.41671572773299</v>
      </c>
      <c r="AC7" s="15">
        <f>100*'Table-n=1000-miss'!N7</f>
        <v>34.366365243853799</v>
      </c>
      <c r="AD7" s="15">
        <f>100*'Table-n=1000-miss'!O7</f>
        <v>245.46039290183899</v>
      </c>
      <c r="AE7" s="15">
        <f>100*'Table-n=1000-miss'!P7</f>
        <v>44.676374134384403</v>
      </c>
    </row>
    <row r="8" spans="1:31" x14ac:dyDescent="0.25">
      <c r="B8" s="1" t="s">
        <v>88</v>
      </c>
      <c r="C8" s="12">
        <f>'Table-n=1000-corr'!C8</f>
        <v>-0.157149473767554</v>
      </c>
      <c r="D8" s="12">
        <f>'Table-n=1000-corr'!D8</f>
        <v>3.4154586085281502</v>
      </c>
      <c r="E8" s="12">
        <f>'Table-n=1000-corr'!E8</f>
        <v>0.85983180146479787</v>
      </c>
      <c r="F8" s="12">
        <f>'Table-n=1000-corr'!F8</f>
        <v>0.94299999999999995</v>
      </c>
      <c r="G8" s="12">
        <f>'Table-n=1000-corr'!G8</f>
        <v>12.80189255365093</v>
      </c>
      <c r="H8" s="12">
        <f>'Table-n=1000-corr'!I8</f>
        <v>1.7304603672664762</v>
      </c>
      <c r="I8" s="12"/>
      <c r="J8" s="12">
        <f>'Table-n=1000-miss'!C8</f>
        <v>8.2271853002036401</v>
      </c>
      <c r="K8" s="12">
        <f>'Table-n=1000-miss'!D8</f>
        <v>9.0199593536477494</v>
      </c>
      <c r="L8" s="12">
        <f>'Table-n=1000-miss'!E8</f>
        <v>0.75611262434107074</v>
      </c>
      <c r="M8" s="12">
        <f>'Table-n=1000-miss'!F8</f>
        <v>0.35099999999999998</v>
      </c>
      <c r="N8" s="12">
        <f>'Table-n=1000-miss'!G8</f>
        <v>13.576104910405345</v>
      </c>
      <c r="O8" s="12">
        <f>'Table-n=1000-miss'!I8</f>
        <v>1.7588371132560667</v>
      </c>
      <c r="P8" s="5"/>
      <c r="Q8" s="5"/>
      <c r="R8" s="1" t="s">
        <v>88</v>
      </c>
      <c r="S8" s="15">
        <f>100*'Table-n=1000-corr'!K8</f>
        <v>293.16877311433001</v>
      </c>
      <c r="T8" s="15">
        <f>100*'Table-n=1000-corr'!L8</f>
        <v>40.858061242341996</v>
      </c>
      <c r="U8" s="15">
        <f>100*'Table-n=1000-corr'!M8</f>
        <v>163.531399866085</v>
      </c>
      <c r="V8" s="15">
        <f>100*'Table-n=1000-corr'!N8</f>
        <v>8.1435897767978602</v>
      </c>
      <c r="W8" s="15">
        <f>100*'Table-n=1000-corr'!O8</f>
        <v>190.520446150249</v>
      </c>
      <c r="X8" s="15">
        <f>100*'Table-n=1000-corr'!P8</f>
        <v>19.439050998271902</v>
      </c>
      <c r="Y8" s="12"/>
      <c r="Z8" s="15">
        <f>100*'Table-n=1000-miss'!K8</f>
        <v>381.11663972572399</v>
      </c>
      <c r="AA8" s="15">
        <f>100*'Table-n=1000-miss'!L8</f>
        <v>80.082372997150898</v>
      </c>
      <c r="AB8" s="15">
        <f>100*'Table-n=1000-miss'!M8</f>
        <v>232.372461143002</v>
      </c>
      <c r="AC8" s="15">
        <f>100*'Table-n=1000-miss'!N8</f>
        <v>21.7928042355591</v>
      </c>
      <c r="AD8" s="15">
        <f>100*'Table-n=1000-miss'!O8</f>
        <v>205.95864874859703</v>
      </c>
      <c r="AE8" s="15">
        <f>100*'Table-n=1000-miss'!P8</f>
        <v>24.032955706595899</v>
      </c>
    </row>
    <row r="9" spans="1:31" x14ac:dyDescent="0.25">
      <c r="B9" s="1" t="s">
        <v>89</v>
      </c>
      <c r="C9" s="12">
        <f>'Table-n=1000-corr'!C9</f>
        <v>0.76687692741570102</v>
      </c>
      <c r="D9" s="12">
        <f>'Table-n=1000-corr'!D9</f>
        <v>3.6833439464422999</v>
      </c>
      <c r="E9" s="12">
        <f>'Table-n=1000-corr'!E9</f>
        <v>1</v>
      </c>
      <c r="F9" s="12">
        <f>'Table-n=1000-corr'!F9</f>
        <v>0.98199999999999998</v>
      </c>
      <c r="G9" s="12">
        <f>'Table-n=1000-corr'!G9</f>
        <v>16.840500957264602</v>
      </c>
      <c r="H9" s="12">
        <f>'Table-n=1000-corr'!I9</f>
        <v>1</v>
      </c>
      <c r="I9" s="12"/>
      <c r="J9" s="12">
        <f>'Table-n=1000-miss'!C9</f>
        <v>9.4610584659767607</v>
      </c>
      <c r="K9" s="12">
        <f>'Table-n=1000-miss'!D9</f>
        <v>10.373166190465099</v>
      </c>
      <c r="L9" s="12">
        <f>'Table-n=1000-miss'!E9</f>
        <v>1</v>
      </c>
      <c r="M9" s="12">
        <f>'Table-n=1000-miss'!F9</f>
        <v>0.46200000000000002</v>
      </c>
      <c r="N9" s="12">
        <f>'Table-n=1000-miss'!G9</f>
        <v>18.004787330191458</v>
      </c>
      <c r="O9" s="12">
        <f>'Table-n=1000-miss'!I9</f>
        <v>1</v>
      </c>
      <c r="P9" s="5"/>
      <c r="Q9" s="5"/>
      <c r="R9" s="1" t="s">
        <v>89</v>
      </c>
      <c r="S9" s="15">
        <f>100*'Table-n=1000-corr'!K9</f>
        <v>295.01591136210396</v>
      </c>
      <c r="T9" s="15">
        <f>100*'Table-n=1000-corr'!L9</f>
        <v>40.7502282205025</v>
      </c>
      <c r="U9" s="15">
        <f>100*'Table-n=1000-corr'!M9</f>
        <v>158.56067861877099</v>
      </c>
      <c r="V9" s="15">
        <f>100*'Table-n=1000-corr'!N9</f>
        <v>7.5556022427489298</v>
      </c>
      <c r="W9" s="15">
        <f>100*'Table-n=1000-corr'!O9</f>
        <v>191.97424307127798</v>
      </c>
      <c r="X9" s="15">
        <f>100*'Table-n=1000-corr'!P9</f>
        <v>19.377275886779699</v>
      </c>
      <c r="Y9" s="12"/>
      <c r="Z9" s="15">
        <f>100*'Table-n=1000-miss'!K9</f>
        <v>391.58030240639698</v>
      </c>
      <c r="AA9" s="15">
        <f>100*'Table-n=1000-miss'!L9</f>
        <v>82.706739519092096</v>
      </c>
      <c r="AB9" s="15">
        <f>100*'Table-n=1000-miss'!M9</f>
        <v>234.46599122435998</v>
      </c>
      <c r="AC9" s="15">
        <f>100*'Table-n=1000-miss'!N9</f>
        <v>21.052087388231698</v>
      </c>
      <c r="AD9" s="15">
        <f>100*'Table-n=1000-miss'!O9</f>
        <v>214.31323452115501</v>
      </c>
      <c r="AE9" s="15">
        <f>100*'Table-n=1000-miss'!P9</f>
        <v>26.116028353704202</v>
      </c>
    </row>
    <row r="10" spans="1:31" s="3" customFormat="1" x14ac:dyDescent="0.25">
      <c r="B10" s="3" t="s">
        <v>2</v>
      </c>
      <c r="C10" s="14">
        <f>'Table-n=1000-corr'!C10</f>
        <v>-8.1691120178291499E-2</v>
      </c>
      <c r="D10" s="14">
        <f>'Table-n=1000-corr'!D10</f>
        <v>3.8748227173886001</v>
      </c>
      <c r="E10" s="14">
        <f>'Table-n=1000-corr'!E10</f>
        <v>1.1066725178472743</v>
      </c>
      <c r="F10" s="14">
        <f>'Table-n=1000-corr'!F10</f>
        <v>0.94899999999999995</v>
      </c>
      <c r="G10" s="14">
        <f>'Table-n=1000-corr'!G10</f>
        <v>14.684934146936792</v>
      </c>
      <c r="H10" s="14">
        <f>'Table-n=1000-corr'!I10</f>
        <v>1.3151218886552714</v>
      </c>
      <c r="I10" s="14"/>
      <c r="J10" s="14">
        <f>'Table-n=1000-miss'!C10</f>
        <v>11.1597382525299</v>
      </c>
      <c r="K10" s="14">
        <f>'Table-n=1000-miss'!D10</f>
        <v>13.9303492345003</v>
      </c>
      <c r="L10" s="14">
        <f>'Table-n=1000-miss'!E10</f>
        <v>1.8034385006296307</v>
      </c>
      <c r="M10" s="14">
        <f>'Table-n=1000-miss'!F10</f>
        <v>0.38</v>
      </c>
      <c r="N10" s="14">
        <f>'Table-n=1000-miss'!G10</f>
        <v>19.540575435981619</v>
      </c>
      <c r="O10" s="14">
        <f>'Table-n=1000-miss'!I10</f>
        <v>0.84898749661109818</v>
      </c>
      <c r="P10" s="13"/>
      <c r="Q10" s="13"/>
      <c r="R10" s="3" t="s">
        <v>2</v>
      </c>
      <c r="S10" s="15">
        <f>100*'Table-n=1000-corr'!K10</f>
        <v>290.447111292469</v>
      </c>
      <c r="T10" s="15">
        <f>100*'Table-n=1000-corr'!L10</f>
        <v>40.404185663989203</v>
      </c>
      <c r="U10" s="15">
        <f>100*'Table-n=1000-corr'!M10</f>
        <v>161.94061691820102</v>
      </c>
      <c r="V10" s="15">
        <f>100*'Table-n=1000-corr'!N10</f>
        <v>7.4838451158464796</v>
      </c>
      <c r="W10" s="15">
        <f>100*'Table-n=1000-corr'!O10</f>
        <v>194.524849374334</v>
      </c>
      <c r="X10" s="15">
        <f>100*'Table-n=1000-corr'!P10</f>
        <v>20.616619970821901</v>
      </c>
      <c r="Y10" s="14"/>
      <c r="Z10" s="15">
        <f>100*'Table-n=1000-miss'!K10</f>
        <v>462.430073206842</v>
      </c>
      <c r="AA10" s="15">
        <f>100*'Table-n=1000-miss'!L10</f>
        <v>112.029021369269</v>
      </c>
      <c r="AB10" s="15">
        <f>100*'Table-n=1000-miss'!M10</f>
        <v>331.60987564147399</v>
      </c>
      <c r="AC10" s="15">
        <f>100*'Table-n=1000-miss'!N10</f>
        <v>50.865783698109304</v>
      </c>
      <c r="AD10" s="15">
        <f>100*'Table-n=1000-miss'!O10</f>
        <v>200.31446250302901</v>
      </c>
      <c r="AE10" s="15">
        <f>100*'Table-n=1000-miss'!P10</f>
        <v>22.6657656581982</v>
      </c>
    </row>
    <row r="11" spans="1:31" s="4" customFormat="1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 t="s">
        <v>219</v>
      </c>
      <c r="T11" s="16"/>
      <c r="U11" s="16"/>
      <c r="V11" s="16"/>
      <c r="W11" s="16"/>
      <c r="X11" s="16"/>
      <c r="Y11" s="7"/>
      <c r="Z11" s="16" t="s">
        <v>219</v>
      </c>
      <c r="AA11" s="16"/>
      <c r="AB11" s="16"/>
      <c r="AC11" s="16"/>
      <c r="AD11" s="16"/>
      <c r="AE11" s="16"/>
    </row>
    <row r="12" spans="1:31" x14ac:dyDescent="0.25">
      <c r="A12" s="2" t="s">
        <v>206</v>
      </c>
      <c r="B12" s="1" t="s">
        <v>3</v>
      </c>
      <c r="C12" s="12">
        <f>'Table-n=1000-corr'!C12</f>
        <v>1.5357506952383901E-2</v>
      </c>
      <c r="D12" s="12">
        <f>'Table-n=1000-corr'!D12</f>
        <v>3.32547808567042</v>
      </c>
      <c r="E12" s="12">
        <f>'Table-n=1000-corr'!E12</f>
        <v>1.052659503906044</v>
      </c>
      <c r="F12" s="12">
        <f>'Table-n=1000-corr'!F12</f>
        <v>0.95399999999999996</v>
      </c>
      <c r="G12" s="12">
        <f>'Table-n=1000-corr'!G12</f>
        <v>12.902879489880638</v>
      </c>
      <c r="H12" s="12">
        <f>'Table-n=1000-corr'!I12</f>
        <v>1.0468150337699351</v>
      </c>
      <c r="I12" s="12"/>
      <c r="J12" s="12">
        <f>'Table-n=1000-miss'!C12</f>
        <v>-1.71207905456523</v>
      </c>
      <c r="K12" s="12">
        <f>'Table-n=1000-miss'!D12</f>
        <v>3.7464115930886499</v>
      </c>
      <c r="L12" s="12">
        <f>'Table-n=1000-miss'!E12</f>
        <v>1.3199947847155975</v>
      </c>
      <c r="M12" s="12">
        <f>'Table-n=1000-miss'!F12</f>
        <v>0.90500000000000003</v>
      </c>
      <c r="N12" s="12">
        <f>'Table-n=1000-miss'!G12</f>
        <v>12.923582746090258</v>
      </c>
      <c r="O12" s="12">
        <f>'Table-n=1000-miss'!I12</f>
        <v>1.0249753607421721</v>
      </c>
      <c r="P12" s="5"/>
      <c r="Q12" s="5"/>
      <c r="R12" s="1" t="s">
        <v>3</v>
      </c>
      <c r="S12" s="15">
        <f>100*S5/S$9</f>
        <v>95.973095274171371</v>
      </c>
      <c r="T12" s="15">
        <f t="shared" ref="T12:X12" si="0">100*T5/T$9</f>
        <v>94.297978027657663</v>
      </c>
      <c r="U12" s="15">
        <f t="shared" si="0"/>
        <v>99.426056355995414</v>
      </c>
      <c r="V12" s="15">
        <f t="shared" si="0"/>
        <v>101.7867043492699</v>
      </c>
      <c r="W12" s="15">
        <f t="shared" si="0"/>
        <v>95.289797283633177</v>
      </c>
      <c r="X12" s="15">
        <f t="shared" si="0"/>
        <v>93.354780211422721</v>
      </c>
      <c r="Y12" s="12"/>
      <c r="Z12" s="15">
        <f>100*Z5/Z$9</f>
        <v>88.344681201525276</v>
      </c>
      <c r="AA12" s="15">
        <f t="shared" ref="AA12:AE12" si="1">100*AA5/AA$9</f>
        <v>77.452460904061752</v>
      </c>
      <c r="AB12" s="15">
        <f t="shared" si="1"/>
        <v>97.035996227199576</v>
      </c>
      <c r="AC12" s="15">
        <f t="shared" si="1"/>
        <v>92.006958157891532</v>
      </c>
      <c r="AD12" s="15">
        <f t="shared" si="1"/>
        <v>89.294481276585714</v>
      </c>
      <c r="AE12" s="15">
        <f t="shared" si="1"/>
        <v>73.198986645226853</v>
      </c>
    </row>
    <row r="13" spans="1:31" x14ac:dyDescent="0.25">
      <c r="B13" s="1" t="s">
        <v>5</v>
      </c>
      <c r="C13" s="12">
        <f>'Table-n=1000-corr'!C13</f>
        <v>-2.2322442525788402</v>
      </c>
      <c r="D13" s="12">
        <f>'Table-n=1000-corr'!D13</f>
        <v>4.2203087649239404</v>
      </c>
      <c r="E13" s="12">
        <f>'Table-n=1000-corr'!E13</f>
        <v>1.6953844168238612</v>
      </c>
      <c r="F13" s="12">
        <f>'Table-n=1000-corr'!F13</f>
        <v>0.88700000000000001</v>
      </c>
      <c r="G13" s="12">
        <f>'Table-n=1000-corr'!G13</f>
        <v>13.968148243401698</v>
      </c>
      <c r="H13" s="12">
        <f>'Table-n=1000-corr'!I13</f>
        <v>0.89323465099150723</v>
      </c>
      <c r="I13" s="12"/>
      <c r="J13" s="12">
        <f>'Table-n=1000-miss'!C13</f>
        <v>-3.432480952558</v>
      </c>
      <c r="K13" s="12">
        <f>'Table-n=1000-miss'!D13</f>
        <v>4.9491269063841203</v>
      </c>
      <c r="L13" s="12">
        <f>'Table-n=1000-miss'!E13</f>
        <v>2.3035541109705644</v>
      </c>
      <c r="M13" s="12">
        <f>'Table-n=1000-miss'!F13</f>
        <v>0.82299999999999995</v>
      </c>
      <c r="N13" s="12">
        <f>'Table-n=1000-miss'!G13</f>
        <v>13.897896482256289</v>
      </c>
      <c r="O13" s="12">
        <f>'Table-n=1000-miss'!I13</f>
        <v>0.88630078949636282</v>
      </c>
      <c r="P13" s="5"/>
      <c r="Q13" s="5"/>
      <c r="R13" s="1" t="s">
        <v>5</v>
      </c>
      <c r="S13" s="15">
        <f t="shared" ref="S13:X17" si="2">100*S6/S$9</f>
        <v>86.515826616891431</v>
      </c>
      <c r="T13" s="15">
        <f t="shared" si="2"/>
        <v>50.805018311254017</v>
      </c>
      <c r="U13" s="15">
        <f t="shared" si="2"/>
        <v>115.25507006084136</v>
      </c>
      <c r="V13" s="15">
        <f t="shared" si="2"/>
        <v>105.86584590668807</v>
      </c>
      <c r="W13" s="15">
        <f t="shared" si="2"/>
        <v>71.853143710877163</v>
      </c>
      <c r="X13" s="15">
        <f t="shared" si="2"/>
        <v>35.945586427066942</v>
      </c>
      <c r="Y13" s="12"/>
      <c r="Z13" s="15">
        <f t="shared" ref="Z13:AE17" si="3">100*Z6/Z$9</f>
        <v>68.61882301535438</v>
      </c>
      <c r="AA13" s="15">
        <f t="shared" si="3"/>
        <v>43.112336027722563</v>
      </c>
      <c r="AB13" s="15">
        <f t="shared" si="3"/>
        <v>85.162023439450735</v>
      </c>
      <c r="AC13" s="15">
        <f t="shared" si="3"/>
        <v>69.834457571355742</v>
      </c>
      <c r="AD13" s="15">
        <f t="shared" si="3"/>
        <v>75.77869167938951</v>
      </c>
      <c r="AE13" s="15">
        <f t="shared" si="3"/>
        <v>40.172986892211007</v>
      </c>
    </row>
    <row r="14" spans="1:31" x14ac:dyDescent="0.25">
      <c r="B14" s="1" t="s">
        <v>4</v>
      </c>
      <c r="C14" s="12">
        <f>'Table-n=1000-corr'!C14</f>
        <v>-0.20396181094371699</v>
      </c>
      <c r="D14" s="12">
        <f>'Table-n=1000-corr'!D14</f>
        <v>3.32943443058039</v>
      </c>
      <c r="E14" s="12">
        <f>'Table-n=1000-corr'!E14</f>
        <v>1.0551657068278331</v>
      </c>
      <c r="F14" s="12">
        <f>'Table-n=1000-corr'!F14</f>
        <v>0.95399999999999996</v>
      </c>
      <c r="G14" s="12">
        <f>'Table-n=1000-corr'!G14</f>
        <v>12.910836853470672</v>
      </c>
      <c r="H14" s="12">
        <f>'Table-n=1000-corr'!I14</f>
        <v>1.0455250599377242</v>
      </c>
      <c r="I14" s="12"/>
      <c r="J14" s="12">
        <f>'Table-n=1000-miss'!C14</f>
        <v>-0.82368447768448805</v>
      </c>
      <c r="K14" s="12">
        <f>'Table-n=1000-miss'!D14</f>
        <v>4.23448050234283</v>
      </c>
      <c r="L14" s="12">
        <f>'Table-n=1000-miss'!E14</f>
        <v>1.6863259102336368</v>
      </c>
      <c r="M14" s="12">
        <f>'Table-n=1000-miss'!F14</f>
        <v>0.956477732793522</v>
      </c>
      <c r="N14" s="12">
        <f>'Table-n=1000-miss'!G14</f>
        <v>17.509703973639091</v>
      </c>
      <c r="O14" s="12">
        <f>'Table-n=1000-miss'!I14</f>
        <v>0.55836948202512227</v>
      </c>
      <c r="P14" s="5"/>
      <c r="Q14" s="5"/>
      <c r="R14" s="1" t="s">
        <v>4</v>
      </c>
      <c r="S14" s="15">
        <f t="shared" si="2"/>
        <v>94.869943774684486</v>
      </c>
      <c r="T14" s="15">
        <f t="shared" si="2"/>
        <v>91.753215110108982</v>
      </c>
      <c r="U14" s="15">
        <f t="shared" si="2"/>
        <v>97.933256487804897</v>
      </c>
      <c r="V14" s="15">
        <f t="shared" si="2"/>
        <v>99.532792095684655</v>
      </c>
      <c r="W14" s="15">
        <f t="shared" si="2"/>
        <v>93.54042653663349</v>
      </c>
      <c r="X14" s="15">
        <f t="shared" si="2"/>
        <v>89.740815804670476</v>
      </c>
      <c r="Y14" s="12"/>
      <c r="Z14" s="15">
        <f t="shared" si="3"/>
        <v>125.95353134373843</v>
      </c>
      <c r="AA14" s="15">
        <f t="shared" si="3"/>
        <v>173.42454548970053</v>
      </c>
      <c r="AB14" s="15">
        <f t="shared" si="3"/>
        <v>121.73053935767528</v>
      </c>
      <c r="AC14" s="15">
        <f t="shared" si="3"/>
        <v>163.24445462384361</v>
      </c>
      <c r="AD14" s="15">
        <f t="shared" si="3"/>
        <v>114.53347407605359</v>
      </c>
      <c r="AE14" s="15">
        <f t="shared" si="3"/>
        <v>171.06879166045809</v>
      </c>
    </row>
    <row r="15" spans="1:31" x14ac:dyDescent="0.25">
      <c r="B15" s="1" t="s">
        <v>88</v>
      </c>
      <c r="C15" s="12">
        <f>'Table-n=1000-corr'!C15</f>
        <v>8.2955740243193105E-2</v>
      </c>
      <c r="D15" s="12">
        <f>'Table-n=1000-corr'!D15</f>
        <v>3.1735157481326</v>
      </c>
      <c r="E15" s="12">
        <f>'Table-n=1000-corr'!E15</f>
        <v>0.95865215060827691</v>
      </c>
      <c r="F15" s="12">
        <f>'Table-n=1000-corr'!F15</f>
        <v>0.94899999999999995</v>
      </c>
      <c r="G15" s="12">
        <f>'Table-n=1000-corr'!G15</f>
        <v>12.42479703548512</v>
      </c>
      <c r="H15" s="12">
        <f>'Table-n=1000-corr'!I15</f>
        <v>1.1289237952422466</v>
      </c>
      <c r="I15" s="12"/>
      <c r="J15" s="12">
        <f>'Table-n=1000-miss'!C15</f>
        <v>-4.7927442946864601E-2</v>
      </c>
      <c r="K15" s="12">
        <f>'Table-n=1000-miss'!D15</f>
        <v>3.1774174170177898</v>
      </c>
      <c r="L15" s="12">
        <f>'Table-n=1000-miss'!E15</f>
        <v>0.94948865857576925</v>
      </c>
      <c r="M15" s="12">
        <f>'Table-n=1000-miss'!F15</f>
        <v>0.95099999999999996</v>
      </c>
      <c r="N15" s="12">
        <f>'Table-n=1000-miss'!G15</f>
        <v>12.457849901743035</v>
      </c>
      <c r="O15" s="12">
        <f>'Table-n=1000-miss'!I15</f>
        <v>1.1030446518675447</v>
      </c>
      <c r="P15" s="5"/>
      <c r="Q15" s="5"/>
      <c r="R15" s="1" t="s">
        <v>88</v>
      </c>
      <c r="S15" s="15">
        <f t="shared" si="2"/>
        <v>99.373885212073603</v>
      </c>
      <c r="T15" s="15">
        <f t="shared" si="2"/>
        <v>100.26461943048761</v>
      </c>
      <c r="U15" s="15">
        <f t="shared" si="2"/>
        <v>103.13490159768119</v>
      </c>
      <c r="V15" s="15">
        <f t="shared" si="2"/>
        <v>107.78213986334734</v>
      </c>
      <c r="W15" s="15">
        <f t="shared" si="2"/>
        <v>99.242712513006651</v>
      </c>
      <c r="X15" s="15">
        <f t="shared" si="2"/>
        <v>100.3188018370237</v>
      </c>
      <c r="Y15" s="12"/>
      <c r="Z15" s="15">
        <f t="shared" si="3"/>
        <v>97.327837325736226</v>
      </c>
      <c r="AA15" s="15">
        <f t="shared" si="3"/>
        <v>96.826901245048617</v>
      </c>
      <c r="AB15" s="15">
        <f t="shared" si="3"/>
        <v>99.107107145720477</v>
      </c>
      <c r="AC15" s="15">
        <f t="shared" si="3"/>
        <v>103.51849597461519</v>
      </c>
      <c r="AD15" s="15">
        <f t="shared" si="3"/>
        <v>96.101693956873547</v>
      </c>
      <c r="AE15" s="15">
        <f t="shared" si="3"/>
        <v>92.023777050261756</v>
      </c>
    </row>
    <row r="16" spans="1:31" x14ac:dyDescent="0.25">
      <c r="B16" s="1" t="s">
        <v>89</v>
      </c>
      <c r="C16" s="12">
        <f>'Table-n=1000-corr'!C16</f>
        <v>0.40930302456470002</v>
      </c>
      <c r="D16" s="12">
        <f>'Table-n=1000-corr'!D16</f>
        <v>3.2412321073504802</v>
      </c>
      <c r="E16" s="12">
        <f>'Table-n=1000-corr'!E16</f>
        <v>1</v>
      </c>
      <c r="F16" s="12">
        <f>'Table-n=1000-corr'!F16</f>
        <v>0.96099999999999997</v>
      </c>
      <c r="G16" s="12">
        <f>'Table-n=1000-corr'!G16</f>
        <v>13.201449436192044</v>
      </c>
      <c r="H16" s="12">
        <f>'Table-n=1000-corr'!I16</f>
        <v>1</v>
      </c>
      <c r="I16" s="12"/>
      <c r="J16" s="12">
        <f>'Table-n=1000-miss'!C16</f>
        <v>0.54517767199420297</v>
      </c>
      <c r="K16" s="12">
        <f>'Table-n=1000-miss'!D16</f>
        <v>3.2608391836008201</v>
      </c>
      <c r="L16" s="12">
        <f>'Table-n=1000-miss'!E16</f>
        <v>1</v>
      </c>
      <c r="M16" s="12">
        <f>'Table-n=1000-miss'!F16</f>
        <v>0.95399999999999996</v>
      </c>
      <c r="N16" s="12">
        <f>'Table-n=1000-miss'!G16</f>
        <v>13.083973041318014</v>
      </c>
      <c r="O16" s="12">
        <f>'Table-n=1000-miss'!I16</f>
        <v>1</v>
      </c>
      <c r="P16" s="5"/>
      <c r="Q16" s="5"/>
      <c r="R16" s="1" t="s">
        <v>89</v>
      </c>
      <c r="S16" s="15">
        <f t="shared" si="2"/>
        <v>100</v>
      </c>
      <c r="T16" s="15">
        <f t="shared" si="2"/>
        <v>100</v>
      </c>
      <c r="U16" s="15">
        <f t="shared" si="2"/>
        <v>100</v>
      </c>
      <c r="V16" s="15">
        <f t="shared" si="2"/>
        <v>100</v>
      </c>
      <c r="W16" s="15">
        <f t="shared" si="2"/>
        <v>100.00000000000001</v>
      </c>
      <c r="X16" s="15">
        <f t="shared" si="2"/>
        <v>100</v>
      </c>
      <c r="Y16" s="12"/>
      <c r="Z16" s="15">
        <f t="shared" si="3"/>
        <v>99.999999999999986</v>
      </c>
      <c r="AA16" s="15">
        <f t="shared" si="3"/>
        <v>100</v>
      </c>
      <c r="AB16" s="15">
        <f t="shared" si="3"/>
        <v>100</v>
      </c>
      <c r="AC16" s="15">
        <f t="shared" si="3"/>
        <v>100</v>
      </c>
      <c r="AD16" s="15">
        <f t="shared" si="3"/>
        <v>100.00000000000001</v>
      </c>
      <c r="AE16" s="15">
        <f t="shared" si="3"/>
        <v>100</v>
      </c>
    </row>
    <row r="17" spans="1:31" s="3" customFormat="1" x14ac:dyDescent="0.25">
      <c r="B17" s="3" t="s">
        <v>2</v>
      </c>
      <c r="C17" s="14">
        <f>'Table-n=1000-corr'!C17</f>
        <v>0.139473417509201</v>
      </c>
      <c r="D17" s="14">
        <f>'Table-n=1000-corr'!D17</f>
        <v>3.2247538916327501</v>
      </c>
      <c r="E17" s="14">
        <f>'Table-n=1000-corr'!E17</f>
        <v>0.98985797494376671</v>
      </c>
      <c r="F17" s="14">
        <f>'Table-n=1000-corr'!F17</f>
        <v>0.94499999999999995</v>
      </c>
      <c r="G17" s="14">
        <f>'Table-n=1000-corr'!G17</f>
        <v>12.607845260985439</v>
      </c>
      <c r="H17" s="14">
        <f>'Table-n=1000-corr'!I17</f>
        <v>1.0963809812529899</v>
      </c>
      <c r="I17" s="14"/>
      <c r="J17" s="14">
        <f>'Table-n=1000-miss'!C17</f>
        <v>1.1501979662895501</v>
      </c>
      <c r="K17" s="14">
        <f>'Table-n=1000-miss'!D17</f>
        <v>4.2080420532210701</v>
      </c>
      <c r="L17" s="14">
        <f>'Table-n=1000-miss'!E17</f>
        <v>1.6653341216669237</v>
      </c>
      <c r="M17" s="14">
        <f>'Table-n=1000-miss'!F17</f>
        <v>0.95199999999999996</v>
      </c>
      <c r="N17" s="14">
        <f>'Table-n=1000-miss'!G17</f>
        <v>13.778878170740724</v>
      </c>
      <c r="O17" s="14">
        <f>'Table-n=1000-miss'!I17</f>
        <v>0.90167818123424681</v>
      </c>
      <c r="P17" s="13"/>
      <c r="Q17" s="13"/>
      <c r="R17" s="3" t="s">
        <v>2</v>
      </c>
      <c r="S17" s="15">
        <f t="shared" si="2"/>
        <v>98.451337743601499</v>
      </c>
      <c r="T17" s="15">
        <f t="shared" si="2"/>
        <v>99.150820568069364</v>
      </c>
      <c r="U17" s="15">
        <f t="shared" si="2"/>
        <v>102.13163713026005</v>
      </c>
      <c r="V17" s="15">
        <f t="shared" si="2"/>
        <v>99.050279188911574</v>
      </c>
      <c r="W17" s="15">
        <f t="shared" si="2"/>
        <v>101.32861901797368</v>
      </c>
      <c r="X17" s="15">
        <f t="shared" si="2"/>
        <v>106.39586333643398</v>
      </c>
      <c r="Y17" s="14"/>
      <c r="Z17" s="15">
        <f t="shared" si="3"/>
        <v>118.09329283547935</v>
      </c>
      <c r="AA17" s="15">
        <f t="shared" si="3"/>
        <v>135.45331616344049</v>
      </c>
      <c r="AB17" s="15">
        <f t="shared" si="3"/>
        <v>141.43197224886967</v>
      </c>
      <c r="AC17" s="15">
        <f t="shared" si="3"/>
        <v>241.61871818251964</v>
      </c>
      <c r="AD17" s="15">
        <f t="shared" si="3"/>
        <v>93.468078604942988</v>
      </c>
      <c r="AE17" s="15">
        <f t="shared" si="3"/>
        <v>86.788715922738589</v>
      </c>
    </row>
    <row r="18" spans="1:31" s="4" customFormat="1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25">
      <c r="A19" s="2" t="s">
        <v>59</v>
      </c>
      <c r="B19" s="1" t="s">
        <v>3</v>
      </c>
      <c r="C19" s="12">
        <f>'Table-n=1000-corr'!C19</f>
        <v>-2.94059993358857E-2</v>
      </c>
      <c r="D19" s="12">
        <f>'Table-n=1000-corr'!D19</f>
        <v>2.9246658894183901</v>
      </c>
      <c r="E19" s="12">
        <f>'Table-n=1000-corr'!E19</f>
        <v>0.99950393746468524</v>
      </c>
      <c r="F19" s="12">
        <f>'Table-n=1000-corr'!F19</f>
        <v>0.96</v>
      </c>
      <c r="G19" s="12">
        <f>'Table-n=1000-corr'!G19</f>
        <v>12.059251757025537</v>
      </c>
      <c r="H19" s="12">
        <f>'Table-n=1000-corr'!I19</f>
        <v>1.1203435983559622</v>
      </c>
      <c r="I19" s="12"/>
      <c r="J19" s="12">
        <f>'Table-n=1000-miss'!C19</f>
        <v>-0.44842746712445303</v>
      </c>
      <c r="K19" s="12">
        <f>'Table-n=1000-miss'!D19</f>
        <v>2.89044576015253</v>
      </c>
      <c r="L19" s="12">
        <f>'Table-n=1000-miss'!E19</f>
        <v>0.66578401683343891</v>
      </c>
      <c r="M19" s="12">
        <f>'Table-n=1000-miss'!F19</f>
        <v>0.96399999999999997</v>
      </c>
      <c r="N19" s="12">
        <f>'Table-n=1000-miss'!G19</f>
        <v>12.313024512100279</v>
      </c>
      <c r="O19" s="12">
        <f>'Table-n=1000-miss'!I19</f>
        <v>1.0651410631703289</v>
      </c>
      <c r="P19" s="5"/>
      <c r="Q19" s="5"/>
      <c r="Y19" s="12"/>
    </row>
    <row r="20" spans="1:31" x14ac:dyDescent="0.25">
      <c r="B20" s="1" t="s">
        <v>5</v>
      </c>
      <c r="C20" s="12">
        <f>'Table-n=1000-corr'!C20</f>
        <v>-2.8217017901378401</v>
      </c>
      <c r="D20" s="12">
        <f>'Table-n=1000-corr'!D20</f>
        <v>4.136121102942</v>
      </c>
      <c r="E20" s="12">
        <f>'Table-n=1000-corr'!E20</f>
        <v>1.999026179473421</v>
      </c>
      <c r="F20" s="12">
        <f>'Table-n=1000-corr'!F20</f>
        <v>0.86599999999999999</v>
      </c>
      <c r="G20" s="12">
        <f>'Table-n=1000-corr'!G20</f>
        <v>12.830644625510478</v>
      </c>
      <c r="H20" s="12">
        <f>'Table-n=1000-corr'!I20</f>
        <v>0.98968048791455832</v>
      </c>
      <c r="I20" s="12"/>
      <c r="J20" s="12">
        <f>'Table-n=1000-miss'!C20</f>
        <v>-2.5493871168163298</v>
      </c>
      <c r="K20" s="12">
        <f>'Table-n=1000-miss'!D20</f>
        <v>3.9683649398315901</v>
      </c>
      <c r="L20" s="12">
        <f>'Table-n=1000-miss'!E20</f>
        <v>1.2549514502208996</v>
      </c>
      <c r="M20" s="12">
        <f>'Table-n=1000-miss'!F20</f>
        <v>0.89100000000000001</v>
      </c>
      <c r="N20" s="12">
        <f>'Table-n=1000-miss'!G20</f>
        <v>13.084543228771771</v>
      </c>
      <c r="O20" s="12">
        <f>'Table-n=1000-miss'!I20</f>
        <v>0.94323407862851383</v>
      </c>
      <c r="P20" s="5"/>
      <c r="Q20" s="5"/>
      <c r="Y20" s="12"/>
    </row>
    <row r="21" spans="1:31" x14ac:dyDescent="0.25">
      <c r="B21" s="1" t="s">
        <v>4</v>
      </c>
      <c r="C21" s="12">
        <f>'Table-n=1000-corr'!C21</f>
        <v>-0.29939711640132999</v>
      </c>
      <c r="D21" s="12">
        <f>'Table-n=1000-corr'!D21</f>
        <v>2.92932125863542</v>
      </c>
      <c r="E21" s="12">
        <f>'Table-n=1000-corr'!E21</f>
        <v>1.0026884127644615</v>
      </c>
      <c r="F21" s="12">
        <f>'Table-n=1000-corr'!F21</f>
        <v>0.95199999999999996</v>
      </c>
      <c r="G21" s="12">
        <f>'Table-n=1000-corr'!G21</f>
        <v>12.014275662945352</v>
      </c>
      <c r="H21" s="12">
        <f>'Table-n=1000-corr'!I21</f>
        <v>1.1287474334064944</v>
      </c>
      <c r="I21" s="12"/>
      <c r="J21" s="12">
        <f>'Table-n=1000-miss'!C21</f>
        <v>-0.61123253838827896</v>
      </c>
      <c r="K21" s="12">
        <f>'Table-n=1000-miss'!D21</f>
        <v>3.3210529745650001</v>
      </c>
      <c r="L21" s="12">
        <f>'Table-n=1000-miss'!E21</f>
        <v>0.87893209418510532</v>
      </c>
      <c r="M21" s="12">
        <f>'Table-n=1000-miss'!F21</f>
        <v>0.97165991902834004</v>
      </c>
      <c r="N21" s="12">
        <f>'Table-n=1000-miss'!G21</f>
        <v>14.286138780715648</v>
      </c>
      <c r="O21" s="12">
        <f>'Table-n=1000-miss'!I21</f>
        <v>0.79123754457994944</v>
      </c>
      <c r="P21" s="5"/>
      <c r="Q21" s="5"/>
      <c r="Y21" s="12"/>
    </row>
    <row r="22" spans="1:31" x14ac:dyDescent="0.25">
      <c r="B22" s="1" t="s">
        <v>88</v>
      </c>
      <c r="C22" s="12">
        <f>'Table-n=1000-corr'!C22</f>
        <v>6.4336458109615094E-2</v>
      </c>
      <c r="D22" s="12">
        <f>'Table-n=1000-corr'!D22</f>
        <v>2.8618408726968401</v>
      </c>
      <c r="E22" s="12">
        <f>'Table-n=1000-corr'!E22</f>
        <v>0.95702427401924173</v>
      </c>
      <c r="F22" s="12">
        <f>'Table-n=1000-corr'!F22</f>
        <v>0.95899999999999996</v>
      </c>
      <c r="G22" s="12">
        <f>'Table-n=1000-corr'!G22</f>
        <v>11.649323027774567</v>
      </c>
      <c r="H22" s="12">
        <f>'Table-n=1000-corr'!I22</f>
        <v>1.2005785628181675</v>
      </c>
      <c r="I22" s="12"/>
      <c r="J22" s="12">
        <f>'Table-n=1000-miss'!C22</f>
        <v>1.3791993095320201</v>
      </c>
      <c r="K22" s="12">
        <f>'Table-n=1000-miss'!D22</f>
        <v>3.1322264192423899</v>
      </c>
      <c r="L22" s="12">
        <f>'Table-n=1000-miss'!E22</f>
        <v>0.78182582798583544</v>
      </c>
      <c r="M22" s="12">
        <f>'Table-n=1000-miss'!F22</f>
        <v>0.93700000000000006</v>
      </c>
      <c r="N22" s="12">
        <f>'Table-n=1000-miss'!G22</f>
        <v>11.631998877532101</v>
      </c>
      <c r="O22" s="12">
        <f>'Table-n=1000-miss'!I22</f>
        <v>1.1935150857031946</v>
      </c>
      <c r="P22" s="5"/>
      <c r="Q22" s="5"/>
      <c r="Y22" s="12"/>
    </row>
    <row r="23" spans="1:31" x14ac:dyDescent="0.25">
      <c r="B23" s="1" t="s">
        <v>89</v>
      </c>
      <c r="C23" s="12">
        <f>'Table-n=1000-corr'!C23</f>
        <v>0.43273461836411498</v>
      </c>
      <c r="D23" s="12">
        <f>'Table-n=1000-corr'!D23</f>
        <v>2.9253915680040499</v>
      </c>
      <c r="E23" s="12">
        <f>'Table-n=1000-corr'!E23</f>
        <v>1</v>
      </c>
      <c r="F23" s="12">
        <f>'Table-n=1000-corr'!F23</f>
        <v>0.96899999999999997</v>
      </c>
      <c r="G23" s="12">
        <f>'Table-n=1000-corr'!G23</f>
        <v>12.764269946728138</v>
      </c>
      <c r="H23" s="12">
        <f>'Table-n=1000-corr'!I23</f>
        <v>1</v>
      </c>
      <c r="I23" s="12"/>
      <c r="J23" s="12">
        <f>'Table-n=1000-miss'!C23</f>
        <v>2.0101340154752498</v>
      </c>
      <c r="K23" s="12">
        <f>'Table-n=1000-miss'!D23</f>
        <v>3.5424044244916399</v>
      </c>
      <c r="L23" s="12">
        <f>'Table-n=1000-miss'!E23</f>
        <v>1</v>
      </c>
      <c r="M23" s="12">
        <f>'Table-n=1000-miss'!F23</f>
        <v>0.93400000000000005</v>
      </c>
      <c r="N23" s="12">
        <f>'Table-n=1000-miss'!G23</f>
        <v>12.707739630828392</v>
      </c>
      <c r="O23" s="12">
        <f>'Table-n=1000-miss'!I23</f>
        <v>1</v>
      </c>
      <c r="P23" s="5"/>
      <c r="Q23" s="5"/>
      <c r="Y23" s="12"/>
    </row>
    <row r="24" spans="1:31" s="3" customFormat="1" x14ac:dyDescent="0.25">
      <c r="B24" s="3" t="s">
        <v>2</v>
      </c>
      <c r="C24" s="14">
        <f>'Table-n=1000-corr'!C24</f>
        <v>0.10422482396906201</v>
      </c>
      <c r="D24" s="14">
        <f>'Table-n=1000-corr'!D24</f>
        <v>2.9572052624989702</v>
      </c>
      <c r="E24" s="14">
        <f>'Table-n=1000-corr'!E24</f>
        <v>1.0218683079156459</v>
      </c>
      <c r="F24" s="14">
        <f>'Table-n=1000-corr'!F24</f>
        <v>0.96199999999999997</v>
      </c>
      <c r="G24" s="14">
        <f>'Table-n=1000-corr'!G24</f>
        <v>12.025292182394017</v>
      </c>
      <c r="H24" s="14">
        <f>'Table-n=1000-corr'!I24</f>
        <v>1.1266802616495446</v>
      </c>
      <c r="I24" s="14"/>
      <c r="J24" s="14">
        <f>'Table-n=1000-miss'!C24</f>
        <v>3.3008059306455602</v>
      </c>
      <c r="K24" s="14">
        <f>'Table-n=1000-miss'!D24</f>
        <v>7.3574804950069304</v>
      </c>
      <c r="L24" s="14">
        <f>'Table-n=1000-miss'!E24</f>
        <v>4.3138193641954272</v>
      </c>
      <c r="M24" s="14">
        <f>'Table-n=1000-miss'!F24</f>
        <v>0.91300000000000003</v>
      </c>
      <c r="N24" s="14">
        <f>'Table-n=1000-miss'!G24</f>
        <v>14.878201358311815</v>
      </c>
      <c r="O24" s="14">
        <f>'Table-n=1000-miss'!I24</f>
        <v>0.72951756286904801</v>
      </c>
      <c r="P24" s="13"/>
      <c r="Q24" s="13"/>
      <c r="Y24" s="14"/>
    </row>
    <row r="25" spans="1:31" s="4" customFormat="1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25">
      <c r="A26" s="2" t="s">
        <v>60</v>
      </c>
      <c r="B26" s="1" t="s">
        <v>3</v>
      </c>
      <c r="C26" s="12">
        <f>'Table-n=1000-corr'!C26</f>
        <v>-0.203598745852659</v>
      </c>
      <c r="D26" s="12">
        <f>'Table-n=1000-corr'!D26</f>
        <v>3.2827372319037802</v>
      </c>
      <c r="E26" s="12">
        <f>'Table-n=1000-corr'!E26</f>
        <v>0.9588640356829734</v>
      </c>
      <c r="F26" s="12">
        <f>'Table-n=1000-corr'!F26</f>
        <v>0.95699999999999996</v>
      </c>
      <c r="G26" s="12">
        <f>'Table-n=1000-corr'!G26</f>
        <v>13.110842214829358</v>
      </c>
      <c r="H26" s="12">
        <f>'Table-n=1000-corr'!I26</f>
        <v>1.2416436351980251</v>
      </c>
      <c r="I26" s="12"/>
      <c r="J26" s="12">
        <f>'Table-n=1000-miss'!C26</f>
        <v>1.7096184180484599</v>
      </c>
      <c r="K26" s="12">
        <f>'Table-n=1000-miss'!D26</f>
        <v>3.4711750201084</v>
      </c>
      <c r="L26" s="12">
        <f>'Table-n=1000-miss'!E26</f>
        <v>0.36523837961920258</v>
      </c>
      <c r="M26" s="12">
        <f>'Table-n=1000-miss'!F26</f>
        <v>0.95499999999999996</v>
      </c>
      <c r="N26" s="12">
        <f>'Table-n=1000-miss'!G26</f>
        <v>13.799450288927762</v>
      </c>
      <c r="O26" s="12">
        <f>'Table-n=1000-miss'!I26</f>
        <v>1.1783059887020197</v>
      </c>
      <c r="P26" s="5"/>
      <c r="Q26"/>
      <c r="R26"/>
      <c r="S26"/>
      <c r="T26"/>
      <c r="Y26" s="12"/>
    </row>
    <row r="27" spans="1:31" x14ac:dyDescent="0.25">
      <c r="B27" s="1" t="s">
        <v>5</v>
      </c>
      <c r="C27" s="12">
        <f>'Table-n=1000-corr'!C27</f>
        <v>-4.2655733507226303</v>
      </c>
      <c r="D27" s="12">
        <f>'Table-n=1000-corr'!D27</f>
        <v>5.3273124508616698</v>
      </c>
      <c r="E27" s="12">
        <f>'Table-n=1000-corr'!E27</f>
        <v>2.5252310838055818</v>
      </c>
      <c r="F27" s="12">
        <f>'Table-n=1000-corr'!F27</f>
        <v>0.76800000000000002</v>
      </c>
      <c r="G27" s="12">
        <f>'Table-n=1000-corr'!G27</f>
        <v>13.052057447128037</v>
      </c>
      <c r="H27" s="12">
        <f>'Table-n=1000-corr'!I27</f>
        <v>1.2528532243507764</v>
      </c>
      <c r="I27" s="12"/>
      <c r="J27" s="12">
        <f>'Table-n=1000-miss'!C27</f>
        <v>-1.44427100365025</v>
      </c>
      <c r="K27" s="12">
        <f>'Table-n=1000-miss'!D27</f>
        <v>3.57182393456775</v>
      </c>
      <c r="L27" s="12">
        <f>'Table-n=1000-miss'!E27</f>
        <v>0.38672608807767195</v>
      </c>
      <c r="M27" s="12">
        <f>'Table-n=1000-miss'!F27</f>
        <v>0.93500000000000005</v>
      </c>
      <c r="N27" s="12">
        <f>'Table-n=1000-miss'!G27</f>
        <v>14.194747272430229</v>
      </c>
      <c r="O27" s="12">
        <f>'Table-n=1000-miss'!I27</f>
        <v>1.1135925795793402</v>
      </c>
      <c r="P27" s="5"/>
      <c r="Q27" s="5"/>
      <c r="Y27" s="12"/>
    </row>
    <row r="28" spans="1:31" x14ac:dyDescent="0.25">
      <c r="B28" s="1" t="s">
        <v>4</v>
      </c>
      <c r="C28" s="12">
        <f>'Table-n=1000-corr'!C28</f>
        <v>-0.56275856281579495</v>
      </c>
      <c r="D28" s="12">
        <f>'Table-n=1000-corr'!D28</f>
        <v>3.2687619499583902</v>
      </c>
      <c r="E28" s="12">
        <f>'Table-n=1000-corr'!E28</f>
        <v>0.95071725438829657</v>
      </c>
      <c r="F28" s="12">
        <f>'Table-n=1000-corr'!F28</f>
        <v>0.94799999999999995</v>
      </c>
      <c r="G28" s="12">
        <f>'Table-n=1000-corr'!G28</f>
        <v>12.904562804362468</v>
      </c>
      <c r="H28" s="12">
        <f>'Table-n=1000-corr'!I28</f>
        <v>1.2816562422007134</v>
      </c>
      <c r="I28" s="12"/>
      <c r="J28" s="12">
        <f>'Table-n=1000-miss'!C28</f>
        <v>-0.245637896605849</v>
      </c>
      <c r="K28" s="12">
        <f>'Table-n=1000-miss'!D28</f>
        <v>3.4161290375998301</v>
      </c>
      <c r="L28" s="12">
        <f>'Table-n=1000-miss'!E28</f>
        <v>0.35374630947741148</v>
      </c>
      <c r="M28" s="12">
        <f>'Table-n=1000-miss'!F28</f>
        <v>0.97672064777327905</v>
      </c>
      <c r="N28" s="12">
        <f>'Table-n=1000-miss'!G28</f>
        <v>15.619729125002875</v>
      </c>
      <c r="O28" s="12">
        <f>'Table-n=1000-miss'!I28</f>
        <v>0.919675593633549</v>
      </c>
      <c r="P28" s="5"/>
      <c r="Q28" s="5"/>
      <c r="Y28" s="12"/>
    </row>
    <row r="29" spans="1:31" x14ac:dyDescent="0.25">
      <c r="B29" s="1" t="s">
        <v>88</v>
      </c>
      <c r="C29" s="12">
        <f>'Table-n=1000-corr'!C29</f>
        <v>-4.6187448678402597E-2</v>
      </c>
      <c r="D29" s="12">
        <f>'Table-n=1000-corr'!D29</f>
        <v>3.3039778819174401</v>
      </c>
      <c r="E29" s="12">
        <f>'Table-n=1000-corr'!E29</f>
        <v>0.97131266316242426</v>
      </c>
      <c r="F29" s="12">
        <f>'Table-n=1000-corr'!F29</f>
        <v>0.94799999999999995</v>
      </c>
      <c r="G29" s="12">
        <f>'Table-n=1000-corr'!G29</f>
        <v>13.096966678408373</v>
      </c>
      <c r="H29" s="12">
        <f>'Table-n=1000-corr'!I29</f>
        <v>1.2442759390326217</v>
      </c>
      <c r="I29" s="12"/>
      <c r="J29" s="12">
        <f>'Table-n=1000-miss'!C29</f>
        <v>3.9442857507815998</v>
      </c>
      <c r="K29" s="12">
        <f>'Table-n=1000-miss'!D29</f>
        <v>5.0533495267091304</v>
      </c>
      <c r="L29" s="12">
        <f>'Table-n=1000-miss'!E29</f>
        <v>0.774073251295467</v>
      </c>
      <c r="M29" s="12">
        <f>'Table-n=1000-miss'!F29</f>
        <v>0.80100000000000005</v>
      </c>
      <c r="N29" s="12">
        <f>'Table-n=1000-miss'!G29</f>
        <v>12.945420843430504</v>
      </c>
      <c r="O29" s="12">
        <f>'Table-n=1000-miss'!I29</f>
        <v>1.3389036040368698</v>
      </c>
      <c r="P29" s="5"/>
      <c r="Q29" s="5"/>
      <c r="Y29" s="12"/>
    </row>
    <row r="30" spans="1:31" x14ac:dyDescent="0.25">
      <c r="B30" s="1" t="s">
        <v>89</v>
      </c>
      <c r="C30" s="12">
        <f>'Table-n=1000-corr'!C30</f>
        <v>0.37590015146447803</v>
      </c>
      <c r="D30" s="12">
        <f>'Table-n=1000-corr'!D30</f>
        <v>3.3524136936475202</v>
      </c>
      <c r="E30" s="12">
        <f>'Table-n=1000-corr'!E30</f>
        <v>1</v>
      </c>
      <c r="F30" s="12">
        <f>'Table-n=1000-corr'!F30</f>
        <v>0.97099999999999997</v>
      </c>
      <c r="G30" s="12">
        <f>'Table-n=1000-corr'!G30</f>
        <v>14.609288790777576</v>
      </c>
      <c r="H30" s="12">
        <f>'Table-n=1000-corr'!I30</f>
        <v>1</v>
      </c>
      <c r="I30" s="12"/>
      <c r="J30" s="12">
        <f>'Table-n=1000-miss'!C30</f>
        <v>4.6361041654449702</v>
      </c>
      <c r="K30" s="12">
        <f>'Table-n=1000-miss'!D30</f>
        <v>5.74365450457422</v>
      </c>
      <c r="L30" s="12">
        <f>'Table-n=1000-miss'!E30</f>
        <v>1</v>
      </c>
      <c r="M30" s="12">
        <f>'Table-n=1000-miss'!F30</f>
        <v>0.82199999999999995</v>
      </c>
      <c r="N30" s="12">
        <f>'Table-n=1000-miss'!G30</f>
        <v>14.979276202669405</v>
      </c>
      <c r="O30" s="12">
        <f>'Table-n=1000-miss'!I30</f>
        <v>1</v>
      </c>
      <c r="P30" s="5"/>
      <c r="Q30" s="5"/>
      <c r="Y30" s="12"/>
    </row>
    <row r="31" spans="1:31" s="3" customFormat="1" x14ac:dyDescent="0.25">
      <c r="B31" s="3" t="s">
        <v>2</v>
      </c>
      <c r="C31" s="14">
        <f>'Table-n=1000-corr'!C31</f>
        <v>-3.5616110484752998E-3</v>
      </c>
      <c r="D31" s="14">
        <f>'Table-n=1000-corr'!D31</f>
        <v>3.46621577379122</v>
      </c>
      <c r="E31" s="14">
        <f>'Table-n=1000-corr'!E31</f>
        <v>1.0690449754482978</v>
      </c>
      <c r="F31" s="14">
        <f>'Table-n=1000-corr'!F31</f>
        <v>0.94699999999999995</v>
      </c>
      <c r="G31" s="14">
        <f>'Table-n=1000-corr'!G31</f>
        <v>13.848348678440194</v>
      </c>
      <c r="H31" s="14">
        <f>'Table-n=1000-corr'!I31</f>
        <v>1.1129154425502683</v>
      </c>
      <c r="I31" s="14"/>
      <c r="J31" s="14">
        <f>'Table-n=1000-miss'!C31</f>
        <v>7.5958988224193904</v>
      </c>
      <c r="K31" s="14">
        <f>'Table-n=1000-miss'!D31</f>
        <v>12.8070842774844</v>
      </c>
      <c r="L31" s="14">
        <f>'Table-n=1000-miss'!E31</f>
        <v>4.9719175566298492</v>
      </c>
      <c r="M31" s="14">
        <f>'Table-n=1000-miss'!F31</f>
        <v>0.76300000000000001</v>
      </c>
      <c r="N31" s="14">
        <f>'Table-n=1000-miss'!G31</f>
        <v>20.278394086160464</v>
      </c>
      <c r="O31" s="14">
        <f>'Table-n=1000-miss'!I31</f>
        <v>0.54565047803313504</v>
      </c>
      <c r="P31" s="13"/>
      <c r="Q31" s="13"/>
      <c r="Y31" s="14"/>
    </row>
    <row r="32" spans="1:31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25">
      <c r="A33" s="2" t="s">
        <v>62</v>
      </c>
      <c r="B33" s="1" t="s">
        <v>3</v>
      </c>
      <c r="C33" s="12">
        <f>'Table-n=1000-corr'!C33</f>
        <v>-0.448557394983915</v>
      </c>
      <c r="D33" s="12">
        <f>'Table-n=1000-corr'!D33</f>
        <v>4.3507967500765901</v>
      </c>
      <c r="E33" s="12">
        <f>'Table-n=1000-corr'!E33</f>
        <v>0.92720083595091163</v>
      </c>
      <c r="F33" s="12">
        <f>'Table-n=1000-corr'!F33</f>
        <v>0.94699999999999995</v>
      </c>
      <c r="G33" s="12">
        <f>'Table-n=1000-corr'!G33</f>
        <v>16.984639860166123</v>
      </c>
      <c r="H33" s="12">
        <f>'Table-n=1000-corr'!I33</f>
        <v>1.3417838840336398</v>
      </c>
      <c r="I33" s="12"/>
      <c r="J33" s="12">
        <f>'Table-n=1000-miss'!C33</f>
        <v>5.33974579050592</v>
      </c>
      <c r="K33" s="12">
        <f>'Table-n=1000-miss'!D33</f>
        <v>6.5745992177518504</v>
      </c>
      <c r="L33" s="12">
        <f>'Table-n=1000-miss'!E33</f>
        <v>0.41630401264865763</v>
      </c>
      <c r="M33" s="12">
        <f>'Table-n=1000-miss'!F33</f>
        <v>0.85599999999999998</v>
      </c>
      <c r="N33" s="12">
        <f>'Table-n=1000-miss'!G33</f>
        <v>18.748994522581299</v>
      </c>
      <c r="O33" s="12">
        <f>'Table-n=1000-miss'!I33</f>
        <v>1.2743516481469299</v>
      </c>
      <c r="P33" s="5"/>
      <c r="Y33" s="12"/>
    </row>
    <row r="34" spans="1:25" x14ac:dyDescent="0.25">
      <c r="B34" s="1" t="s">
        <v>5</v>
      </c>
      <c r="C34" s="12">
        <f>'Table-n=1000-corr'!C34</f>
        <v>-6.0980942285937303</v>
      </c>
      <c r="D34" s="12">
        <f>'Table-n=1000-corr'!D34</f>
        <v>7.25458071377673</v>
      </c>
      <c r="E34" s="12">
        <f>'Table-n=1000-corr'!E34</f>
        <v>2.5778690807853906</v>
      </c>
      <c r="F34" s="12">
        <f>'Table-n=1000-corr'!F34</f>
        <v>0.64300000000000002</v>
      </c>
      <c r="G34" s="12">
        <f>'Table-n=1000-corr'!G34</f>
        <v>15.480973323783404</v>
      </c>
      <c r="H34" s="12">
        <f>'Table-n=1000-corr'!I34</f>
        <v>1.6150974518170904</v>
      </c>
      <c r="I34" s="12"/>
      <c r="J34" s="12">
        <f>'Table-n=1000-miss'!C34</f>
        <v>0.34471666827843001</v>
      </c>
      <c r="K34" s="12">
        <f>'Table-n=1000-miss'!D34</f>
        <v>4.1556401172822497</v>
      </c>
      <c r="L34" s="12">
        <f>'Table-n=1000-miss'!E34</f>
        <v>0.16632130726261346</v>
      </c>
      <c r="M34" s="12">
        <f>'Table-n=1000-miss'!F34</f>
        <v>0.98</v>
      </c>
      <c r="N34" s="12">
        <f>'Table-n=1000-miss'!G34</f>
        <v>19.167893401415746</v>
      </c>
      <c r="O34" s="12">
        <f>'Table-n=1000-miss'!I34</f>
        <v>1.2192604272697898</v>
      </c>
      <c r="P34" s="5"/>
      <c r="Y34" s="12"/>
    </row>
    <row r="35" spans="1:25" x14ac:dyDescent="0.25">
      <c r="B35" s="1" t="s">
        <v>4</v>
      </c>
      <c r="C35" s="12">
        <f>'Table-n=1000-corr'!C35</f>
        <v>-0.91738649519419402</v>
      </c>
      <c r="D35" s="12">
        <f>'Table-n=1000-corr'!D35</f>
        <v>4.2849197811914204</v>
      </c>
      <c r="E35" s="12">
        <f>'Table-n=1000-corr'!E35</f>
        <v>0.89933524805653198</v>
      </c>
      <c r="F35" s="12">
        <f>'Table-n=1000-corr'!F35</f>
        <v>0.94699999999999995</v>
      </c>
      <c r="G35" s="12">
        <f>'Table-n=1000-corr'!G35</f>
        <v>16.447112211511847</v>
      </c>
      <c r="H35" s="12">
        <f>'Table-n=1000-corr'!I35</f>
        <v>1.4309219497529324</v>
      </c>
      <c r="I35" s="12"/>
      <c r="J35" s="12">
        <f>'Table-n=1000-miss'!C35</f>
        <v>0.73234669022618004</v>
      </c>
      <c r="K35" s="12">
        <f>'Table-n=1000-miss'!D35</f>
        <v>4.7302520824675698</v>
      </c>
      <c r="L35" s="12">
        <f>'Table-n=1000-miss'!E35</f>
        <v>0.2154966884232406</v>
      </c>
      <c r="M35" s="12">
        <f>'Table-n=1000-miss'!F35</f>
        <v>0.97975708502024295</v>
      </c>
      <c r="N35" s="12">
        <f>'Table-n=1000-miss'!G35</f>
        <v>26.037004547065173</v>
      </c>
      <c r="O35" s="12">
        <f>'Table-n=1000-miss'!I35</f>
        <v>0.66078961883922871</v>
      </c>
      <c r="P35" s="5"/>
      <c r="Y35" s="12"/>
    </row>
    <row r="36" spans="1:25" x14ac:dyDescent="0.25">
      <c r="B36" s="1" t="s">
        <v>88</v>
      </c>
      <c r="C36" s="12">
        <f>'Table-n=1000-corr'!C36</f>
        <v>-0.239837655708179</v>
      </c>
      <c r="D36" s="12">
        <f>'Table-n=1000-corr'!D36</f>
        <v>4.51786355116759</v>
      </c>
      <c r="E36" s="12">
        <f>'Table-n=1000-corr'!E36</f>
        <v>0.99977539418866035</v>
      </c>
      <c r="F36" s="12">
        <f>'Table-n=1000-corr'!F36</f>
        <v>0.94799999999999995</v>
      </c>
      <c r="G36" s="12">
        <f>'Table-n=1000-corr'!G36</f>
        <v>17.570347699720379</v>
      </c>
      <c r="H36" s="12">
        <f>'Table-n=1000-corr'!I36</f>
        <v>1.2538181284157697</v>
      </c>
      <c r="I36" s="12"/>
      <c r="J36" s="12">
        <f>'Table-n=1000-miss'!C36</f>
        <v>8.0680572000894593</v>
      </c>
      <c r="K36" s="12">
        <f>'Table-n=1000-miss'!D36</f>
        <v>9.2503773221862602</v>
      </c>
      <c r="L36" s="12">
        <f>'Table-n=1000-miss'!E36</f>
        <v>0.82412089476192063</v>
      </c>
      <c r="M36" s="12">
        <f>'Table-n=1000-miss'!F36</f>
        <v>0.56299999999999994</v>
      </c>
      <c r="N36" s="12">
        <f>'Table-n=1000-miss'!G36</f>
        <v>17.45504262328744</v>
      </c>
      <c r="O36" s="12">
        <f>'Table-n=1000-miss'!I36</f>
        <v>1.4702914172209736</v>
      </c>
      <c r="P36" s="5"/>
      <c r="Y36" s="12"/>
    </row>
    <row r="37" spans="1:25" x14ac:dyDescent="0.25">
      <c r="B37" s="1" t="s">
        <v>89</v>
      </c>
      <c r="C37" s="12">
        <f>'Table-n=1000-corr'!C37</f>
        <v>0.37174141776464598</v>
      </c>
      <c r="D37" s="12">
        <f>'Table-n=1000-corr'!D37</f>
        <v>4.51837100585636</v>
      </c>
      <c r="E37" s="12">
        <f>'Table-n=1000-corr'!E37</f>
        <v>1</v>
      </c>
      <c r="F37" s="12">
        <f>'Table-n=1000-corr'!F37</f>
        <v>0.97099999999999997</v>
      </c>
      <c r="G37" s="12">
        <f>'Table-n=1000-corr'!G37</f>
        <v>19.674224748719084</v>
      </c>
      <c r="H37" s="12">
        <f>'Table-n=1000-corr'!I37</f>
        <v>1</v>
      </c>
      <c r="I37" s="12"/>
      <c r="J37" s="12">
        <f>'Table-n=1000-miss'!C37</f>
        <v>8.9377958548723306</v>
      </c>
      <c r="K37" s="12">
        <f>'Table-n=1000-miss'!D37</f>
        <v>10.1897607058498</v>
      </c>
      <c r="L37" s="12">
        <f>'Table-n=1000-miss'!E37</f>
        <v>1</v>
      </c>
      <c r="M37" s="12">
        <f>'Table-n=1000-miss'!F37</f>
        <v>0.64</v>
      </c>
      <c r="N37" s="12">
        <f>'Table-n=1000-miss'!G37</f>
        <v>21.165212086045617</v>
      </c>
      <c r="O37" s="12">
        <f>'Table-n=1000-miss'!I37</f>
        <v>1</v>
      </c>
      <c r="P37" s="5"/>
      <c r="Y37" s="12"/>
    </row>
    <row r="38" spans="1:25" s="3" customFormat="1" x14ac:dyDescent="0.25">
      <c r="B38" s="3" t="s">
        <v>2</v>
      </c>
      <c r="C38" s="14">
        <f>'Table-n=1000-corr'!C38</f>
        <v>-0.19412045819696999</v>
      </c>
      <c r="D38" s="14">
        <f>'Table-n=1000-corr'!D38</f>
        <v>4.7883211438401796</v>
      </c>
      <c r="E38" s="14">
        <f>'Table-n=1000-corr'!E38</f>
        <v>1.1230594942202106</v>
      </c>
      <c r="F38" s="14">
        <f>'Table-n=1000-corr'!F38</f>
        <v>0.95099999999999996</v>
      </c>
      <c r="G38" s="14">
        <f>'Table-n=1000-corr'!G38</f>
        <v>18.96523606175862</v>
      </c>
      <c r="H38" s="14">
        <f>'Table-n=1000-corr'!I38</f>
        <v>1.0761647213096934</v>
      </c>
      <c r="I38" s="14"/>
      <c r="J38" s="14">
        <f>'Table-n=1000-miss'!C38</f>
        <v>13.581215164731001</v>
      </c>
      <c r="K38" s="14">
        <f>'Table-n=1000-miss'!D38</f>
        <v>18.849839528013099</v>
      </c>
      <c r="L38" s="14">
        <f>'Table-n=1000-miss'!E38</f>
        <v>3.4220578274616149</v>
      </c>
      <c r="M38" s="14">
        <f>'Table-n=1000-miss'!F38</f>
        <v>0.625</v>
      </c>
      <c r="N38" s="14">
        <f>'Table-n=1000-miss'!G38</f>
        <v>27.582631353090388</v>
      </c>
      <c r="O38" s="14">
        <f>'Table-n=1000-miss'!I38</f>
        <v>0.5888082132027973</v>
      </c>
      <c r="P38" s="13"/>
      <c r="Q38" s="13"/>
      <c r="Y38" s="14"/>
    </row>
    <row r="39" spans="1:25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25">
      <c r="A40" s="2" t="s">
        <v>207</v>
      </c>
      <c r="B40" s="1" t="s">
        <v>3</v>
      </c>
      <c r="C40" s="12">
        <f>'Table-n=1000-corr'!C40</f>
        <v>-0.73821630331586596</v>
      </c>
      <c r="D40" s="12">
        <f>'Table-n=1000-corr'!D40</f>
        <v>6.6720534593185503</v>
      </c>
      <c r="E40" s="12">
        <f>'Table-n=1000-corr'!E40</f>
        <v>0.95744757190907048</v>
      </c>
      <c r="F40" s="12">
        <f>'Table-n=1000-corr'!F40</f>
        <v>0.95099999999999996</v>
      </c>
      <c r="G40" s="12">
        <f>'Table-n=1000-corr'!G40</f>
        <v>27.98703386698535</v>
      </c>
      <c r="H40" s="12">
        <f>'Table-n=1000-corr'!I40</f>
        <v>1.1524079136353735</v>
      </c>
      <c r="I40" s="12"/>
      <c r="J40" s="12">
        <f>'Table-n=1000-miss'!C40</f>
        <v>10.9619339993118</v>
      </c>
      <c r="K40" s="12">
        <f>'Table-n=1000-miss'!D40</f>
        <v>13.2352112746747</v>
      </c>
      <c r="L40" s="12">
        <f>'Table-n=1000-miss'!E40</f>
        <v>0.57090936691506788</v>
      </c>
      <c r="M40" s="12">
        <f>'Table-n=1000-miss'!F40</f>
        <v>0.74099999999999999</v>
      </c>
      <c r="N40" s="12">
        <f>'Table-n=1000-miss'!G40</f>
        <v>29.512323883539334</v>
      </c>
      <c r="O40" s="12">
        <f>'Table-n=1000-miss'!I40</f>
        <v>1.1838991657473603</v>
      </c>
      <c r="P40" s="5"/>
      <c r="Y40" s="12"/>
    </row>
    <row r="41" spans="1:25" x14ac:dyDescent="0.25">
      <c r="B41" s="1" t="s">
        <v>5</v>
      </c>
      <c r="C41" s="12">
        <f>'Table-n=1000-corr'!C41</f>
        <v>-7.9802734481130102</v>
      </c>
      <c r="D41" s="12">
        <f>'Table-n=1000-corr'!D41</f>
        <v>9.8043481933667707</v>
      </c>
      <c r="E41" s="12">
        <f>'Table-n=1000-corr'!E41</f>
        <v>2.067442407273814</v>
      </c>
      <c r="F41" s="12">
        <f>'Table-n=1000-corr'!F41</f>
        <v>0.64300000000000002</v>
      </c>
      <c r="G41" s="12">
        <f>'Table-n=1000-corr'!G41</f>
        <v>21.084373376945734</v>
      </c>
      <c r="H41" s="12">
        <f>'Table-n=1000-corr'!I41</f>
        <v>2.0304793721097911</v>
      </c>
      <c r="I41" s="12"/>
      <c r="J41" s="12">
        <f>'Table-n=1000-miss'!C41</f>
        <v>3.67929386794223</v>
      </c>
      <c r="K41" s="12">
        <f>'Table-n=1000-miss'!D41</f>
        <v>7.4825933995082696</v>
      </c>
      <c r="L41" s="12">
        <f>'Table-n=1000-miss'!E41</f>
        <v>0.18247766071159194</v>
      </c>
      <c r="M41" s="12">
        <f>'Table-n=1000-miss'!F41</f>
        <v>0.96299999999999997</v>
      </c>
      <c r="N41" s="12">
        <f>'Table-n=1000-miss'!G41</f>
        <v>29.559607925604361</v>
      </c>
      <c r="O41" s="12">
        <f>'Table-n=1000-miss'!I41</f>
        <v>1.1801146253574308</v>
      </c>
      <c r="P41" s="5"/>
      <c r="Y41" s="12"/>
    </row>
    <row r="42" spans="1:25" x14ac:dyDescent="0.25">
      <c r="B42" s="1" t="s">
        <v>4</v>
      </c>
      <c r="C42" s="12">
        <f>'Table-n=1000-corr'!C42</f>
        <v>-1.2433254250260899</v>
      </c>
      <c r="D42" s="12">
        <f>'Table-n=1000-corr'!D42</f>
        <v>6.4315068012505696</v>
      </c>
      <c r="E42" s="12">
        <f>'Table-n=1000-corr'!E42</f>
        <v>0.88965461057457562</v>
      </c>
      <c r="F42" s="12">
        <f>'Table-n=1000-corr'!F42</f>
        <v>0.94299999999999995</v>
      </c>
      <c r="G42" s="12">
        <f>'Table-n=1000-corr'!G42</f>
        <v>24.835454470668502</v>
      </c>
      <c r="H42" s="12">
        <f>'Table-n=1000-corr'!I42</f>
        <v>1.463442809937644</v>
      </c>
      <c r="I42" s="12"/>
      <c r="J42" s="12">
        <f>'Table-n=1000-miss'!C42</f>
        <v>2.5465749239766602</v>
      </c>
      <c r="K42" s="12">
        <f>'Table-n=1000-miss'!D42</f>
        <v>7.6563509922021602</v>
      </c>
      <c r="L42" s="12">
        <f>'Table-n=1000-miss'!E42</f>
        <v>0.19105089706012277</v>
      </c>
      <c r="M42" s="12">
        <f>'Table-n=1000-miss'!F42</f>
        <v>0.98684210526315796</v>
      </c>
      <c r="N42" s="12">
        <f>'Table-n=1000-miss'!G42</f>
        <v>44.401808934861066</v>
      </c>
      <c r="O42" s="12">
        <f>'Table-n=1000-miss'!I42</f>
        <v>0.52302229735891514</v>
      </c>
      <c r="P42" s="5"/>
      <c r="Y42" s="12"/>
    </row>
    <row r="43" spans="1:25" x14ac:dyDescent="0.25">
      <c r="B43" s="1" t="s">
        <v>88</v>
      </c>
      <c r="C43" s="12">
        <f>'Table-n=1000-corr'!C43</f>
        <v>-0.61023729768036405</v>
      </c>
      <c r="D43" s="12">
        <f>'Table-n=1000-corr'!D43</f>
        <v>7.2309728624093701</v>
      </c>
      <c r="E43" s="12">
        <f>'Table-n=1000-corr'!E43</f>
        <v>1.1245776048890619</v>
      </c>
      <c r="F43" s="12">
        <f>'Table-n=1000-corr'!F43</f>
        <v>0.94699999999999995</v>
      </c>
      <c r="G43" s="12">
        <f>'Table-n=1000-corr'!G43</f>
        <v>26.932726834686413</v>
      </c>
      <c r="H43" s="12">
        <f>'Table-n=1000-corr'!I43</f>
        <v>1.2443980619206236</v>
      </c>
      <c r="I43" s="12"/>
      <c r="J43" s="12">
        <f>'Table-n=1000-miss'!C43</f>
        <v>13.736531287904301</v>
      </c>
      <c r="K43" s="12">
        <f>'Table-n=1000-miss'!D43</f>
        <v>15.7286082821851</v>
      </c>
      <c r="L43" s="12">
        <f>'Table-n=1000-miss'!E43</f>
        <v>0.80628021863971966</v>
      </c>
      <c r="M43" s="12">
        <f>'Table-n=1000-miss'!F43</f>
        <v>0.496</v>
      </c>
      <c r="N43" s="12">
        <f>'Table-n=1000-miss'!G43</f>
        <v>26.721982329318045</v>
      </c>
      <c r="O43" s="12">
        <f>'Table-n=1000-miss'!I43</f>
        <v>1.4440565023265739</v>
      </c>
      <c r="P43" s="5"/>
      <c r="Y43" s="12"/>
    </row>
    <row r="44" spans="1:25" x14ac:dyDescent="0.25">
      <c r="B44" s="1" t="s">
        <v>89</v>
      </c>
      <c r="C44" s="12">
        <f>'Table-n=1000-corr'!C44</f>
        <v>0.57480200707784901</v>
      </c>
      <c r="D44" s="12">
        <f>'Table-n=1000-corr'!D44</f>
        <v>6.8187067980321903</v>
      </c>
      <c r="E44" s="12">
        <f>'Table-n=1000-corr'!E44</f>
        <v>1</v>
      </c>
      <c r="F44" s="12">
        <f>'Table-n=1000-corr'!F44</f>
        <v>0.97299999999999998</v>
      </c>
      <c r="G44" s="12">
        <f>'Table-n=1000-corr'!G44</f>
        <v>30.044154683949923</v>
      </c>
      <c r="H44" s="12">
        <f>'Table-n=1000-corr'!I44</f>
        <v>1</v>
      </c>
      <c r="I44" s="12"/>
      <c r="J44" s="12">
        <f>'Table-n=1000-miss'!C44</f>
        <v>15.168493061149301</v>
      </c>
      <c r="K44" s="12">
        <f>'Table-n=1000-miss'!D44</f>
        <v>17.516498413956299</v>
      </c>
      <c r="L44" s="12">
        <f>'Table-n=1000-miss'!E44</f>
        <v>1</v>
      </c>
      <c r="M44" s="12">
        <f>'Table-n=1000-miss'!F44</f>
        <v>0.55200000000000005</v>
      </c>
      <c r="N44" s="12">
        <f>'Table-n=1000-miss'!G44</f>
        <v>32.111512774875941</v>
      </c>
      <c r="O44" s="12">
        <f>'Table-n=1000-miss'!I44</f>
        <v>1</v>
      </c>
      <c r="P44" s="5"/>
      <c r="Y44" s="12"/>
    </row>
    <row r="45" spans="1:25" s="3" customFormat="1" x14ac:dyDescent="0.25">
      <c r="B45" s="3" t="s">
        <v>2</v>
      </c>
      <c r="C45" s="14">
        <f>'Table-n=1000-corr'!C45</f>
        <v>-0.68422586517566897</v>
      </c>
      <c r="D45" s="14">
        <f>'Table-n=1000-corr'!D45</f>
        <v>8.1979288816321905</v>
      </c>
      <c r="E45" s="14">
        <f>'Table-n=1000-corr'!E45</f>
        <v>1.445453949709159</v>
      </c>
      <c r="F45" s="14">
        <f>'Table-n=1000-corr'!F45</f>
        <v>0.95699999999999996</v>
      </c>
      <c r="G45" s="14">
        <f>'Table-n=1000-corr'!G45</f>
        <v>31.902683269432114</v>
      </c>
      <c r="H45" s="14">
        <f>'Table-n=1000-corr'!I45</f>
        <v>0.88688141504246476</v>
      </c>
      <c r="I45" s="14"/>
      <c r="J45" s="14">
        <f>'Table-n=1000-miss'!C45</f>
        <v>18.9072371213176</v>
      </c>
      <c r="K45" s="14">
        <f>'Table-n=1000-miss'!D45</f>
        <v>24.064675517307499</v>
      </c>
      <c r="L45" s="14">
        <f>'Table-n=1000-miss'!E45</f>
        <v>1.8874064377492095</v>
      </c>
      <c r="M45" s="14">
        <f>'Table-n=1000-miss'!F45</f>
        <v>0.47799999999999998</v>
      </c>
      <c r="N45" s="14">
        <f>'Table-n=1000-miss'!G45</f>
        <v>30.295604705786602</v>
      </c>
      <c r="O45" s="14">
        <f>'Table-n=1000-miss'!I45</f>
        <v>1.1234720704927577</v>
      </c>
      <c r="P45" s="13"/>
      <c r="Q45" s="13"/>
      <c r="Y45" s="14"/>
    </row>
    <row r="46" spans="1:25" x14ac:dyDescent="0.25">
      <c r="G46" s="7"/>
      <c r="H46" s="7"/>
      <c r="O46" s="7"/>
    </row>
    <row r="47" spans="1:25" x14ac:dyDescent="0.25">
      <c r="G47" s="7"/>
      <c r="H47" s="7"/>
      <c r="O47" s="7"/>
    </row>
    <row r="48" spans="1:25" x14ac:dyDescent="0.25">
      <c r="G48" s="7"/>
      <c r="H48" s="7"/>
      <c r="O48" s="7"/>
    </row>
    <row r="49" spans="7:15" x14ac:dyDescent="0.25">
      <c r="G49" s="7"/>
      <c r="H49" s="7"/>
      <c r="O49" s="7"/>
    </row>
    <row r="50" spans="7:15" x14ac:dyDescent="0.25">
      <c r="G50" s="7"/>
      <c r="H50" s="7"/>
      <c r="O50" s="7"/>
    </row>
    <row r="51" spans="7:15" x14ac:dyDescent="0.25">
      <c r="G51" s="7"/>
      <c r="H51" s="7"/>
      <c r="O51" s="7"/>
    </row>
    <row r="52" spans="7:15" x14ac:dyDescent="0.25">
      <c r="G52" s="7"/>
      <c r="H52" s="7"/>
      <c r="O52" s="7"/>
    </row>
    <row r="53" spans="7:15" x14ac:dyDescent="0.25">
      <c r="G53" s="7"/>
      <c r="H53" s="7"/>
      <c r="O53" s="7"/>
    </row>
    <row r="54" spans="7:15" x14ac:dyDescent="0.25">
      <c r="G54" s="7"/>
      <c r="H54" s="7"/>
      <c r="O54" s="7"/>
    </row>
    <row r="55" spans="7:15" x14ac:dyDescent="0.25">
      <c r="G55" s="7"/>
      <c r="H55" s="7"/>
      <c r="O55" s="7"/>
    </row>
    <row r="56" spans="7:15" x14ac:dyDescent="0.25">
      <c r="G56" s="7"/>
      <c r="H56" s="7"/>
      <c r="O56" s="7"/>
    </row>
    <row r="57" spans="7:15" x14ac:dyDescent="0.25">
      <c r="G57" s="7"/>
      <c r="H57" s="7"/>
      <c r="O57" s="7"/>
    </row>
    <row r="58" spans="7:15" x14ac:dyDescent="0.25">
      <c r="G58" s="7"/>
      <c r="H58" s="7"/>
      <c r="O58" s="7"/>
    </row>
    <row r="59" spans="7:15" x14ac:dyDescent="0.25">
      <c r="G59" s="7"/>
      <c r="H59" s="7"/>
      <c r="O59" s="7"/>
    </row>
    <row r="60" spans="7:15" x14ac:dyDescent="0.25">
      <c r="G60" s="7"/>
      <c r="H60" s="7"/>
      <c r="O60" s="7"/>
    </row>
    <row r="61" spans="7:15" x14ac:dyDescent="0.25">
      <c r="G61" s="7"/>
      <c r="H61" s="7"/>
      <c r="O61" s="7"/>
    </row>
    <row r="62" spans="7:15" x14ac:dyDescent="0.25">
      <c r="G62" s="7"/>
      <c r="H62" s="7"/>
      <c r="O62" s="7"/>
    </row>
    <row r="63" spans="7:15" x14ac:dyDescent="0.25">
      <c r="G63" s="7"/>
      <c r="H63" s="7"/>
      <c r="O63" s="7"/>
    </row>
    <row r="64" spans="7:15" x14ac:dyDescent="0.25">
      <c r="G64" s="7"/>
      <c r="H64" s="7"/>
      <c r="O64" s="7"/>
    </row>
    <row r="65" spans="7:15" x14ac:dyDescent="0.25">
      <c r="G65" s="7"/>
      <c r="H65" s="7"/>
      <c r="O65" s="7"/>
    </row>
    <row r="66" spans="7:15" x14ac:dyDescent="0.25">
      <c r="G66" s="7"/>
      <c r="H66" s="7"/>
      <c r="O66" s="7"/>
    </row>
    <row r="67" spans="7:15" x14ac:dyDescent="0.25">
      <c r="G67" s="7"/>
      <c r="H67" s="7"/>
      <c r="O67" s="7"/>
    </row>
    <row r="68" spans="7:15" x14ac:dyDescent="0.25">
      <c r="G68" s="7"/>
      <c r="H68" s="7"/>
      <c r="O68" s="7"/>
    </row>
    <row r="69" spans="7:15" x14ac:dyDescent="0.25">
      <c r="G69" s="7"/>
      <c r="H69" s="7"/>
      <c r="O69" s="7"/>
    </row>
    <row r="70" spans="7:15" x14ac:dyDescent="0.25">
      <c r="G70" s="7"/>
      <c r="H70" s="7"/>
      <c r="O70" s="7"/>
    </row>
    <row r="71" spans="7:15" x14ac:dyDescent="0.25">
      <c r="G71" s="7"/>
      <c r="H71" s="7"/>
      <c r="O71" s="7"/>
    </row>
    <row r="72" spans="7:15" x14ac:dyDescent="0.25">
      <c r="G72" s="7"/>
      <c r="H72" s="7"/>
      <c r="O72" s="7"/>
    </row>
    <row r="73" spans="7:15" x14ac:dyDescent="0.25">
      <c r="G73" s="7"/>
      <c r="H73" s="7"/>
      <c r="O73" s="7"/>
    </row>
    <row r="74" spans="7:15" x14ac:dyDescent="0.25">
      <c r="G74" s="7"/>
      <c r="H74" s="7"/>
      <c r="O74" s="7"/>
    </row>
    <row r="75" spans="7:15" x14ac:dyDescent="0.25">
      <c r="G75" s="7"/>
      <c r="H75" s="7"/>
      <c r="O75" s="7"/>
    </row>
    <row r="76" spans="7:15" x14ac:dyDescent="0.25">
      <c r="G76" s="7"/>
      <c r="H76" s="7"/>
      <c r="O76" s="7"/>
    </row>
    <row r="77" spans="7:15" x14ac:dyDescent="0.25">
      <c r="G77" s="7"/>
      <c r="H77" s="7"/>
      <c r="O77" s="7"/>
    </row>
    <row r="78" spans="7:15" x14ac:dyDescent="0.25">
      <c r="G78" s="7"/>
      <c r="H78" s="7"/>
      <c r="O78" s="7"/>
    </row>
    <row r="79" spans="7:15" x14ac:dyDescent="0.25">
      <c r="G79" s="7"/>
      <c r="H79" s="7"/>
      <c r="O79" s="7"/>
    </row>
    <row r="80" spans="7:15" x14ac:dyDescent="0.25">
      <c r="G80" s="7"/>
      <c r="H80" s="7"/>
      <c r="O80" s="7"/>
    </row>
    <row r="81" spans="7:15" x14ac:dyDescent="0.25">
      <c r="G81" s="7"/>
      <c r="H81" s="7"/>
      <c r="O81" s="7"/>
    </row>
    <row r="82" spans="7:15" x14ac:dyDescent="0.25">
      <c r="G82" s="7"/>
      <c r="H82" s="7"/>
      <c r="O82" s="7"/>
    </row>
    <row r="83" spans="7:15" x14ac:dyDescent="0.25">
      <c r="G83" s="7"/>
      <c r="H83" s="7"/>
      <c r="O83" s="7"/>
    </row>
    <row r="84" spans="7:15" x14ac:dyDescent="0.25">
      <c r="G84" s="7"/>
      <c r="H84" s="7"/>
      <c r="O84" s="7"/>
    </row>
    <row r="85" spans="7:15" x14ac:dyDescent="0.25">
      <c r="G85" s="7"/>
      <c r="H85" s="7"/>
      <c r="O85" s="7"/>
    </row>
    <row r="86" spans="7:15" x14ac:dyDescent="0.25">
      <c r="G86" s="7"/>
      <c r="H86" s="7"/>
      <c r="O86" s="7"/>
    </row>
    <row r="87" spans="7:15" x14ac:dyDescent="0.25">
      <c r="G87" s="7"/>
      <c r="H87" s="7"/>
      <c r="O87" s="7"/>
    </row>
    <row r="88" spans="7:15" x14ac:dyDescent="0.25">
      <c r="G88" s="7"/>
      <c r="H88" s="7"/>
      <c r="O88" s="7"/>
    </row>
    <row r="89" spans="7:15" x14ac:dyDescent="0.25">
      <c r="G89" s="7"/>
      <c r="H89" s="7"/>
      <c r="O89" s="7"/>
    </row>
    <row r="90" spans="7:15" x14ac:dyDescent="0.25">
      <c r="G90" s="7"/>
      <c r="H90" s="7"/>
      <c r="O90" s="7"/>
    </row>
    <row r="91" spans="7:15" x14ac:dyDescent="0.25">
      <c r="G91" s="7"/>
      <c r="H91" s="7"/>
      <c r="O91" s="7"/>
    </row>
    <row r="92" spans="7:15" x14ac:dyDescent="0.25">
      <c r="G92" s="7"/>
      <c r="H92" s="7"/>
      <c r="O92" s="7"/>
    </row>
    <row r="93" spans="7:15" x14ac:dyDescent="0.25">
      <c r="G93" s="7"/>
      <c r="H93" s="7"/>
      <c r="O93" s="7"/>
    </row>
    <row r="94" spans="7:15" x14ac:dyDescent="0.25">
      <c r="G94" s="7"/>
      <c r="H94" s="7"/>
      <c r="O94" s="7"/>
    </row>
    <row r="95" spans="7:15" x14ac:dyDescent="0.25">
      <c r="G95" s="7"/>
      <c r="H95" s="7"/>
      <c r="O95" s="7"/>
    </row>
    <row r="96" spans="7:15" x14ac:dyDescent="0.25">
      <c r="G96" s="7"/>
      <c r="H96" s="7"/>
      <c r="O96" s="7"/>
    </row>
    <row r="97" spans="7:15" x14ac:dyDescent="0.25">
      <c r="G97" s="7"/>
      <c r="H97" s="7"/>
      <c r="O97" s="7"/>
    </row>
    <row r="98" spans="7:15" x14ac:dyDescent="0.25">
      <c r="G98" s="7"/>
      <c r="H98" s="7"/>
      <c r="O98" s="7"/>
    </row>
    <row r="99" spans="7:15" x14ac:dyDescent="0.25">
      <c r="G99" s="7"/>
      <c r="H99" s="7"/>
      <c r="O99" s="7"/>
    </row>
    <row r="100" spans="7:15" x14ac:dyDescent="0.25">
      <c r="G100" s="7"/>
      <c r="H100" s="7"/>
      <c r="O100" s="7"/>
    </row>
    <row r="101" spans="7:15" x14ac:dyDescent="0.25">
      <c r="G101" s="7"/>
      <c r="H101" s="7"/>
      <c r="O101" s="7"/>
    </row>
    <row r="102" spans="7:15" x14ac:dyDescent="0.25">
      <c r="G102" s="7"/>
      <c r="H102" s="7"/>
      <c r="O102" s="7"/>
    </row>
    <row r="103" spans="7:15" x14ac:dyDescent="0.25">
      <c r="G103" s="7"/>
      <c r="H103" s="7"/>
      <c r="O103" s="7"/>
    </row>
    <row r="104" spans="7:15" x14ac:dyDescent="0.25">
      <c r="G104" s="7"/>
      <c r="H104" s="7"/>
      <c r="O104" s="7"/>
    </row>
    <row r="105" spans="7:15" x14ac:dyDescent="0.25">
      <c r="G105" s="7"/>
      <c r="H105" s="7"/>
      <c r="O105" s="7"/>
    </row>
    <row r="106" spans="7:15" x14ac:dyDescent="0.25">
      <c r="G106" s="7"/>
      <c r="H106" s="7"/>
      <c r="O106" s="7"/>
    </row>
    <row r="107" spans="7:15" x14ac:dyDescent="0.25">
      <c r="G107" s="7"/>
      <c r="H107" s="7"/>
      <c r="O107" s="7"/>
    </row>
    <row r="108" spans="7:15" x14ac:dyDescent="0.25">
      <c r="G108" s="7"/>
      <c r="H108" s="7"/>
      <c r="O108" s="7"/>
    </row>
    <row r="109" spans="7:15" x14ac:dyDescent="0.25">
      <c r="G109" s="7"/>
      <c r="H109" s="7"/>
      <c r="O109" s="7"/>
    </row>
    <row r="110" spans="7:15" x14ac:dyDescent="0.25">
      <c r="G110" s="7"/>
      <c r="H110" s="7"/>
      <c r="O110" s="7"/>
    </row>
    <row r="111" spans="7:15" x14ac:dyDescent="0.25">
      <c r="G111" s="7"/>
      <c r="H111" s="7"/>
      <c r="O111" s="7"/>
    </row>
    <row r="112" spans="7:15" x14ac:dyDescent="0.25">
      <c r="G112" s="7"/>
      <c r="H112" s="7"/>
      <c r="O112" s="7"/>
    </row>
    <row r="113" spans="7:15" x14ac:dyDescent="0.25">
      <c r="G113" s="7"/>
      <c r="H113" s="7"/>
      <c r="O113" s="7"/>
    </row>
    <row r="114" spans="7:15" x14ac:dyDescent="0.25">
      <c r="G114" s="7"/>
      <c r="H114" s="7"/>
      <c r="O114" s="7"/>
    </row>
    <row r="115" spans="7:15" x14ac:dyDescent="0.25">
      <c r="G115" s="7"/>
      <c r="H115" s="7"/>
      <c r="O115" s="7"/>
    </row>
    <row r="116" spans="7:15" x14ac:dyDescent="0.25">
      <c r="G116" s="7"/>
      <c r="H116" s="7"/>
      <c r="O116" s="7"/>
    </row>
    <row r="117" spans="7:15" x14ac:dyDescent="0.25">
      <c r="G117" s="7"/>
      <c r="H117" s="7"/>
      <c r="O117" s="7"/>
    </row>
    <row r="118" spans="7:15" x14ac:dyDescent="0.25">
      <c r="G118" s="7"/>
      <c r="H118" s="7"/>
      <c r="O118" s="7"/>
    </row>
    <row r="119" spans="7:15" x14ac:dyDescent="0.25">
      <c r="G119" s="7"/>
      <c r="H119" s="7"/>
      <c r="O119" s="7"/>
    </row>
    <row r="120" spans="7:15" x14ac:dyDescent="0.2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0"/>
  <sheetViews>
    <sheetView workbookViewId="0">
      <selection activeCell="O9" sqref="O9"/>
    </sheetView>
  </sheetViews>
  <sheetFormatPr defaultColWidth="9.28515625" defaultRowHeight="15" x14ac:dyDescent="0.25"/>
  <cols>
    <col min="1" max="1" width="8" style="1" bestFit="1" customWidth="1"/>
    <col min="2" max="2" width="11.7109375" style="1" bestFit="1" customWidth="1"/>
    <col min="3" max="4" width="6.5703125" style="1" bestFit="1" customWidth="1"/>
    <col min="5" max="5" width="6.5703125" style="1" customWidth="1"/>
    <col min="6" max="7" width="8.28515625" style="1" bestFit="1" customWidth="1"/>
    <col min="8" max="10" width="8.28515625" style="1" customWidth="1"/>
    <col min="11" max="17" width="9.28515625" style="1"/>
    <col min="18" max="18" width="14" style="1" bestFit="1" customWidth="1"/>
    <col min="19" max="16384" width="9.28515625" style="1"/>
  </cols>
  <sheetData>
    <row r="1" spans="1:18" x14ac:dyDescent="0.25">
      <c r="C1" s="16" t="s">
        <v>61</v>
      </c>
      <c r="D1" s="16"/>
      <c r="E1" s="16"/>
      <c r="F1" s="16"/>
      <c r="G1" s="16"/>
      <c r="H1" s="9"/>
      <c r="I1" s="9"/>
      <c r="J1" s="11"/>
      <c r="R1" s="10" t="s">
        <v>165</v>
      </c>
    </row>
    <row r="2" spans="1:18" x14ac:dyDescent="0.25">
      <c r="C2" s="9" t="s">
        <v>0</v>
      </c>
      <c r="D2" s="9" t="s">
        <v>1</v>
      </c>
      <c r="E2" s="9" t="s">
        <v>90</v>
      </c>
      <c r="F2" s="9" t="s">
        <v>49</v>
      </c>
      <c r="G2" s="9" t="s">
        <v>48</v>
      </c>
      <c r="H2" s="9" t="s">
        <v>164</v>
      </c>
      <c r="I2" s="9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2</v>
      </c>
    </row>
    <row r="3" spans="1:18" x14ac:dyDescent="0.25">
      <c r="B3" s="1" t="s">
        <v>6</v>
      </c>
      <c r="C3" s="9">
        <v>200</v>
      </c>
      <c r="D3" s="9">
        <v>200</v>
      </c>
      <c r="E3" s="9">
        <v>200</v>
      </c>
      <c r="F3" s="9">
        <v>200</v>
      </c>
      <c r="G3" s="9">
        <v>200</v>
      </c>
      <c r="H3" s="9">
        <v>200</v>
      </c>
      <c r="I3" s="9">
        <v>200</v>
      </c>
      <c r="J3" s="11"/>
      <c r="K3" s="11">
        <v>200</v>
      </c>
      <c r="L3" s="11">
        <v>200</v>
      </c>
      <c r="M3" s="11">
        <v>200</v>
      </c>
      <c r="N3" s="11">
        <v>200</v>
      </c>
      <c r="O3" s="11">
        <v>200</v>
      </c>
      <c r="P3" s="11">
        <v>200</v>
      </c>
    </row>
    <row r="4" spans="1:18" x14ac:dyDescent="0.25">
      <c r="C4" s="9"/>
      <c r="D4" s="9"/>
      <c r="E4" s="9"/>
      <c r="F4" s="9"/>
      <c r="G4" s="9"/>
      <c r="H4" s="9"/>
      <c r="I4" s="9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-1.0328761327349301</v>
      </c>
      <c r="D5" s="5">
        <f>HLOOKUP("ATE-RMSE-IPS-exp",Point!$D$1:$DR$96,$R$2,FALSE)</f>
        <v>6.7643591507535401</v>
      </c>
      <c r="E5" s="5">
        <f>(D5/$D$9)^2</f>
        <v>0.71921605120890009</v>
      </c>
      <c r="F5" s="5">
        <f>HLOOKUP("ATE-Empcov-IPS-exp",inference!$D$1:$DR$96,$R$2,FALSE)</f>
        <v>0.94299999999999995</v>
      </c>
      <c r="G5" s="5">
        <f>HLOOKUP("ATE-ASSD-IPS-exp",inference!$D$1:$DR$96,$R$2,FALSE)*2*1.96/SQRT(G$3)</f>
        <v>26.665233691672107</v>
      </c>
      <c r="H5" s="5">
        <f>G5/(2*1.96/SQRT(G$3))</f>
        <v>96.199834516864016</v>
      </c>
      <c r="I5" s="5">
        <f t="shared" ref="I5:I10" si="0">($H$9/H5)^2</f>
        <v>1.874768697670562</v>
      </c>
      <c r="J5" s="5"/>
      <c r="K5" s="5">
        <f>HLOOKUP("ks-IPS-exp",balance!$D$1:$DR$96,$R$2,FALSE)</f>
        <v>2.37312408280357</v>
      </c>
      <c r="L5" s="5">
        <f>HLOOKUP("cvm-IPS-exp",balance!$D$1:$DR$96,$R$2,FALSE)</f>
        <v>0.398587407817525</v>
      </c>
      <c r="M5" s="5">
        <f>HLOOKUP("ks-IPS-exp_1",balance!$D$1:$DR$96,$R$2,FALSE)</f>
        <v>1.33605904197396</v>
      </c>
      <c r="N5" s="5">
        <f>HLOOKUP("cvm-IPS-exp_1",balance!$D$1:$DR$96,$R$2,FALSE)</f>
        <v>9.2586686878704E-2</v>
      </c>
      <c r="O5" s="5">
        <f>HLOOKUP("ks-IPS-exp_0",balance!$D$1:$DR$96,$R$2,FALSE)</f>
        <v>1.48367763148854</v>
      </c>
      <c r="P5" s="5">
        <f>HLOOKUP("cvm-IPS-exp_0",balance!$D$1:$DR$96,$R$2,FALSE)</f>
        <v>0.17105775946150101</v>
      </c>
    </row>
    <row r="6" spans="1:18" x14ac:dyDescent="0.25">
      <c r="B6" s="1" t="s">
        <v>5</v>
      </c>
      <c r="C6" s="5">
        <f>HLOOKUP("ATE-bias-IPS-ind",Point!$D$1:$DR$96,$R$2,FALSE)</f>
        <v>-5.6031729245144701</v>
      </c>
      <c r="D6" s="5">
        <f>HLOOKUP("ATE-RMSE-IPS-ind",Point!$D$1:$DR$96,$R$2,FALSE)</f>
        <v>8.2382329636254994</v>
      </c>
      <c r="E6" s="5">
        <f t="shared" ref="E6:E10" si="1">(D6/$D$9)^2</f>
        <v>1.0667783486961011</v>
      </c>
      <c r="F6" s="5">
        <f>HLOOKUP("ATE-Empcov-IPS-ind",inference!$D$1:$DR$96,$R$2,FALSE)</f>
        <v>0.89690721649484495</v>
      </c>
      <c r="G6" s="5">
        <f>HLOOKUP("ATE-ASSD-IPS-ind",inference!$D$1:$DR$96,$R$2,FALSE)*2*1.96/SQRT(G$3)</f>
        <v>26.582468037248564</v>
      </c>
      <c r="H6" s="5">
        <f t="shared" ref="H6:H9" si="2">G6/(2*1.96/SQRT(G$3))</f>
        <v>95.901241886801614</v>
      </c>
      <c r="I6" s="5">
        <f t="shared" si="0"/>
        <v>1.8864612174658788</v>
      </c>
      <c r="J6" s="5"/>
      <c r="K6" s="5">
        <f>HLOOKUP("ks-IPS-ind",balance!$D$1:$DR$96,$R$2,FALSE)</f>
        <v>1.8158068089616699</v>
      </c>
      <c r="L6" s="5">
        <f>HLOOKUP("cvm-IPS-ind",balance!$D$1:$DR$96,$R$2,FALSE)</f>
        <v>0.17150122149799399</v>
      </c>
      <c r="M6" s="5">
        <f>HLOOKUP("ks-IPS-ind_1",balance!$D$1:$DR$96,$R$2,FALSE)</f>
        <v>1.2953887380429701</v>
      </c>
      <c r="N6" s="5">
        <f>HLOOKUP("cvm-IPS-ind_1",balance!$D$1:$DR$96,$R$2,FALSE)</f>
        <v>7.9266814345205494E-2</v>
      </c>
      <c r="O6" s="5">
        <f>HLOOKUP("ks-IPS-ind_0",balance!$D$1:$DR$96,$R$2,FALSE)</f>
        <v>0.798199714223782</v>
      </c>
      <c r="P6" s="5">
        <f>HLOOKUP("cvm-IPS-ind_0",balance!$D$1:$DR$96,$R$2,FALSE)</f>
        <v>3.4758695387334698E-2</v>
      </c>
    </row>
    <row r="7" spans="1:18" x14ac:dyDescent="0.25">
      <c r="B7" s="1" t="s">
        <v>4</v>
      </c>
      <c r="C7" s="5">
        <f>HLOOKUP("ATE-bias-IPS-proj",Point!$D$1:$DR$96,$R$2,FALSE)</f>
        <v>-2.5452166655171502</v>
      </c>
      <c r="D7" s="5">
        <f>HLOOKUP("ATE-RMSE-IPS-proj",Point!$D$1:$DR$96,$R$2,FALSE)</f>
        <v>6.7459637623843101</v>
      </c>
      <c r="E7" s="5">
        <f t="shared" si="1"/>
        <v>0.71530961492282119</v>
      </c>
      <c r="F7" s="6">
        <f>HLOOKUP("ATE-Empcov-IPS-proj",inference!$D$1:$DR$96,$R$2,FALSE)</f>
        <v>0.92800000000000005</v>
      </c>
      <c r="G7" s="6">
        <f>HLOOKUP("ATE-ASSD-IPS-proj",inference!$D$1:$DR$96,$R$2,FALSE)*2*1.96/SQRT(G$3)</f>
        <v>25.15271128321033</v>
      </c>
      <c r="H7" s="5">
        <f t="shared" si="2"/>
        <v>90.7431260897215</v>
      </c>
      <c r="I7" s="5">
        <f t="shared" si="0"/>
        <v>2.107021030649761</v>
      </c>
      <c r="J7" s="5"/>
      <c r="K7" s="5">
        <f>HLOOKUP("ks-IPS-proj",balance!$D$1:$DR$96,$R$2,FALSE)</f>
        <v>2.24940768979575</v>
      </c>
      <c r="L7" s="5">
        <f>HLOOKUP("cvm-IPS-proj",balance!$D$1:$DR$96,$R$2,FALSE)</f>
        <v>0.349859490612414</v>
      </c>
      <c r="M7" s="5">
        <f>HLOOKUP("ks-IPS-proj_1",balance!$D$1:$DR$96,$R$2,FALSE)</f>
        <v>1.27026265381382</v>
      </c>
      <c r="N7" s="5">
        <f>HLOOKUP("cvm-IPS-proj_1",balance!$D$1:$DR$96,$R$2,FALSE)</f>
        <v>8.5049619947956595E-2</v>
      </c>
      <c r="O7" s="5">
        <f>HLOOKUP("ks-IPS-proj_0",balance!$D$1:$DR$96,$R$2,FALSE)</f>
        <v>1.37103976801632</v>
      </c>
      <c r="P7" s="5">
        <f>HLOOKUP("cvm-IPS-proj_0",balance!$D$1:$DR$96,$R$2,FALSE)</f>
        <v>0.14176062437732101</v>
      </c>
    </row>
    <row r="8" spans="1:18" x14ac:dyDescent="0.25">
      <c r="B8" s="1" t="s">
        <v>88</v>
      </c>
      <c r="C8" s="5">
        <f>HLOOKUP("ATE-bias-CBPS-just",Point!$D$1:$DR$96,$R$2,FALSE)</f>
        <v>-0.373811832735299</v>
      </c>
      <c r="D8" s="5">
        <f>HLOOKUP("ATE-RMSE-CBPS-just",Point!$D$1:$DR$96,$R$2,FALSE)</f>
        <v>7.6010465915905998</v>
      </c>
      <c r="E8" s="5">
        <f t="shared" si="1"/>
        <v>0.9081400814968037</v>
      </c>
      <c r="F8" s="5">
        <f>HLOOKUP("ATE-Empcov-CBPS-just",inference!$D$1:$DR$96,$R$2,FALSE)</f>
        <v>0.90200000000000002</v>
      </c>
      <c r="G8" s="5">
        <f>HLOOKUP("ATE-ASSD-CBPS-just",inference!$D$1:$DR$96,$R$2,FALSE)*2*1.96/SQRT(G$3)</f>
        <v>25.79347928315461</v>
      </c>
      <c r="H8" s="5">
        <f t="shared" si="2"/>
        <v>93.054816895476307</v>
      </c>
      <c r="I8" s="5">
        <f t="shared" si="0"/>
        <v>2.0036350753845236</v>
      </c>
      <c r="J8" s="5"/>
      <c r="K8" s="5">
        <f>HLOOKUP("ks-CBPS-Just",balance!$D$1:$DR$96,$R$2,FALSE)</f>
        <v>2.54489771394497</v>
      </c>
      <c r="L8" s="5">
        <f>HLOOKUP("cvm-CBPS-Just",balance!$D$1:$DR$96,$R$2,FALSE)</f>
        <v>0.459712307362384</v>
      </c>
      <c r="M8" s="5">
        <f>HLOOKUP("ks-CBPS-Just_1",balance!$D$1:$DR$96,$R$2,FALSE)</f>
        <v>1.4699394639344301</v>
      </c>
      <c r="N8" s="5">
        <f>HLOOKUP("cvm-CBPS-Just_1",balance!$D$1:$DR$96,$R$2,FALSE)</f>
        <v>0.10590098356347399</v>
      </c>
      <c r="O8" s="5">
        <f>HLOOKUP("ks-CBPS-Just_0",balance!$D$1:$DR$96,$R$2,FALSE)</f>
        <v>1.65236268178569</v>
      </c>
      <c r="P8" s="5">
        <f>HLOOKUP("cvm-CBPS-Just_0",balance!$D$1:$DR$96,$R$2,FALSE)</f>
        <v>0.21196121912482699</v>
      </c>
    </row>
    <row r="9" spans="1:18" x14ac:dyDescent="0.25">
      <c r="B9" s="1" t="s">
        <v>89</v>
      </c>
      <c r="C9" s="5">
        <f>HLOOKUP("ATE-bias-CBPS-over",Point!$D$1:$DR$96,$R$2,FALSE)</f>
        <v>2.1010050690847102</v>
      </c>
      <c r="D9" s="5">
        <f>HLOOKUP("ATE-RMSE-CBPS-over",Point!$D$1:$DR$96,$R$2,FALSE)</f>
        <v>7.97621721594495</v>
      </c>
      <c r="E9" s="5">
        <f t="shared" si="1"/>
        <v>1</v>
      </c>
      <c r="F9" s="5">
        <f>HLOOKUP("ATE-Empcov-CBPS-over",inference!$D$1:$DR$96,$R$2,FALSE)</f>
        <v>0.97799999999999998</v>
      </c>
      <c r="G9" s="5">
        <f>HLOOKUP("ATE-ASSD-CBPS-over",inference!$D$1:$DR$96,$R$2,FALSE)*2*1.96/SQRT(G$3)</f>
        <v>36.510622778917757</v>
      </c>
      <c r="H9" s="5">
        <f t="shared" si="2"/>
        <v>131.71892322610603</v>
      </c>
      <c r="I9" s="5">
        <f t="shared" si="0"/>
        <v>1</v>
      </c>
      <c r="J9" s="5"/>
      <c r="K9" s="5">
        <f>HLOOKUP("ks-CBPS-over",balance!$D$1:$DR$96,$R$2,FALSE)</f>
        <v>2.5261405064538098</v>
      </c>
      <c r="L9" s="5">
        <f>HLOOKUP("cvm-CBPS-over",balance!$D$1:$DR$96,$R$2,FALSE)</f>
        <v>0.44914453373969498</v>
      </c>
      <c r="M9" s="5">
        <f>HLOOKUP("ks-CBPS-over_1",balance!$D$1:$DR$96,$R$2,FALSE)</f>
        <v>1.3368923026642201</v>
      </c>
      <c r="N9" s="5">
        <f>HLOOKUP("cvm-CBPS-over_1",balance!$D$1:$DR$96,$R$2,FALSE)</f>
        <v>9.1677186839072403E-2</v>
      </c>
      <c r="O9" s="5">
        <f>HLOOKUP("ks-CBPS-over_0",balance!$D$1:$DR$96,$R$2,FALSE)</f>
        <v>1.5763572718968399</v>
      </c>
      <c r="P9" s="5">
        <f>HLOOKUP("cvm-CBPS-over_0",balance!$D$1:$DR$96,$R$2,FALSE)</f>
        <v>0.192999867160041</v>
      </c>
    </row>
    <row r="10" spans="1:18" s="3" customFormat="1" x14ac:dyDescent="0.25">
      <c r="B10" s="3" t="s">
        <v>2</v>
      </c>
      <c r="C10" s="5">
        <f>HLOOKUP("ATE-bias-GLM",Point!$D$1:$DR$96,$R$2,FALSE)</f>
        <v>0.19226778686575599</v>
      </c>
      <c r="D10" s="5">
        <f>HLOOKUP("ATE-RMSE-GLM",Point!$D$1:$DR$96,$R$2,FALSE)</f>
        <v>9.0424685397100095</v>
      </c>
      <c r="E10" s="5">
        <f t="shared" si="1"/>
        <v>1.2852276721112053</v>
      </c>
      <c r="F10" s="5">
        <f>HLOOKUP("ATE-Empcov-GLM",inference!$D$1:$DR$96,$R$2,FALSE)</f>
        <v>0.92100000000000004</v>
      </c>
      <c r="G10" s="5">
        <f>HLOOKUP("ATE-ASSD-GLM",inference!$D$1:$DR$96,$R$2,FALSE)*2*1.96/SQRT(G$3)</f>
        <v>30.212982103186928</v>
      </c>
      <c r="H10" s="5">
        <f>G10/(2*1.96/SQRT(G$3))</f>
        <v>108.99900267873102</v>
      </c>
      <c r="I10" s="5">
        <f t="shared" si="0"/>
        <v>1.4603309682487662</v>
      </c>
      <c r="J10" s="5"/>
      <c r="K10" s="5">
        <f>HLOOKUP("ks-GLM",balance!$D$1:$DR$96,$R$2,FALSE)</f>
        <v>2.5297518547058302</v>
      </c>
      <c r="L10" s="5">
        <f>HLOOKUP("cvm-GLM",balance!$D$1:$DR$96,$R$2,FALSE)</f>
        <v>0.45299737012234897</v>
      </c>
      <c r="M10" s="5">
        <f>HLOOKUP("ks-GLM_1",balance!$D$1:$DR$96,$R$2,FALSE)</f>
        <v>1.44642777504517</v>
      </c>
      <c r="N10" s="5">
        <f>HLOOKUP("cvm-GLM_1",balance!$D$1:$DR$96,$R$2,FALSE)</f>
        <v>9.5760107893445606E-2</v>
      </c>
      <c r="O10" s="5">
        <f>HLOOKUP("ks-GLM_0",balance!$D$1:$DR$96,$R$2,FALSE)</f>
        <v>1.6623422428839001</v>
      </c>
      <c r="P10" s="5">
        <f>HLOOKUP("cvm-GLM_0",balance!$D$1:$DR$96,$R$2,FALSE)</f>
        <v>0.22036541384059599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-0.54430544789519797</v>
      </c>
      <c r="D12" s="5">
        <f>HLOOKUP("QTE-0.10-RMSE-IPS-exp",Point!$D$1:$DR$96,$R$2,FALSE)</f>
        <v>7.33739972758005</v>
      </c>
      <c r="E12" s="5">
        <f t="shared" ref="E12:E15" si="3">(D12/$D$16)^2</f>
        <v>1.0640590740810985</v>
      </c>
      <c r="F12" s="5">
        <f>HLOOKUP("QTE-0.1-Empcov-IPS-exp",inference!$D$1:$DR$96,$R$2,FALSE)</f>
        <v>0.93500000000000005</v>
      </c>
      <c r="G12" s="5">
        <f>HLOOKUP("QTE-0.1-ASSD-IPS-exp",inference!$D$1:$DR$96,$R$2,FALSE)*2*1.96/SQRT(G$3)</f>
        <v>29.373146825715256</v>
      </c>
      <c r="H12" s="5">
        <f>G12/(2*1.96/SQRT(G$3))</f>
        <v>105.96913931250701</v>
      </c>
      <c r="I12" s="5">
        <f t="shared" ref="I12:I17" si="4">($H$16/H12)^2</f>
        <v>1.0456116110933564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-0.55362128593220195</v>
      </c>
      <c r="D13" s="5">
        <f>HLOOKUP("QTE-0.10-RMSE-IPS-ind",Point!$D$1:$DR$96,$R$2,FALSE)</f>
        <v>8.3941363430952602</v>
      </c>
      <c r="E13" s="5">
        <f t="shared" si="3"/>
        <v>1.3926225371606906</v>
      </c>
      <c r="F13" s="5">
        <f>HLOOKUP("QTE-0.1-Empcov-IPS-ind",inference!$D$1:$DR$96,$R$2,FALSE)</f>
        <v>0.95154639175257705</v>
      </c>
      <c r="G13" s="5">
        <f>HLOOKUP("QTE-0.1-ASSD-IPS-ind",inference!$D$1:$DR$96,$R$2,FALSE)*2*1.96/SQRT(G$3)</f>
        <v>38.129400518536031</v>
      </c>
      <c r="H13" s="5">
        <f t="shared" ref="H13:H16" si="5">G13/(2*1.96/SQRT(G$3))</f>
        <v>137.55896770017699</v>
      </c>
      <c r="I13" s="5">
        <f t="shared" si="4"/>
        <v>0.62051372951761929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-1.4490045662661999</v>
      </c>
      <c r="D14" s="5">
        <f>HLOOKUP("QTE-0.10-RMSE-IPS-proj",Point!$D$1:$DR$96,$R$2,FALSE)</f>
        <v>7.3066946599505398</v>
      </c>
      <c r="E14" s="5">
        <f t="shared" si="3"/>
        <v>1.0551720990731277</v>
      </c>
      <c r="F14" s="6">
        <f>HLOOKUP("QTE-0.1-Empcov-IPS-proj",inference!$D$1:$DR$96,$R$2,FALSE)</f>
        <v>0.93200000000000005</v>
      </c>
      <c r="G14" s="6">
        <f>HLOOKUP("QTE-0.1-ASSD-IPS-proj",inference!$D$1:$DR$96,$R$2,FALSE)*2*1.96/SQRT(G$3)</f>
        <v>29.043778330225688</v>
      </c>
      <c r="H14" s="5">
        <f t="shared" si="5"/>
        <v>104.780880656028</v>
      </c>
      <c r="I14" s="5">
        <f t="shared" si="4"/>
        <v>1.0694614208976327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-0.210498080341637</v>
      </c>
      <c r="D15" s="5">
        <f>HLOOKUP("QTE-0.10-RMSE-CBPS-just",Point!$D$1:$DR$96,$R$2,FALSE)</f>
        <v>7.0771716058556198</v>
      </c>
      <c r="E15" s="5">
        <f t="shared" si="3"/>
        <v>0.98992167601764447</v>
      </c>
      <c r="F15" s="5">
        <f>HLOOKUP("QTE-0.1-Empcov-CBPS-just",inference!$D$1:$DR$96,$R$2,FALSE)</f>
        <v>0.94299999999999995</v>
      </c>
      <c r="G15" s="5">
        <f>HLOOKUP("QTE-0.1-ASSD-CBPS-just",inference!$D$1:$DR$96,$R$2,FALSE)*2*1.96/SQRT(G$3)</f>
        <v>28.211548899852691</v>
      </c>
      <c r="H15" s="5">
        <f t="shared" si="5"/>
        <v>101.778456810519</v>
      </c>
      <c r="I15" s="5">
        <f t="shared" si="4"/>
        <v>1.1334894644759415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0.67944274317547804</v>
      </c>
      <c r="D16" s="5">
        <f>HLOOKUP("QTE-0.10-RMSE-CBPS-over",Point!$D$1:$DR$96,$R$2,FALSE)</f>
        <v>7.1131064717139196</v>
      </c>
      <c r="E16" s="5">
        <f>(D16/$D$16)^2</f>
        <v>1</v>
      </c>
      <c r="F16" s="5">
        <f>HLOOKUP("QTE-0.1-Empcov-CBPS-over",inference!$D$1:$DR$96,$R$2,FALSE)</f>
        <v>0.95599999999999996</v>
      </c>
      <c r="G16" s="5">
        <f>HLOOKUP("QTE-0.1-ASSD-CBPS-over",inference!$D$1:$DR$96,$R$2,FALSE)*2*1.96/SQRT(G$3)</f>
        <v>30.035555934379119</v>
      </c>
      <c r="H16" s="5">
        <f t="shared" si="5"/>
        <v>108.35890447911902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25">
      <c r="B17" s="3" t="s">
        <v>2</v>
      </c>
      <c r="C17" s="5">
        <f>HLOOKUP("QTE-0.10-bias-GLM",Point!$D$1:$DR$96,$R$2,FALSE)</f>
        <v>2.2026031942345999E-4</v>
      </c>
      <c r="D17" s="5">
        <f>HLOOKUP("QTE-0.10-RMSE-GLM",Point!$D$1:$DR$96,$R$2,FALSE)</f>
        <v>7.14726968059668</v>
      </c>
      <c r="E17" s="5">
        <f>(D17/$D$16)^2</f>
        <v>1.0096287745625583</v>
      </c>
      <c r="F17" s="5">
        <f>HLOOKUP("QTE-0.1-Empcov-GLM",inference!$D$1:$DR$96,$R$2,FALSE)</f>
        <v>0.93600000000000005</v>
      </c>
      <c r="G17" s="5">
        <f>HLOOKUP("QTE-0.1-ASSD-GLM",inference!$D$1:$DR$96,$R$2,FALSE)*2*1.96/SQRT(G$3)</f>
        <v>28.644694378309747</v>
      </c>
      <c r="H17" s="5">
        <f>G17/(2*1.96/SQRT(G$3))</f>
        <v>103.34111040775001</v>
      </c>
      <c r="I17" s="5">
        <f t="shared" si="4"/>
        <v>1.0994689366129844</v>
      </c>
      <c r="J17" s="5"/>
      <c r="K17" s="5"/>
      <c r="L17" s="5"/>
      <c r="M17" s="5"/>
      <c r="N17" s="5"/>
    </row>
    <row r="18" spans="1:17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25">
      <c r="A19" s="2" t="s">
        <v>59</v>
      </c>
      <c r="B19" s="1" t="s">
        <v>3</v>
      </c>
      <c r="C19" s="5">
        <f>HLOOKUP("QTE-0.25-bias-IPS-exp",Point!$D$1:$DR$96,$R$2,FALSE)</f>
        <v>-0.51171465691790996</v>
      </c>
      <c r="D19" s="5">
        <f>HLOOKUP("QTE-0.25-RMSE-IPS-exp",Point!$D$1:$DR$96,$R$2,FALSE)</f>
        <v>6.5283276670060904</v>
      </c>
      <c r="E19" s="5">
        <f>(D19/$D$23)^2</f>
        <v>1.0064496506006602</v>
      </c>
      <c r="F19" s="5">
        <f>HLOOKUP("QTE-0.25-Empcov-IPS-exp",inference!$D$1:$DR$96,$R$2,FALSE)</f>
        <v>0.95299999999999996</v>
      </c>
      <c r="G19" s="5">
        <f>HLOOKUP("QTE-0.25-ASSD-IPS-exp",inference!$D$1:$DR$96,$R$2,FALSE)*2*1.96/SQRT(G$3)</f>
        <v>27.356592812624783</v>
      </c>
      <c r="H19" s="5">
        <f>G19/(2*1.96/SQRT(G$3))</f>
        <v>98.694042285541599</v>
      </c>
      <c r="I19" s="5">
        <f>($H$23/H19)^2</f>
        <v>1.1261223305310073</v>
      </c>
      <c r="J19" s="5"/>
      <c r="K19" s="5"/>
      <c r="L19" s="5"/>
      <c r="M19" s="5"/>
      <c r="N19" s="5"/>
    </row>
    <row r="20" spans="1:17" x14ac:dyDescent="0.25">
      <c r="B20" s="1" t="s">
        <v>5</v>
      </c>
      <c r="C20" s="5">
        <f>HLOOKUP("QTE-0.25-bias-IPS-ind",Point!$D$1:$DR$96,$R$2,FALSE)</f>
        <v>-1.8732705709654001</v>
      </c>
      <c r="D20" s="5">
        <f>HLOOKUP("QTE-0.25-RMSE-IPS-ind",Point!$D$1:$DR$96,$R$2,FALSE)</f>
        <v>7.3089497762870401</v>
      </c>
      <c r="E20" s="5">
        <f t="shared" ref="E20:E24" si="6">(D20/$D$23)^2</f>
        <v>1.2615315612286528</v>
      </c>
      <c r="F20" s="5">
        <f>HLOOKUP("QTE-0.25-Empcov-IPS-ind",inference!$D$1:$DR$96,$R$2,FALSE)</f>
        <v>0.94948453608247396</v>
      </c>
      <c r="G20" s="5">
        <f>HLOOKUP("QTE-0.25-ASSD-IPS-ind",inference!$D$1:$DR$96,$R$2,FALSE)*2*1.96/SQRT(G$3)</f>
        <v>32.581422032077832</v>
      </c>
      <c r="H20" s="5">
        <f t="shared" ref="H20:H23" si="7">G20/(2*1.96/SQRT(G$3))</f>
        <v>117.54359418154603</v>
      </c>
      <c r="I20" s="5">
        <f t="shared" ref="I20:I24" si="8">($H$23/H20)^2</f>
        <v>0.79390678240552848</v>
      </c>
      <c r="J20" s="5"/>
      <c r="K20" s="5"/>
      <c r="L20" s="5"/>
      <c r="M20" s="5"/>
      <c r="N20" s="5"/>
    </row>
    <row r="21" spans="1:17" x14ac:dyDescent="0.25">
      <c r="B21" s="1" t="s">
        <v>4</v>
      </c>
      <c r="C21" s="5">
        <f>HLOOKUP("QTE-0.25-bias-IPS-proj",Point!$D$1:$DR$96,$R$2,FALSE)</f>
        <v>-1.5904952712612599</v>
      </c>
      <c r="D21" s="5">
        <f>HLOOKUP("QTE-0.25-RMSE-IPS-proj",Point!$D$1:$DR$96,$R$2,FALSE)</f>
        <v>6.5381182982447896</v>
      </c>
      <c r="E21" s="5">
        <f t="shared" si="6"/>
        <v>1.0094706896236556</v>
      </c>
      <c r="F21" s="6">
        <f>HLOOKUP("QTE-0.25-Empcov-IPS-proj",inference!$D$1:$DR$96,$R$2,FALSE)</f>
        <v>0.94399999999999995</v>
      </c>
      <c r="G21" s="6">
        <f>HLOOKUP("QTE-0.25-ASSD-IPS-proj",inference!$D$1:$DR$96,$R$2,FALSE)*2*1.96/SQRT(G$3)</f>
        <v>26.798181996748568</v>
      </c>
      <c r="H21" s="5">
        <f t="shared" si="7"/>
        <v>96.679470476388616</v>
      </c>
      <c r="I21" s="5">
        <f t="shared" si="8"/>
        <v>1.173542759873428</v>
      </c>
      <c r="J21" s="5"/>
      <c r="K21" s="5"/>
      <c r="L21" s="5"/>
      <c r="M21" s="5"/>
      <c r="N21" s="5"/>
    </row>
    <row r="22" spans="1:17" x14ac:dyDescent="0.25">
      <c r="B22" s="1" t="s">
        <v>88</v>
      </c>
      <c r="C22" s="5">
        <f>HLOOKUP("QTE-0.25-bias-CBPS-just",Point!$D$1:$DR$96,$R$2,FALSE)</f>
        <v>-5.4808535265593199E-2</v>
      </c>
      <c r="D22" s="5">
        <f>HLOOKUP("QTE-0.25-RMSE-CBPS-just",Point!$D$1:$DR$96,$R$2,FALSE)</f>
        <v>6.4780508746924399</v>
      </c>
      <c r="E22" s="5">
        <f t="shared" si="6"/>
        <v>0.99100734594026618</v>
      </c>
      <c r="F22" s="5">
        <f>HLOOKUP("QTE-0.25-Empcov-CBPS-just",inference!$D$1:$DR$96,$R$2,FALSE)</f>
        <v>0.95099999999999996</v>
      </c>
      <c r="G22" s="5">
        <f>HLOOKUP("QTE-0.25-ASSD-CBPS-just",inference!$D$1:$DR$96,$R$2,FALSE)*2*1.96/SQRT(G$3)</f>
        <v>26.498119650533138</v>
      </c>
      <c r="H22" s="5">
        <f t="shared" si="7"/>
        <v>95.596939252982111</v>
      </c>
      <c r="I22" s="5">
        <f t="shared" si="8"/>
        <v>1.2002714317108141</v>
      </c>
      <c r="J22" s="5"/>
      <c r="K22" s="5"/>
      <c r="L22" s="5"/>
      <c r="M22" s="5"/>
      <c r="N22" s="5"/>
    </row>
    <row r="23" spans="1:17" x14ac:dyDescent="0.25">
      <c r="B23" s="1" t="s">
        <v>89</v>
      </c>
      <c r="C23" s="5">
        <f>HLOOKUP("QTE-0.25-bias-CBPS-over",Point!$D$1:$DR$96,$R$2,FALSE)</f>
        <v>1.0391934118284401</v>
      </c>
      <c r="D23" s="5">
        <f>HLOOKUP("QTE-0.25-RMSE-CBPS-over",Point!$D$1:$DR$96,$R$2,FALSE)</f>
        <v>6.5073762435014597</v>
      </c>
      <c r="E23" s="5">
        <f>(D23/$D$23)^2</f>
        <v>1</v>
      </c>
      <c r="F23" s="5">
        <f>HLOOKUP("QTE-0.25-Empcov-CBPS-over",inference!$D$1:$DR$96,$R$2,FALSE)</f>
        <v>0.96699999999999997</v>
      </c>
      <c r="G23" s="5">
        <f>HLOOKUP("QTE-0.25-ASSD-CBPS-over",inference!$D$1:$DR$96,$R$2,FALSE)*2*1.96/SQRT(G$3)</f>
        <v>29.030518422621398</v>
      </c>
      <c r="H23" s="5">
        <f t="shared" si="7"/>
        <v>104.73304305100301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25">
      <c r="B24" s="3" t="s">
        <v>2</v>
      </c>
      <c r="C24" s="5">
        <f>HLOOKUP("QTE-0.25-bias-GLM",Point!$D$1:$DR$96,$R$2,FALSE)</f>
        <v>0.25458764739287398</v>
      </c>
      <c r="D24" s="5">
        <f>HLOOKUP("QTE-0.25-RMSE-GLM",Point!$D$1:$DR$96,$R$2,FALSE)</f>
        <v>6.8291315285235799</v>
      </c>
      <c r="E24" s="5">
        <f t="shared" si="6"/>
        <v>1.1013341844460536</v>
      </c>
      <c r="F24" s="5">
        <f>HLOOKUP("QTE-0.25-Empcov-GLM",inference!$D$1:$DR$96,$R$2,FALSE)</f>
        <v>0.94799999999999995</v>
      </c>
      <c r="G24" s="5">
        <f>HLOOKUP("QTE-0.25-ASSD-GLM",inference!$D$1:$DR$96,$R$2,FALSE)*2*1.96/SQRT(G$3)</f>
        <v>27.551166980215804</v>
      </c>
      <c r="H24" s="5">
        <f>G24/(2*1.96/SQRT(G$3))</f>
        <v>99.396005108742315</v>
      </c>
      <c r="I24" s="5">
        <f t="shared" si="8"/>
        <v>1.1102725052617222</v>
      </c>
      <c r="J24" s="5"/>
      <c r="K24" s="5"/>
      <c r="L24" s="5"/>
      <c r="M24" s="5"/>
      <c r="N24" s="5"/>
    </row>
    <row r="25" spans="1:17" s="4" customFormat="1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7" x14ac:dyDescent="0.25">
      <c r="A26" s="2" t="s">
        <v>60</v>
      </c>
      <c r="B26" s="1" t="s">
        <v>3</v>
      </c>
      <c r="C26" s="5">
        <f>HLOOKUP("QTE-0.5-bias-IPS-exp",Point!$D$1:$DR$96,$R$2,FALSE)</f>
        <v>-1.00922291512983</v>
      </c>
      <c r="D26" s="5">
        <f>HLOOKUP("QTE-0.5-RMSE-IPS-exp",Point!$D$1:$DR$96,$R$2,FALSE)</f>
        <v>7.3687420728895097</v>
      </c>
      <c r="E26" s="5">
        <f>(D26/$D$30)^2</f>
        <v>1.0106622825830029</v>
      </c>
      <c r="F26" s="5">
        <f>HLOOKUP("QTE-0.5-Empcov-IPS-exp",inference!$D$1:$DR$96,$R$2,FALSE)</f>
        <v>0.95</v>
      </c>
      <c r="G26" s="5">
        <f>HLOOKUP("QTE-0.5-ASSD-IPS-exp",inference!$D$1:$DR$96,$R$2,FALSE)*2*1.96/SQRT(G$3)</f>
        <v>29.025802617864297</v>
      </c>
      <c r="H26" s="5">
        <f>G26/(2*1.96/SQRT(G$3))</f>
        <v>104.71602990037802</v>
      </c>
      <c r="I26" s="5">
        <f>($H$30/H26)^2</f>
        <v>1.2642111349245717</v>
      </c>
      <c r="J26" s="5"/>
      <c r="K26"/>
      <c r="L26"/>
      <c r="M26"/>
      <c r="N26"/>
      <c r="O26"/>
      <c r="P26"/>
      <c r="Q26"/>
    </row>
    <row r="27" spans="1:17" x14ac:dyDescent="0.25">
      <c r="B27" s="1" t="s">
        <v>5</v>
      </c>
      <c r="C27" s="5">
        <f>HLOOKUP("QTE-0.5-bias-IPS-ind",Point!$D$1:$DR$96,$R$2,FALSE)</f>
        <v>-4.5615213113430402</v>
      </c>
      <c r="D27" s="5">
        <f>HLOOKUP("QTE-0.5-RMSE-IPS-ind",Point!$D$1:$DR$96,$R$2,FALSE)</f>
        <v>8.2559197881795505</v>
      </c>
      <c r="E27" s="5">
        <f t="shared" ref="E27:E31" si="9">(D27/$D$30)^2</f>
        <v>1.2686746951336385</v>
      </c>
      <c r="F27" s="5">
        <f>HLOOKUP("QTE-0.5-Empcov-IPS-ind",inference!$D$1:$DR$96,$R$2,FALSE)</f>
        <v>0.92577319587628903</v>
      </c>
      <c r="G27" s="5">
        <f>HLOOKUP("QTE-0.5-ASSD-IPS-ind",inference!$D$1:$DR$96,$R$2,FALSE)*2*1.96/SQRT(G$3)</f>
        <v>30.68280054142938</v>
      </c>
      <c r="H27" s="5">
        <f t="shared" ref="H27:H30" si="10">G27/(2*1.96/SQRT(G$3))</f>
        <v>110.69396086040301</v>
      </c>
      <c r="I27" s="5">
        <f t="shared" ref="I27:I31" si="11">($H$30/H27)^2</f>
        <v>1.1313528955471179</v>
      </c>
      <c r="J27" s="5"/>
      <c r="K27" s="5"/>
      <c r="L27" s="5"/>
      <c r="M27" s="5"/>
      <c r="N27" s="5"/>
    </row>
    <row r="28" spans="1:17" x14ac:dyDescent="0.25">
      <c r="B28" s="1" t="s">
        <v>4</v>
      </c>
      <c r="C28" s="5">
        <f>HLOOKUP("QTE-0.5-bias-IPS-proj",Point!$D$1:$DR$96,$R$2,FALSE)</f>
        <v>-2.4375778264124</v>
      </c>
      <c r="D28" s="5">
        <f>HLOOKUP("QTE-0.5-RMSE-IPS-proj",Point!$D$1:$DR$96,$R$2,FALSE)</f>
        <v>7.3383086178796404</v>
      </c>
      <c r="E28" s="5">
        <f t="shared" si="9"/>
        <v>1.0023313005786132</v>
      </c>
      <c r="F28" s="6">
        <f>HLOOKUP("QTE-0.5-Empcov-IPS-proj",inference!$D$1:$DR$96,$R$2,FALSE)</f>
        <v>0.93600000000000005</v>
      </c>
      <c r="G28" s="6">
        <f>HLOOKUP("QTE-0.5-ASSD-IPS-proj",inference!$D$1:$DR$96,$R$2,FALSE)*2*1.96/SQRT(G$3)</f>
        <v>27.979125510161111</v>
      </c>
      <c r="H28" s="5">
        <f t="shared" si="10"/>
        <v>100.93994581583901</v>
      </c>
      <c r="I28" s="5">
        <f t="shared" si="11"/>
        <v>1.360566625386356</v>
      </c>
      <c r="J28" s="5"/>
      <c r="K28" s="5"/>
      <c r="L28" s="5"/>
      <c r="M28" s="5"/>
      <c r="N28" s="5"/>
    </row>
    <row r="29" spans="1:17" x14ac:dyDescent="0.25">
      <c r="B29" s="1" t="s">
        <v>88</v>
      </c>
      <c r="C29" s="5">
        <f>HLOOKUP("QTE-0.5-bias-CBPS-just",Point!$D$1:$DR$96,$R$2,FALSE)</f>
        <v>-0.239462564387559</v>
      </c>
      <c r="D29" s="5">
        <f>HLOOKUP("QTE-0.5-RMSE-CBPS-just",Point!$D$1:$DR$96,$R$2,FALSE)</f>
        <v>7.60364517466747</v>
      </c>
      <c r="E29" s="5">
        <f t="shared" si="9"/>
        <v>1.0761257719494572</v>
      </c>
      <c r="F29" s="5">
        <f>HLOOKUP("QTE-0.5-Empcov-CBPS-just",inference!$D$1:$DR$96,$R$2,FALSE)</f>
        <v>0.94299999999999995</v>
      </c>
      <c r="G29" s="5">
        <f>HLOOKUP("QTE-0.5-ASSD-CBPS-just",inference!$D$1:$DR$96,$R$2,FALSE)*2*1.96/SQRT(G$3)</f>
        <v>29.244445987254952</v>
      </c>
      <c r="H29" s="5">
        <f t="shared" si="10"/>
        <v>105.50482688587601</v>
      </c>
      <c r="I29" s="5">
        <f t="shared" si="11"/>
        <v>1.2453782871189905</v>
      </c>
      <c r="J29" s="5"/>
      <c r="K29" s="5"/>
      <c r="L29" s="5"/>
      <c r="M29" s="5"/>
      <c r="N29" s="5"/>
    </row>
    <row r="30" spans="1:17" x14ac:dyDescent="0.25">
      <c r="B30" s="1" t="s">
        <v>89</v>
      </c>
      <c r="C30" s="5">
        <f>HLOOKUP("QTE-0.5-bias-CBPS-over",Point!$D$1:$DR$96,$R$2,FALSE)</f>
        <v>0.80503914104387098</v>
      </c>
      <c r="D30" s="5">
        <f>HLOOKUP("QTE-0.5-RMSE-CBPS-over",Point!$D$1:$DR$96,$R$2,FALSE)</f>
        <v>7.3297696436057498</v>
      </c>
      <c r="E30" s="5">
        <f t="shared" si="9"/>
        <v>1</v>
      </c>
      <c r="F30" s="5">
        <f>HLOOKUP("QTE-0.5-Empcov-CBPS-over",inference!$D$1:$DR$96,$R$2,FALSE)</f>
        <v>0.97199999999999998</v>
      </c>
      <c r="G30" s="5">
        <f>HLOOKUP("QTE-0.5-ASSD-CBPS-over",inference!$D$1:$DR$96,$R$2,FALSE)*2*1.96/SQRT(G$3)</f>
        <v>32.635783484498603</v>
      </c>
      <c r="H30" s="5">
        <f t="shared" si="10"/>
        <v>117.73971332257601</v>
      </c>
      <c r="I30" s="5">
        <f t="shared" si="11"/>
        <v>1</v>
      </c>
      <c r="J30" s="5"/>
      <c r="K30" s="5"/>
      <c r="L30" s="5"/>
      <c r="M30" s="5"/>
      <c r="N30" s="5"/>
    </row>
    <row r="31" spans="1:17" s="3" customFormat="1" x14ac:dyDescent="0.25">
      <c r="B31" s="3" t="s">
        <v>2</v>
      </c>
      <c r="C31" s="5">
        <f>HLOOKUP("QTE-0.5-bias-GLM",Point!$D$1:$DR$96,$R$2,FALSE)</f>
        <v>8.9886319713976107E-2</v>
      </c>
      <c r="D31" s="5">
        <f>HLOOKUP("QTE-0.5-RMSE-GLM",Point!$D$1:$DR$96,$R$2,FALSE)</f>
        <v>8.7862336124251996</v>
      </c>
      <c r="E31" s="5">
        <f t="shared" si="9"/>
        <v>1.4368943612035432</v>
      </c>
      <c r="F31" s="5">
        <f>HLOOKUP("QTE-0.5-Empcov-GLM",inference!$D$1:$DR$96,$R$2,FALSE)</f>
        <v>0.94</v>
      </c>
      <c r="G31" s="5">
        <f>HLOOKUP("QTE-0.5-ASSD-GLM",inference!$D$1:$DR$96,$R$2,FALSE)*2*1.96/SQRT(G$3)</f>
        <v>31.463569928234598</v>
      </c>
      <c r="H31" s="5">
        <f>G31/(2*1.96/SQRT(G$3))</f>
        <v>113.51073294179501</v>
      </c>
      <c r="I31" s="5">
        <f t="shared" si="11"/>
        <v>1.0759004575572275</v>
      </c>
      <c r="J31" s="5"/>
      <c r="K31" s="5"/>
      <c r="L31" s="5"/>
      <c r="M31" s="5"/>
      <c r="N31" s="5"/>
    </row>
    <row r="32" spans="1:17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-1.6362335328802999</v>
      </c>
      <c r="D33" s="5">
        <f>HLOOKUP("QTE-0.75-RMSE-IPS-exp",Point!$D$1:$DR$96,$R$2,FALSE)</f>
        <v>9.2916622228407793</v>
      </c>
      <c r="E33" s="5">
        <f>(D33/$D$37)^2</f>
        <v>0.89558775862161177</v>
      </c>
      <c r="F33" s="5">
        <f>HLOOKUP("QTE-0.75-Empcov-IPS-exp",inference!$D$1:$DR$96,$R$2,FALSE)</f>
        <v>0.93400000000000005</v>
      </c>
      <c r="G33" s="5">
        <f>HLOOKUP("QTE-0.75-ASSD-IPS-exp",inference!$D$1:$DR$96,$R$2,FALSE)*2*1.96/SQRT(G$3)</f>
        <v>36.198087213130833</v>
      </c>
      <c r="H33" s="5">
        <f>G33/(2*1.96/SQRT(G$3))</f>
        <v>130.59139252238199</v>
      </c>
      <c r="I33" s="5">
        <f>($H$37/H33)^2</f>
        <v>1.4018940117659031</v>
      </c>
      <c r="J33" s="5"/>
    </row>
    <row r="34" spans="1:10" x14ac:dyDescent="0.25">
      <c r="B34" s="1" t="s">
        <v>5</v>
      </c>
      <c r="C34" s="5">
        <f>HLOOKUP("QTE-0.75-bias-IPS-ind",Point!$D$1:$DR$96,$R$2,FALSE)</f>
        <v>-8.4561562257514993</v>
      </c>
      <c r="D34" s="5">
        <f>HLOOKUP("QTE-0.75-RMSE-IPS-ind",Point!$D$1:$DR$96,$R$2,FALSE)</f>
        <v>11.6243733232397</v>
      </c>
      <c r="E34" s="5">
        <f t="shared" ref="E34:E38" si="12">(D34/$D$37)^2</f>
        <v>1.4017172558547675</v>
      </c>
      <c r="F34" s="5">
        <f>HLOOKUP("QTE-0.75-Empcov-IPS-ind",inference!$D$1:$DR$96,$R$2,FALSE)</f>
        <v>0.83505154639175305</v>
      </c>
      <c r="G34" s="5">
        <f>HLOOKUP("QTE-0.75-ASSD-IPS-ind",inference!$D$1:$DR$96,$R$2,FALSE)*2*1.96/SQRT(G$3)</f>
        <v>33.424794309992357</v>
      </c>
      <c r="H34" s="5">
        <f t="shared" ref="H34:H37" si="13">G34/(2*1.96/SQRT(G$3))</f>
        <v>120.586217940618</v>
      </c>
      <c r="I34" s="5">
        <f t="shared" ref="I34:I38" si="14">($H$37/H34)^2</f>
        <v>1.6441783982964546</v>
      </c>
      <c r="J34" s="5"/>
    </row>
    <row r="35" spans="1:10" x14ac:dyDescent="0.25">
      <c r="B35" s="1" t="s">
        <v>4</v>
      </c>
      <c r="C35" s="5">
        <f>HLOOKUP("QTE-0.75-bias-IPS-proj",Point!$D$1:$DR$96,$R$2,FALSE)</f>
        <v>-3.3748625026233099</v>
      </c>
      <c r="D35" s="5">
        <f>HLOOKUP("QTE-0.75-RMSE-IPS-proj",Point!$D$1:$DR$96,$R$2,FALSE)</f>
        <v>9.3000413744579902</v>
      </c>
      <c r="E35" s="5">
        <f t="shared" si="12"/>
        <v>0.89720375564804355</v>
      </c>
      <c r="F35" s="6">
        <f>HLOOKUP("QTE-0.75-Empcov-IPS-proj",inference!$D$1:$DR$96,$R$2,FALSE)</f>
        <v>0.91900000000000004</v>
      </c>
      <c r="G35" s="6">
        <f>HLOOKUP("QTE-0.75-ASSD-IPS-proj",inference!$D$1:$DR$96,$R$2,FALSE)*2*1.96/SQRT(G$3)</f>
        <v>34.17946603524112</v>
      </c>
      <c r="H35" s="5">
        <f t="shared" si="13"/>
        <v>123.30883781048101</v>
      </c>
      <c r="I35" s="5">
        <f t="shared" si="14"/>
        <v>1.572374084692598</v>
      </c>
      <c r="J35" s="5"/>
    </row>
    <row r="36" spans="1:10" x14ac:dyDescent="0.25">
      <c r="B36" s="1" t="s">
        <v>88</v>
      </c>
      <c r="C36" s="5">
        <f>HLOOKUP("QTE-0.75-bias-CBPS-just",Point!$D$1:$DR$96,$R$2,FALSE)</f>
        <v>-0.42955332191865397</v>
      </c>
      <c r="D36" s="5">
        <f>HLOOKUP("QTE-0.75-RMSE-CBPS-just",Point!$D$1:$DR$96,$R$2,FALSE)</f>
        <v>10.737376045141099</v>
      </c>
      <c r="E36" s="5">
        <f t="shared" si="12"/>
        <v>1.1959627360096989</v>
      </c>
      <c r="F36" s="5">
        <f>HLOOKUP("QTE-0.75-Empcov-CBPS-just",inference!$D$1:$DR$96,$R$2,FALSE)</f>
        <v>0.91700000000000004</v>
      </c>
      <c r="G36" s="5">
        <f>HLOOKUP("QTE-0.75-ASSD-CBPS-just",inference!$D$1:$DR$96,$R$2,FALSE)*2*1.96/SQRT(G$3)</f>
        <v>37.710745279176848</v>
      </c>
      <c r="H36" s="5">
        <f t="shared" si="13"/>
        <v>136.04859035971702</v>
      </c>
      <c r="I36" s="5">
        <f t="shared" si="14"/>
        <v>1.2916837435811026</v>
      </c>
      <c r="J36" s="5"/>
    </row>
    <row r="37" spans="1:10" x14ac:dyDescent="0.25">
      <c r="B37" s="1" t="s">
        <v>89</v>
      </c>
      <c r="C37" s="5">
        <f>HLOOKUP("QTE-0.75-bias-CBPS-over",Point!$D$1:$DR$96,$R$2,FALSE)</f>
        <v>1.0721473740792899</v>
      </c>
      <c r="D37" s="5">
        <f>HLOOKUP("QTE-0.75-RMSE-CBPS-over",Point!$D$1:$DR$96,$R$2,FALSE)</f>
        <v>9.81836875696216</v>
      </c>
      <c r="E37" s="5">
        <f t="shared" si="12"/>
        <v>1</v>
      </c>
      <c r="F37" s="5">
        <f>HLOOKUP("QTE-0.75-Empcov-CBPS-over",inference!$D$1:$DR$96,$R$2,FALSE)</f>
        <v>0.96899999999999997</v>
      </c>
      <c r="G37" s="5">
        <f>HLOOKUP("QTE-0.75-ASSD-CBPS-over",inference!$D$1:$DR$96,$R$2,FALSE)*2*1.96/SQRT(G$3)</f>
        <v>42.859116317732912</v>
      </c>
      <c r="H37" s="5">
        <f t="shared" si="13"/>
        <v>154.62230502006102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4.1093171318735203E-2</v>
      </c>
      <c r="D38" s="5">
        <f>HLOOKUP("QTE-0.75-RMSE-GLM",Point!$D$1:$DR$96,$R$2,FALSE)</f>
        <v>12.8749190254293</v>
      </c>
      <c r="E38" s="5">
        <f t="shared" si="12"/>
        <v>1.7195322842331118</v>
      </c>
      <c r="F38" s="5">
        <f>HLOOKUP("QTE-0.75-Empcov-GLM",inference!$D$1:$DR$96,$R$2,FALSE)</f>
        <v>0.92300000000000004</v>
      </c>
      <c r="G38" s="5">
        <f>HLOOKUP("QTE-0.75-ASSD-GLM",inference!$D$1:$DR$96,$R$2,FALSE)*2*1.96/SQRT(G$3)</f>
        <v>43.823803964639602</v>
      </c>
      <c r="H38" s="5">
        <f>G38/(2*1.96/SQRT(G$3))</f>
        <v>158.10259673870701</v>
      </c>
      <c r="I38" s="5">
        <f t="shared" si="14"/>
        <v>0.95645882879654809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-3.8370056106072798</v>
      </c>
      <c r="D40" s="5">
        <f>HLOOKUP("QTE-0.9-RMSE-IPS-exp",Point!$D$1:$DR$96,$R$2,FALSE)</f>
        <v>16.307842893488399</v>
      </c>
      <c r="E40" s="5">
        <f t="shared" ref="E40:E44" si="15">(D40/$D$44)^2</f>
        <v>0.98124034561456919</v>
      </c>
      <c r="F40" s="5">
        <f>HLOOKUP("QTE-0.9-Empcov-IPS-exp",inference!$D$1:$DR$96,$R$2,FALSE)</f>
        <v>0.90200000000000002</v>
      </c>
      <c r="G40" s="5">
        <f>HLOOKUP("QTE-0.9-ASSD-IPS-exp",inference!$D$1:$DR$96,$R$2,FALSE)*2*1.96/SQRT(G$3)</f>
        <v>62.086688113772389</v>
      </c>
      <c r="H40" s="5">
        <f>G40/(2*1.96/SQRT(G$3))</f>
        <v>223.98937850338103</v>
      </c>
      <c r="I40" s="5">
        <f t="shared" ref="I40:I45" si="16">($H$44/H40)^2</f>
        <v>1.216532976188369</v>
      </c>
      <c r="J40" s="5"/>
    </row>
    <row r="41" spans="1:10" x14ac:dyDescent="0.25">
      <c r="B41" s="1" t="s">
        <v>5</v>
      </c>
      <c r="C41" s="5">
        <f>HLOOKUP("QTE-0.9-bias-IPS-ind",Point!$D$1:$DR$96,$R$2,FALSE)</f>
        <v>-12.9986700737247</v>
      </c>
      <c r="D41" s="5">
        <f>HLOOKUP("QTE-0.9-RMSE-IPS-ind",Point!$D$1:$DR$96,$R$2,FALSE)</f>
        <v>16.829087147192201</v>
      </c>
      <c r="E41" s="5">
        <f t="shared" si="15"/>
        <v>1.0449691704500788</v>
      </c>
      <c r="F41" s="5">
        <f>HLOOKUP("QTE-0.9-Empcov-IPS-ind",inference!$D$1:$DR$96,$R$2,FALSE)</f>
        <v>0.73608247422680395</v>
      </c>
      <c r="G41" s="5">
        <f>HLOOKUP("QTE-0.9-ASSD-IPS-ind",inference!$D$1:$DR$96,$R$2,FALSE)*2*1.96/SQRT(G$3)</f>
        <v>42.012516137097755</v>
      </c>
      <c r="H41" s="5">
        <f t="shared" ref="H41:H44" si="17">G41/(2*1.96/SQRT(G$3))</f>
        <v>151.56803599617899</v>
      </c>
      <c r="I41" s="5">
        <f t="shared" si="16"/>
        <v>2.6568283020943273</v>
      </c>
      <c r="J41" s="5"/>
    </row>
    <row r="42" spans="1:10" x14ac:dyDescent="0.25">
      <c r="B42" s="1" t="s">
        <v>4</v>
      </c>
      <c r="C42" s="5">
        <f>HLOOKUP("QTE-0.9-bias-IPS-proj",Point!$D$1:$DR$96,$R$2,FALSE)</f>
        <v>-5.9565307634834603</v>
      </c>
      <c r="D42" s="5">
        <f>HLOOKUP("QTE-0.9-RMSE-IPS-proj",Point!$D$1:$DR$96,$R$2,FALSE)</f>
        <v>15.1810649409523</v>
      </c>
      <c r="E42" s="5">
        <f t="shared" si="15"/>
        <v>0.85032869541098677</v>
      </c>
      <c r="F42" s="6">
        <f>HLOOKUP("QTE-0.9-Empcov-IPS-proj",inference!$D$1:$DR$96,$R$2,FALSE)</f>
        <v>0.88300000000000001</v>
      </c>
      <c r="G42" s="6">
        <f>HLOOKUP("QTE-0.9-ASSD-IPS-proj",inference!$D$1:$DR$96,$R$2,FALSE)*2*1.96/SQRT(G$3)</f>
        <v>53.827067493920431</v>
      </c>
      <c r="H42" s="5">
        <f t="shared" si="17"/>
        <v>194.191247124169</v>
      </c>
      <c r="I42" s="5">
        <f t="shared" si="16"/>
        <v>1.6185250801621252</v>
      </c>
      <c r="J42" s="5"/>
    </row>
    <row r="43" spans="1:10" x14ac:dyDescent="0.25">
      <c r="B43" s="1" t="s">
        <v>88</v>
      </c>
      <c r="C43" s="5">
        <f>HLOOKUP("QTE-0.9-bias-CBPS-just",Point!$D$1:$DR$96,$R$2,FALSE)</f>
        <v>-3.41473802556744</v>
      </c>
      <c r="D43" s="5">
        <f>HLOOKUP("QTE-0.9-RMSE-CBPS-just",Point!$D$1:$DR$96,$R$2,FALSE)</f>
        <v>19.141007130783201</v>
      </c>
      <c r="E43" s="5">
        <f t="shared" si="15"/>
        <v>1.3517984031467791</v>
      </c>
      <c r="F43" s="5">
        <f>HLOOKUP("QTE-0.9-Empcov-CBPS-just",inference!$D$1:$DR$96,$R$2,FALSE)</f>
        <v>0.84599999999999997</v>
      </c>
      <c r="G43" s="5">
        <f>HLOOKUP("QTE-0.9-ASSD-CBPS-just",inference!$D$1:$DR$96,$R$2,FALSE)*2*1.96/SQRT(G$3)</f>
        <v>65.17464168850195</v>
      </c>
      <c r="H43" s="5">
        <f t="shared" si="17"/>
        <v>235.12975050685301</v>
      </c>
      <c r="I43" s="5">
        <f t="shared" si="16"/>
        <v>1.1039860079191097</v>
      </c>
      <c r="J43" s="5"/>
    </row>
    <row r="44" spans="1:10" x14ac:dyDescent="0.25">
      <c r="B44" s="1" t="s">
        <v>89</v>
      </c>
      <c r="C44" s="5">
        <f>HLOOKUP("QTE-0.9-bias-CBPS-over",Point!$D$1:$DR$96,$R$2,FALSE)</f>
        <v>0.61770958376838803</v>
      </c>
      <c r="D44" s="5">
        <f>HLOOKUP("QTE-0.9-RMSE-CBPS-over",Point!$D$1:$DR$96,$R$2,FALSE)</f>
        <v>16.462994022872699</v>
      </c>
      <c r="E44" s="5">
        <f t="shared" si="15"/>
        <v>1</v>
      </c>
      <c r="F44" s="5">
        <f>HLOOKUP("QTE-0.9-Empcov-CBPS-over",inference!$D$1:$DR$96,$R$2,FALSE)</f>
        <v>0.93500000000000005</v>
      </c>
      <c r="G44" s="5">
        <f>HLOOKUP("QTE-0.9-ASSD-CBPS-over",inference!$D$1:$DR$96,$R$2,FALSE)*2*1.96/SQRT(G$3)</f>
        <v>68.479477306616303</v>
      </c>
      <c r="H44" s="5">
        <f t="shared" si="17"/>
        <v>247.052565181728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-3.9406405979304302</v>
      </c>
      <c r="D45" s="5">
        <f>HLOOKUP("QTE-0.9-RMSE-GLM",Point!$D$1:$DR$96,$R$2,FALSE)</f>
        <v>21.809648407243401</v>
      </c>
      <c r="E45" s="5">
        <f t="shared" ref="E45" si="18">(D45/$D$44)^2</f>
        <v>1.755010373168298</v>
      </c>
      <c r="F45" s="5">
        <f>HLOOKUP("QTE-0.9-Empcov-GLM",inference!$D$1:$DR$96,$R$2,FALSE)</f>
        <v>0.84599999999999997</v>
      </c>
      <c r="G45" s="5">
        <f>HLOOKUP("QTE-0.9-ASSD-GLM",inference!$D$1:$DR$96,$R$2,FALSE)*2*1.96/SQRT(G$3)</f>
        <v>74.544295948987397</v>
      </c>
      <c r="H45" s="5">
        <f>G45/(2*1.96/SQRT(G$3))</f>
        <v>268.93253655258104</v>
      </c>
      <c r="I45" s="5">
        <f t="shared" si="16"/>
        <v>0.84390204432178606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H114" s="7"/>
      <c r="I114" s="7"/>
      <c r="J114" s="7"/>
    </row>
    <row r="115" spans="8:10" x14ac:dyDescent="0.25">
      <c r="H115" s="7"/>
      <c r="I115" s="7"/>
      <c r="J115" s="7"/>
    </row>
    <row r="116" spans="8:10" x14ac:dyDescent="0.25">
      <c r="H116" s="7"/>
      <c r="I116" s="7"/>
      <c r="J116" s="7"/>
    </row>
    <row r="117" spans="8:10" x14ac:dyDescent="0.25">
      <c r="H117" s="7"/>
      <c r="I117" s="7"/>
      <c r="J117" s="7"/>
    </row>
    <row r="118" spans="8:10" x14ac:dyDescent="0.25">
      <c r="H118" s="7"/>
      <c r="I118" s="7"/>
      <c r="J118" s="7"/>
    </row>
    <row r="119" spans="8:10" x14ac:dyDescent="0.25">
      <c r="H119" s="7"/>
      <c r="I119" s="7"/>
      <c r="J119" s="7"/>
    </row>
    <row r="120" spans="8:10" x14ac:dyDescent="0.25">
      <c r="H120" s="7"/>
      <c r="I120" s="7"/>
      <c r="J120" s="7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0"/>
  <sheetViews>
    <sheetView workbookViewId="0">
      <selection activeCell="O9" sqref="O9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6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10.42578125" style="1" bestFit="1" customWidth="1"/>
    <col min="9" max="9" width="5.140625" style="1" bestFit="1" customWidth="1"/>
    <col min="10" max="10" width="8.28515625" style="1" customWidth="1"/>
    <col min="11" max="17" width="9.28515625" style="1"/>
    <col min="18" max="18" width="28" style="1" bestFit="1" customWidth="1"/>
    <col min="19" max="16384" width="9.28515625" style="1"/>
  </cols>
  <sheetData>
    <row r="1" spans="1:18" x14ac:dyDescent="0.25">
      <c r="C1" s="16" t="s">
        <v>71</v>
      </c>
      <c r="D1" s="16"/>
      <c r="E1" s="16"/>
      <c r="F1" s="16"/>
      <c r="G1" s="16"/>
      <c r="H1" s="9"/>
      <c r="I1" s="9"/>
      <c r="J1" s="11"/>
      <c r="R1" s="10" t="s">
        <v>166</v>
      </c>
    </row>
    <row r="2" spans="1:18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3</v>
      </c>
    </row>
    <row r="3" spans="1:18" x14ac:dyDescent="0.25">
      <c r="B3" s="1" t="s">
        <v>6</v>
      </c>
      <c r="C3" s="11">
        <v>200</v>
      </c>
      <c r="D3" s="11">
        <v>200</v>
      </c>
      <c r="E3" s="11">
        <v>200</v>
      </c>
      <c r="F3" s="11">
        <v>200</v>
      </c>
      <c r="G3" s="11">
        <v>200</v>
      </c>
      <c r="H3" s="11">
        <v>200</v>
      </c>
      <c r="I3" s="11">
        <v>200</v>
      </c>
      <c r="J3" s="11"/>
      <c r="K3" s="11">
        <v>200</v>
      </c>
      <c r="L3" s="11">
        <v>200</v>
      </c>
      <c r="M3" s="11">
        <v>200</v>
      </c>
      <c r="N3" s="11">
        <v>200</v>
      </c>
      <c r="O3" s="11">
        <v>200</v>
      </c>
      <c r="P3" s="11">
        <v>200</v>
      </c>
    </row>
    <row r="4" spans="1:18" x14ac:dyDescent="0.25">
      <c r="C4" s="11"/>
      <c r="D4" s="11"/>
      <c r="E4" s="11"/>
      <c r="F4" s="11"/>
      <c r="G4" s="11"/>
      <c r="H4" s="11"/>
      <c r="I4" s="11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4.03568470705763</v>
      </c>
      <c r="D5" s="5">
        <f>HLOOKUP("ATE-RMSE-IPS-exp",Point!$D$1:$DR$96,$R$2,FALSE)</f>
        <v>7.5579521560201899</v>
      </c>
      <c r="E5" s="5">
        <f>(D5/$D$9)^2</f>
        <v>0.39916023241258364</v>
      </c>
      <c r="F5" s="5">
        <f>HLOOKUP("ATE-Empcov-IPS-exp",inference!$D$1:$DR$96,$R$2,FALSE)</f>
        <v>0.97199999999999998</v>
      </c>
      <c r="G5" s="5">
        <f>HLOOKUP("ATE-ASSD-IPS-exp",inference!$D$1:$DR$96,$R$2,FALSE)*2*1.96/SQRT(G$3)</f>
        <v>32.080601310590474</v>
      </c>
      <c r="H5" s="5">
        <f>G5/(2*1.96/SQRT(G$3))</f>
        <v>115.73678944520699</v>
      </c>
      <c r="I5" s="5">
        <f t="shared" ref="I5:I10" si="0">($H$9/H5)^2</f>
        <v>1.3478273318580596</v>
      </c>
      <c r="J5" s="5"/>
      <c r="K5" s="5">
        <f>HLOOKUP("ks-IPS-exp",balance!$D$1:$DR$96,$R$2,FALSE)</f>
        <v>2.46592185744651</v>
      </c>
      <c r="L5" s="5">
        <f>HLOOKUP("cvm-IPS-exp",balance!$D$1:$DR$96,$R$2,FALSE)</f>
        <v>0.49965620686805901</v>
      </c>
      <c r="M5" s="5">
        <f>HLOOKUP("ks-IPS-exp_1",balance!$D$1:$DR$96,$R$2,FALSE)</f>
        <v>1.44512599862058</v>
      </c>
      <c r="N5" s="5">
        <f>HLOOKUP("cvm-IPS-exp_1",balance!$D$1:$DR$96,$R$2,FALSE)</f>
        <v>0.129692325444691</v>
      </c>
      <c r="O5" s="5">
        <f>HLOOKUP("ks-IPS-exp_0",balance!$D$1:$DR$96,$R$2,FALSE)</f>
        <v>1.4321235293058301</v>
      </c>
      <c r="P5" s="5">
        <f>HLOOKUP("cvm-IPS-exp_0",balance!$D$1:$DR$96,$R$2,FALSE)</f>
        <v>0.176373433517026</v>
      </c>
    </row>
    <row r="6" spans="1:18" x14ac:dyDescent="0.25">
      <c r="B6" s="1" t="s">
        <v>5</v>
      </c>
      <c r="C6" s="5">
        <f>HLOOKUP("ATE-bias-IPS-ind",Point!$D$1:$DR$96,$R$2,FALSE)</f>
        <v>-3.3097828338596398</v>
      </c>
      <c r="D6" s="5">
        <f>HLOOKUP("ATE-RMSE-IPS-ind",Point!$D$1:$DR$96,$R$2,FALSE)</f>
        <v>7.9630230577069101</v>
      </c>
      <c r="E6" s="5">
        <f t="shared" ref="E6:E10" si="1">(D6/$D$9)^2</f>
        <v>0.44309304847589487</v>
      </c>
      <c r="F6" s="5">
        <f>HLOOKUP("ATE-Empcov-IPS-ind",inference!$D$1:$DR$96,$R$2,FALSE)</f>
        <v>0.93186372745490997</v>
      </c>
      <c r="G6" s="5">
        <f>HLOOKUP("ATE-ASSD-IPS-ind",inference!$D$1:$DR$96,$R$2,FALSE)*2*1.96/SQRT(G$3)</f>
        <v>30.248710942955896</v>
      </c>
      <c r="H6" s="5">
        <f t="shared" ref="H6:H9" si="2">G6/(2*1.96/SQRT(G$3))</f>
        <v>109.12790117304002</v>
      </c>
      <c r="I6" s="5">
        <f t="shared" si="0"/>
        <v>1.516022040652041</v>
      </c>
      <c r="J6" s="5"/>
      <c r="K6" s="5">
        <f>HLOOKUP("ks-IPS-ind",balance!$D$1:$DR$96,$R$2,FALSE)</f>
        <v>1.96366989424571</v>
      </c>
      <c r="L6" s="5">
        <f>HLOOKUP("cvm-IPS-ind",balance!$D$1:$DR$96,$R$2,FALSE)</f>
        <v>0.26594493894613103</v>
      </c>
      <c r="M6" s="5">
        <f>HLOOKUP("ks-IPS-ind_1",balance!$D$1:$DR$96,$R$2,FALSE)</f>
        <v>1.39182580413414</v>
      </c>
      <c r="N6" s="5">
        <f>HLOOKUP("cvm-IPS-ind_1",balance!$D$1:$DR$96,$R$2,FALSE)</f>
        <v>0.11388011650624399</v>
      </c>
      <c r="O6" s="5">
        <f>HLOOKUP("ks-IPS-ind_0",balance!$D$1:$DR$96,$R$2,FALSE)</f>
        <v>0.94641141041449695</v>
      </c>
      <c r="P6" s="5">
        <f>HLOOKUP("cvm-IPS-ind_0",balance!$D$1:$DR$96,$R$2,FALSE)</f>
        <v>5.9919290693518701E-2</v>
      </c>
    </row>
    <row r="7" spans="1:18" x14ac:dyDescent="0.25">
      <c r="B7" s="1" t="s">
        <v>4</v>
      </c>
      <c r="C7" s="5">
        <f>HLOOKUP("ATE-bias-IPS-proj",Point!$D$1:$DR$96,$R$2,FALSE)</f>
        <v>-1.1470933679856301</v>
      </c>
      <c r="D7" s="5">
        <f>HLOOKUP("ATE-RMSE-IPS-proj",Point!$D$1:$DR$96,$R$2,FALSE)</f>
        <v>6.94478932007239</v>
      </c>
      <c r="E7" s="5">
        <f t="shared" si="1"/>
        <v>0.33702113801632649</v>
      </c>
      <c r="F7" s="6">
        <f>HLOOKUP("ATE-Empcov-IPS-proj",inference!$D$1:$DR$96,$R$2,FALSE)</f>
        <v>0.97613882863340595</v>
      </c>
      <c r="G7" s="6">
        <f>HLOOKUP("ATE-ASSD-IPS-proj",inference!$D$1:$DR$96,$R$2,FALSE)*2*1.96/SQRT(G$3)</f>
        <v>37.207356026331304</v>
      </c>
      <c r="H7" s="5">
        <f t="shared" si="2"/>
        <v>134.23251916449502</v>
      </c>
      <c r="I7" s="5">
        <f t="shared" si="0"/>
        <v>1.0019859667059141</v>
      </c>
      <c r="J7" s="5"/>
      <c r="K7" s="5">
        <f>HLOOKUP("ks-IPS-proj",balance!$D$1:$DR$96,$R$2,FALSE)</f>
        <v>3.2503030958443602</v>
      </c>
      <c r="L7" s="5">
        <f>HLOOKUP("cvm-IPS-proj",balance!$D$1:$DR$96,$R$2,FALSE)</f>
        <v>0.85100686365447298</v>
      </c>
      <c r="M7" s="5">
        <f>HLOOKUP("ks-IPS-proj_1",balance!$D$1:$DR$96,$R$2,FALSE)</f>
        <v>1.82740275971969</v>
      </c>
      <c r="N7" s="5">
        <f>HLOOKUP("cvm-IPS-proj_1",balance!$D$1:$DR$96,$R$2,FALSE)</f>
        <v>0.205725710710398</v>
      </c>
      <c r="O7" s="5">
        <f>HLOOKUP("ks-IPS-proj_0",balance!$D$1:$DR$96,$R$2,FALSE)</f>
        <v>1.64521977666865</v>
      </c>
      <c r="P7" s="5">
        <f>HLOOKUP("cvm-IPS-proj_0",balance!$D$1:$DR$96,$R$2,FALSE)</f>
        <v>0.28068114122966997</v>
      </c>
    </row>
    <row r="8" spans="1:18" x14ac:dyDescent="0.25">
      <c r="B8" s="1" t="s">
        <v>88</v>
      </c>
      <c r="C8" s="5">
        <f>HLOOKUP("ATE-bias-CBPS-just",Point!$D$1:$DR$96,$R$2,FALSE)</f>
        <v>6.9498741024970299</v>
      </c>
      <c r="D8" s="5">
        <f>HLOOKUP("ATE-RMSE-CBPS-just",Point!$D$1:$DR$96,$R$2,FALSE)</f>
        <v>10.592123173650901</v>
      </c>
      <c r="E8" s="5">
        <f t="shared" si="1"/>
        <v>0.78398009269795621</v>
      </c>
      <c r="F8" s="5">
        <f>HLOOKUP("ATE-Empcov-CBPS-just",inference!$D$1:$DR$96,$R$2,FALSE)</f>
        <v>0.81599999999999995</v>
      </c>
      <c r="G8" s="5">
        <f>HLOOKUP("ATE-ASSD-CBPS-just",inference!$D$1:$DR$96,$R$2,FALSE)*2*1.96/SQRT(G$3)</f>
        <v>27.163598435069996</v>
      </c>
      <c r="H8" s="5">
        <f t="shared" si="2"/>
        <v>97.997778851358603</v>
      </c>
      <c r="I8" s="5">
        <f t="shared" si="0"/>
        <v>1.8799428880974969</v>
      </c>
      <c r="J8" s="5"/>
      <c r="K8" s="5">
        <f>HLOOKUP("ks-CBPS-Just",balance!$D$1:$DR$96,$R$2,FALSE)</f>
        <v>2.77110797342158</v>
      </c>
      <c r="L8" s="5">
        <f>HLOOKUP("cvm-CBPS-Just",balance!$D$1:$DR$96,$R$2,FALSE)</f>
        <v>0.65210200382452799</v>
      </c>
      <c r="M8" s="5">
        <f>HLOOKUP("ks-CBPS-Just_1",balance!$D$1:$DR$96,$R$2,FALSE)</f>
        <v>1.60256448093179</v>
      </c>
      <c r="N8" s="5">
        <f>HLOOKUP("cvm-CBPS-Just_1",balance!$D$1:$DR$96,$R$2,FALSE)</f>
        <v>0.15923258448833</v>
      </c>
      <c r="O8" s="5">
        <f>HLOOKUP("ks-CBPS-Just_0",balance!$D$1:$DR$96,$R$2,FALSE)</f>
        <v>1.6150892173149101</v>
      </c>
      <c r="P8" s="5">
        <f>HLOOKUP("cvm-CBPS-Just_0",balance!$D$1:$DR$96,$R$2,FALSE)</f>
        <v>0.23968190658451</v>
      </c>
    </row>
    <row r="9" spans="1:18" x14ac:dyDescent="0.25">
      <c r="B9" s="1" t="s">
        <v>89</v>
      </c>
      <c r="C9" s="5">
        <f>HLOOKUP("ATE-bias-CBPS-over",Point!$D$1:$DR$96,$R$2,FALSE)</f>
        <v>8.2771309572315399</v>
      </c>
      <c r="D9" s="5">
        <f>HLOOKUP("ATE-RMSE-CBPS-over",Point!$D$1:$DR$96,$R$2,FALSE)</f>
        <v>11.962735624581899</v>
      </c>
      <c r="E9" s="5">
        <f t="shared" si="1"/>
        <v>1</v>
      </c>
      <c r="F9" s="5">
        <f>HLOOKUP("ATE-Empcov-CBPS-over",inference!$D$1:$DR$96,$R$2,FALSE)</f>
        <v>0.92200000000000004</v>
      </c>
      <c r="G9" s="5">
        <f>HLOOKUP("ATE-ASSD-CBPS-over",inference!$D$1:$DR$96,$R$2,FALSE)*2*1.96/SQRT(G$3)</f>
        <v>37.244283986142186</v>
      </c>
      <c r="H9" s="5">
        <f t="shared" si="2"/>
        <v>134.36574370938104</v>
      </c>
      <c r="I9" s="5">
        <f t="shared" si="0"/>
        <v>1</v>
      </c>
      <c r="J9" s="5"/>
      <c r="K9" s="5">
        <f>HLOOKUP("ks-CBPS-over",balance!$D$1:$DR$96,$R$2,FALSE)</f>
        <v>2.69136670120449</v>
      </c>
      <c r="L9" s="5">
        <f>HLOOKUP("cvm-CBPS-over",balance!$D$1:$DR$96,$R$2,FALSE)</f>
        <v>0.61485840973527806</v>
      </c>
      <c r="M9" s="5">
        <f>HLOOKUP("ks-CBPS-over_1",balance!$D$1:$DR$96,$R$2,FALSE)</f>
        <v>1.47642057687561</v>
      </c>
      <c r="N9" s="5">
        <f>HLOOKUP("cvm-CBPS-over_1",balance!$D$1:$DR$96,$R$2,FALSE)</f>
        <v>0.13683695117594599</v>
      </c>
      <c r="O9" s="5">
        <f>HLOOKUP("ks-CBPS-over_0",balance!$D$1:$DR$96,$R$2,FALSE)</f>
        <v>1.5550717396026099</v>
      </c>
      <c r="P9" s="5">
        <f>HLOOKUP("cvm-CBPS-over_0",balance!$D$1:$DR$96,$R$2,FALSE)</f>
        <v>0.22225887732827901</v>
      </c>
    </row>
    <row r="10" spans="1:18" s="3" customFormat="1" x14ac:dyDescent="0.25">
      <c r="B10" s="3" t="s">
        <v>2</v>
      </c>
      <c r="C10" s="5">
        <f>HLOOKUP("ATE-bias-GLM",Point!$D$1:$DR$96,$R$2,FALSE)</f>
        <v>9.1488264745619592</v>
      </c>
      <c r="D10" s="5">
        <f>HLOOKUP("ATE-RMSE-GLM",Point!$D$1:$DR$96,$R$2,FALSE)</f>
        <v>14.7437874533498</v>
      </c>
      <c r="E10" s="5">
        <f t="shared" si="1"/>
        <v>1.5189976884802652</v>
      </c>
      <c r="F10" s="5">
        <f>HLOOKUP("ATE-Empcov-GLM",inference!$D$1:$DR$96,$R$2,FALSE)</f>
        <v>0.81699999999999995</v>
      </c>
      <c r="G10" s="5">
        <f>HLOOKUP("ATE-ASSD-GLM",inference!$D$1:$DR$96,$R$2,FALSE)*2*1.96/SQRT(G$3)</f>
        <v>32.370304539819685</v>
      </c>
      <c r="H10" s="5">
        <f>G10/(2*1.96/SQRT(G$3))</f>
        <v>116.781948210103</v>
      </c>
      <c r="I10" s="5">
        <f t="shared" si="0"/>
        <v>1.3238100944923641</v>
      </c>
      <c r="J10" s="5"/>
      <c r="K10" s="5">
        <f>HLOOKUP("ks-GLM",balance!$D$1:$DR$96,$R$2,FALSE)</f>
        <v>2.8701115316782499</v>
      </c>
      <c r="L10" s="5">
        <f>HLOOKUP("cvm-GLM",balance!$D$1:$DR$96,$R$2,FALSE)</f>
        <v>0.62091855923436701</v>
      </c>
      <c r="M10" s="5">
        <f>HLOOKUP("ks-GLM_1",balance!$D$1:$DR$96,$R$2,FALSE)</f>
        <v>1.85262364024835</v>
      </c>
      <c r="N10" s="5">
        <f>HLOOKUP("cvm-GLM_1",balance!$D$1:$DR$96,$R$2,FALSE)</f>
        <v>0.19191436712349499</v>
      </c>
      <c r="O10" s="5">
        <f>HLOOKUP("ks-GLM_0",balance!$D$1:$DR$96,$R$2,FALSE)</f>
        <v>1.55742287412916</v>
      </c>
      <c r="P10" s="5">
        <f>HLOOKUP("cvm-GLM_0",balance!$D$1:$DR$96,$R$2,FALSE)</f>
        <v>0.20763023646265899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-1.6694254380240301</v>
      </c>
      <c r="D12" s="5">
        <f>HLOOKUP("QTE-0.10-RMSE-IPS-exp",Point!$D$1:$DR$96,$R$2,FALSE)</f>
        <v>7.3706616238647902</v>
      </c>
      <c r="E12" s="5">
        <f t="shared" ref="E12:E15" si="3">(D12/$D$16)^2</f>
        <v>1.0973339316211319</v>
      </c>
      <c r="F12" s="5">
        <f>HLOOKUP("QTE-0.1-Empcov-IPS-exp",inference!$D$1:$DR$96,$R$2,FALSE)</f>
        <v>0.94099999999999995</v>
      </c>
      <c r="G12" s="5">
        <f>HLOOKUP("QTE-0.1-ASSD-IPS-exp",inference!$D$1:$DR$96,$R$2,FALSE)*2*1.96/SQRT(G$3)</f>
        <v>29.220307489452356</v>
      </c>
      <c r="H12" s="5">
        <f>G12/(2*1.96/SQRT(G$3))</f>
        <v>105.41774272524401</v>
      </c>
      <c r="I12" s="5">
        <f t="shared" ref="I12:I17" si="4">($H$16/H12)^2</f>
        <v>1.0273112531345172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-3.7126391967118102</v>
      </c>
      <c r="D13" s="5">
        <f>HLOOKUP("QTE-0.10-RMSE-IPS-ind",Point!$D$1:$DR$96,$R$2,FALSE)</f>
        <v>8.9033161846283395</v>
      </c>
      <c r="E13" s="5">
        <f t="shared" si="3"/>
        <v>1.6011405428551804</v>
      </c>
      <c r="F13" s="5">
        <f>HLOOKUP("QTE-0.1-Empcov-IPS-ind",inference!$D$1:$DR$96,$R$2,FALSE)</f>
        <v>0.91382765531062105</v>
      </c>
      <c r="G13" s="5">
        <f>HLOOKUP("QTE-0.1-ASSD-IPS-ind",inference!$D$1:$DR$96,$R$2,FALSE)*2*1.96/SQRT(G$3)</f>
        <v>35.281319136364374</v>
      </c>
      <c r="H13" s="5">
        <f t="shared" ref="H13:H16" si="5">G13/(2*1.96/SQRT(G$3))</f>
        <v>127.28397964556102</v>
      </c>
      <c r="I13" s="5">
        <f t="shared" si="4"/>
        <v>0.7046638294562142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-0.65562983103761496</v>
      </c>
      <c r="D14" s="5">
        <f>HLOOKUP("QTE-0.10-RMSE-IPS-proj",Point!$D$1:$DR$96,$R$2,FALSE)</f>
        <v>7.9848705783391596</v>
      </c>
      <c r="E14" s="5">
        <f t="shared" si="3"/>
        <v>1.2878391505260129</v>
      </c>
      <c r="F14" s="6">
        <f>HLOOKUP("QTE-0.1-Empcov-IPS-proj",inference!$D$1:$DR$96,$R$2,FALSE)</f>
        <v>0.95770065075921895</v>
      </c>
      <c r="G14" s="6">
        <f>HLOOKUP("QTE-0.1-ASSD-IPS-proj",inference!$D$1:$DR$96,$R$2,FALSE)*2*1.96/SQRT(G$3)</f>
        <v>40.345206501653458</v>
      </c>
      <c r="H14" s="5">
        <f t="shared" si="5"/>
        <v>145.552903600463</v>
      </c>
      <c r="I14" s="5">
        <f t="shared" si="4"/>
        <v>0.5388746124725432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-0.433391762073285</v>
      </c>
      <c r="D15" s="5">
        <f>HLOOKUP("QTE-0.10-RMSE-CBPS-just",Point!$D$1:$DR$96,$R$2,FALSE)</f>
        <v>7.1035542678085202</v>
      </c>
      <c r="E15" s="5">
        <f t="shared" si="3"/>
        <v>1.0192418938707393</v>
      </c>
      <c r="F15" s="5">
        <f>HLOOKUP("QTE-0.1-Empcov-CBPS-just",inference!$D$1:$DR$96,$R$2,FALSE)</f>
        <v>0.93799999999999994</v>
      </c>
      <c r="G15" s="5">
        <f>HLOOKUP("QTE-0.1-ASSD-CBPS-just",inference!$D$1:$DR$96,$R$2,FALSE)*2*1.96/SQRT(G$3)</f>
        <v>28.405191697594049</v>
      </c>
      <c r="H15" s="5">
        <f t="shared" si="5"/>
        <v>102.47705954220702</v>
      </c>
      <c r="I15" s="5">
        <f t="shared" si="4"/>
        <v>1.0871166813009594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0.26501398033587298</v>
      </c>
      <c r="D16" s="5">
        <f>HLOOKUP("QTE-0.10-RMSE-CBPS-over",Point!$D$1:$DR$96,$R$2,FALSE)</f>
        <v>7.0361820812776097</v>
      </c>
      <c r="E16" s="5">
        <f>(D16/$D$16)^2</f>
        <v>1</v>
      </c>
      <c r="F16" s="5">
        <f>HLOOKUP("QTE-0.1-Empcov-CBPS-over",inference!$D$1:$DR$96,$R$2,FALSE)</f>
        <v>0.95599999999999996</v>
      </c>
      <c r="G16" s="5">
        <f>HLOOKUP("QTE-0.1-ASSD-CBPS-over",inference!$D$1:$DR$96,$R$2,FALSE)*2*1.96/SQRT(G$3)</f>
        <v>29.616641232524707</v>
      </c>
      <c r="H16" s="5">
        <f t="shared" si="5"/>
        <v>106.84759107901699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25">
      <c r="B17" s="3" t="s">
        <v>2</v>
      </c>
      <c r="C17" s="5">
        <f>HLOOKUP("QTE-0.10-bias-GLM",Point!$D$1:$DR$96,$R$2,FALSE)</f>
        <v>0.771974526788334</v>
      </c>
      <c r="D17" s="5">
        <f>HLOOKUP("QTE-0.10-RMSE-GLM",Point!$D$1:$DR$96,$R$2,FALSE)</f>
        <v>9.9286481961300908</v>
      </c>
      <c r="E17" s="5">
        <f>(D17/$D$16)^2</f>
        <v>1.991159755754657</v>
      </c>
      <c r="F17" s="5">
        <f>HLOOKUP("QTE-0.1-Empcov-GLM",inference!$D$1:$DR$96,$R$2,FALSE)</f>
        <v>0.93200000000000005</v>
      </c>
      <c r="G17" s="5">
        <f>HLOOKUP("QTE-0.1-ASSD-GLM",inference!$D$1:$DR$96,$R$2,FALSE)*2*1.96/SQRT(G$3)</f>
        <v>30.197803767754905</v>
      </c>
      <c r="H17" s="5">
        <f>G17/(2*1.96/SQRT(G$3))</f>
        <v>108.944243985307</v>
      </c>
      <c r="I17" s="5">
        <f t="shared" si="4"/>
        <v>0.96187999317209072</v>
      </c>
      <c r="J17" s="5"/>
      <c r="K17" s="5"/>
      <c r="L17" s="5"/>
      <c r="M17" s="5"/>
      <c r="N17" s="5"/>
    </row>
    <row r="18" spans="1:17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25">
      <c r="A19" s="2" t="s">
        <v>59</v>
      </c>
      <c r="B19" s="1" t="s">
        <v>3</v>
      </c>
      <c r="C19" s="5">
        <f>HLOOKUP("QTE-0.25-bias-IPS-exp",Point!$D$1:$DR$96,$R$2,FALSE)</f>
        <v>-0.44033090804962399</v>
      </c>
      <c r="D19" s="5">
        <f>HLOOKUP("QTE-0.25-RMSE-IPS-exp",Point!$D$1:$DR$96,$R$2,FALSE)</f>
        <v>6.5273362533696098</v>
      </c>
      <c r="E19" s="5">
        <f>(D19/$D$23)^2</f>
        <v>0.90980254262720828</v>
      </c>
      <c r="F19" s="5">
        <f>HLOOKUP("QTE-0.25-Empcov-IPS-exp",inference!$D$1:$DR$96,$R$2,FALSE)</f>
        <v>0.95599999999999996</v>
      </c>
      <c r="G19" s="5">
        <f>HLOOKUP("QTE-0.25-ASSD-IPS-exp",inference!$D$1:$DR$96,$R$2,FALSE)*2*1.96/SQRT(G$3)</f>
        <v>27.77592241787822</v>
      </c>
      <c r="H19" s="5">
        <f>G19/(2*1.96/SQRT(G$3))</f>
        <v>100.20685252751601</v>
      </c>
      <c r="I19" s="5">
        <f>($H$23/H19)^2</f>
        <v>1.0551426649412059</v>
      </c>
      <c r="J19" s="5"/>
      <c r="K19" s="5"/>
      <c r="L19" s="5"/>
      <c r="M19" s="5"/>
      <c r="N19" s="5"/>
    </row>
    <row r="20" spans="1:17" x14ac:dyDescent="0.25">
      <c r="B20" s="1" t="s">
        <v>5</v>
      </c>
      <c r="C20" s="5">
        <f>HLOOKUP("QTE-0.25-bias-IPS-ind",Point!$D$1:$DR$96,$R$2,FALSE)</f>
        <v>-3.40629348279862</v>
      </c>
      <c r="D20" s="5">
        <f>HLOOKUP("QTE-0.25-RMSE-IPS-ind",Point!$D$1:$DR$96,$R$2,FALSE)</f>
        <v>7.7986282006167498</v>
      </c>
      <c r="E20" s="5">
        <f t="shared" ref="E20:E24" si="6">(D20/$D$23)^2</f>
        <v>1.2987082708146145</v>
      </c>
      <c r="F20" s="5">
        <f>HLOOKUP("QTE-0.25-Empcov-IPS-ind",inference!$D$1:$DR$96,$R$2,FALSE)</f>
        <v>0.92484969939879802</v>
      </c>
      <c r="G20" s="5">
        <f>HLOOKUP("QTE-0.25-ASSD-IPS-ind",inference!$D$1:$DR$96,$R$2,FALSE)*2*1.96/SQRT(G$3)</f>
        <v>31.056493576824167</v>
      </c>
      <c r="H20" s="5">
        <f t="shared" ref="H20:H23" si="7">G20/(2*1.96/SQRT(G$3))</f>
        <v>112.04212861249403</v>
      </c>
      <c r="I20" s="5">
        <f t="shared" ref="I20:I24" si="8">($H$23/H20)^2</f>
        <v>0.84400170609331582</v>
      </c>
      <c r="J20" s="5"/>
      <c r="K20" s="5"/>
      <c r="L20" s="5"/>
      <c r="M20" s="5"/>
      <c r="N20" s="5"/>
    </row>
    <row r="21" spans="1:17" x14ac:dyDescent="0.25">
      <c r="B21" s="1" t="s">
        <v>4</v>
      </c>
      <c r="C21" s="5">
        <f>HLOOKUP("QTE-0.25-bias-IPS-proj",Point!$D$1:$DR$96,$R$2,FALSE)</f>
        <v>-0.87214784594712602</v>
      </c>
      <c r="D21" s="5">
        <f>HLOOKUP("QTE-0.25-RMSE-IPS-proj",Point!$D$1:$DR$96,$R$2,FALSE)</f>
        <v>7.0613802695826999</v>
      </c>
      <c r="E21" s="5">
        <f t="shared" si="6"/>
        <v>1.0647664886408137</v>
      </c>
      <c r="F21" s="6">
        <f>HLOOKUP("QTE-0.25-Empcov-IPS-proj",inference!$D$1:$DR$96,$R$2,FALSE)</f>
        <v>0.97180043383947901</v>
      </c>
      <c r="G21" s="6">
        <f>HLOOKUP("QTE-0.25-ASSD-IPS-proj",inference!$D$1:$DR$96,$R$2,FALSE)*2*1.96/SQRT(G$3)</f>
        <v>35.199730937437749</v>
      </c>
      <c r="H21" s="5">
        <f t="shared" si="7"/>
        <v>126.989634907164</v>
      </c>
      <c r="I21" s="5">
        <f t="shared" si="8"/>
        <v>0.65700621451964158</v>
      </c>
      <c r="J21" s="5"/>
      <c r="K21" s="5"/>
      <c r="L21" s="5"/>
      <c r="M21" s="5"/>
      <c r="N21" s="5"/>
    </row>
    <row r="22" spans="1:17" x14ac:dyDescent="0.25">
      <c r="B22" s="1" t="s">
        <v>88</v>
      </c>
      <c r="C22" s="5">
        <f>HLOOKUP("QTE-0.25-bias-CBPS-just",Point!$D$1:$DR$96,$R$2,FALSE)</f>
        <v>1.14528324982314</v>
      </c>
      <c r="D22" s="5">
        <f>HLOOKUP("QTE-0.25-RMSE-CBPS-just",Point!$D$1:$DR$96,$R$2,FALSE)</f>
        <v>6.8804758412950804</v>
      </c>
      <c r="E22" s="5">
        <f t="shared" si="6"/>
        <v>1.0109091401032264</v>
      </c>
      <c r="F22" s="5">
        <f>HLOOKUP("QTE-0.25-Empcov-CBPS-just",inference!$D$1:$DR$96,$R$2,FALSE)</f>
        <v>0.93799999999999994</v>
      </c>
      <c r="G22" s="5">
        <f>HLOOKUP("QTE-0.25-ASSD-CBPS-just",inference!$D$1:$DR$96,$R$2,FALSE)*2*1.96/SQRT(G$3)</f>
        <v>26.718258438624485</v>
      </c>
      <c r="H22" s="5">
        <f t="shared" si="7"/>
        <v>96.391131242071808</v>
      </c>
      <c r="I22" s="5">
        <f t="shared" si="8"/>
        <v>1.1403334723061669</v>
      </c>
      <c r="J22" s="5"/>
      <c r="K22" s="5"/>
      <c r="L22" s="5"/>
      <c r="M22" s="5"/>
      <c r="N22" s="5"/>
    </row>
    <row r="23" spans="1:17" x14ac:dyDescent="0.25">
      <c r="B23" s="1" t="s">
        <v>89</v>
      </c>
      <c r="C23" s="5">
        <f>HLOOKUP("QTE-0.25-bias-CBPS-over",Point!$D$1:$DR$96,$R$2,FALSE)</f>
        <v>1.73696711932693</v>
      </c>
      <c r="D23" s="5">
        <f>HLOOKUP("QTE-0.25-RMSE-CBPS-over",Point!$D$1:$DR$96,$R$2,FALSE)</f>
        <v>6.8432501040296998</v>
      </c>
      <c r="E23" s="5">
        <f>(D23/$D$23)^2</f>
        <v>1</v>
      </c>
      <c r="F23" s="5">
        <f>HLOOKUP("QTE-0.25-Empcov-CBPS-over",inference!$D$1:$DR$96,$R$2,FALSE)</f>
        <v>0.95699999999999996</v>
      </c>
      <c r="G23" s="5">
        <f>HLOOKUP("QTE-0.25-ASSD-CBPS-over",inference!$D$1:$DR$96,$R$2,FALSE)*2*1.96/SQRT(G$3)</f>
        <v>28.531465701421403</v>
      </c>
      <c r="H23" s="5">
        <f t="shared" si="7"/>
        <v>102.932616707482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25">
      <c r="B24" s="3" t="s">
        <v>2</v>
      </c>
      <c r="C24" s="5">
        <f>HLOOKUP("QTE-0.25-bias-GLM",Point!$D$1:$DR$96,$R$2,FALSE)</f>
        <v>2.9140057316635399</v>
      </c>
      <c r="D24" s="5">
        <f>HLOOKUP("QTE-0.25-RMSE-GLM",Point!$D$1:$DR$96,$R$2,FALSE)</f>
        <v>11.409449504596999</v>
      </c>
      <c r="E24" s="5">
        <f t="shared" si="6"/>
        <v>2.7797424278148499</v>
      </c>
      <c r="F24" s="5">
        <f>HLOOKUP("QTE-0.25-Empcov-GLM",inference!$D$1:$DR$96,$R$2,FALSE)</f>
        <v>0.94</v>
      </c>
      <c r="G24" s="5">
        <f>HLOOKUP("QTE-0.25-ASSD-GLM",inference!$D$1:$DR$96,$R$2,FALSE)*2*1.96/SQRT(G$3)</f>
        <v>30.293379882577327</v>
      </c>
      <c r="H24" s="5">
        <f>G24/(2*1.96/SQRT(G$3))</f>
        <v>109.28905275525801</v>
      </c>
      <c r="I24" s="5">
        <f t="shared" si="8"/>
        <v>0.88705940147645601</v>
      </c>
      <c r="J24" s="5"/>
      <c r="K24" s="5"/>
      <c r="L24" s="5"/>
      <c r="M24" s="5"/>
      <c r="N24" s="5"/>
    </row>
    <row r="25" spans="1:17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25">
      <c r="A26" s="2" t="s">
        <v>60</v>
      </c>
      <c r="B26" s="1" t="s">
        <v>3</v>
      </c>
      <c r="C26" s="5">
        <f>HLOOKUP("QTE-0.5-bias-IPS-exp",Point!$D$1:$DR$96,$R$2,FALSE)</f>
        <v>1.0968750210837299</v>
      </c>
      <c r="D26" s="5">
        <f>HLOOKUP("QTE-0.5-RMSE-IPS-exp",Point!$D$1:$DR$96,$R$2,FALSE)</f>
        <v>6.9228828232980701</v>
      </c>
      <c r="E26" s="5">
        <f>(D26/$D$30)^2</f>
        <v>0.71653518401210814</v>
      </c>
      <c r="F26" s="5">
        <f>HLOOKUP("QTE-0.5-Empcov-IPS-exp",inference!$D$1:$DR$96,$R$2,FALSE)</f>
        <v>0.97199999999999998</v>
      </c>
      <c r="G26" s="5">
        <f>HLOOKUP("QTE-0.5-ASSD-IPS-exp",inference!$D$1:$DR$96,$R$2,FALSE)*2*1.96/SQRT(G$3)</f>
        <v>30.220203452522192</v>
      </c>
      <c r="H26" s="5">
        <f>G26/(2*1.96/SQRT(G$3))</f>
        <v>109.02505505161</v>
      </c>
      <c r="I26" s="5">
        <f>($H$30/H26)^2</f>
        <v>1.1320999252769213</v>
      </c>
      <c r="J26" s="5"/>
      <c r="K26"/>
      <c r="L26"/>
      <c r="M26"/>
      <c r="N26"/>
      <c r="O26"/>
      <c r="P26"/>
      <c r="Q26"/>
    </row>
    <row r="27" spans="1:17" x14ac:dyDescent="0.25">
      <c r="B27" s="1" t="s">
        <v>5</v>
      </c>
      <c r="C27" s="5">
        <f>HLOOKUP("QTE-0.5-bias-IPS-ind",Point!$D$1:$DR$96,$R$2,FALSE)</f>
        <v>-3.8237120878871802</v>
      </c>
      <c r="D27" s="5">
        <f>HLOOKUP("QTE-0.5-RMSE-IPS-ind",Point!$D$1:$DR$96,$R$2,FALSE)</f>
        <v>8.1401865608661499</v>
      </c>
      <c r="E27" s="5">
        <f t="shared" ref="E27:E31" si="9">(D27/$D$30)^2</f>
        <v>0.99067744533281465</v>
      </c>
      <c r="F27" s="5">
        <f>HLOOKUP("QTE-0.5-Empcov-IPS-ind",inference!$D$1:$DR$96,$R$2,FALSE)</f>
        <v>0.93687374749498997</v>
      </c>
      <c r="G27" s="5">
        <f>HLOOKUP("QTE-0.5-ASSD-IPS-ind",inference!$D$1:$DR$96,$R$2,FALSE)*2*1.96/SQRT(G$3)</f>
        <v>31.052123600391148</v>
      </c>
      <c r="H27" s="5">
        <f t="shared" ref="H27:H30" si="10">G27/(2*1.96/SQRT(G$3))</f>
        <v>112.026363102446</v>
      </c>
      <c r="I27" s="5">
        <f t="shared" ref="I27:I31" si="11">($H$30/H27)^2</f>
        <v>1.072252128580043</v>
      </c>
      <c r="J27" s="5"/>
      <c r="K27" s="5"/>
      <c r="L27" s="5"/>
      <c r="M27" s="5"/>
      <c r="N27" s="5"/>
    </row>
    <row r="28" spans="1:17" x14ac:dyDescent="0.25">
      <c r="B28" s="1" t="s">
        <v>4</v>
      </c>
      <c r="C28" s="5">
        <f>HLOOKUP("QTE-0.5-bias-IPS-proj",Point!$D$1:$DR$96,$R$2,FALSE)</f>
        <v>-1.68139115526698</v>
      </c>
      <c r="D28" s="5">
        <f>HLOOKUP("QTE-0.5-RMSE-IPS-proj",Point!$D$1:$DR$96,$R$2,FALSE)</f>
        <v>7.1358045935336003</v>
      </c>
      <c r="E28" s="5">
        <f t="shared" si="9"/>
        <v>0.76128882791157393</v>
      </c>
      <c r="F28" s="6">
        <f>HLOOKUP("QTE-0.5-Empcov-IPS-proj",inference!$D$1:$DR$96,$R$2,FALSE)</f>
        <v>0.97613882863340595</v>
      </c>
      <c r="G28" s="6">
        <f>HLOOKUP("QTE-0.5-ASSD-IPS-proj",inference!$D$1:$DR$96,$R$2,FALSE)*2*1.96/SQRT(G$3)</f>
        <v>34.438998756481368</v>
      </c>
      <c r="H28" s="5">
        <f t="shared" si="10"/>
        <v>124.24515080603601</v>
      </c>
      <c r="I28" s="5">
        <f t="shared" si="11"/>
        <v>0.8717229821638629</v>
      </c>
      <c r="J28" s="5"/>
      <c r="K28" s="5"/>
      <c r="L28" s="5"/>
      <c r="M28" s="5"/>
      <c r="N28" s="5"/>
    </row>
    <row r="29" spans="1:17" x14ac:dyDescent="0.25">
      <c r="B29" s="1" t="s">
        <v>88</v>
      </c>
      <c r="C29" s="5">
        <f>HLOOKUP("QTE-0.5-bias-CBPS-just",Point!$D$1:$DR$96,$R$2,FALSE)</f>
        <v>3.3067309799968698</v>
      </c>
      <c r="D29" s="5">
        <f>HLOOKUP("QTE-0.5-RMSE-CBPS-just",Point!$D$1:$DR$96,$R$2,FALSE)</f>
        <v>8.2430225909973398</v>
      </c>
      <c r="E29" s="5">
        <f t="shared" si="9"/>
        <v>1.015866266162327</v>
      </c>
      <c r="F29" s="5">
        <f>HLOOKUP("QTE-0.5-Empcov-CBPS-just",inference!$D$1:$DR$96,$R$2,FALSE)</f>
        <v>0.92300000000000004</v>
      </c>
      <c r="G29" s="5">
        <f>HLOOKUP("QTE-0.5-ASSD-CBPS-just",inference!$D$1:$DR$96,$R$2,FALSE)*2*1.96/SQRT(G$3)</f>
        <v>29.183984406860407</v>
      </c>
      <c r="H29" s="5">
        <f t="shared" si="10"/>
        <v>105.28670038843602</v>
      </c>
      <c r="I29" s="5">
        <f t="shared" si="11"/>
        <v>1.2139208202695135</v>
      </c>
      <c r="J29" s="5"/>
      <c r="K29" s="5"/>
      <c r="L29" s="5"/>
      <c r="M29" s="5"/>
      <c r="N29" s="5"/>
    </row>
    <row r="30" spans="1:17" x14ac:dyDescent="0.25">
      <c r="B30" s="1" t="s">
        <v>89</v>
      </c>
      <c r="C30" s="5">
        <f>HLOOKUP("QTE-0.5-bias-CBPS-over",Point!$D$1:$DR$96,$R$2,FALSE)</f>
        <v>3.4643537248187202</v>
      </c>
      <c r="D30" s="5">
        <f>HLOOKUP("QTE-0.5-RMSE-CBPS-over",Point!$D$1:$DR$96,$R$2,FALSE)</f>
        <v>8.1783976049146396</v>
      </c>
      <c r="E30" s="5">
        <f t="shared" si="9"/>
        <v>1</v>
      </c>
      <c r="F30" s="5">
        <f>HLOOKUP("QTE-0.5-Empcov-CBPS-over",inference!$D$1:$DR$96,$R$2,FALSE)</f>
        <v>0.95199999999999996</v>
      </c>
      <c r="G30" s="5">
        <f>HLOOKUP("QTE-0.5-ASSD-CBPS-over",inference!$D$1:$DR$96,$R$2,FALSE)*2*1.96/SQRT(G$3)</f>
        <v>32.154352217169865</v>
      </c>
      <c r="H30" s="5">
        <f t="shared" si="10"/>
        <v>116.00285968072201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25">
      <c r="A31" s="3"/>
      <c r="B31" s="3" t="s">
        <v>2</v>
      </c>
      <c r="C31" s="5">
        <f>HLOOKUP("QTE-0.5-bias-GLM",Point!$D$1:$DR$96,$R$2,FALSE)</f>
        <v>6.0643122680594503</v>
      </c>
      <c r="D31" s="5">
        <f>HLOOKUP("QTE-0.5-RMSE-GLM",Point!$D$1:$DR$96,$R$2,FALSE)</f>
        <v>14.527175453458099</v>
      </c>
      <c r="E31" s="5">
        <f t="shared" si="9"/>
        <v>3.1551929465455926</v>
      </c>
      <c r="F31" s="5">
        <f>HLOOKUP("QTE-0.5-Empcov-GLM",inference!$D$1:$DR$96,$R$2,FALSE)</f>
        <v>0.91</v>
      </c>
      <c r="G31" s="5">
        <f>HLOOKUP("QTE-0.5-ASSD-GLM",inference!$D$1:$DR$96,$R$2,FALSE)*2*1.96/SQRT(G$3)</f>
        <v>35.421796098135871</v>
      </c>
      <c r="H31" s="5">
        <f>G31/(2*1.96/SQRT(G$3))</f>
        <v>127.79077664693402</v>
      </c>
      <c r="I31" s="5">
        <f t="shared" si="11"/>
        <v>0.82402117481693193</v>
      </c>
      <c r="J31" s="5"/>
      <c r="K31" s="5"/>
      <c r="L31" s="5"/>
      <c r="M31" s="5"/>
      <c r="N31" s="5"/>
      <c r="O31" s="3"/>
      <c r="P31" s="3"/>
      <c r="Q31" s="3"/>
    </row>
    <row r="32" spans="1:17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4.0223795293452298</v>
      </c>
      <c r="D33" s="5">
        <f>HLOOKUP("QTE-0.75-RMSE-IPS-exp",Point!$D$1:$DR$96,$R$2,FALSE)</f>
        <v>9.5092272990281792</v>
      </c>
      <c r="E33" s="5">
        <f>(D33/$D$37)^2</f>
        <v>0.57966059510899348</v>
      </c>
      <c r="F33" s="5">
        <f>HLOOKUP("QTE-0.75-Empcov-IPS-exp",inference!$D$1:$DR$96,$R$2,FALSE)</f>
        <v>0.95199999999999996</v>
      </c>
      <c r="G33" s="5">
        <f>HLOOKUP("QTE-0.75-ASSD-IPS-exp",inference!$D$1:$DR$96,$R$2,FALSE)*2*1.96/SQRT(G$3)</f>
        <v>38.254807558290132</v>
      </c>
      <c r="H33" s="5">
        <f>G33/(2*1.96/SQRT(G$3))</f>
        <v>138.01139712986404</v>
      </c>
      <c r="I33" s="5">
        <f>($H$37/H33)^2</f>
        <v>1.177188225270372</v>
      </c>
      <c r="J33" s="5"/>
    </row>
    <row r="34" spans="1:10" x14ac:dyDescent="0.25">
      <c r="B34" s="1" t="s">
        <v>5</v>
      </c>
      <c r="C34" s="5">
        <f>HLOOKUP("QTE-0.75-bias-IPS-ind",Point!$D$1:$DR$96,$R$2,FALSE)</f>
        <v>-4.5145779554542704</v>
      </c>
      <c r="D34" s="5">
        <f>HLOOKUP("QTE-0.75-RMSE-IPS-ind",Point!$D$1:$DR$96,$R$2,FALSE)</f>
        <v>9.9735672492024392</v>
      </c>
      <c r="E34" s="5">
        <f t="shared" ref="E34:E38" si="12">(D34/$D$37)^2</f>
        <v>0.63765293373579668</v>
      </c>
      <c r="F34" s="5">
        <f>HLOOKUP("QTE-0.75-Empcov-IPS-ind",inference!$D$1:$DR$96,$R$2,FALSE)</f>
        <v>0.920841683366733</v>
      </c>
      <c r="G34" s="5">
        <f>HLOOKUP("QTE-0.75-ASSD-IPS-ind",inference!$D$1:$DR$96,$R$2,FALSE)*2*1.96/SQRT(G$3)</f>
        <v>36.601700833713274</v>
      </c>
      <c r="H34" s="5">
        <f t="shared" ref="H34:H37" si="13">G34/(2*1.96/SQRT(G$3))</f>
        <v>132.047504400408</v>
      </c>
      <c r="I34" s="5">
        <f t="shared" ref="I34:I38" si="14">($H$37/H34)^2</f>
        <v>1.2859243457532388</v>
      </c>
      <c r="J34" s="5"/>
    </row>
    <row r="35" spans="1:10" x14ac:dyDescent="0.25">
      <c r="B35" s="1" t="s">
        <v>4</v>
      </c>
      <c r="C35" s="5">
        <f>HLOOKUP("QTE-0.75-bias-IPS-proj",Point!$D$1:$DR$96,$R$2,FALSE)</f>
        <v>-1.96612552979192</v>
      </c>
      <c r="D35" s="5">
        <f>HLOOKUP("QTE-0.75-RMSE-IPS-proj",Point!$D$1:$DR$96,$R$2,FALSE)</f>
        <v>9.0921510787513693</v>
      </c>
      <c r="E35" s="5">
        <f t="shared" si="12"/>
        <v>0.52992768443329419</v>
      </c>
      <c r="F35" s="6">
        <f>HLOOKUP("QTE-0.75-Empcov-IPS-proj",inference!$D$1:$DR$96,$R$2,FALSE)</f>
        <v>0.96746203904555295</v>
      </c>
      <c r="G35" s="6">
        <f>HLOOKUP("QTE-0.75-ASSD-IPS-proj",inference!$D$1:$DR$96,$R$2,FALSE)*2*1.96/SQRT(G$3)</f>
        <v>47.000555463791919</v>
      </c>
      <c r="H35" s="5">
        <f t="shared" si="13"/>
        <v>169.56332391827402</v>
      </c>
      <c r="I35" s="5">
        <f t="shared" si="14"/>
        <v>0.77985160711733692</v>
      </c>
      <c r="J35" s="5"/>
    </row>
    <row r="36" spans="1:10" x14ac:dyDescent="0.25">
      <c r="B36" s="1" t="s">
        <v>88</v>
      </c>
      <c r="C36" s="5">
        <f>HLOOKUP("QTE-0.75-bias-CBPS-just",Point!$D$1:$DR$96,$R$2,FALSE)</f>
        <v>6.9163766214321303</v>
      </c>
      <c r="D36" s="5">
        <f>HLOOKUP("QTE-0.75-RMSE-CBPS-just",Point!$D$1:$DR$96,$R$2,FALSE)</f>
        <v>12.5161899077056</v>
      </c>
      <c r="E36" s="5">
        <f t="shared" si="12"/>
        <v>1.0042170935389367</v>
      </c>
      <c r="F36" s="5">
        <f>HLOOKUP("QTE-0.75-Empcov-CBPS-just",inference!$D$1:$DR$96,$R$2,FALSE)</f>
        <v>0.86799999999999999</v>
      </c>
      <c r="G36" s="5">
        <f>HLOOKUP("QTE-0.75-ASSD-CBPS-just",inference!$D$1:$DR$96,$R$2,FALSE)*2*1.96/SQRT(G$3)</f>
        <v>36.941684255785596</v>
      </c>
      <c r="H36" s="5">
        <f t="shared" si="13"/>
        <v>133.27405839652204</v>
      </c>
      <c r="I36" s="5">
        <f t="shared" si="14"/>
        <v>1.2623639060440104</v>
      </c>
      <c r="J36" s="5"/>
    </row>
    <row r="37" spans="1:10" x14ac:dyDescent="0.25">
      <c r="B37" s="1" t="s">
        <v>89</v>
      </c>
      <c r="C37" s="5">
        <f>HLOOKUP("QTE-0.75-bias-CBPS-over",Point!$D$1:$DR$96,$R$2,FALSE)</f>
        <v>6.9498148096451597</v>
      </c>
      <c r="D37" s="5">
        <f>HLOOKUP("QTE-0.75-RMSE-CBPS-over",Point!$D$1:$DR$96,$R$2,FALSE)</f>
        <v>12.489882113551801</v>
      </c>
      <c r="E37" s="5">
        <f t="shared" si="12"/>
        <v>1</v>
      </c>
      <c r="F37" s="5">
        <f>HLOOKUP("QTE-0.75-Empcov-CBPS-over",inference!$D$1:$DR$96,$R$2,FALSE)</f>
        <v>0.92200000000000004</v>
      </c>
      <c r="G37" s="5">
        <f>HLOOKUP("QTE-0.75-ASSD-CBPS-over",inference!$D$1:$DR$96,$R$2,FALSE)*2*1.96/SQRT(G$3)</f>
        <v>41.505817896048143</v>
      </c>
      <c r="H37" s="5">
        <f t="shared" si="13"/>
        <v>149.740027005049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10.503704406094601</v>
      </c>
      <c r="D38" s="5">
        <f>HLOOKUP("QTE-0.75-RMSE-GLM",Point!$D$1:$DR$96,$R$2,FALSE)</f>
        <v>18.972696549622899</v>
      </c>
      <c r="E38" s="5">
        <f t="shared" si="12"/>
        <v>2.3074985814871178</v>
      </c>
      <c r="F38" s="5">
        <f>HLOOKUP("QTE-0.75-Empcov-GLM",inference!$D$1:$DR$96,$R$2,FALSE)</f>
        <v>0.83499999999999996</v>
      </c>
      <c r="G38" s="5">
        <f>HLOOKUP("QTE-0.75-ASSD-GLM",inference!$D$1:$DR$96,$R$2,FALSE)*2*1.96/SQRT(G$3)</f>
        <v>42.803398094182675</v>
      </c>
      <c r="H38" s="5">
        <f>G38/(2*1.96/SQRT(G$3))</f>
        <v>154.42129107257102</v>
      </c>
      <c r="I38" s="5">
        <f t="shared" si="14"/>
        <v>0.94028921739092219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7.8911058067846103</v>
      </c>
      <c r="D40" s="5">
        <f>HLOOKUP("QTE-0.9-RMSE-IPS-exp",Point!$D$1:$DR$96,$R$2,FALSE)</f>
        <v>16.619223027336901</v>
      </c>
      <c r="E40" s="5">
        <f t="shared" ref="E40:E45" si="15">(D40/$D$44)^2</f>
        <v>0.7257805808607668</v>
      </c>
      <c r="F40" s="5">
        <f>HLOOKUP("QTE-0.9-Empcov-IPS-exp",inference!$D$1:$DR$96,$R$2,FALSE)</f>
        <v>0.86599999999999999</v>
      </c>
      <c r="G40" s="5">
        <f>HLOOKUP("QTE-0.9-ASSD-IPS-exp",inference!$D$1:$DR$96,$R$2,FALSE)*2*1.96/SQRT(G$3)</f>
        <v>48.462458366194433</v>
      </c>
      <c r="H40" s="5">
        <f>G40/(2*1.96/SQRT(G$3))</f>
        <v>174.83741297809601</v>
      </c>
      <c r="I40" s="5">
        <f t="shared" ref="I40:I45" si="16">($H$44/H40)^2</f>
        <v>1.0902173371544077</v>
      </c>
      <c r="J40" s="5"/>
    </row>
    <row r="41" spans="1:10" x14ac:dyDescent="0.25">
      <c r="B41" s="1" t="s">
        <v>5</v>
      </c>
      <c r="C41" s="5">
        <f>HLOOKUP("QTE-0.9-bias-IPS-ind",Point!$D$1:$DR$96,$R$2,FALSE)</f>
        <v>-5.1325023627810902</v>
      </c>
      <c r="D41" s="5">
        <f>HLOOKUP("QTE-0.9-RMSE-IPS-ind",Point!$D$1:$DR$96,$R$2,FALSE)</f>
        <v>14.8127955541822</v>
      </c>
      <c r="E41" s="5">
        <f t="shared" si="15"/>
        <v>0.57657786994543969</v>
      </c>
      <c r="F41" s="5">
        <f>HLOOKUP("QTE-0.9-Empcov-IPS-ind",inference!$D$1:$DR$96,$R$2,FALSE)</f>
        <v>0.89078156312625201</v>
      </c>
      <c r="G41" s="5">
        <f>HLOOKUP("QTE-0.9-ASSD-IPS-ind",inference!$D$1:$DR$96,$R$2,FALSE)*2*1.96/SQRT(G$3)</f>
        <v>49.291427227244775</v>
      </c>
      <c r="H41" s="5">
        <f t="shared" ref="H41:H44" si="17">G41/(2*1.96/SQRT(G$3))</f>
        <v>177.828073707898</v>
      </c>
      <c r="I41" s="5">
        <f t="shared" si="16"/>
        <v>1.0538557740890642</v>
      </c>
      <c r="J41" s="5"/>
    </row>
    <row r="42" spans="1:10" x14ac:dyDescent="0.25">
      <c r="B42" s="1" t="s">
        <v>4</v>
      </c>
      <c r="C42" s="5">
        <f>HLOOKUP("QTE-0.9-bias-IPS-proj",Point!$D$1:$DR$96,$R$2,FALSE)</f>
        <v>-2.5290272490002401</v>
      </c>
      <c r="D42" s="5">
        <f>HLOOKUP("QTE-0.9-RMSE-IPS-proj",Point!$D$1:$DR$96,$R$2,FALSE)</f>
        <v>14.8437913410026</v>
      </c>
      <c r="E42" s="5">
        <f t="shared" si="15"/>
        <v>0.57899337385555238</v>
      </c>
      <c r="F42" s="6">
        <f>HLOOKUP("QTE-0.9-Empcov-IPS-proj",inference!$D$1:$DR$96,$R$2,FALSE)</f>
        <v>0.93926247288503295</v>
      </c>
      <c r="G42" s="6">
        <f>HLOOKUP("QTE-0.9-ASSD-IPS-proj",inference!$D$1:$DR$96,$R$2,FALSE)*2*1.96/SQRT(G$3)</f>
        <v>71.468964026161643</v>
      </c>
      <c r="H42" s="5">
        <f t="shared" si="17"/>
        <v>257.83769952692001</v>
      </c>
      <c r="I42" s="5">
        <f t="shared" si="16"/>
        <v>0.5012899435059518</v>
      </c>
      <c r="J42" s="5"/>
    </row>
    <row r="43" spans="1:10" x14ac:dyDescent="0.25">
      <c r="B43" s="1" t="s">
        <v>88</v>
      </c>
      <c r="C43" s="5">
        <f>HLOOKUP("QTE-0.9-bias-CBPS-just",Point!$D$1:$DR$96,$R$2,FALSE)</f>
        <v>10.8084917913081</v>
      </c>
      <c r="D43" s="5">
        <f>HLOOKUP("QTE-0.9-RMSE-CBPS-just",Point!$D$1:$DR$96,$R$2,FALSE)</f>
        <v>20.068641172160699</v>
      </c>
      <c r="E43" s="5">
        <f t="shared" si="15"/>
        <v>1.0583269307449097</v>
      </c>
      <c r="F43" s="5">
        <f>HLOOKUP("QTE-0.9-Empcov-CBPS-just",inference!$D$1:$DR$96,$R$2,FALSE)</f>
        <v>0.74299999999999999</v>
      </c>
      <c r="G43" s="5">
        <f>HLOOKUP("QTE-0.9-ASSD-CBPS-just",inference!$D$1:$DR$96,$R$2,FALSE)*2*1.96/SQRT(G$3)</f>
        <v>43.890297201617017</v>
      </c>
      <c r="H43" s="5">
        <f t="shared" si="17"/>
        <v>158.34248356916504</v>
      </c>
      <c r="I43" s="5">
        <f t="shared" si="16"/>
        <v>1.3291895634046365</v>
      </c>
      <c r="J43" s="5"/>
    </row>
    <row r="44" spans="1:10" x14ac:dyDescent="0.25">
      <c r="B44" s="1" t="s">
        <v>89</v>
      </c>
      <c r="C44" s="5">
        <f>HLOOKUP("QTE-0.9-bias-CBPS-over",Point!$D$1:$DR$96,$R$2,FALSE)</f>
        <v>11.189069661920101</v>
      </c>
      <c r="D44" s="5">
        <f>HLOOKUP("QTE-0.9-RMSE-CBPS-over",Point!$D$1:$DR$96,$R$2,FALSE)</f>
        <v>19.507788754039399</v>
      </c>
      <c r="E44" s="5">
        <f t="shared" si="15"/>
        <v>1</v>
      </c>
      <c r="F44" s="5">
        <f>HLOOKUP("QTE-0.9-Empcov-CBPS-over",inference!$D$1:$DR$96,$R$2,FALSE)</f>
        <v>0.83399999999999996</v>
      </c>
      <c r="G44" s="5">
        <f>HLOOKUP("QTE-0.9-ASSD-CBPS-over",inference!$D$1:$DR$96,$R$2,FALSE)*2*1.96/SQRT(G$3)</f>
        <v>50.601335945425838</v>
      </c>
      <c r="H44" s="5">
        <f t="shared" si="17"/>
        <v>182.553815225047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12.0326140022004</v>
      </c>
      <c r="D45" s="5">
        <f>HLOOKUP("QTE-0.9-RMSE-GLM",Point!$D$1:$DR$96,$R$2,FALSE)</f>
        <v>21.7242978334722</v>
      </c>
      <c r="E45" s="5">
        <f t="shared" si="15"/>
        <v>1.2401534000828758</v>
      </c>
      <c r="F45" s="5">
        <f>HLOOKUP("QTE-0.9-Empcov-GLM",inference!$D$1:$DR$96,$R$2,FALSE)</f>
        <v>0.72399999999999998</v>
      </c>
      <c r="G45" s="5">
        <f>HLOOKUP("QTE-0.9-ASSD-GLM",inference!$D$1:$DR$96,$R$2,FALSE)*2*1.96/SQRT(G$3)</f>
        <v>43.795217042879784</v>
      </c>
      <c r="H45" s="5">
        <f>G45/(2*1.96/SQRT(G$3))</f>
        <v>157.99946405386203</v>
      </c>
      <c r="I45" s="5">
        <f t="shared" si="16"/>
        <v>1.3349672144497029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J114" s="7"/>
    </row>
    <row r="115" spans="8:10" x14ac:dyDescent="0.25">
      <c r="J115" s="7"/>
    </row>
    <row r="116" spans="8:10" x14ac:dyDescent="0.25">
      <c r="J116" s="7"/>
    </row>
    <row r="117" spans="8:10" x14ac:dyDescent="0.25">
      <c r="J117" s="7"/>
    </row>
    <row r="118" spans="8:10" x14ac:dyDescent="0.25">
      <c r="J118" s="7"/>
    </row>
    <row r="119" spans="8:10" x14ac:dyDescent="0.25">
      <c r="J119" s="7"/>
    </row>
    <row r="120" spans="8:10" x14ac:dyDescent="0.25">
      <c r="J120" s="7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0"/>
  <sheetViews>
    <sheetView workbookViewId="0">
      <selection activeCell="K12" sqref="K12"/>
    </sheetView>
  </sheetViews>
  <sheetFormatPr defaultColWidth="9.28515625" defaultRowHeight="15" x14ac:dyDescent="0.25"/>
  <cols>
    <col min="1" max="1" width="8" style="1" bestFit="1" customWidth="1"/>
    <col min="2" max="2" width="11.7109375" style="1" bestFit="1" customWidth="1"/>
    <col min="3" max="4" width="6.5703125" style="1" bestFit="1" customWidth="1"/>
    <col min="5" max="5" width="6.5703125" style="1" customWidth="1"/>
    <col min="6" max="7" width="8.28515625" style="1" bestFit="1" customWidth="1"/>
    <col min="8" max="10" width="8.28515625" style="1" customWidth="1"/>
    <col min="11" max="17" width="9.28515625" style="1"/>
    <col min="18" max="18" width="14" style="1" bestFit="1" customWidth="1"/>
    <col min="19" max="16384" width="9.28515625" style="1"/>
  </cols>
  <sheetData>
    <row r="1" spans="1:18" x14ac:dyDescent="0.25">
      <c r="C1" s="16" t="s">
        <v>61</v>
      </c>
      <c r="D1" s="16"/>
      <c r="E1" s="16"/>
      <c r="F1" s="16"/>
      <c r="G1" s="16"/>
      <c r="H1" s="11"/>
      <c r="I1" s="11"/>
      <c r="J1" s="11"/>
      <c r="R1" s="10" t="s">
        <v>214</v>
      </c>
    </row>
    <row r="2" spans="1:18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4</v>
      </c>
    </row>
    <row r="3" spans="1:18" x14ac:dyDescent="0.2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I3" s="11">
        <v>500</v>
      </c>
      <c r="J3" s="11"/>
      <c r="K3" s="11"/>
      <c r="L3" s="11"/>
      <c r="M3" s="11"/>
      <c r="N3" s="11"/>
      <c r="O3" s="11"/>
      <c r="P3" s="11"/>
    </row>
    <row r="4" spans="1:18" x14ac:dyDescent="0.25">
      <c r="C4" s="11"/>
      <c r="D4" s="11"/>
      <c r="E4" s="11"/>
      <c r="F4" s="11"/>
      <c r="G4" s="11"/>
      <c r="H4" s="11"/>
      <c r="I4" s="11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-0.24019046491514501</v>
      </c>
      <c r="D5" s="5">
        <f>HLOOKUP("ATE-RMSE-IPS-exp",Point!$D$1:$DR$96,$R$2,FALSE)</f>
        <v>4.3934671979531696</v>
      </c>
      <c r="E5" s="5">
        <f>(D5/$D$9)^2</f>
        <v>0.73734755909792271</v>
      </c>
      <c r="F5" s="5">
        <f>HLOOKUP("ATE-Empcov-IPS-exp",inference!$D$1:$DR$96,$R$2,FALSE)</f>
        <v>0.95399999999999996</v>
      </c>
      <c r="G5" s="5">
        <f>HLOOKUP("ATE-ASSD-IPS-exp",inference!$D$1:$DR$96,$R$2,FALSE)*2*1.96/SQRT(G$3)</f>
        <v>17.755621169471887</v>
      </c>
      <c r="H5" s="5">
        <f>G5/(2*1.96/SQRT(G$3))</f>
        <v>101.282591626718</v>
      </c>
      <c r="I5" s="5">
        <f t="shared" ref="I5:I10" si="0">($H$9/H5)^2</f>
        <v>1.7569690029199239</v>
      </c>
      <c r="J5" s="5"/>
      <c r="K5" s="5">
        <f>HLOOKUP("ks-IPS-exp",balance!$D$1:$DR$96,$R$2,FALSE)</f>
        <v>2.69567226703056</v>
      </c>
      <c r="L5" s="5">
        <f>HLOOKUP("cvm-IPS-exp",balance!$D$1:$DR$96,$R$2,FALSE)</f>
        <v>0.40014945914341898</v>
      </c>
      <c r="M5" s="5">
        <f>HLOOKUP("ks-IPS-exp_1",balance!$D$1:$DR$96,$R$2,FALSE)</f>
        <v>1.4940040859288399</v>
      </c>
      <c r="N5" s="5">
        <f>HLOOKUP("cvm-IPS-exp_1",balance!$D$1:$DR$96,$R$2,FALSE)</f>
        <v>8.2729498747094399E-2</v>
      </c>
      <c r="O5" s="5">
        <f>HLOOKUP("ks-IPS-exp_0",balance!$D$1:$DR$96,$R$2,FALSE)</f>
        <v>1.6975902657345301</v>
      </c>
      <c r="P5" s="5">
        <f>HLOOKUP("cvm-IPS-exp_0",balance!$D$1:$DR$96,$R$2,FALSE)</f>
        <v>0.18440166332961599</v>
      </c>
    </row>
    <row r="6" spans="1:18" x14ac:dyDescent="0.25">
      <c r="B6" s="1" t="s">
        <v>5</v>
      </c>
      <c r="C6" s="5">
        <f>HLOOKUP("ATE-bias-IPS-ind",Point!$D$1:$DR$96,$R$2,FALSE)</f>
        <v>-5.5535953656211596</v>
      </c>
      <c r="D6" s="5">
        <f>HLOOKUP("ATE-RMSE-IPS-ind",Point!$D$1:$DR$96,$R$2,FALSE)</f>
        <v>6.7868146449602804</v>
      </c>
      <c r="E6" s="5">
        <f t="shared" ref="E6:E10" si="1">(D6/$D$9)^2</f>
        <v>1.759500712376886</v>
      </c>
      <c r="F6" s="5">
        <f>HLOOKUP("ATE-Empcov-IPS-ind",inference!$D$1:$DR$96,$R$2,FALSE)</f>
        <v>0.72372372372372396</v>
      </c>
      <c r="G6" s="5">
        <f>HLOOKUP("ATE-ASSD-IPS-ind",inference!$D$1:$DR$96,$R$2,FALSE)*2*1.96/SQRT(G$3)</f>
        <v>16.169321879152957</v>
      </c>
      <c r="H6" s="5">
        <f t="shared" ref="H6:H9" si="2">G6/(2*1.96/SQRT(G$3))</f>
        <v>92.233935897603715</v>
      </c>
      <c r="I6" s="5">
        <f t="shared" si="0"/>
        <v>2.1186159004246421</v>
      </c>
      <c r="J6" s="5"/>
      <c r="K6" s="5">
        <f>HLOOKUP("ks-IPS-ind",balance!$D$1:$DR$96,$R$2,FALSE)</f>
        <v>2.2521077001453702</v>
      </c>
      <c r="L6" s="5">
        <f>HLOOKUP("cvm-IPS-ind",balance!$D$1:$DR$96,$R$2,FALSE)</f>
        <v>0.186250924575219</v>
      </c>
      <c r="M6" s="5">
        <f>HLOOKUP("ks-IPS-ind_1",balance!$D$1:$DR$96,$R$2,FALSE)</f>
        <v>1.64635655606023</v>
      </c>
      <c r="N6" s="5">
        <f>HLOOKUP("cvm-IPS-ind_1",balance!$D$1:$DR$96,$R$2,FALSE)</f>
        <v>8.1879352819624399E-2</v>
      </c>
      <c r="O6" s="5">
        <f>HLOOKUP("ks-IPS-ind_0",balance!$D$1:$DR$96,$R$2,FALSE)</f>
        <v>1.1082868266754</v>
      </c>
      <c r="P6" s="5">
        <f>HLOOKUP("cvm-IPS-ind_0",balance!$D$1:$DR$96,$R$2,FALSE)</f>
        <v>5.0588701821044899E-2</v>
      </c>
    </row>
    <row r="7" spans="1:18" x14ac:dyDescent="0.25">
      <c r="B7" s="1" t="s">
        <v>4</v>
      </c>
      <c r="C7" s="5">
        <f>HLOOKUP("ATE-bias-IPS-proj",Point!$D$1:$DR$96,$R$2,FALSE)</f>
        <v>-0.95886447394868002</v>
      </c>
      <c r="D7" s="5">
        <f>HLOOKUP("ATE-RMSE-IPS-proj",Point!$D$1:$DR$96,$R$2,FALSE)</f>
        <v>4.3113927103882999</v>
      </c>
      <c r="E7" s="5">
        <f t="shared" si="1"/>
        <v>0.7100560571905723</v>
      </c>
      <c r="F7" s="6">
        <f>HLOOKUP("ATE-Empcov-IPS-proj",inference!$D$1:$DR$96,$R$2,FALSE)</f>
        <v>0.94</v>
      </c>
      <c r="G7" s="6">
        <f>HLOOKUP("ATE-ASSD-IPS-proj",inference!$D$1:$DR$96,$R$2,FALSE)*2*1.96/SQRT(G$3)</f>
        <v>17.027198324192913</v>
      </c>
      <c r="H7" s="5">
        <f t="shared" si="2"/>
        <v>97.127481936902697</v>
      </c>
      <c r="I7" s="5">
        <f t="shared" si="0"/>
        <v>1.9105105992482034</v>
      </c>
      <c r="J7" s="5"/>
      <c r="K7" s="5">
        <f>HLOOKUP("ks-IPS-proj",balance!$D$1:$DR$96,$R$2,FALSE)</f>
        <v>2.6397237498559298</v>
      </c>
      <c r="L7" s="5">
        <f>HLOOKUP("cvm-IPS-proj",balance!$D$1:$DR$96,$R$2,FALSE)</f>
        <v>0.37764898122483698</v>
      </c>
      <c r="M7" s="5">
        <f>HLOOKUP("ks-IPS-proj_1",balance!$D$1:$DR$96,$R$2,FALSE)</f>
        <v>1.46699579886444</v>
      </c>
      <c r="N7" s="5">
        <f>HLOOKUP("cvm-IPS-proj_1",balance!$D$1:$DR$96,$R$2,FALSE)</f>
        <v>8.00641470567134E-2</v>
      </c>
      <c r="O7" s="5">
        <f>HLOOKUP("ks-IPS-proj_0",balance!$D$1:$DR$96,$R$2,FALSE)</f>
        <v>1.64108687354493</v>
      </c>
      <c r="P7" s="5">
        <f>HLOOKUP("cvm-IPS-proj_0",balance!$D$1:$DR$96,$R$2,FALSE)</f>
        <v>0.169513607572081</v>
      </c>
    </row>
    <row r="8" spans="1:18" x14ac:dyDescent="0.25">
      <c r="B8" s="1" t="s">
        <v>88</v>
      </c>
      <c r="C8" s="5">
        <f>HLOOKUP("ATE-bias-CBPS-just",Point!$D$1:$DR$96,$R$2,FALSE)</f>
        <v>-0.15663562041824999</v>
      </c>
      <c r="D8" s="5">
        <f>HLOOKUP("ATE-RMSE-CBPS-just",Point!$D$1:$DR$96,$R$2,FALSE)</f>
        <v>4.8080327539083498</v>
      </c>
      <c r="E8" s="5">
        <f t="shared" si="1"/>
        <v>0.88306425481998629</v>
      </c>
      <c r="F8" s="5">
        <f>HLOOKUP("ATE-Empcov-CBPS-just",inference!$D$1:$DR$96,$R$2,FALSE)</f>
        <v>0.93200000000000005</v>
      </c>
      <c r="G8" s="5">
        <f>HLOOKUP("ATE-ASSD-CBPS-just",inference!$D$1:$DR$96,$R$2,FALSE)*2*1.96/SQRT(G$3)</f>
        <v>17.587633949391847</v>
      </c>
      <c r="H8" s="5">
        <f t="shared" si="2"/>
        <v>100.32434967914099</v>
      </c>
      <c r="I8" s="5">
        <f t="shared" si="0"/>
        <v>1.7906924571557177</v>
      </c>
      <c r="J8" s="5"/>
      <c r="K8" s="5">
        <f>HLOOKUP("ks-CBPS-Just",balance!$D$1:$DR$96,$R$2,FALSE)</f>
        <v>2.8136834291276198</v>
      </c>
      <c r="L8" s="5">
        <f>HLOOKUP("cvm-CBPS-Just",balance!$D$1:$DR$96,$R$2,FALSE)</f>
        <v>0.43215283598801202</v>
      </c>
      <c r="M8" s="5">
        <f>HLOOKUP("ks-CBPS-Just_1",balance!$D$1:$DR$96,$R$2,FALSE)</f>
        <v>1.5666358880802</v>
      </c>
      <c r="N8" s="5">
        <f>HLOOKUP("cvm-CBPS-Just_1",balance!$D$1:$DR$96,$R$2,FALSE)</f>
        <v>8.9726255927469703E-2</v>
      </c>
      <c r="O8" s="5">
        <f>HLOOKUP("ks-CBPS-Just_0",balance!$D$1:$DR$96,$R$2,FALSE)</f>
        <v>1.7895462917387901</v>
      </c>
      <c r="P8" s="5">
        <f>HLOOKUP("cvm-CBPS-Just_0",balance!$D$1:$DR$96,$R$2,FALSE)</f>
        <v>0.202763974709776</v>
      </c>
    </row>
    <row r="9" spans="1:18" x14ac:dyDescent="0.25">
      <c r="B9" s="1" t="s">
        <v>89</v>
      </c>
      <c r="C9" s="5">
        <f>HLOOKUP("ATE-bias-CBPS-over",Point!$D$1:$DR$96,$R$2,FALSE)</f>
        <v>1.3675182033388</v>
      </c>
      <c r="D9" s="5">
        <f>HLOOKUP("ATE-RMSE-CBPS-over",Point!$D$1:$DR$96,$R$2,FALSE)</f>
        <v>5.1164798112110903</v>
      </c>
      <c r="E9" s="5">
        <f t="shared" si="1"/>
        <v>1</v>
      </c>
      <c r="F9" s="5">
        <f>HLOOKUP("ATE-Empcov-CBPS-over",inference!$D$1:$DR$96,$R$2,FALSE)</f>
        <v>0.98299999999999998</v>
      </c>
      <c r="G9" s="5">
        <f>HLOOKUP("ATE-ASSD-CBPS-over",inference!$D$1:$DR$96,$R$2,FALSE)*2*1.96/SQRT(G$3)</f>
        <v>23.535201461362259</v>
      </c>
      <c r="H9" s="5">
        <f t="shared" si="2"/>
        <v>134.25079166264899</v>
      </c>
      <c r="I9" s="5">
        <f t="shared" si="0"/>
        <v>1</v>
      </c>
      <c r="J9" s="5"/>
      <c r="K9" s="5">
        <f>HLOOKUP("ks-CBPS-over",balance!$D$1:$DR$96,$R$2,FALSE)</f>
        <v>2.81544810227106</v>
      </c>
      <c r="L9" s="5">
        <f>HLOOKUP("cvm-CBPS-over",balance!$D$1:$DR$96,$R$2,FALSE)</f>
        <v>0.421493085618105</v>
      </c>
      <c r="M9" s="5">
        <f>HLOOKUP("ks-CBPS-over_1",balance!$D$1:$DR$96,$R$2,FALSE)</f>
        <v>1.4872769174862399</v>
      </c>
      <c r="N9" s="5">
        <f>HLOOKUP("cvm-CBPS-over_1",balance!$D$1:$DR$96,$R$2,FALSE)</f>
        <v>8.13012779858618E-2</v>
      </c>
      <c r="O9" s="5">
        <f>HLOOKUP("ks-CBPS-over_0",balance!$D$1:$DR$96,$R$2,FALSE)</f>
        <v>1.7739952922501401</v>
      </c>
      <c r="P9" s="5">
        <f>HLOOKUP("cvm-CBPS-over_0",balance!$D$1:$DR$96,$R$2,FALSE)</f>
        <v>0.19136476983422501</v>
      </c>
    </row>
    <row r="10" spans="1:18" s="3" customFormat="1" x14ac:dyDescent="0.25">
      <c r="B10" s="3" t="s">
        <v>2</v>
      </c>
      <c r="C10" s="5">
        <f>HLOOKUP("ATE-bias-GLM",Point!$D$1:$DR$96,$R$2,FALSE)</f>
        <v>-8.2933816983754099E-2</v>
      </c>
      <c r="D10" s="5">
        <f>HLOOKUP("ATE-RMSE-GLM",Point!$D$1:$DR$96,$R$2,FALSE)</f>
        <v>5.7556480051109</v>
      </c>
      <c r="E10" s="5">
        <f t="shared" si="1"/>
        <v>1.2654527173640391</v>
      </c>
      <c r="F10" s="5">
        <f>HLOOKUP("ATE-Empcov-GLM",inference!$D$1:$DR$96,$R$2,FALSE)</f>
        <v>0.94399999999999995</v>
      </c>
      <c r="G10" s="5">
        <f>HLOOKUP("ATE-ASSD-GLM",inference!$D$1:$DR$96,$R$2,FALSE)*2*1.96/SQRT(G$3)</f>
        <v>20.502389330340904</v>
      </c>
      <c r="H10" s="5">
        <f>G10/(2*1.96/SQRT(G$3))</f>
        <v>116.950857764818</v>
      </c>
      <c r="I10" s="5">
        <f t="shared" si="0"/>
        <v>1.3177313789076885</v>
      </c>
      <c r="J10" s="5"/>
      <c r="K10" s="5">
        <f>HLOOKUP("ks-GLM",balance!$D$1:$DR$96,$R$2,FALSE)</f>
        <v>2.7802197985773902</v>
      </c>
      <c r="L10" s="5">
        <f>HLOOKUP("cvm-GLM",balance!$D$1:$DR$96,$R$2,FALSE)</f>
        <v>0.43318994284857298</v>
      </c>
      <c r="M10" s="5">
        <f>HLOOKUP("ks-GLM_1",balance!$D$1:$DR$96,$R$2,FALSE)</f>
        <v>1.5391948044899699</v>
      </c>
      <c r="N10" s="5">
        <f>HLOOKUP("cvm-GLM_1",balance!$D$1:$DR$96,$R$2,FALSE)</f>
        <v>8.0920991075885101E-2</v>
      </c>
      <c r="O10" s="5">
        <f>HLOOKUP("ks-GLM_0",balance!$D$1:$DR$96,$R$2,FALSE)</f>
        <v>1.8274568591093301</v>
      </c>
      <c r="P10" s="5">
        <f>HLOOKUP("cvm-GLM_0",balance!$D$1:$DR$96,$R$2,FALSE)</f>
        <v>0.223243448750024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-0.15013394464521901</v>
      </c>
      <c r="D12" s="5">
        <f>HLOOKUP("QTE-0.10-RMSE-IPS-exp",Point!$D$1:$DR$96,$R$2,FALSE)</f>
        <v>4.6132884506203196</v>
      </c>
      <c r="E12" s="5">
        <f t="shared" ref="E12:E15" si="3">(D12/$D$16)^2</f>
        <v>1.0135799115274682</v>
      </c>
      <c r="F12" s="5">
        <f>HLOOKUP("QTE-0.1-Empcov-IPS-exp",inference!$D$1:$DR$96,$R$2,FALSE)</f>
        <v>0.95099999999999996</v>
      </c>
      <c r="G12" s="5">
        <f>HLOOKUP("QTE-0.1-ASSD-IPS-exp",inference!$D$1:$DR$96,$R$2,FALSE)*2*1.96/SQRT(G$3)</f>
        <v>18.272438545972424</v>
      </c>
      <c r="H12" s="5">
        <f>G12/(2*1.96/SQRT(G$3))</f>
        <v>104.23064975378</v>
      </c>
      <c r="I12" s="5">
        <f t="shared" ref="I12:I17" si="4">($H$16/H12)^2</f>
        <v>1.0399136736543158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-2.3280974944967401</v>
      </c>
      <c r="D13" s="5">
        <f>HLOOKUP("QTE-0.10-RMSE-IPS-ind",Point!$D$1:$DR$96,$R$2,FALSE)</f>
        <v>5.4576570534142999</v>
      </c>
      <c r="E13" s="5">
        <f t="shared" si="3"/>
        <v>1.4185650590567855</v>
      </c>
      <c r="F13" s="5">
        <f>HLOOKUP("QTE-0.1-Empcov-IPS-ind",inference!$D$1:$DR$96,$R$2,FALSE)</f>
        <v>0.91891891891891897</v>
      </c>
      <c r="G13" s="5">
        <f>HLOOKUP("QTE-0.1-ASSD-IPS-ind",inference!$D$1:$DR$96,$R$2,FALSE)*2*1.96/SQRT(G$3)</f>
        <v>20.645124529564111</v>
      </c>
      <c r="H13" s="5">
        <f t="shared" ref="H13:H16" si="5">G13/(2*1.96/SQRT(G$3))</f>
        <v>117.76505574503501</v>
      </c>
      <c r="I13" s="5">
        <f t="shared" si="4"/>
        <v>0.8146204248661757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-0.60275253667636997</v>
      </c>
      <c r="D14" s="5">
        <f>HLOOKUP("QTE-0.10-RMSE-IPS-proj",Point!$D$1:$DR$96,$R$2,FALSE)</f>
        <v>4.6175388589624298</v>
      </c>
      <c r="E14" s="5">
        <f t="shared" si="3"/>
        <v>1.0154484758644222</v>
      </c>
      <c r="F14" s="6">
        <f>HLOOKUP("QTE-0.1-Empcov-IPS-proj",inference!$D$1:$DR$96,$R$2,FALSE)</f>
        <v>0.94699999999999995</v>
      </c>
      <c r="G14" s="6">
        <f>HLOOKUP("QTE-0.1-ASSD-IPS-proj",inference!$D$1:$DR$96,$R$2,FALSE)*2*1.96/SQRT(G$3)</f>
        <v>18.181325789340136</v>
      </c>
      <c r="H14" s="5">
        <f t="shared" si="5"/>
        <v>103.710919352129</v>
      </c>
      <c r="I14" s="5">
        <f t="shared" si="4"/>
        <v>1.0503625059532471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-0.108925539821151</v>
      </c>
      <c r="D15" s="5">
        <f>HLOOKUP("QTE-0.10-RMSE-CBPS-just",Point!$D$1:$DR$96,$R$2,FALSE)</f>
        <v>4.5553730704000701</v>
      </c>
      <c r="E15" s="5">
        <f t="shared" si="3"/>
        <v>0.98829062213118002</v>
      </c>
      <c r="F15" s="5">
        <f>HLOOKUP("QTE-0.1-Empcov-CBPS-just",inference!$D$1:$DR$96,$R$2,FALSE)</f>
        <v>0.94399999999999995</v>
      </c>
      <c r="G15" s="5">
        <f>HLOOKUP("QTE-0.1-ASSD-CBPS-just",inference!$D$1:$DR$96,$R$2,FALSE)*2*1.96/SQRT(G$3)</f>
        <v>17.556452728074778</v>
      </c>
      <c r="H15" s="5">
        <f t="shared" si="5"/>
        <v>100.146484040145</v>
      </c>
      <c r="I15" s="5">
        <f t="shared" si="4"/>
        <v>1.1264625701329252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0.44940322043199599</v>
      </c>
      <c r="D16" s="5">
        <f>HLOOKUP("QTE-0.10-RMSE-CBPS-over",Point!$D$1:$DR$96,$R$2,FALSE)</f>
        <v>4.5822798912405496</v>
      </c>
      <c r="E16" s="5">
        <f>(D16/$D$16)^2</f>
        <v>1</v>
      </c>
      <c r="F16" s="5">
        <f>HLOOKUP("QTE-0.1-Empcov-CBPS-over",inference!$D$1:$DR$96,$R$2,FALSE)</f>
        <v>0.95399999999999996</v>
      </c>
      <c r="G16" s="5">
        <f>HLOOKUP("QTE-0.1-ASSD-CBPS-over",inference!$D$1:$DR$96,$R$2,FALSE)*2*1.96/SQRT(G$3)</f>
        <v>18.633530744846599</v>
      </c>
      <c r="H16" s="5">
        <f t="shared" si="5"/>
        <v>106.290411750789</v>
      </c>
      <c r="I16" s="5">
        <f>($H$16/H16)^2</f>
        <v>1</v>
      </c>
      <c r="J16" s="5"/>
      <c r="K16" s="5"/>
      <c r="L16" s="5"/>
      <c r="M16" s="5"/>
      <c r="N16" s="5"/>
    </row>
    <row r="17" spans="1:18" s="3" customFormat="1" x14ac:dyDescent="0.25">
      <c r="B17" s="3" t="s">
        <v>2</v>
      </c>
      <c r="C17" s="5">
        <f>HLOOKUP("QTE-0.10-bias-GLM",Point!$D$1:$DR$96,$R$2,FALSE)</f>
        <v>-5.7329670651064597E-2</v>
      </c>
      <c r="D17" s="5">
        <f>HLOOKUP("QTE-0.10-RMSE-GLM",Point!$D$1:$DR$96,$R$2,FALSE)</f>
        <v>4.6241204439277404</v>
      </c>
      <c r="E17" s="5">
        <f>(D17/$D$16)^2</f>
        <v>1.0183452672510431</v>
      </c>
      <c r="F17" s="5">
        <f>HLOOKUP("QTE-0.1-Empcov-GLM",inference!$D$1:$DR$96,$R$2,FALSE)</f>
        <v>0.94399999999999995</v>
      </c>
      <c r="G17" s="5">
        <f>HLOOKUP("QTE-0.1-ASSD-GLM",inference!$D$1:$DR$96,$R$2,FALSE)*2*1.96/SQRT(G$3)</f>
        <v>17.810086604706029</v>
      </c>
      <c r="H17" s="5">
        <f>G17/(2*1.96/SQRT(G$3))</f>
        <v>101.593276360411</v>
      </c>
      <c r="I17" s="5">
        <f t="shared" si="4"/>
        <v>1.0946070626397884</v>
      </c>
      <c r="J17" s="5"/>
      <c r="K17" s="5"/>
      <c r="L17" s="5"/>
      <c r="M17" s="5"/>
      <c r="N17" s="5"/>
    </row>
    <row r="18" spans="1:18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8" x14ac:dyDescent="0.25">
      <c r="A19" s="2" t="s">
        <v>59</v>
      </c>
      <c r="B19" s="1" t="s">
        <v>3</v>
      </c>
      <c r="C19" s="5">
        <f>HLOOKUP("QTE-0.25-bias-IPS-exp",Point!$D$1:$DR$96,$R$2,FALSE)</f>
        <v>-5.8979156020775698E-2</v>
      </c>
      <c r="D19" s="5">
        <f>HLOOKUP("QTE-0.25-RMSE-IPS-exp",Point!$D$1:$DR$96,$R$2,FALSE)</f>
        <v>4.2960080610063001</v>
      </c>
      <c r="E19" s="5">
        <f>(D19/$D$23)^2</f>
        <v>1.0031290521012155</v>
      </c>
      <c r="F19" s="5">
        <f>HLOOKUP("QTE-0.25-Empcov-IPS-exp",inference!$D$1:$DR$96,$R$2,FALSE)</f>
        <v>0.95</v>
      </c>
      <c r="G19" s="5">
        <f>HLOOKUP("QTE-0.25-ASSD-IPS-exp",inference!$D$1:$DR$96,$R$2,FALSE)*2*1.96/SQRT(G$3)</f>
        <v>17.1591581477071</v>
      </c>
      <c r="H19" s="5">
        <f>G19/(2*1.96/SQRT(G$3))</f>
        <v>97.880214425873618</v>
      </c>
      <c r="I19" s="5">
        <f>($H$23/H19)^2</f>
        <v>1.1090532783595084</v>
      </c>
      <c r="J19" s="5"/>
      <c r="K19" s="5"/>
      <c r="L19" s="5"/>
      <c r="M19" s="5"/>
      <c r="N19" s="5"/>
    </row>
    <row r="20" spans="1:18" x14ac:dyDescent="0.25">
      <c r="B20" s="1" t="s">
        <v>5</v>
      </c>
      <c r="C20" s="5">
        <f>HLOOKUP("QTE-0.25-bias-IPS-ind",Point!$D$1:$DR$96,$R$2,FALSE)</f>
        <v>-3.0668903990438601</v>
      </c>
      <c r="D20" s="5">
        <f>HLOOKUP("QTE-0.25-RMSE-IPS-ind",Point!$D$1:$DR$96,$R$2,FALSE)</f>
        <v>5.4615752581454204</v>
      </c>
      <c r="E20" s="5">
        <f t="shared" ref="E20:E24" si="6">(D20/$D$23)^2</f>
        <v>1.6212966227613477</v>
      </c>
      <c r="F20" s="5">
        <f>HLOOKUP("QTE-0.25-Empcov-IPS-ind",inference!$D$1:$DR$96,$R$2,FALSE)</f>
        <v>0.89789789789789798</v>
      </c>
      <c r="G20" s="5">
        <f>HLOOKUP("QTE-0.25-ASSD-IPS-ind",inference!$D$1:$DR$96,$R$2,FALSE)*2*1.96/SQRT(G$3)</f>
        <v>18.773208691127135</v>
      </c>
      <c r="H20" s="5">
        <f t="shared" ref="H20:H23" si="7">G20/(2*1.96/SQRT(G$3))</f>
        <v>107.08717038048502</v>
      </c>
      <c r="I20" s="5">
        <f t="shared" ref="I20:I24" si="8">($H$23/H20)^2</f>
        <v>0.92654677305816657</v>
      </c>
      <c r="J20" s="5"/>
      <c r="K20" s="5"/>
      <c r="L20" s="5"/>
      <c r="M20" s="5"/>
      <c r="N20" s="5"/>
    </row>
    <row r="21" spans="1:18" x14ac:dyDescent="0.25">
      <c r="B21" s="1" t="s">
        <v>4</v>
      </c>
      <c r="C21" s="5">
        <f>HLOOKUP("QTE-0.25-bias-IPS-proj",Point!$D$1:$DR$96,$R$2,FALSE)</f>
        <v>-0.59191560944208299</v>
      </c>
      <c r="D21" s="5">
        <f>HLOOKUP("QTE-0.25-RMSE-IPS-proj",Point!$D$1:$DR$96,$R$2,FALSE)</f>
        <v>4.2621798609182902</v>
      </c>
      <c r="E21" s="5">
        <f t="shared" si="6"/>
        <v>0.9873933058947354</v>
      </c>
      <c r="F21" s="6">
        <f>HLOOKUP("QTE-0.25-Empcov-IPS-proj",inference!$D$1:$DR$96,$R$2,FALSE)</f>
        <v>0.94899999999999995</v>
      </c>
      <c r="G21" s="6">
        <f>HLOOKUP("QTE-0.25-ASSD-IPS-proj",inference!$D$1:$DR$96,$R$2,FALSE)*2*1.96/SQRT(G$3)</f>
        <v>16.980891030615076</v>
      </c>
      <c r="H21" s="5">
        <f t="shared" si="7"/>
        <v>96.863333323907597</v>
      </c>
      <c r="I21" s="5">
        <f t="shared" si="8"/>
        <v>1.1324614149743772</v>
      </c>
      <c r="J21" s="5"/>
      <c r="K21" s="5"/>
      <c r="L21" s="5"/>
      <c r="M21" s="5"/>
      <c r="N21" s="5"/>
    </row>
    <row r="22" spans="1:18" x14ac:dyDescent="0.25">
      <c r="B22" s="1" t="s">
        <v>88</v>
      </c>
      <c r="C22" s="5">
        <f>HLOOKUP("QTE-0.25-bias-CBPS-just",Point!$D$1:$DR$96,$R$2,FALSE)</f>
        <v>-1.2519801078696E-2</v>
      </c>
      <c r="D22" s="5">
        <f>HLOOKUP("QTE-0.25-RMSE-CBPS-just",Point!$D$1:$DR$96,$R$2,FALSE)</f>
        <v>4.1658365949704601</v>
      </c>
      <c r="E22" s="5">
        <f t="shared" si="6"/>
        <v>0.94325929757727334</v>
      </c>
      <c r="F22" s="5">
        <f>HLOOKUP("QTE-0.25-Empcov-CBPS-just",inference!$D$1:$DR$96,$R$2,FALSE)</f>
        <v>0.94699999999999995</v>
      </c>
      <c r="G22" s="5">
        <f>HLOOKUP("QTE-0.25-ASSD-CBPS-just",inference!$D$1:$DR$96,$R$2,FALSE)*2*1.96/SQRT(G$3)</f>
        <v>16.588968702410401</v>
      </c>
      <c r="H22" s="5">
        <f t="shared" si="7"/>
        <v>94.627708406138112</v>
      </c>
      <c r="I22" s="5">
        <f t="shared" si="8"/>
        <v>1.1866033995929113</v>
      </c>
      <c r="J22" s="5"/>
      <c r="K22" s="5"/>
      <c r="L22" s="5"/>
      <c r="M22" s="5"/>
      <c r="N22" s="5"/>
    </row>
    <row r="23" spans="1:18" x14ac:dyDescent="0.25">
      <c r="B23" s="1" t="s">
        <v>89</v>
      </c>
      <c r="C23" s="5">
        <f>HLOOKUP("QTE-0.25-bias-CBPS-over",Point!$D$1:$DR$96,$R$2,FALSE)</f>
        <v>0.60414080893443201</v>
      </c>
      <c r="D23" s="5">
        <f>HLOOKUP("QTE-0.25-RMSE-CBPS-over",Point!$D$1:$DR$96,$R$2,FALSE)</f>
        <v>4.28930257674154</v>
      </c>
      <c r="E23" s="5">
        <f>(D23/$D$23)^2</f>
        <v>1</v>
      </c>
      <c r="F23" s="5">
        <f>HLOOKUP("QTE-0.25-Empcov-CBPS-over",inference!$D$1:$DR$96,$R$2,FALSE)</f>
        <v>0.96099999999999997</v>
      </c>
      <c r="G23" s="5">
        <f>HLOOKUP("QTE-0.25-ASSD-CBPS-over",inference!$D$1:$DR$96,$R$2,FALSE)*2*1.96/SQRT(G$3)</f>
        <v>18.070583738542229</v>
      </c>
      <c r="H23" s="5">
        <f t="shared" si="7"/>
        <v>103.079218450211</v>
      </c>
      <c r="I23" s="5">
        <f t="shared" si="8"/>
        <v>1</v>
      </c>
      <c r="J23" s="5"/>
      <c r="K23" s="5"/>
      <c r="L23" s="5"/>
      <c r="M23" s="5"/>
      <c r="N23" s="5"/>
    </row>
    <row r="24" spans="1:18" s="3" customFormat="1" x14ac:dyDescent="0.25">
      <c r="B24" s="3" t="s">
        <v>2</v>
      </c>
      <c r="C24" s="5">
        <f>HLOOKUP("QTE-0.25-bias-GLM",Point!$D$1:$DR$96,$R$2,FALSE)</f>
        <v>3.62867383895846E-2</v>
      </c>
      <c r="D24" s="5">
        <f>HLOOKUP("QTE-0.25-RMSE-GLM",Point!$D$1:$DR$96,$R$2,FALSE)</f>
        <v>4.3390739620228498</v>
      </c>
      <c r="E24" s="5">
        <f t="shared" si="6"/>
        <v>1.0233418595240049</v>
      </c>
      <c r="F24" s="5">
        <f>HLOOKUP("QTE-0.25-Empcov-GLM",inference!$D$1:$DR$96,$R$2,FALSE)</f>
        <v>0.94299999999999995</v>
      </c>
      <c r="G24" s="5">
        <f>HLOOKUP("QTE-0.25-ASSD-GLM",inference!$D$1:$DR$96,$R$2,FALSE)*2*1.96/SQRT(G$3)</f>
        <v>17.154163522845721</v>
      </c>
      <c r="H24" s="5">
        <f>G24/(2*1.96/SQRT(G$3))</f>
        <v>97.851723811811993</v>
      </c>
      <c r="I24" s="5">
        <f t="shared" si="8"/>
        <v>1.1096991986906688</v>
      </c>
      <c r="J24" s="5"/>
      <c r="K24" s="5"/>
      <c r="L24" s="5"/>
      <c r="M24" s="5"/>
      <c r="N24" s="5"/>
    </row>
    <row r="25" spans="1:18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  <c r="R25" s="4"/>
    </row>
    <row r="26" spans="1:18" x14ac:dyDescent="0.25">
      <c r="A26" s="2" t="s">
        <v>60</v>
      </c>
      <c r="B26" s="1" t="s">
        <v>3</v>
      </c>
      <c r="C26" s="5">
        <f>HLOOKUP("QTE-0.5-bias-IPS-exp",Point!$D$1:$DR$96,$R$2,FALSE)</f>
        <v>-0.15080836179865301</v>
      </c>
      <c r="D26" s="5">
        <f>HLOOKUP("QTE-0.5-RMSE-IPS-exp",Point!$D$1:$DR$96,$R$2,FALSE)</f>
        <v>4.5645392683423696</v>
      </c>
      <c r="E26" s="5">
        <f>(D26/$D$30)^2</f>
        <v>0.95297762646052897</v>
      </c>
      <c r="F26" s="5">
        <f>HLOOKUP("QTE-0.5-Empcov-IPS-exp",inference!$D$1:$DR$96,$R$2,FALSE)</f>
        <v>0.94899999999999995</v>
      </c>
      <c r="G26" s="5">
        <f>HLOOKUP("QTE-0.5-ASSD-IPS-exp",inference!$D$1:$DR$96,$R$2,FALSE)*2*1.96/SQRT(G$3)</f>
        <v>18.569469829985117</v>
      </c>
      <c r="H26" s="5">
        <f>G26/(2*1.96/SQRT(G$3))</f>
        <v>105.92499195402598</v>
      </c>
      <c r="I26" s="5">
        <f>($H$30/H26)^2</f>
        <v>1.2323281513685922</v>
      </c>
      <c r="J26" s="5"/>
      <c r="K26"/>
      <c r="L26"/>
      <c r="M26"/>
      <c r="N26"/>
      <c r="O26"/>
      <c r="P26"/>
      <c r="Q26"/>
    </row>
    <row r="27" spans="1:18" x14ac:dyDescent="0.25">
      <c r="B27" s="1" t="s">
        <v>5</v>
      </c>
      <c r="C27" s="5">
        <f>HLOOKUP("QTE-0.5-bias-IPS-ind",Point!$D$1:$DR$96,$R$2,FALSE)</f>
        <v>-4.9219513215690496</v>
      </c>
      <c r="D27" s="5">
        <f>HLOOKUP("QTE-0.5-RMSE-IPS-ind",Point!$D$1:$DR$96,$R$2,FALSE)</f>
        <v>6.60171509935281</v>
      </c>
      <c r="E27" s="5">
        <f t="shared" ref="E27:E31" si="9">(D27/$D$30)^2</f>
        <v>1.9934363152213888</v>
      </c>
      <c r="F27" s="5">
        <f>HLOOKUP("QTE-0.5-Empcov-IPS-ind",inference!$D$1:$DR$96,$R$2,FALSE)</f>
        <v>0.84684684684684697</v>
      </c>
      <c r="G27" s="5">
        <f>HLOOKUP("QTE-0.5-ASSD-IPS-ind",inference!$D$1:$DR$96,$R$2,FALSE)*2*1.96/SQRT(G$3)</f>
        <v>18.680499293751794</v>
      </c>
      <c r="H27" s="5">
        <f t="shared" ref="H27:H30" si="10">G27/(2*1.96/SQRT(G$3))</f>
        <v>106.55833233282098</v>
      </c>
      <c r="I27" s="5">
        <f t="shared" ref="I27:I31" si="11">($H$30/H27)^2</f>
        <v>1.2177227475444794</v>
      </c>
      <c r="J27" s="5"/>
      <c r="K27" s="5"/>
      <c r="L27" s="5"/>
      <c r="M27" s="5"/>
      <c r="N27" s="5"/>
    </row>
    <row r="28" spans="1:18" x14ac:dyDescent="0.25">
      <c r="B28" s="1" t="s">
        <v>4</v>
      </c>
      <c r="C28" s="5">
        <f>HLOOKUP("QTE-0.5-bias-IPS-proj",Point!$D$1:$DR$96,$R$2,FALSE)</f>
        <v>-0.87691215882058804</v>
      </c>
      <c r="D28" s="5">
        <f>HLOOKUP("QTE-0.5-RMSE-IPS-proj",Point!$D$1:$DR$96,$R$2,FALSE)</f>
        <v>4.5188889664410201</v>
      </c>
      <c r="E28" s="5">
        <f t="shared" si="9"/>
        <v>0.93401134231561544</v>
      </c>
      <c r="F28" s="6">
        <f>HLOOKUP("QTE-0.5-Empcov-IPS-proj",inference!$D$1:$DR$96,$R$2,FALSE)</f>
        <v>0.94599999999999995</v>
      </c>
      <c r="G28" s="6">
        <f>HLOOKUP("QTE-0.5-ASSD-IPS-proj",inference!$D$1:$DR$96,$R$2,FALSE)*2*1.96/SQRT(G$3)</f>
        <v>18.121393326926118</v>
      </c>
      <c r="H28" s="5">
        <f t="shared" si="10"/>
        <v>103.369049301066</v>
      </c>
      <c r="I28" s="5">
        <f t="shared" si="11"/>
        <v>1.2940236238997409</v>
      </c>
      <c r="J28" s="5"/>
      <c r="K28" s="5"/>
      <c r="L28" s="5"/>
      <c r="M28" s="5"/>
      <c r="N28" s="5"/>
    </row>
    <row r="29" spans="1:18" x14ac:dyDescent="0.25">
      <c r="B29" s="1" t="s">
        <v>88</v>
      </c>
      <c r="C29" s="5">
        <f>HLOOKUP("QTE-0.5-bias-CBPS-just",Point!$D$1:$DR$96,$R$2,FALSE)</f>
        <v>-1.4854726135901299E-2</v>
      </c>
      <c r="D29" s="5">
        <f>HLOOKUP("QTE-0.5-RMSE-CBPS-just",Point!$D$1:$DR$96,$R$2,FALSE)</f>
        <v>4.71908734986543</v>
      </c>
      <c r="E29" s="5">
        <f t="shared" si="9"/>
        <v>1.0186027437720353</v>
      </c>
      <c r="F29" s="5">
        <f>HLOOKUP("QTE-0.5-Empcov-CBPS-just",inference!$D$1:$DR$96,$R$2,FALSE)</f>
        <v>0.94699999999999995</v>
      </c>
      <c r="G29" s="5">
        <f>HLOOKUP("QTE-0.5-ASSD-CBPS-just",inference!$D$1:$DR$96,$R$2,FALSE)*2*1.96/SQRT(G$3)</f>
        <v>18.552061564388673</v>
      </c>
      <c r="H29" s="5">
        <f t="shared" si="10"/>
        <v>105.825690767179</v>
      </c>
      <c r="I29" s="5">
        <f t="shared" si="11"/>
        <v>1.2346419385150567</v>
      </c>
      <c r="J29" s="5"/>
      <c r="K29" s="5"/>
      <c r="L29" s="5"/>
      <c r="M29" s="5"/>
      <c r="N29" s="5"/>
    </row>
    <row r="30" spans="1:18" x14ac:dyDescent="0.25">
      <c r="B30" s="1" t="s">
        <v>89</v>
      </c>
      <c r="C30" s="5">
        <f>HLOOKUP("QTE-0.5-bias-CBPS-over",Point!$D$1:$DR$96,$R$2,FALSE)</f>
        <v>0.68992851244431797</v>
      </c>
      <c r="D30" s="5">
        <f>HLOOKUP("QTE-0.5-RMSE-CBPS-over",Point!$D$1:$DR$96,$R$2,FALSE)</f>
        <v>4.6757964331109596</v>
      </c>
      <c r="E30" s="5">
        <f t="shared" si="9"/>
        <v>1</v>
      </c>
      <c r="F30" s="5">
        <f>HLOOKUP("QTE-0.5-Empcov-CBPS-over",inference!$D$1:$DR$96,$R$2,FALSE)</f>
        <v>0.98099999999999998</v>
      </c>
      <c r="G30" s="5">
        <f>HLOOKUP("QTE-0.5-ASSD-CBPS-over",inference!$D$1:$DR$96,$R$2,FALSE)*2*1.96/SQRT(G$3)</f>
        <v>20.614019823826652</v>
      </c>
      <c r="H30" s="5">
        <f t="shared" si="10"/>
        <v>117.58762657042</v>
      </c>
      <c r="I30" s="5">
        <f t="shared" si="11"/>
        <v>1</v>
      </c>
      <c r="J30" s="5"/>
      <c r="K30" s="5"/>
      <c r="L30" s="5"/>
      <c r="M30" s="5"/>
      <c r="N30" s="5"/>
    </row>
    <row r="31" spans="1:18" x14ac:dyDescent="0.25">
      <c r="A31" s="3"/>
      <c r="B31" s="3" t="s">
        <v>2</v>
      </c>
      <c r="C31" s="5">
        <f>HLOOKUP("QTE-0.5-bias-GLM",Point!$D$1:$DR$96,$R$2,FALSE)</f>
        <v>2.1845665202434399E-2</v>
      </c>
      <c r="D31" s="5">
        <f>HLOOKUP("QTE-0.5-RMSE-GLM",Point!$D$1:$DR$96,$R$2,FALSE)</f>
        <v>5.0117377499000204</v>
      </c>
      <c r="E31" s="5">
        <f t="shared" si="9"/>
        <v>1.1488557027859867</v>
      </c>
      <c r="F31" s="5">
        <f>HLOOKUP("QTE-0.5-Empcov-GLM",inference!$D$1:$DR$96,$R$2,FALSE)</f>
        <v>0.95699999999999996</v>
      </c>
      <c r="G31" s="5">
        <f>HLOOKUP("QTE-0.5-ASSD-GLM",inference!$D$1:$DR$96,$R$2,FALSE)*2*1.96/SQRT(G$3)</f>
        <v>19.77784041863281</v>
      </c>
      <c r="H31" s="5">
        <f>G31/(2*1.96/SQRT(G$3))</f>
        <v>112.817845980117</v>
      </c>
      <c r="I31" s="5">
        <f t="shared" si="11"/>
        <v>1.0863446801518832</v>
      </c>
      <c r="J31" s="5"/>
      <c r="K31" s="5"/>
      <c r="L31" s="5"/>
      <c r="M31" s="5"/>
      <c r="N31" s="5"/>
      <c r="O31" s="3"/>
      <c r="P31" s="3"/>
      <c r="Q31" s="3"/>
      <c r="R31" s="3"/>
    </row>
    <row r="32" spans="1:18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-0.54947911703991503</v>
      </c>
      <c r="D33" s="5">
        <f>HLOOKUP("QTE-0.75-RMSE-IPS-exp",Point!$D$1:$DR$96,$R$2,FALSE)</f>
        <v>6.12277258823572</v>
      </c>
      <c r="E33" s="5">
        <f>(D33/$D$37)^2</f>
        <v>0.94723064803552448</v>
      </c>
      <c r="F33" s="5">
        <f>HLOOKUP("QTE-0.75-Empcov-IPS-exp",inference!$D$1:$DR$96,$R$2,FALSE)</f>
        <v>0.93700000000000006</v>
      </c>
      <c r="G33" s="5">
        <f>HLOOKUP("QTE-0.75-ASSD-IPS-exp",inference!$D$1:$DR$96,$R$2,FALSE)*2*1.96/SQRT(G$3)</f>
        <v>23.711201140223562</v>
      </c>
      <c r="H33" s="5">
        <f>G33/(2*1.96/SQRT(G$3))</f>
        <v>135.25473871864901</v>
      </c>
      <c r="I33" s="5">
        <f>($H$37/H33)^2</f>
        <v>1.3286064411582312</v>
      </c>
      <c r="J33" s="5"/>
    </row>
    <row r="34" spans="1:10" x14ac:dyDescent="0.25">
      <c r="B34" s="1" t="s">
        <v>5</v>
      </c>
      <c r="C34" s="5">
        <f>HLOOKUP("QTE-0.75-bias-IPS-ind",Point!$D$1:$DR$96,$R$2,FALSE)</f>
        <v>-7.6796639497333601</v>
      </c>
      <c r="D34" s="5">
        <f>HLOOKUP("QTE-0.75-RMSE-IPS-ind",Point!$D$1:$DR$96,$R$2,FALSE)</f>
        <v>9.3308252349951903</v>
      </c>
      <c r="E34" s="5">
        <f t="shared" ref="E34:E38" si="12">(D34/$D$37)^2</f>
        <v>2.1998830498021191</v>
      </c>
      <c r="F34" s="5">
        <f>HLOOKUP("QTE-0.75-Empcov-IPS-ind",inference!$D$1:$DR$96,$R$2,FALSE)</f>
        <v>0.69169169169169198</v>
      </c>
      <c r="G34" s="5">
        <f>HLOOKUP("QTE-0.75-ASSD-IPS-ind",inference!$D$1:$DR$96,$R$2,FALSE)*2*1.96/SQRT(G$3)</f>
        <v>21.302840398311567</v>
      </c>
      <c r="H34" s="5">
        <f t="shared" ref="H34:H37" si="13">G34/(2*1.96/SQRT(G$3))</f>
        <v>121.51683480727898</v>
      </c>
      <c r="I34" s="5">
        <f t="shared" ref="I34:I38" si="14">($H$37/H34)^2</f>
        <v>1.6459947117842708</v>
      </c>
      <c r="J34" s="5"/>
    </row>
    <row r="35" spans="1:10" x14ac:dyDescent="0.25">
      <c r="B35" s="1" t="s">
        <v>4</v>
      </c>
      <c r="C35" s="5">
        <f>HLOOKUP("QTE-0.75-bias-IPS-proj",Point!$D$1:$DR$96,$R$2,FALSE)</f>
        <v>-1.4429844098517901</v>
      </c>
      <c r="D35" s="5">
        <f>HLOOKUP("QTE-0.75-RMSE-IPS-proj",Point!$D$1:$DR$96,$R$2,FALSE)</f>
        <v>6.0099093655003797</v>
      </c>
      <c r="E35" s="5">
        <f t="shared" si="12"/>
        <v>0.91263123404185575</v>
      </c>
      <c r="F35" s="6">
        <f>HLOOKUP("QTE-0.75-Empcov-IPS-proj",inference!$D$1:$DR$96,$R$2,FALSE)</f>
        <v>0.93</v>
      </c>
      <c r="G35" s="6">
        <f>HLOOKUP("QTE-0.75-ASSD-IPS-proj",inference!$D$1:$DR$96,$R$2,FALSE)*2*1.96/SQRT(G$3)</f>
        <v>22.78741040338311</v>
      </c>
      <c r="H35" s="5">
        <f t="shared" si="13"/>
        <v>129.98520074783301</v>
      </c>
      <c r="I35" s="5">
        <f t="shared" si="14"/>
        <v>1.4385120846855071</v>
      </c>
      <c r="J35" s="5"/>
    </row>
    <row r="36" spans="1:10" x14ac:dyDescent="0.25">
      <c r="B36" s="1" t="s">
        <v>88</v>
      </c>
      <c r="C36" s="5">
        <f>HLOOKUP("QTE-0.75-bias-CBPS-just",Point!$D$1:$DR$96,$R$2,FALSE)</f>
        <v>-0.33605315541238001</v>
      </c>
      <c r="D36" s="5">
        <f>HLOOKUP("QTE-0.75-RMSE-CBPS-just",Point!$D$1:$DR$96,$R$2,FALSE)</f>
        <v>6.5682369458319503</v>
      </c>
      <c r="E36" s="5">
        <f t="shared" si="12"/>
        <v>1.0900768226120314</v>
      </c>
      <c r="F36" s="5">
        <f>HLOOKUP("QTE-0.75-Empcov-CBPS-just",inference!$D$1:$DR$96,$R$2,FALSE)</f>
        <v>0.93400000000000005</v>
      </c>
      <c r="G36" s="5">
        <f>HLOOKUP("QTE-0.75-ASSD-CBPS-just",inference!$D$1:$DR$96,$R$2,FALSE)*2*1.96/SQRT(G$3)</f>
        <v>24.473075182490106</v>
      </c>
      <c r="H36" s="5">
        <f t="shared" si="13"/>
        <v>139.60066256763</v>
      </c>
      <c r="I36" s="5">
        <f t="shared" si="14"/>
        <v>1.2471720633414796</v>
      </c>
      <c r="J36" s="5"/>
    </row>
    <row r="37" spans="1:10" x14ac:dyDescent="0.25">
      <c r="B37" s="1" t="s">
        <v>89</v>
      </c>
      <c r="C37" s="5">
        <f>HLOOKUP("QTE-0.75-bias-CBPS-over",Point!$D$1:$DR$96,$R$2,FALSE)</f>
        <v>0.65319446051167795</v>
      </c>
      <c r="D37" s="5">
        <f>HLOOKUP("QTE-0.75-RMSE-CBPS-over",Point!$D$1:$DR$96,$R$2,FALSE)</f>
        <v>6.2910083047486998</v>
      </c>
      <c r="E37" s="5">
        <f t="shared" si="12"/>
        <v>1</v>
      </c>
      <c r="F37" s="5">
        <f>HLOOKUP("QTE-0.75-Empcov-CBPS-over",inference!$D$1:$DR$96,$R$2,FALSE)</f>
        <v>0.97299999999999998</v>
      </c>
      <c r="G37" s="5">
        <f>HLOOKUP("QTE-0.75-ASSD-CBPS-over",inference!$D$1:$DR$96,$R$2,FALSE)*2*1.96/SQRT(G$3)</f>
        <v>27.330761442422958</v>
      </c>
      <c r="H37" s="5">
        <f t="shared" si="13"/>
        <v>155.901633831857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-0.35088637203304501</v>
      </c>
      <c r="D38" s="5">
        <f>HLOOKUP("QTE-0.75-RMSE-GLM",Point!$D$1:$DR$96,$R$2,FALSE)</f>
        <v>7.7783150877356801</v>
      </c>
      <c r="E38" s="5">
        <f t="shared" si="12"/>
        <v>1.528729149029705</v>
      </c>
      <c r="F38" s="5">
        <f>HLOOKUP("QTE-0.75-Empcov-GLM",inference!$D$1:$DR$96,$R$2,FALSE)</f>
        <v>0.94199999999999995</v>
      </c>
      <c r="G38" s="5">
        <f>HLOOKUP("QTE-0.75-ASSD-GLM",inference!$D$1:$DR$96,$R$2,FALSE)*2*1.96/SQRT(G$3)</f>
        <v>26.828357344124839</v>
      </c>
      <c r="H38" s="5">
        <f>G38/(2*1.96/SQRT(G$3))</f>
        <v>153.03579271969099</v>
      </c>
      <c r="I38" s="5">
        <f t="shared" si="14"/>
        <v>1.03780389934337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-1.16602885456184</v>
      </c>
      <c r="D40" s="5">
        <f>HLOOKUP("QTE-0.9-RMSE-IPS-exp",Point!$D$1:$DR$96,$R$2,FALSE)</f>
        <v>9.6468526125119904</v>
      </c>
      <c r="E40" s="5">
        <f t="shared" ref="E40:E45" si="15">(D40/$D$44)^2</f>
        <v>1.0003215708413455</v>
      </c>
      <c r="F40" s="5">
        <f>HLOOKUP("QTE-0.9-Empcov-IPS-exp",inference!$D$1:$DR$96,$R$2,FALSE)</f>
        <v>0.94</v>
      </c>
      <c r="G40" s="5">
        <f>HLOOKUP("QTE-0.9-ASSD-IPS-exp",inference!$D$1:$DR$96,$R$2,FALSE)*2*1.96/SQRT(G$3)</f>
        <v>39.286779395640096</v>
      </c>
      <c r="H40" s="5">
        <f>G40/(2*1.96/SQRT(G$3))</f>
        <v>224.10180955533002</v>
      </c>
      <c r="I40" s="5">
        <f t="shared" ref="I40:I45" si="16">($H$44/H40)^2</f>
        <v>1.1619686251340386</v>
      </c>
      <c r="J40" s="5"/>
    </row>
    <row r="41" spans="1:10" x14ac:dyDescent="0.25">
      <c r="B41" s="1" t="s">
        <v>5</v>
      </c>
      <c r="C41" s="5">
        <f>HLOOKUP("QTE-0.9-bias-IPS-ind",Point!$D$1:$DR$96,$R$2,FALSE)</f>
        <v>-10.677072220104799</v>
      </c>
      <c r="D41" s="5">
        <f>HLOOKUP("QTE-0.9-RMSE-IPS-ind",Point!$D$1:$DR$96,$R$2,FALSE)</f>
        <v>12.948822073415799</v>
      </c>
      <c r="E41" s="5">
        <f t="shared" si="15"/>
        <v>1.8023074344502203</v>
      </c>
      <c r="F41" s="5">
        <f>HLOOKUP("QTE-0.9-Empcov-IPS-ind",inference!$D$1:$DR$96,$R$2,FALSE)</f>
        <v>0.64864864864864902</v>
      </c>
      <c r="G41" s="5">
        <f>HLOOKUP("QTE-0.9-ASSD-IPS-ind",inference!$D$1:$DR$96,$R$2,FALSE)*2*1.96/SQRT(G$3)</f>
        <v>27.731772622109339</v>
      </c>
      <c r="H41" s="5">
        <f t="shared" ref="H41:H44" si="17">G41/(2*1.96/SQRT(G$3))</f>
        <v>158.18910387654103</v>
      </c>
      <c r="I41" s="5">
        <f t="shared" si="16"/>
        <v>2.3320185283648476</v>
      </c>
      <c r="J41" s="5"/>
    </row>
    <row r="42" spans="1:10" x14ac:dyDescent="0.25">
      <c r="B42" s="1" t="s">
        <v>4</v>
      </c>
      <c r="C42" s="5">
        <f>HLOOKUP("QTE-0.9-bias-IPS-proj",Point!$D$1:$DR$96,$R$2,FALSE)</f>
        <v>-2.1061455599178398</v>
      </c>
      <c r="D42" s="5">
        <f>HLOOKUP("QTE-0.9-RMSE-IPS-proj",Point!$D$1:$DR$96,$R$2,FALSE)</f>
        <v>9.2964526295712204</v>
      </c>
      <c r="E42" s="5">
        <f t="shared" si="15"/>
        <v>0.92897252312070167</v>
      </c>
      <c r="F42" s="6">
        <f>HLOOKUP("QTE-0.9-Empcov-IPS-proj",inference!$D$1:$DR$96,$R$2,FALSE)</f>
        <v>0.92900000000000005</v>
      </c>
      <c r="G42" s="6">
        <f>HLOOKUP("QTE-0.9-ASSD-IPS-proj",inference!$D$1:$DR$96,$R$2,FALSE)*2*1.96/SQRT(G$3)</f>
        <v>34.127227596034423</v>
      </c>
      <c r="H42" s="5">
        <f t="shared" si="17"/>
        <v>194.67041017433598</v>
      </c>
      <c r="I42" s="5">
        <f t="shared" si="16"/>
        <v>1.5398741922699568</v>
      </c>
      <c r="J42" s="5"/>
    </row>
    <row r="43" spans="1:10" x14ac:dyDescent="0.25">
      <c r="B43" s="1" t="s">
        <v>88</v>
      </c>
      <c r="C43" s="5">
        <f>HLOOKUP("QTE-0.9-bias-CBPS-just",Point!$D$1:$DR$96,$R$2,FALSE)</f>
        <v>-1.14180532442025</v>
      </c>
      <c r="D43" s="5">
        <f>HLOOKUP("QTE-0.9-RMSE-CBPS-just",Point!$D$1:$DR$96,$R$2,FALSE)</f>
        <v>11.0068869599599</v>
      </c>
      <c r="E43" s="5">
        <f t="shared" si="15"/>
        <v>1.3022589774872995</v>
      </c>
      <c r="F43" s="5">
        <f>HLOOKUP("QTE-0.9-Empcov-CBPS-just",inference!$D$1:$DR$96,$R$2,FALSE)</f>
        <v>0.92200000000000004</v>
      </c>
      <c r="G43" s="5">
        <f>HLOOKUP("QTE-0.9-ASSD-CBPS-just",inference!$D$1:$DR$96,$R$2,FALSE)*2*1.96/SQRT(G$3)</f>
        <v>39.305399319964963</v>
      </c>
      <c r="H43" s="5">
        <f t="shared" si="17"/>
        <v>224.208022352591</v>
      </c>
      <c r="I43" s="5">
        <f t="shared" si="16"/>
        <v>1.1608679802584143</v>
      </c>
      <c r="J43" s="5"/>
    </row>
    <row r="44" spans="1:10" x14ac:dyDescent="0.25">
      <c r="B44" s="1" t="s">
        <v>89</v>
      </c>
      <c r="C44" s="5">
        <f>HLOOKUP("QTE-0.9-bias-CBPS-over",Point!$D$1:$DR$96,$R$2,FALSE)</f>
        <v>1.12188225515115</v>
      </c>
      <c r="D44" s="5">
        <f>HLOOKUP("QTE-0.9-RMSE-CBPS-over",Point!$D$1:$DR$96,$R$2,FALSE)</f>
        <v>9.6453019132412496</v>
      </c>
      <c r="E44" s="5">
        <f t="shared" si="15"/>
        <v>1</v>
      </c>
      <c r="F44" s="5">
        <f>HLOOKUP("QTE-0.9-Empcov-CBPS-over",inference!$D$1:$DR$96,$R$2,FALSE)</f>
        <v>0.96299999999999997</v>
      </c>
      <c r="G44" s="5">
        <f>HLOOKUP("QTE-0.9-ASSD-CBPS-over",inference!$D$1:$DR$96,$R$2,FALSE)*2*1.96/SQRT(G$3)</f>
        <v>42.349045767620019</v>
      </c>
      <c r="H44" s="5">
        <f t="shared" si="17"/>
        <v>241.56975795573504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-1.8419748047080799</v>
      </c>
      <c r="D45" s="5">
        <f>HLOOKUP("QTE-0.9-RMSE-GLM",Point!$D$1:$DR$96,$R$2,FALSE)</f>
        <v>15.0358069591011</v>
      </c>
      <c r="E45" s="5">
        <f t="shared" si="15"/>
        <v>2.4300870438170619</v>
      </c>
      <c r="F45" s="5">
        <f>HLOOKUP("QTE-0.9-Empcov-GLM",inference!$D$1:$DR$96,$R$2,FALSE)</f>
        <v>0.92</v>
      </c>
      <c r="G45" s="5">
        <f>HLOOKUP("QTE-0.9-ASSD-GLM",inference!$D$1:$DR$96,$R$2,FALSE)*2*1.96/SQRT(G$3)</f>
        <v>48.55423399721704</v>
      </c>
      <c r="H45" s="5">
        <f>G45/(2*1.96/SQRT(G$3))</f>
        <v>276.965734217369</v>
      </c>
      <c r="I45" s="5">
        <f t="shared" si="16"/>
        <v>0.76073438037275676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H114" s="7"/>
      <c r="I114" s="7"/>
      <c r="J114" s="7"/>
    </row>
    <row r="115" spans="8:10" x14ac:dyDescent="0.25">
      <c r="H115" s="7"/>
      <c r="I115" s="7"/>
      <c r="J115" s="7"/>
    </row>
    <row r="116" spans="8:10" x14ac:dyDescent="0.25">
      <c r="H116" s="7"/>
      <c r="I116" s="7"/>
      <c r="J116" s="7"/>
    </row>
    <row r="117" spans="8:10" x14ac:dyDescent="0.25">
      <c r="H117" s="7"/>
      <c r="I117" s="7"/>
      <c r="J117" s="7"/>
    </row>
    <row r="118" spans="8:10" x14ac:dyDescent="0.25">
      <c r="H118" s="7"/>
      <c r="I118" s="7"/>
      <c r="J118" s="7"/>
    </row>
    <row r="119" spans="8:10" x14ac:dyDescent="0.25">
      <c r="H119" s="7"/>
      <c r="I119" s="7"/>
      <c r="J119" s="7"/>
    </row>
    <row r="120" spans="8:10" x14ac:dyDescent="0.25">
      <c r="H120" s="7"/>
      <c r="I120" s="7"/>
      <c r="J120" s="7"/>
    </row>
  </sheetData>
  <mergeCells count="1">
    <mergeCell ref="C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inference</vt:lpstr>
      <vt:lpstr>balance</vt:lpstr>
      <vt:lpstr>Point</vt:lpstr>
      <vt:lpstr>Tables-n=200</vt:lpstr>
      <vt:lpstr>Tables-n=500</vt:lpstr>
      <vt:lpstr>Tables-n=1000</vt:lpstr>
      <vt:lpstr>Table-n=200-corr</vt:lpstr>
      <vt:lpstr>Table-n=200-miss</vt:lpstr>
      <vt:lpstr>Table-n=500-corr</vt:lpstr>
      <vt:lpstr>Table-n=500-miss</vt:lpstr>
      <vt:lpstr>Table-n=1000-corr</vt:lpstr>
      <vt:lpstr>Table-n=1000-miss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Sant'Anna, Pedro H. C.</dc:creator>
  <cp:lastModifiedBy>Pedro Sant'Anna</cp:lastModifiedBy>
  <dcterms:created xsi:type="dcterms:W3CDTF">2018-05-09T02:04:09Z</dcterms:created>
  <dcterms:modified xsi:type="dcterms:W3CDTF">2021-08-21T03:43:53Z</dcterms:modified>
</cp:coreProperties>
</file>