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psantanna\Dropbox\Co-authored Projects\IPS\Submission\Simulations\Stylized\Results\Exog\"/>
    </mc:Choice>
  </mc:AlternateContent>
  <xr:revisionPtr revIDLastSave="0" documentId="13_ncr:1_{D4B2A065-20C6-4F95-8AFB-3C0A7891EE06}" xr6:coauthVersionLast="47" xr6:coauthVersionMax="47" xr10:uidLastSave="{00000000-0000-0000-0000-000000000000}"/>
  <bookViews>
    <workbookView xWindow="-98" yWindow="-98" windowWidth="28996" windowHeight="15675" firstSheet="1" activeTab="5" xr2:uid="{00000000-000D-0000-FFFF-FFFF00000000}"/>
  </bookViews>
  <sheets>
    <sheet name="inference" sheetId="34" r:id="rId1"/>
    <sheet name="balance" sheetId="44" r:id="rId2"/>
    <sheet name="Point" sheetId="30" r:id="rId3"/>
    <sheet name="Tables-n=200" sheetId="36" r:id="rId4"/>
    <sheet name="Tables-n=500" sheetId="35" r:id="rId5"/>
    <sheet name="Tables-n=1000" sheetId="43" r:id="rId6"/>
    <sheet name="Table-n=200-corr" sheetId="37" r:id="rId7"/>
    <sheet name="Table-n=200-miss" sheetId="38" r:id="rId8"/>
    <sheet name="Table-n=500-corr" sheetId="40" r:id="rId9"/>
    <sheet name="Table-n=500-miss" sheetId="39" r:id="rId10"/>
    <sheet name="Table-n=1000-corr" sheetId="42" r:id="rId11"/>
    <sheet name="Table-n=1000-miss" sheetId="4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0" i="43" l="1"/>
  <c r="AD10" i="43"/>
  <c r="AE9" i="43"/>
  <c r="AD9" i="43"/>
  <c r="AE8" i="43"/>
  <c r="AD8" i="43"/>
  <c r="AE7" i="43"/>
  <c r="AD7" i="43"/>
  <c r="AE6" i="43"/>
  <c r="AD6" i="43"/>
  <c r="AE5" i="43"/>
  <c r="AD5" i="43"/>
  <c r="AC10" i="43"/>
  <c r="AB10" i="43"/>
  <c r="AC9" i="43"/>
  <c r="AB9" i="43"/>
  <c r="AC8" i="43"/>
  <c r="AB8" i="43"/>
  <c r="AC7" i="43"/>
  <c r="AB7" i="43"/>
  <c r="AC6" i="43"/>
  <c r="AB6" i="43"/>
  <c r="AC5" i="43"/>
  <c r="AB5" i="43"/>
  <c r="Z6" i="43"/>
  <c r="AA6" i="43"/>
  <c r="Z7" i="43"/>
  <c r="AA7" i="43"/>
  <c r="Z8" i="43"/>
  <c r="AA8" i="43"/>
  <c r="Z9" i="43"/>
  <c r="AA9" i="43"/>
  <c r="Z10" i="43"/>
  <c r="AA10" i="43"/>
  <c r="AA5" i="43"/>
  <c r="Z5" i="43"/>
  <c r="X10" i="43"/>
  <c r="W10" i="43"/>
  <c r="X9" i="43"/>
  <c r="W9" i="43"/>
  <c r="X8" i="43"/>
  <c r="W8" i="43"/>
  <c r="X7" i="43"/>
  <c r="W7" i="43"/>
  <c r="X6" i="43"/>
  <c r="W6" i="43"/>
  <c r="X5" i="43"/>
  <c r="W5" i="43"/>
  <c r="V10" i="43"/>
  <c r="U10" i="43"/>
  <c r="V9" i="43"/>
  <c r="U9" i="43"/>
  <c r="V8" i="43"/>
  <c r="U8" i="43"/>
  <c r="V7" i="43"/>
  <c r="U7" i="43"/>
  <c r="V6" i="43"/>
  <c r="U6" i="43"/>
  <c r="V5" i="43"/>
  <c r="U5" i="43"/>
  <c r="S6" i="43"/>
  <c r="T6" i="43"/>
  <c r="S7" i="43"/>
  <c r="T7" i="43"/>
  <c r="S8" i="43"/>
  <c r="T8" i="43"/>
  <c r="S9" i="43"/>
  <c r="T9" i="43"/>
  <c r="S10" i="43"/>
  <c r="T10" i="43"/>
  <c r="T5" i="43"/>
  <c r="S5" i="43"/>
  <c r="AE10" i="35"/>
  <c r="AD10" i="35"/>
  <c r="AE9" i="35"/>
  <c r="AD9" i="35"/>
  <c r="AE8" i="35"/>
  <c r="AD8" i="35"/>
  <c r="AE7" i="35"/>
  <c r="AD7" i="35"/>
  <c r="AE6" i="35"/>
  <c r="AD6" i="35"/>
  <c r="AE5" i="35"/>
  <c r="AD5" i="35"/>
  <c r="AC10" i="35"/>
  <c r="AB10" i="35"/>
  <c r="AC9" i="35"/>
  <c r="AB9" i="35"/>
  <c r="AC8" i="35"/>
  <c r="AB8" i="35"/>
  <c r="AC7" i="35"/>
  <c r="AB7" i="35"/>
  <c r="AC6" i="35"/>
  <c r="AB6" i="35"/>
  <c r="AC5" i="35"/>
  <c r="AB5" i="35"/>
  <c r="Z6" i="35"/>
  <c r="AA6" i="35"/>
  <c r="Z7" i="35"/>
  <c r="AA7" i="35"/>
  <c r="Z8" i="35"/>
  <c r="AA8" i="35"/>
  <c r="Z9" i="35"/>
  <c r="AA9" i="35"/>
  <c r="Z10" i="35"/>
  <c r="AA10" i="35"/>
  <c r="AA5" i="35"/>
  <c r="Z5" i="35"/>
  <c r="X10" i="35"/>
  <c r="W10" i="35"/>
  <c r="X9" i="35"/>
  <c r="W9" i="35"/>
  <c r="X8" i="35"/>
  <c r="W8" i="35"/>
  <c r="X7" i="35"/>
  <c r="W7" i="35"/>
  <c r="X6" i="35"/>
  <c r="W6" i="35"/>
  <c r="X5" i="35"/>
  <c r="W5" i="35"/>
  <c r="V10" i="35"/>
  <c r="U10" i="35"/>
  <c r="V9" i="35"/>
  <c r="U9" i="35"/>
  <c r="V8" i="35"/>
  <c r="U8" i="35"/>
  <c r="V7" i="35"/>
  <c r="U7" i="35"/>
  <c r="V6" i="35"/>
  <c r="U6" i="35"/>
  <c r="V5" i="35"/>
  <c r="U5" i="35"/>
  <c r="S6" i="35"/>
  <c r="T6" i="35"/>
  <c r="S7" i="35"/>
  <c r="T7" i="35"/>
  <c r="S8" i="35"/>
  <c r="T8" i="35"/>
  <c r="S9" i="35"/>
  <c r="T9" i="35"/>
  <c r="S10" i="35"/>
  <c r="T10" i="35"/>
  <c r="T5" i="35"/>
  <c r="S5" i="35"/>
  <c r="AE10" i="36"/>
  <c r="AD10" i="36"/>
  <c r="AE9" i="36"/>
  <c r="AD9" i="36"/>
  <c r="AE8" i="36"/>
  <c r="AD8" i="36"/>
  <c r="AE7" i="36"/>
  <c r="AD7" i="36"/>
  <c r="AE6" i="36"/>
  <c r="AD6" i="36"/>
  <c r="AE5" i="36"/>
  <c r="AD5" i="36"/>
  <c r="AC10" i="36"/>
  <c r="AB10" i="36"/>
  <c r="AC9" i="36"/>
  <c r="AB9" i="36"/>
  <c r="AC8" i="36"/>
  <c r="AB8" i="36"/>
  <c r="AC7" i="36"/>
  <c r="AB7" i="36"/>
  <c r="AC6" i="36"/>
  <c r="AB6" i="36"/>
  <c r="AC5" i="36"/>
  <c r="AB5" i="36"/>
  <c r="Z6" i="36"/>
  <c r="AA6" i="36"/>
  <c r="Z7" i="36"/>
  <c r="AA7" i="36"/>
  <c r="Z8" i="36"/>
  <c r="AA8" i="36"/>
  <c r="Z9" i="36"/>
  <c r="AA9" i="36"/>
  <c r="Z10" i="36"/>
  <c r="AA10" i="36"/>
  <c r="AA5" i="36"/>
  <c r="Z5" i="36"/>
  <c r="X10" i="36"/>
  <c r="W10" i="36"/>
  <c r="X9" i="36"/>
  <c r="W9" i="36"/>
  <c r="X8" i="36"/>
  <c r="W8" i="36"/>
  <c r="X7" i="36"/>
  <c r="W7" i="36"/>
  <c r="X6" i="36"/>
  <c r="W6" i="36"/>
  <c r="X5" i="36"/>
  <c r="W5" i="36"/>
  <c r="V10" i="36"/>
  <c r="U10" i="36"/>
  <c r="V9" i="36"/>
  <c r="U9" i="36"/>
  <c r="V8" i="36"/>
  <c r="U8" i="36"/>
  <c r="V7" i="36"/>
  <c r="U7" i="36"/>
  <c r="V6" i="36"/>
  <c r="U6" i="36"/>
  <c r="V5" i="36"/>
  <c r="U5" i="36"/>
  <c r="T6" i="36"/>
  <c r="T7" i="36"/>
  <c r="T8" i="36"/>
  <c r="T9" i="36"/>
  <c r="T10" i="36"/>
  <c r="T5" i="36"/>
  <c r="S6" i="36"/>
  <c r="S7" i="36"/>
  <c r="S8" i="36"/>
  <c r="S9" i="36"/>
  <c r="S10" i="36"/>
  <c r="S5" i="36"/>
  <c r="O8" i="41"/>
  <c r="O8" i="42"/>
  <c r="O8" i="39"/>
  <c r="O8" i="40"/>
  <c r="O8" i="38"/>
  <c r="O8" i="37"/>
  <c r="K6" i="43"/>
  <c r="J7" i="43"/>
  <c r="K7" i="43"/>
  <c r="M13" i="43"/>
  <c r="M26" i="43"/>
  <c r="K35" i="43"/>
  <c r="M36" i="43"/>
  <c r="M40" i="43"/>
  <c r="N40" i="43"/>
  <c r="M41" i="43"/>
  <c r="K44" i="43"/>
  <c r="G7" i="43"/>
  <c r="F8" i="43"/>
  <c r="F12" i="43"/>
  <c r="G12" i="43"/>
  <c r="F13" i="43"/>
  <c r="G21" i="43"/>
  <c r="F22" i="43"/>
  <c r="G26" i="43"/>
  <c r="F27" i="43"/>
  <c r="F30" i="43"/>
  <c r="G30" i="43"/>
  <c r="F31" i="43"/>
  <c r="G35" i="43"/>
  <c r="F36" i="43"/>
  <c r="D45" i="43"/>
  <c r="K14" i="35"/>
  <c r="J22" i="35"/>
  <c r="K22" i="35"/>
  <c r="J24" i="35"/>
  <c r="K24" i="35"/>
  <c r="N28" i="35"/>
  <c r="M36" i="35"/>
  <c r="N37" i="35"/>
  <c r="N41" i="35"/>
  <c r="C9" i="35"/>
  <c r="G13" i="35"/>
  <c r="F27" i="35"/>
  <c r="G28" i="35"/>
  <c r="F36" i="35"/>
  <c r="C37" i="35"/>
  <c r="G37" i="35"/>
  <c r="G41" i="35"/>
  <c r="G42" i="35"/>
  <c r="G45" i="41"/>
  <c r="H45" i="41" s="1"/>
  <c r="F45" i="41"/>
  <c r="M45" i="43" s="1"/>
  <c r="D45" i="41"/>
  <c r="E45" i="41" s="1"/>
  <c r="L45" i="43" s="1"/>
  <c r="C45" i="41"/>
  <c r="J45" i="43" s="1"/>
  <c r="G44" i="41"/>
  <c r="H44" i="41" s="1"/>
  <c r="F44" i="41"/>
  <c r="M44" i="43" s="1"/>
  <c r="D44" i="41"/>
  <c r="E44" i="41" s="1"/>
  <c r="L44" i="43" s="1"/>
  <c r="C44" i="41"/>
  <c r="J44" i="43" s="1"/>
  <c r="G43" i="41"/>
  <c r="H43" i="41" s="1"/>
  <c r="F43" i="41"/>
  <c r="M43" i="43" s="1"/>
  <c r="D43" i="41"/>
  <c r="E43" i="41" s="1"/>
  <c r="L43" i="43" s="1"/>
  <c r="C43" i="41"/>
  <c r="J43" i="43" s="1"/>
  <c r="G42" i="41"/>
  <c r="H42" i="41" s="1"/>
  <c r="F42" i="41"/>
  <c r="M42" i="43" s="1"/>
  <c r="D42" i="41"/>
  <c r="C42" i="41"/>
  <c r="J42" i="43" s="1"/>
  <c r="G41" i="41"/>
  <c r="H41" i="41" s="1"/>
  <c r="F41" i="41"/>
  <c r="D41" i="41"/>
  <c r="C41" i="41"/>
  <c r="J41" i="43" s="1"/>
  <c r="G40" i="41"/>
  <c r="H40" i="41" s="1"/>
  <c r="F40" i="41"/>
  <c r="D40" i="41"/>
  <c r="E40" i="41" s="1"/>
  <c r="L40" i="43" s="1"/>
  <c r="C40" i="41"/>
  <c r="J40" i="43" s="1"/>
  <c r="G38" i="41"/>
  <c r="H38" i="41" s="1"/>
  <c r="F38" i="41"/>
  <c r="M38" i="43" s="1"/>
  <c r="D38" i="41"/>
  <c r="C38" i="41"/>
  <c r="J38" i="43" s="1"/>
  <c r="G37" i="41"/>
  <c r="H37" i="41" s="1"/>
  <c r="F37" i="41"/>
  <c r="M37" i="43" s="1"/>
  <c r="D37" i="41"/>
  <c r="K37" i="43" s="1"/>
  <c r="C37" i="41"/>
  <c r="J37" i="43" s="1"/>
  <c r="G36" i="41"/>
  <c r="H36" i="41" s="1"/>
  <c r="F36" i="41"/>
  <c r="D36" i="41"/>
  <c r="C36" i="41"/>
  <c r="J36" i="43" s="1"/>
  <c r="G35" i="41"/>
  <c r="H35" i="41" s="1"/>
  <c r="F35" i="41"/>
  <c r="M35" i="43" s="1"/>
  <c r="D35" i="41"/>
  <c r="E35" i="41" s="1"/>
  <c r="L35" i="43" s="1"/>
  <c r="C35" i="41"/>
  <c r="J35" i="43" s="1"/>
  <c r="G34" i="41"/>
  <c r="H34" i="41" s="1"/>
  <c r="F34" i="41"/>
  <c r="M34" i="43" s="1"/>
  <c r="D34" i="41"/>
  <c r="K34" i="43" s="1"/>
  <c r="C34" i="41"/>
  <c r="J34" i="43" s="1"/>
  <c r="G33" i="41"/>
  <c r="H33" i="41" s="1"/>
  <c r="F33" i="41"/>
  <c r="M33" i="43" s="1"/>
  <c r="D33" i="41"/>
  <c r="C33" i="41"/>
  <c r="J33" i="43" s="1"/>
  <c r="G31" i="41"/>
  <c r="H31" i="41" s="1"/>
  <c r="F31" i="41"/>
  <c r="M31" i="43" s="1"/>
  <c r="D31" i="41"/>
  <c r="C31" i="41"/>
  <c r="J31" i="43" s="1"/>
  <c r="G30" i="41"/>
  <c r="H30" i="41" s="1"/>
  <c r="F30" i="41"/>
  <c r="M30" i="43" s="1"/>
  <c r="D30" i="41"/>
  <c r="E30" i="41" s="1"/>
  <c r="L30" i="43" s="1"/>
  <c r="C30" i="41"/>
  <c r="J30" i="43" s="1"/>
  <c r="G29" i="41"/>
  <c r="H29" i="41" s="1"/>
  <c r="F29" i="41"/>
  <c r="M29" i="43" s="1"/>
  <c r="D29" i="41"/>
  <c r="C29" i="41"/>
  <c r="J29" i="43" s="1"/>
  <c r="G28" i="41"/>
  <c r="H28" i="41" s="1"/>
  <c r="F28" i="41"/>
  <c r="M28" i="43" s="1"/>
  <c r="D28" i="41"/>
  <c r="C28" i="41"/>
  <c r="J28" i="43" s="1"/>
  <c r="G27" i="41"/>
  <c r="H27" i="41" s="1"/>
  <c r="F27" i="41"/>
  <c r="M27" i="43" s="1"/>
  <c r="D27" i="41"/>
  <c r="C27" i="41"/>
  <c r="J27" i="43" s="1"/>
  <c r="G26" i="41"/>
  <c r="H26" i="41" s="1"/>
  <c r="F26" i="41"/>
  <c r="D26" i="41"/>
  <c r="C26" i="41"/>
  <c r="J26" i="43" s="1"/>
  <c r="G24" i="41"/>
  <c r="H24" i="41" s="1"/>
  <c r="F24" i="41"/>
  <c r="M24" i="43" s="1"/>
  <c r="D24" i="41"/>
  <c r="E24" i="41" s="1"/>
  <c r="L24" i="43" s="1"/>
  <c r="C24" i="41"/>
  <c r="J24" i="43" s="1"/>
  <c r="G23" i="41"/>
  <c r="H23" i="41" s="1"/>
  <c r="F23" i="41"/>
  <c r="M23" i="43" s="1"/>
  <c r="D23" i="41"/>
  <c r="E23" i="41" s="1"/>
  <c r="L23" i="43" s="1"/>
  <c r="C23" i="41"/>
  <c r="J23" i="43" s="1"/>
  <c r="G22" i="41"/>
  <c r="H22" i="41" s="1"/>
  <c r="F22" i="41"/>
  <c r="M22" i="43" s="1"/>
  <c r="D22" i="41"/>
  <c r="K22" i="43" s="1"/>
  <c r="C22" i="41"/>
  <c r="J22" i="43" s="1"/>
  <c r="G21" i="41"/>
  <c r="H21" i="41" s="1"/>
  <c r="F21" i="41"/>
  <c r="M21" i="43" s="1"/>
  <c r="D21" i="41"/>
  <c r="K21" i="43" s="1"/>
  <c r="C21" i="41"/>
  <c r="J21" i="43" s="1"/>
  <c r="G20" i="41"/>
  <c r="H20" i="41" s="1"/>
  <c r="F20" i="41"/>
  <c r="M20" i="43" s="1"/>
  <c r="D20" i="41"/>
  <c r="K20" i="43" s="1"/>
  <c r="C20" i="41"/>
  <c r="J20" i="43" s="1"/>
  <c r="G19" i="41"/>
  <c r="H19" i="41" s="1"/>
  <c r="F19" i="41"/>
  <c r="M19" i="43" s="1"/>
  <c r="D19" i="41"/>
  <c r="K19" i="43" s="1"/>
  <c r="C19" i="41"/>
  <c r="J19" i="43" s="1"/>
  <c r="G17" i="41"/>
  <c r="H17" i="41" s="1"/>
  <c r="F17" i="41"/>
  <c r="M17" i="43" s="1"/>
  <c r="D17" i="41"/>
  <c r="C17" i="41"/>
  <c r="J17" i="43" s="1"/>
  <c r="G16" i="41"/>
  <c r="H16" i="41" s="1"/>
  <c r="F16" i="41"/>
  <c r="M16" i="43" s="1"/>
  <c r="D16" i="41"/>
  <c r="E16" i="41" s="1"/>
  <c r="L16" i="43" s="1"/>
  <c r="C16" i="41"/>
  <c r="J16" i="43" s="1"/>
  <c r="G15" i="41"/>
  <c r="H15" i="41" s="1"/>
  <c r="F15" i="41"/>
  <c r="M15" i="43" s="1"/>
  <c r="D15" i="41"/>
  <c r="K15" i="43" s="1"/>
  <c r="C15" i="41"/>
  <c r="J15" i="43" s="1"/>
  <c r="G14" i="41"/>
  <c r="H14" i="41" s="1"/>
  <c r="F14" i="41"/>
  <c r="M14" i="43" s="1"/>
  <c r="D14" i="41"/>
  <c r="K14" i="43" s="1"/>
  <c r="C14" i="41"/>
  <c r="J14" i="43" s="1"/>
  <c r="G13" i="41"/>
  <c r="H13" i="41" s="1"/>
  <c r="F13" i="41"/>
  <c r="D13" i="41"/>
  <c r="C13" i="41"/>
  <c r="J13" i="43" s="1"/>
  <c r="G12" i="41"/>
  <c r="H12" i="41" s="1"/>
  <c r="F12" i="41"/>
  <c r="M12" i="43" s="1"/>
  <c r="D12" i="41"/>
  <c r="C12" i="41"/>
  <c r="J12" i="43" s="1"/>
  <c r="G10" i="41"/>
  <c r="H10" i="41" s="1"/>
  <c r="F10" i="41"/>
  <c r="M10" i="43" s="1"/>
  <c r="D10" i="41"/>
  <c r="K10" i="43" s="1"/>
  <c r="C10" i="41"/>
  <c r="J10" i="43" s="1"/>
  <c r="G9" i="41"/>
  <c r="H9" i="41" s="1"/>
  <c r="F9" i="41"/>
  <c r="M9" i="43" s="1"/>
  <c r="D9" i="41"/>
  <c r="C9" i="41"/>
  <c r="J9" i="43" s="1"/>
  <c r="G8" i="41"/>
  <c r="H8" i="41" s="1"/>
  <c r="F8" i="41"/>
  <c r="M8" i="43" s="1"/>
  <c r="D8" i="41"/>
  <c r="K8" i="43" s="1"/>
  <c r="C8" i="41"/>
  <c r="J8" i="43" s="1"/>
  <c r="G7" i="41"/>
  <c r="H7" i="41" s="1"/>
  <c r="F7" i="41"/>
  <c r="M7" i="43" s="1"/>
  <c r="D7" i="41"/>
  <c r="C7" i="41"/>
  <c r="G6" i="41"/>
  <c r="H6" i="41" s="1"/>
  <c r="F6" i="41"/>
  <c r="M6" i="43" s="1"/>
  <c r="D6" i="41"/>
  <c r="C6" i="41"/>
  <c r="J6" i="43" s="1"/>
  <c r="G5" i="41"/>
  <c r="H5" i="41" s="1"/>
  <c r="F5" i="41"/>
  <c r="M5" i="43" s="1"/>
  <c r="D5" i="41"/>
  <c r="C5" i="41"/>
  <c r="J5" i="43" s="1"/>
  <c r="G45" i="42"/>
  <c r="H45" i="42" s="1"/>
  <c r="F45" i="42"/>
  <c r="F45" i="43" s="1"/>
  <c r="D45" i="42"/>
  <c r="C45" i="42"/>
  <c r="C45" i="43" s="1"/>
  <c r="G44" i="42"/>
  <c r="H44" i="42" s="1"/>
  <c r="F44" i="42"/>
  <c r="F44" i="43" s="1"/>
  <c r="D44" i="42"/>
  <c r="E44" i="42" s="1"/>
  <c r="E44" i="43" s="1"/>
  <c r="C44" i="42"/>
  <c r="C44" i="43" s="1"/>
  <c r="G43" i="42"/>
  <c r="H43" i="42" s="1"/>
  <c r="F43" i="42"/>
  <c r="F43" i="43" s="1"/>
  <c r="D43" i="42"/>
  <c r="C43" i="42"/>
  <c r="C43" i="43" s="1"/>
  <c r="G42" i="42"/>
  <c r="H42" i="42" s="1"/>
  <c r="F42" i="42"/>
  <c r="F42" i="43" s="1"/>
  <c r="D42" i="42"/>
  <c r="C42" i="42"/>
  <c r="C42" i="43" s="1"/>
  <c r="G41" i="42"/>
  <c r="H41" i="42" s="1"/>
  <c r="F41" i="42"/>
  <c r="F41" i="43" s="1"/>
  <c r="D41" i="42"/>
  <c r="C41" i="42"/>
  <c r="C41" i="43" s="1"/>
  <c r="G40" i="42"/>
  <c r="H40" i="42" s="1"/>
  <c r="F40" i="42"/>
  <c r="F40" i="43" s="1"/>
  <c r="D40" i="42"/>
  <c r="C40" i="42"/>
  <c r="C40" i="43" s="1"/>
  <c r="G38" i="42"/>
  <c r="H38" i="42" s="1"/>
  <c r="F38" i="42"/>
  <c r="F38" i="43" s="1"/>
  <c r="D38" i="42"/>
  <c r="C38" i="42"/>
  <c r="C38" i="43" s="1"/>
  <c r="G37" i="42"/>
  <c r="H37" i="42" s="1"/>
  <c r="F37" i="42"/>
  <c r="F37" i="43" s="1"/>
  <c r="D37" i="42"/>
  <c r="C37" i="42"/>
  <c r="C37" i="43" s="1"/>
  <c r="G36" i="42"/>
  <c r="H36" i="42" s="1"/>
  <c r="F36" i="42"/>
  <c r="D36" i="42"/>
  <c r="D36" i="43" s="1"/>
  <c r="C36" i="42"/>
  <c r="C36" i="43" s="1"/>
  <c r="G35" i="42"/>
  <c r="H35" i="42" s="1"/>
  <c r="F35" i="42"/>
  <c r="F35" i="43" s="1"/>
  <c r="D35" i="42"/>
  <c r="D35" i="43" s="1"/>
  <c r="C35" i="42"/>
  <c r="C35" i="43" s="1"/>
  <c r="G34" i="42"/>
  <c r="H34" i="42" s="1"/>
  <c r="F34" i="42"/>
  <c r="F34" i="43" s="1"/>
  <c r="D34" i="42"/>
  <c r="D34" i="43" s="1"/>
  <c r="C34" i="42"/>
  <c r="C34" i="43" s="1"/>
  <c r="G33" i="42"/>
  <c r="H33" i="42" s="1"/>
  <c r="F33" i="42"/>
  <c r="F33" i="43" s="1"/>
  <c r="D33" i="42"/>
  <c r="D33" i="43" s="1"/>
  <c r="C33" i="42"/>
  <c r="C33" i="43" s="1"/>
  <c r="G31" i="42"/>
  <c r="H31" i="42" s="1"/>
  <c r="F31" i="42"/>
  <c r="D31" i="42"/>
  <c r="D31" i="43" s="1"/>
  <c r="C31" i="42"/>
  <c r="C31" i="43" s="1"/>
  <c r="G30" i="42"/>
  <c r="H30" i="42" s="1"/>
  <c r="F30" i="42"/>
  <c r="D30" i="42"/>
  <c r="E30" i="42" s="1"/>
  <c r="E30" i="43" s="1"/>
  <c r="C30" i="42"/>
  <c r="C30" i="43" s="1"/>
  <c r="G29" i="42"/>
  <c r="H29" i="42" s="1"/>
  <c r="F29" i="42"/>
  <c r="F29" i="43" s="1"/>
  <c r="D29" i="42"/>
  <c r="C29" i="42"/>
  <c r="C29" i="43" s="1"/>
  <c r="G28" i="42"/>
  <c r="H28" i="42" s="1"/>
  <c r="F28" i="42"/>
  <c r="F28" i="43" s="1"/>
  <c r="D28" i="42"/>
  <c r="D28" i="43" s="1"/>
  <c r="C28" i="42"/>
  <c r="C28" i="43" s="1"/>
  <c r="G27" i="42"/>
  <c r="H27" i="42" s="1"/>
  <c r="F27" i="42"/>
  <c r="D27" i="42"/>
  <c r="D27" i="43" s="1"/>
  <c r="C27" i="42"/>
  <c r="C27" i="43" s="1"/>
  <c r="G26" i="42"/>
  <c r="H26" i="42" s="1"/>
  <c r="F26" i="42"/>
  <c r="F26" i="43" s="1"/>
  <c r="D26" i="42"/>
  <c r="D26" i="43" s="1"/>
  <c r="C26" i="42"/>
  <c r="C26" i="43" s="1"/>
  <c r="G24" i="42"/>
  <c r="H24" i="42" s="1"/>
  <c r="F24" i="42"/>
  <c r="F24" i="43" s="1"/>
  <c r="D24" i="42"/>
  <c r="E24" i="42" s="1"/>
  <c r="E24" i="43" s="1"/>
  <c r="C24" i="42"/>
  <c r="C24" i="43" s="1"/>
  <c r="G23" i="42"/>
  <c r="H23" i="42" s="1"/>
  <c r="F23" i="42"/>
  <c r="F23" i="43" s="1"/>
  <c r="D23" i="42"/>
  <c r="D23" i="43" s="1"/>
  <c r="C23" i="42"/>
  <c r="C23" i="43" s="1"/>
  <c r="G22" i="42"/>
  <c r="H22" i="42" s="1"/>
  <c r="F22" i="42"/>
  <c r="D22" i="42"/>
  <c r="D22" i="43" s="1"/>
  <c r="C22" i="42"/>
  <c r="C22" i="43" s="1"/>
  <c r="G21" i="42"/>
  <c r="H21" i="42" s="1"/>
  <c r="F21" i="42"/>
  <c r="F21" i="43" s="1"/>
  <c r="D21" i="42"/>
  <c r="D21" i="43" s="1"/>
  <c r="C21" i="42"/>
  <c r="C21" i="43" s="1"/>
  <c r="G20" i="42"/>
  <c r="H20" i="42" s="1"/>
  <c r="F20" i="42"/>
  <c r="F20" i="43" s="1"/>
  <c r="D20" i="42"/>
  <c r="C20" i="42"/>
  <c r="C20" i="43" s="1"/>
  <c r="G19" i="42"/>
  <c r="H19" i="42" s="1"/>
  <c r="F19" i="42"/>
  <c r="F19" i="43" s="1"/>
  <c r="D19" i="42"/>
  <c r="E19" i="42" s="1"/>
  <c r="E19" i="43" s="1"/>
  <c r="C19" i="42"/>
  <c r="C19" i="43" s="1"/>
  <c r="G17" i="42"/>
  <c r="H17" i="42" s="1"/>
  <c r="F17" i="42"/>
  <c r="F17" i="43" s="1"/>
  <c r="D17" i="42"/>
  <c r="C17" i="42"/>
  <c r="C17" i="43" s="1"/>
  <c r="G16" i="42"/>
  <c r="H16" i="42" s="1"/>
  <c r="F16" i="42"/>
  <c r="F16" i="43" s="1"/>
  <c r="D16" i="42"/>
  <c r="E16" i="42" s="1"/>
  <c r="E16" i="43" s="1"/>
  <c r="C16" i="42"/>
  <c r="C16" i="43" s="1"/>
  <c r="G15" i="42"/>
  <c r="H15" i="42" s="1"/>
  <c r="F15" i="42"/>
  <c r="F15" i="43" s="1"/>
  <c r="D15" i="42"/>
  <c r="C15" i="42"/>
  <c r="C15" i="43" s="1"/>
  <c r="G14" i="42"/>
  <c r="H14" i="42" s="1"/>
  <c r="F14" i="42"/>
  <c r="F14" i="43" s="1"/>
  <c r="D14" i="42"/>
  <c r="C14" i="42"/>
  <c r="C14" i="43" s="1"/>
  <c r="G13" i="42"/>
  <c r="H13" i="42" s="1"/>
  <c r="F13" i="42"/>
  <c r="D13" i="42"/>
  <c r="C13" i="42"/>
  <c r="C13" i="43" s="1"/>
  <c r="G12" i="42"/>
  <c r="H12" i="42" s="1"/>
  <c r="F12" i="42"/>
  <c r="D12" i="42"/>
  <c r="C12" i="42"/>
  <c r="C12" i="43" s="1"/>
  <c r="G10" i="42"/>
  <c r="H10" i="42" s="1"/>
  <c r="F10" i="42"/>
  <c r="F10" i="43" s="1"/>
  <c r="D10" i="42"/>
  <c r="E10" i="42" s="1"/>
  <c r="E10" i="43" s="1"/>
  <c r="C10" i="42"/>
  <c r="C10" i="43" s="1"/>
  <c r="G9" i="42"/>
  <c r="H9" i="42" s="1"/>
  <c r="F9" i="42"/>
  <c r="F9" i="43" s="1"/>
  <c r="D9" i="42"/>
  <c r="E9" i="42" s="1"/>
  <c r="E9" i="43" s="1"/>
  <c r="C9" i="42"/>
  <c r="C9" i="43" s="1"/>
  <c r="G8" i="42"/>
  <c r="H8" i="42" s="1"/>
  <c r="F8" i="42"/>
  <c r="D8" i="42"/>
  <c r="E8" i="42" s="1"/>
  <c r="E8" i="43" s="1"/>
  <c r="C8" i="42"/>
  <c r="C8" i="43" s="1"/>
  <c r="G7" i="42"/>
  <c r="H7" i="42" s="1"/>
  <c r="F7" i="42"/>
  <c r="F7" i="43" s="1"/>
  <c r="D7" i="42"/>
  <c r="E7" i="42" s="1"/>
  <c r="E7" i="43" s="1"/>
  <c r="C7" i="42"/>
  <c r="C7" i="43" s="1"/>
  <c r="G6" i="42"/>
  <c r="H6" i="42" s="1"/>
  <c r="F6" i="42"/>
  <c r="F6" i="43" s="1"/>
  <c r="D6" i="42"/>
  <c r="C6" i="42"/>
  <c r="C6" i="43" s="1"/>
  <c r="G5" i="42"/>
  <c r="H5" i="42" s="1"/>
  <c r="F5" i="42"/>
  <c r="F5" i="43" s="1"/>
  <c r="D5" i="42"/>
  <c r="E5" i="42" s="1"/>
  <c r="E5" i="43" s="1"/>
  <c r="C5" i="42"/>
  <c r="C5" i="43" s="1"/>
  <c r="G45" i="39"/>
  <c r="H45" i="39" s="1"/>
  <c r="F45" i="39"/>
  <c r="M45" i="35" s="1"/>
  <c r="D45" i="39"/>
  <c r="C45" i="39"/>
  <c r="J45" i="35" s="1"/>
  <c r="G44" i="39"/>
  <c r="H44" i="39" s="1"/>
  <c r="F44" i="39"/>
  <c r="M44" i="35" s="1"/>
  <c r="D44" i="39"/>
  <c r="E44" i="39" s="1"/>
  <c r="L44" i="35" s="1"/>
  <c r="C44" i="39"/>
  <c r="J44" i="35" s="1"/>
  <c r="G43" i="39"/>
  <c r="H43" i="39" s="1"/>
  <c r="F43" i="39"/>
  <c r="M43" i="35" s="1"/>
  <c r="D43" i="39"/>
  <c r="C43" i="39"/>
  <c r="J43" i="35" s="1"/>
  <c r="G42" i="39"/>
  <c r="H42" i="39" s="1"/>
  <c r="F42" i="39"/>
  <c r="M42" i="35" s="1"/>
  <c r="D42" i="39"/>
  <c r="C42" i="39"/>
  <c r="J42" i="35" s="1"/>
  <c r="G41" i="39"/>
  <c r="H41" i="39" s="1"/>
  <c r="F41" i="39"/>
  <c r="M41" i="35" s="1"/>
  <c r="D41" i="39"/>
  <c r="C41" i="39"/>
  <c r="J41" i="35" s="1"/>
  <c r="G40" i="39"/>
  <c r="H40" i="39" s="1"/>
  <c r="F40" i="39"/>
  <c r="M40" i="35" s="1"/>
  <c r="D40" i="39"/>
  <c r="C40" i="39"/>
  <c r="J40" i="35" s="1"/>
  <c r="G38" i="39"/>
  <c r="H38" i="39" s="1"/>
  <c r="F38" i="39"/>
  <c r="M38" i="35" s="1"/>
  <c r="D38" i="39"/>
  <c r="C38" i="39"/>
  <c r="J38" i="35" s="1"/>
  <c r="G37" i="39"/>
  <c r="H37" i="39" s="1"/>
  <c r="I37" i="39" s="1"/>
  <c r="O37" i="35" s="1"/>
  <c r="F37" i="39"/>
  <c r="M37" i="35" s="1"/>
  <c r="D37" i="39"/>
  <c r="E37" i="39" s="1"/>
  <c r="L37" i="35" s="1"/>
  <c r="C37" i="39"/>
  <c r="J37" i="35" s="1"/>
  <c r="G36" i="39"/>
  <c r="H36" i="39" s="1"/>
  <c r="F36" i="39"/>
  <c r="D36" i="39"/>
  <c r="K36" i="35" s="1"/>
  <c r="C36" i="39"/>
  <c r="J36" i="35" s="1"/>
  <c r="G35" i="39"/>
  <c r="H35" i="39" s="1"/>
  <c r="F35" i="39"/>
  <c r="M35" i="35" s="1"/>
  <c r="D35" i="39"/>
  <c r="C35" i="39"/>
  <c r="J35" i="35" s="1"/>
  <c r="G34" i="39"/>
  <c r="H34" i="39" s="1"/>
  <c r="F34" i="39"/>
  <c r="M34" i="35" s="1"/>
  <c r="D34" i="39"/>
  <c r="C34" i="39"/>
  <c r="J34" i="35" s="1"/>
  <c r="G33" i="39"/>
  <c r="H33" i="39" s="1"/>
  <c r="F33" i="39"/>
  <c r="M33" i="35" s="1"/>
  <c r="D33" i="39"/>
  <c r="E33" i="39" s="1"/>
  <c r="L33" i="35" s="1"/>
  <c r="C33" i="39"/>
  <c r="J33" i="35" s="1"/>
  <c r="G31" i="39"/>
  <c r="H31" i="39" s="1"/>
  <c r="F31" i="39"/>
  <c r="M31" i="35" s="1"/>
  <c r="D31" i="39"/>
  <c r="C31" i="39"/>
  <c r="J31" i="35" s="1"/>
  <c r="G30" i="39"/>
  <c r="H30" i="39" s="1"/>
  <c r="F30" i="39"/>
  <c r="M30" i="35" s="1"/>
  <c r="D30" i="39"/>
  <c r="E30" i="39" s="1"/>
  <c r="L30" i="35" s="1"/>
  <c r="C30" i="39"/>
  <c r="J30" i="35" s="1"/>
  <c r="G29" i="39"/>
  <c r="H29" i="39" s="1"/>
  <c r="F29" i="39"/>
  <c r="M29" i="35" s="1"/>
  <c r="D29" i="39"/>
  <c r="K29" i="35" s="1"/>
  <c r="C29" i="39"/>
  <c r="J29" i="35" s="1"/>
  <c r="G28" i="39"/>
  <c r="H28" i="39" s="1"/>
  <c r="F28" i="39"/>
  <c r="M28" i="35" s="1"/>
  <c r="D28" i="39"/>
  <c r="K28" i="35" s="1"/>
  <c r="C28" i="39"/>
  <c r="J28" i="35" s="1"/>
  <c r="G27" i="39"/>
  <c r="H27" i="39" s="1"/>
  <c r="F27" i="39"/>
  <c r="M27" i="35" s="1"/>
  <c r="D27" i="39"/>
  <c r="C27" i="39"/>
  <c r="J27" i="35" s="1"/>
  <c r="G26" i="39"/>
  <c r="H26" i="39" s="1"/>
  <c r="F26" i="39"/>
  <c r="M26" i="35" s="1"/>
  <c r="D26" i="39"/>
  <c r="C26" i="39"/>
  <c r="J26" i="35" s="1"/>
  <c r="G24" i="39"/>
  <c r="H24" i="39" s="1"/>
  <c r="F24" i="39"/>
  <c r="M24" i="35" s="1"/>
  <c r="D24" i="39"/>
  <c r="C24" i="39"/>
  <c r="G23" i="39"/>
  <c r="H23" i="39" s="1"/>
  <c r="F23" i="39"/>
  <c r="M23" i="35" s="1"/>
  <c r="D23" i="39"/>
  <c r="E22" i="39" s="1"/>
  <c r="L22" i="35" s="1"/>
  <c r="C23" i="39"/>
  <c r="J23" i="35" s="1"/>
  <c r="G22" i="39"/>
  <c r="H22" i="39" s="1"/>
  <c r="F22" i="39"/>
  <c r="M22" i="35" s="1"/>
  <c r="D22" i="39"/>
  <c r="C22" i="39"/>
  <c r="G21" i="39"/>
  <c r="H21" i="39" s="1"/>
  <c r="F21" i="39"/>
  <c r="M21" i="35" s="1"/>
  <c r="D21" i="39"/>
  <c r="K21" i="35" s="1"/>
  <c r="C21" i="39"/>
  <c r="J21" i="35" s="1"/>
  <c r="G20" i="39"/>
  <c r="H20" i="39" s="1"/>
  <c r="F20" i="39"/>
  <c r="M20" i="35" s="1"/>
  <c r="D20" i="39"/>
  <c r="K20" i="35" s="1"/>
  <c r="C20" i="39"/>
  <c r="J20" i="35" s="1"/>
  <c r="G19" i="39"/>
  <c r="H19" i="39" s="1"/>
  <c r="F19" i="39"/>
  <c r="M19" i="35" s="1"/>
  <c r="D19" i="39"/>
  <c r="E19" i="39" s="1"/>
  <c r="L19" i="35" s="1"/>
  <c r="C19" i="39"/>
  <c r="J19" i="35" s="1"/>
  <c r="G17" i="39"/>
  <c r="H17" i="39" s="1"/>
  <c r="F17" i="39"/>
  <c r="M17" i="35" s="1"/>
  <c r="D17" i="39"/>
  <c r="C17" i="39"/>
  <c r="J17" i="35" s="1"/>
  <c r="G16" i="39"/>
  <c r="H16" i="39" s="1"/>
  <c r="F16" i="39"/>
  <c r="M16" i="35" s="1"/>
  <c r="D16" i="39"/>
  <c r="E16" i="39" s="1"/>
  <c r="L16" i="35" s="1"/>
  <c r="C16" i="39"/>
  <c r="J16" i="35" s="1"/>
  <c r="G15" i="39"/>
  <c r="H15" i="39" s="1"/>
  <c r="F15" i="39"/>
  <c r="M15" i="35" s="1"/>
  <c r="D15" i="39"/>
  <c r="C15" i="39"/>
  <c r="J15" i="35" s="1"/>
  <c r="G14" i="39"/>
  <c r="H14" i="39" s="1"/>
  <c r="F14" i="39"/>
  <c r="M14" i="35" s="1"/>
  <c r="D14" i="39"/>
  <c r="C14" i="39"/>
  <c r="J14" i="35" s="1"/>
  <c r="G13" i="39"/>
  <c r="H13" i="39" s="1"/>
  <c r="F13" i="39"/>
  <c r="M13" i="35" s="1"/>
  <c r="D13" i="39"/>
  <c r="C13" i="39"/>
  <c r="J13" i="35" s="1"/>
  <c r="G12" i="39"/>
  <c r="H12" i="39" s="1"/>
  <c r="F12" i="39"/>
  <c r="M12" i="35" s="1"/>
  <c r="D12" i="39"/>
  <c r="K12" i="35" s="1"/>
  <c r="C12" i="39"/>
  <c r="J12" i="35" s="1"/>
  <c r="G10" i="39"/>
  <c r="H10" i="39" s="1"/>
  <c r="F10" i="39"/>
  <c r="D10" i="39"/>
  <c r="C10" i="39"/>
  <c r="G9" i="39"/>
  <c r="H9" i="39" s="1"/>
  <c r="F9" i="39"/>
  <c r="D9" i="39"/>
  <c r="E6" i="39" s="1"/>
  <c r="C9" i="39"/>
  <c r="G8" i="39"/>
  <c r="H8" i="39" s="1"/>
  <c r="F8" i="39"/>
  <c r="D8" i="39"/>
  <c r="C8" i="39"/>
  <c r="G7" i="39"/>
  <c r="H7" i="39" s="1"/>
  <c r="F7" i="39"/>
  <c r="D7" i="39"/>
  <c r="C7" i="39"/>
  <c r="G6" i="39"/>
  <c r="H6" i="39" s="1"/>
  <c r="F6" i="39"/>
  <c r="D6" i="39"/>
  <c r="C6" i="39"/>
  <c r="G5" i="39"/>
  <c r="H5" i="39" s="1"/>
  <c r="F5" i="39"/>
  <c r="D5" i="39"/>
  <c r="K5" i="35" s="1"/>
  <c r="C5" i="39"/>
  <c r="J5" i="35" s="1"/>
  <c r="G45" i="40"/>
  <c r="H45" i="40" s="1"/>
  <c r="F45" i="40"/>
  <c r="F45" i="35" s="1"/>
  <c r="D45" i="40"/>
  <c r="C45" i="40"/>
  <c r="C45" i="35" s="1"/>
  <c r="G44" i="40"/>
  <c r="H44" i="40" s="1"/>
  <c r="F44" i="40"/>
  <c r="F44" i="35" s="1"/>
  <c r="D44" i="40"/>
  <c r="E44" i="40" s="1"/>
  <c r="E44" i="35" s="1"/>
  <c r="C44" i="40"/>
  <c r="C44" i="35" s="1"/>
  <c r="G43" i="40"/>
  <c r="H43" i="40" s="1"/>
  <c r="F43" i="40"/>
  <c r="F43" i="35" s="1"/>
  <c r="D43" i="40"/>
  <c r="D43" i="35" s="1"/>
  <c r="C43" i="40"/>
  <c r="C43" i="35" s="1"/>
  <c r="G42" i="40"/>
  <c r="H42" i="40" s="1"/>
  <c r="F42" i="40"/>
  <c r="F42" i="35" s="1"/>
  <c r="D42" i="40"/>
  <c r="D42" i="35" s="1"/>
  <c r="C42" i="40"/>
  <c r="C42" i="35" s="1"/>
  <c r="G41" i="40"/>
  <c r="H41" i="40" s="1"/>
  <c r="F41" i="40"/>
  <c r="F41" i="35" s="1"/>
  <c r="D41" i="40"/>
  <c r="C41" i="40"/>
  <c r="C41" i="35" s="1"/>
  <c r="G40" i="40"/>
  <c r="H40" i="40" s="1"/>
  <c r="F40" i="40"/>
  <c r="F40" i="35" s="1"/>
  <c r="D40" i="40"/>
  <c r="C40" i="40"/>
  <c r="C40" i="35" s="1"/>
  <c r="G38" i="40"/>
  <c r="H38" i="40" s="1"/>
  <c r="F38" i="40"/>
  <c r="F38" i="35" s="1"/>
  <c r="D38" i="40"/>
  <c r="D38" i="35" s="1"/>
  <c r="C38" i="40"/>
  <c r="C38" i="35" s="1"/>
  <c r="G37" i="40"/>
  <c r="H37" i="40" s="1"/>
  <c r="F37" i="40"/>
  <c r="F37" i="35" s="1"/>
  <c r="D37" i="40"/>
  <c r="E37" i="40" s="1"/>
  <c r="E37" i="35" s="1"/>
  <c r="C37" i="40"/>
  <c r="G36" i="40"/>
  <c r="H36" i="40" s="1"/>
  <c r="F36" i="40"/>
  <c r="D36" i="40"/>
  <c r="D36" i="35" s="1"/>
  <c r="C36" i="40"/>
  <c r="C36" i="35" s="1"/>
  <c r="G35" i="40"/>
  <c r="H35" i="40" s="1"/>
  <c r="F35" i="40"/>
  <c r="F35" i="35" s="1"/>
  <c r="D35" i="40"/>
  <c r="D35" i="35" s="1"/>
  <c r="C35" i="40"/>
  <c r="C35" i="35" s="1"/>
  <c r="G34" i="40"/>
  <c r="H34" i="40" s="1"/>
  <c r="F34" i="40"/>
  <c r="F34" i="35" s="1"/>
  <c r="D34" i="40"/>
  <c r="E34" i="40" s="1"/>
  <c r="E34" i="35" s="1"/>
  <c r="C34" i="40"/>
  <c r="C34" i="35" s="1"/>
  <c r="G33" i="40"/>
  <c r="H33" i="40" s="1"/>
  <c r="F33" i="40"/>
  <c r="F33" i="35" s="1"/>
  <c r="D33" i="40"/>
  <c r="E33" i="40" s="1"/>
  <c r="E33" i="35" s="1"/>
  <c r="C33" i="40"/>
  <c r="C33" i="35" s="1"/>
  <c r="G31" i="40"/>
  <c r="H31" i="40" s="1"/>
  <c r="F31" i="40"/>
  <c r="F31" i="35" s="1"/>
  <c r="D31" i="40"/>
  <c r="C31" i="40"/>
  <c r="C31" i="35" s="1"/>
  <c r="G30" i="40"/>
  <c r="H30" i="40" s="1"/>
  <c r="F30" i="40"/>
  <c r="F30" i="35" s="1"/>
  <c r="D30" i="40"/>
  <c r="D30" i="35" s="1"/>
  <c r="C30" i="40"/>
  <c r="C30" i="35" s="1"/>
  <c r="G29" i="40"/>
  <c r="H29" i="40" s="1"/>
  <c r="F29" i="40"/>
  <c r="F29" i="35" s="1"/>
  <c r="D29" i="40"/>
  <c r="D29" i="35" s="1"/>
  <c r="C29" i="40"/>
  <c r="C29" i="35" s="1"/>
  <c r="G28" i="40"/>
  <c r="H28" i="40" s="1"/>
  <c r="F28" i="40"/>
  <c r="F28" i="35" s="1"/>
  <c r="D28" i="40"/>
  <c r="C28" i="40"/>
  <c r="C28" i="35" s="1"/>
  <c r="G27" i="40"/>
  <c r="H27" i="40" s="1"/>
  <c r="F27" i="40"/>
  <c r="D27" i="40"/>
  <c r="D27" i="35" s="1"/>
  <c r="C27" i="40"/>
  <c r="C27" i="35" s="1"/>
  <c r="G26" i="40"/>
  <c r="H26" i="40" s="1"/>
  <c r="F26" i="40"/>
  <c r="F26" i="35" s="1"/>
  <c r="D26" i="40"/>
  <c r="D26" i="35" s="1"/>
  <c r="C26" i="40"/>
  <c r="C26" i="35" s="1"/>
  <c r="G24" i="40"/>
  <c r="H24" i="40" s="1"/>
  <c r="F24" i="40"/>
  <c r="F24" i="35" s="1"/>
  <c r="D24" i="40"/>
  <c r="C24" i="40"/>
  <c r="C24" i="35" s="1"/>
  <c r="G23" i="40"/>
  <c r="H23" i="40" s="1"/>
  <c r="F23" i="40"/>
  <c r="F23" i="35" s="1"/>
  <c r="D23" i="40"/>
  <c r="D23" i="35" s="1"/>
  <c r="C23" i="40"/>
  <c r="C23" i="35" s="1"/>
  <c r="G22" i="40"/>
  <c r="H22" i="40" s="1"/>
  <c r="F22" i="40"/>
  <c r="F22" i="35" s="1"/>
  <c r="D22" i="40"/>
  <c r="D22" i="35" s="1"/>
  <c r="C22" i="40"/>
  <c r="C22" i="35" s="1"/>
  <c r="G21" i="40"/>
  <c r="H21" i="40" s="1"/>
  <c r="F21" i="40"/>
  <c r="F21" i="35" s="1"/>
  <c r="D21" i="40"/>
  <c r="C21" i="40"/>
  <c r="C21" i="35" s="1"/>
  <c r="G20" i="40"/>
  <c r="H20" i="40" s="1"/>
  <c r="F20" i="40"/>
  <c r="F20" i="35" s="1"/>
  <c r="D20" i="40"/>
  <c r="D20" i="35" s="1"/>
  <c r="C20" i="40"/>
  <c r="C20" i="35" s="1"/>
  <c r="G19" i="40"/>
  <c r="H19" i="40" s="1"/>
  <c r="F19" i="40"/>
  <c r="F19" i="35" s="1"/>
  <c r="D19" i="40"/>
  <c r="E19" i="40" s="1"/>
  <c r="E19" i="35" s="1"/>
  <c r="C19" i="40"/>
  <c r="C19" i="35" s="1"/>
  <c r="G17" i="40"/>
  <c r="H17" i="40" s="1"/>
  <c r="F17" i="40"/>
  <c r="F17" i="35" s="1"/>
  <c r="D17" i="40"/>
  <c r="D17" i="35" s="1"/>
  <c r="C17" i="40"/>
  <c r="C17" i="35" s="1"/>
  <c r="G16" i="40"/>
  <c r="H16" i="40" s="1"/>
  <c r="F16" i="40"/>
  <c r="F16" i="35" s="1"/>
  <c r="D16" i="40"/>
  <c r="E16" i="40" s="1"/>
  <c r="E16" i="35" s="1"/>
  <c r="C16" i="40"/>
  <c r="C16" i="35" s="1"/>
  <c r="G15" i="40"/>
  <c r="H15" i="40" s="1"/>
  <c r="F15" i="40"/>
  <c r="F15" i="35" s="1"/>
  <c r="D15" i="40"/>
  <c r="C15" i="40"/>
  <c r="C15" i="35" s="1"/>
  <c r="G14" i="40"/>
  <c r="H14" i="40" s="1"/>
  <c r="F14" i="40"/>
  <c r="F14" i="35" s="1"/>
  <c r="D14" i="40"/>
  <c r="C14" i="40"/>
  <c r="C14" i="35" s="1"/>
  <c r="G13" i="40"/>
  <c r="H13" i="40" s="1"/>
  <c r="F13" i="40"/>
  <c r="F13" i="35" s="1"/>
  <c r="D13" i="40"/>
  <c r="C13" i="40"/>
  <c r="C13" i="35" s="1"/>
  <c r="G12" i="40"/>
  <c r="H12" i="40" s="1"/>
  <c r="F12" i="40"/>
  <c r="F12" i="35" s="1"/>
  <c r="D12" i="40"/>
  <c r="D12" i="35" s="1"/>
  <c r="C12" i="40"/>
  <c r="C12" i="35" s="1"/>
  <c r="G10" i="40"/>
  <c r="H10" i="40" s="1"/>
  <c r="F10" i="40"/>
  <c r="F10" i="35" s="1"/>
  <c r="D10" i="40"/>
  <c r="C10" i="40"/>
  <c r="C10" i="35" s="1"/>
  <c r="G9" i="40"/>
  <c r="H9" i="40" s="1"/>
  <c r="F9" i="40"/>
  <c r="F9" i="35" s="1"/>
  <c r="D9" i="40"/>
  <c r="E9" i="40" s="1"/>
  <c r="E9" i="35" s="1"/>
  <c r="C9" i="40"/>
  <c r="G8" i="40"/>
  <c r="H8" i="40" s="1"/>
  <c r="F8" i="40"/>
  <c r="D8" i="40"/>
  <c r="C8" i="40"/>
  <c r="G7" i="40"/>
  <c r="H7" i="40" s="1"/>
  <c r="F7" i="40"/>
  <c r="D7" i="40"/>
  <c r="C7" i="40"/>
  <c r="G6" i="40"/>
  <c r="H6" i="40" s="1"/>
  <c r="F6" i="40"/>
  <c r="D6" i="40"/>
  <c r="E6" i="40" s="1"/>
  <c r="C6" i="40"/>
  <c r="G5" i="40"/>
  <c r="G5" i="35" s="1"/>
  <c r="F5" i="40"/>
  <c r="D5" i="40"/>
  <c r="E5" i="40" s="1"/>
  <c r="E5" i="35" s="1"/>
  <c r="C5" i="40"/>
  <c r="F5" i="35"/>
  <c r="G45" i="38"/>
  <c r="H45" i="38" s="1"/>
  <c r="F45" i="38"/>
  <c r="M45" i="36" s="1"/>
  <c r="D45" i="38"/>
  <c r="K45" i="36" s="1"/>
  <c r="C45" i="38"/>
  <c r="J45" i="36" s="1"/>
  <c r="G44" i="38"/>
  <c r="H44" i="38" s="1"/>
  <c r="F44" i="38"/>
  <c r="M44" i="36" s="1"/>
  <c r="D44" i="38"/>
  <c r="E44" i="38" s="1"/>
  <c r="C44" i="38"/>
  <c r="J44" i="36" s="1"/>
  <c r="G43" i="38"/>
  <c r="H43" i="38" s="1"/>
  <c r="F43" i="38"/>
  <c r="M43" i="36" s="1"/>
  <c r="D43" i="38"/>
  <c r="C43" i="38"/>
  <c r="G42" i="38"/>
  <c r="H42" i="38" s="1"/>
  <c r="F42" i="38"/>
  <c r="D42" i="38"/>
  <c r="K42" i="36" s="1"/>
  <c r="C42" i="38"/>
  <c r="J42" i="36" s="1"/>
  <c r="G41" i="38"/>
  <c r="H41" i="38" s="1"/>
  <c r="F41" i="38"/>
  <c r="M41" i="36" s="1"/>
  <c r="D41" i="38"/>
  <c r="C41" i="38"/>
  <c r="J41" i="36" s="1"/>
  <c r="G40" i="38"/>
  <c r="H40" i="38" s="1"/>
  <c r="F40" i="38"/>
  <c r="M40" i="36" s="1"/>
  <c r="D40" i="38"/>
  <c r="C40" i="38"/>
  <c r="J40" i="36" s="1"/>
  <c r="G38" i="38"/>
  <c r="H38" i="38" s="1"/>
  <c r="F38" i="38"/>
  <c r="M38" i="36" s="1"/>
  <c r="D38" i="38"/>
  <c r="C38" i="38"/>
  <c r="G37" i="38"/>
  <c r="H37" i="38" s="1"/>
  <c r="F37" i="38"/>
  <c r="M37" i="36" s="1"/>
  <c r="D37" i="38"/>
  <c r="E37" i="38" s="1"/>
  <c r="L37" i="36" s="1"/>
  <c r="C37" i="38"/>
  <c r="J37" i="36" s="1"/>
  <c r="G36" i="38"/>
  <c r="H36" i="38" s="1"/>
  <c r="F36" i="38"/>
  <c r="D36" i="38"/>
  <c r="C36" i="38"/>
  <c r="G35" i="38"/>
  <c r="H35" i="38" s="1"/>
  <c r="F35" i="38"/>
  <c r="M35" i="36" s="1"/>
  <c r="D35" i="38"/>
  <c r="C35" i="38"/>
  <c r="G34" i="38"/>
  <c r="H34" i="38" s="1"/>
  <c r="F34" i="38"/>
  <c r="M34" i="36" s="1"/>
  <c r="D34" i="38"/>
  <c r="E34" i="38" s="1"/>
  <c r="C34" i="38"/>
  <c r="J34" i="36" s="1"/>
  <c r="G33" i="38"/>
  <c r="H33" i="38" s="1"/>
  <c r="F33" i="38"/>
  <c r="M33" i="36" s="1"/>
  <c r="D33" i="38"/>
  <c r="E33" i="38" s="1"/>
  <c r="C33" i="38"/>
  <c r="J33" i="36" s="1"/>
  <c r="G31" i="38"/>
  <c r="H31" i="38" s="1"/>
  <c r="F31" i="38"/>
  <c r="M31" i="36" s="1"/>
  <c r="D31" i="38"/>
  <c r="E31" i="38" s="1"/>
  <c r="C31" i="38"/>
  <c r="J31" i="36" s="1"/>
  <c r="G30" i="38"/>
  <c r="H30" i="38" s="1"/>
  <c r="F30" i="38"/>
  <c r="M30" i="36" s="1"/>
  <c r="D30" i="38"/>
  <c r="E27" i="38" s="1"/>
  <c r="L27" i="36" s="1"/>
  <c r="C30" i="38"/>
  <c r="J30" i="36" s="1"/>
  <c r="G29" i="38"/>
  <c r="H29" i="38" s="1"/>
  <c r="F29" i="38"/>
  <c r="D29" i="38"/>
  <c r="C29" i="38"/>
  <c r="J29" i="36" s="1"/>
  <c r="H28" i="38"/>
  <c r="G28" i="38"/>
  <c r="F28" i="38"/>
  <c r="D28" i="38"/>
  <c r="E28" i="38" s="1"/>
  <c r="L28" i="36" s="1"/>
  <c r="C28" i="38"/>
  <c r="J28" i="36" s="1"/>
  <c r="G27" i="38"/>
  <c r="H27" i="38" s="1"/>
  <c r="F27" i="38"/>
  <c r="D27" i="38"/>
  <c r="C27" i="38"/>
  <c r="J27" i="36" s="1"/>
  <c r="G26" i="38"/>
  <c r="H26" i="38" s="1"/>
  <c r="F26" i="38"/>
  <c r="D26" i="38"/>
  <c r="C26" i="38"/>
  <c r="G24" i="38"/>
  <c r="H24" i="38" s="1"/>
  <c r="F24" i="38"/>
  <c r="M24" i="36" s="1"/>
  <c r="D24" i="38"/>
  <c r="E24" i="38" s="1"/>
  <c r="C24" i="38"/>
  <c r="J24" i="36" s="1"/>
  <c r="G23" i="38"/>
  <c r="H23" i="38" s="1"/>
  <c r="F23" i="38"/>
  <c r="M23" i="36" s="1"/>
  <c r="D23" i="38"/>
  <c r="C23" i="38"/>
  <c r="J23" i="36" s="1"/>
  <c r="G22" i="38"/>
  <c r="H22" i="38" s="1"/>
  <c r="F22" i="38"/>
  <c r="M22" i="36" s="1"/>
  <c r="D22" i="38"/>
  <c r="E22" i="38" s="1"/>
  <c r="L22" i="36" s="1"/>
  <c r="C22" i="38"/>
  <c r="J22" i="36" s="1"/>
  <c r="G21" i="38"/>
  <c r="H21" i="38" s="1"/>
  <c r="F21" i="38"/>
  <c r="M21" i="36" s="1"/>
  <c r="D21" i="38"/>
  <c r="K21" i="36" s="1"/>
  <c r="C21" i="38"/>
  <c r="J21" i="36" s="1"/>
  <c r="G20" i="38"/>
  <c r="H20" i="38" s="1"/>
  <c r="F20" i="38"/>
  <c r="D20" i="38"/>
  <c r="E20" i="38" s="1"/>
  <c r="C20" i="38"/>
  <c r="J20" i="36" s="1"/>
  <c r="G19" i="38"/>
  <c r="H19" i="38" s="1"/>
  <c r="F19" i="38"/>
  <c r="M19" i="36" s="1"/>
  <c r="D19" i="38"/>
  <c r="K19" i="36" s="1"/>
  <c r="C19" i="38"/>
  <c r="J19" i="36" s="1"/>
  <c r="G17" i="38"/>
  <c r="H17" i="38" s="1"/>
  <c r="F17" i="38"/>
  <c r="M17" i="36" s="1"/>
  <c r="D17" i="38"/>
  <c r="C17" i="38"/>
  <c r="J17" i="36" s="1"/>
  <c r="G16" i="38"/>
  <c r="H16" i="38" s="1"/>
  <c r="F16" i="38"/>
  <c r="M16" i="36" s="1"/>
  <c r="D16" i="38"/>
  <c r="E16" i="38" s="1"/>
  <c r="C16" i="38"/>
  <c r="J16" i="36" s="1"/>
  <c r="G15" i="38"/>
  <c r="H15" i="38" s="1"/>
  <c r="F15" i="38"/>
  <c r="M15" i="36" s="1"/>
  <c r="D15" i="38"/>
  <c r="E15" i="38" s="1"/>
  <c r="C15" i="38"/>
  <c r="J15" i="36" s="1"/>
  <c r="G14" i="38"/>
  <c r="H14" i="38" s="1"/>
  <c r="F14" i="38"/>
  <c r="M14" i="36" s="1"/>
  <c r="D14" i="38"/>
  <c r="K14" i="36" s="1"/>
  <c r="C14" i="38"/>
  <c r="J14" i="36" s="1"/>
  <c r="G13" i="38"/>
  <c r="H13" i="38" s="1"/>
  <c r="F13" i="38"/>
  <c r="M13" i="36" s="1"/>
  <c r="D13" i="38"/>
  <c r="C13" i="38"/>
  <c r="J13" i="36" s="1"/>
  <c r="G12" i="38"/>
  <c r="H12" i="38" s="1"/>
  <c r="F12" i="38"/>
  <c r="M12" i="36" s="1"/>
  <c r="D12" i="38"/>
  <c r="C12" i="38"/>
  <c r="G10" i="38"/>
  <c r="H10" i="38" s="1"/>
  <c r="F10" i="38"/>
  <c r="D10" i="38"/>
  <c r="C10" i="38"/>
  <c r="G9" i="38"/>
  <c r="H9" i="38" s="1"/>
  <c r="F9" i="38"/>
  <c r="D9" i="38"/>
  <c r="E9" i="38" s="1"/>
  <c r="C9" i="38"/>
  <c r="G8" i="38"/>
  <c r="H8" i="38" s="1"/>
  <c r="F8" i="38"/>
  <c r="D8" i="38"/>
  <c r="E8" i="38" s="1"/>
  <c r="C8" i="38"/>
  <c r="G7" i="38"/>
  <c r="H7" i="38" s="1"/>
  <c r="F7" i="38"/>
  <c r="D7" i="38"/>
  <c r="E7" i="38" s="1"/>
  <c r="C7" i="38"/>
  <c r="G6" i="38"/>
  <c r="H6" i="38" s="1"/>
  <c r="F6" i="38"/>
  <c r="D6" i="38"/>
  <c r="E6" i="38" s="1"/>
  <c r="C6" i="38"/>
  <c r="G5" i="38"/>
  <c r="H5" i="38" s="1"/>
  <c r="F5" i="38"/>
  <c r="D5" i="38"/>
  <c r="E5" i="38" s="1"/>
  <c r="C5" i="38"/>
  <c r="E42" i="37"/>
  <c r="E12" i="37"/>
  <c r="M5" i="35"/>
  <c r="P10" i="41"/>
  <c r="O10" i="41"/>
  <c r="N10" i="41"/>
  <c r="M10" i="41"/>
  <c r="L10" i="41"/>
  <c r="K10" i="41"/>
  <c r="P9" i="41"/>
  <c r="O9" i="41"/>
  <c r="N9" i="41"/>
  <c r="M9" i="41"/>
  <c r="L9" i="41"/>
  <c r="K9" i="41"/>
  <c r="P8" i="41"/>
  <c r="N8" i="41"/>
  <c r="M8" i="41"/>
  <c r="L8" i="41"/>
  <c r="K8" i="41"/>
  <c r="P7" i="41"/>
  <c r="O7" i="41"/>
  <c r="N7" i="41"/>
  <c r="M7" i="41"/>
  <c r="L7" i="41"/>
  <c r="K7" i="41"/>
  <c r="P6" i="41"/>
  <c r="O6" i="41"/>
  <c r="N6" i="41"/>
  <c r="M6" i="41"/>
  <c r="L6" i="41"/>
  <c r="K6" i="41"/>
  <c r="P5" i="41"/>
  <c r="O5" i="41"/>
  <c r="N5" i="41"/>
  <c r="M5" i="41"/>
  <c r="L5" i="41"/>
  <c r="K5" i="41"/>
  <c r="P10" i="42"/>
  <c r="O10" i="42"/>
  <c r="N10" i="42"/>
  <c r="M10" i="42"/>
  <c r="L10" i="42"/>
  <c r="K10" i="42"/>
  <c r="P9" i="42"/>
  <c r="O9" i="42"/>
  <c r="N9" i="42"/>
  <c r="M9" i="42"/>
  <c r="L9" i="42"/>
  <c r="K9" i="42"/>
  <c r="P8" i="42"/>
  <c r="N8" i="42"/>
  <c r="M8" i="42"/>
  <c r="L8" i="42"/>
  <c r="K8" i="42"/>
  <c r="P7" i="42"/>
  <c r="O7" i="42"/>
  <c r="N7" i="42"/>
  <c r="M7" i="42"/>
  <c r="L7" i="42"/>
  <c r="K7" i="42"/>
  <c r="P6" i="42"/>
  <c r="O6" i="42"/>
  <c r="N6" i="42"/>
  <c r="M6" i="42"/>
  <c r="L6" i="42"/>
  <c r="K6" i="42"/>
  <c r="P5" i="42"/>
  <c r="O5" i="42"/>
  <c r="N5" i="42"/>
  <c r="M5" i="42"/>
  <c r="L5" i="42"/>
  <c r="K5" i="42"/>
  <c r="P10" i="39"/>
  <c r="O10" i="39"/>
  <c r="N10" i="39"/>
  <c r="M10" i="39"/>
  <c r="L10" i="39"/>
  <c r="K10" i="39"/>
  <c r="P9" i="39"/>
  <c r="O9" i="39"/>
  <c r="N9" i="39"/>
  <c r="M9" i="39"/>
  <c r="L9" i="39"/>
  <c r="K9" i="39"/>
  <c r="P8" i="39"/>
  <c r="N8" i="39"/>
  <c r="M8" i="39"/>
  <c r="L8" i="39"/>
  <c r="K8" i="39"/>
  <c r="P7" i="39"/>
  <c r="O7" i="39"/>
  <c r="N7" i="39"/>
  <c r="M7" i="39"/>
  <c r="L7" i="39"/>
  <c r="K7" i="39"/>
  <c r="P6" i="39"/>
  <c r="O6" i="39"/>
  <c r="N6" i="39"/>
  <c r="M6" i="39"/>
  <c r="L6" i="39"/>
  <c r="K6" i="39"/>
  <c r="P5" i="39"/>
  <c r="O5" i="39"/>
  <c r="N5" i="39"/>
  <c r="M5" i="39"/>
  <c r="L5" i="39"/>
  <c r="K5" i="39"/>
  <c r="P10" i="40"/>
  <c r="O10" i="40"/>
  <c r="N10" i="40"/>
  <c r="M10" i="40"/>
  <c r="L10" i="40"/>
  <c r="K10" i="40"/>
  <c r="P9" i="40"/>
  <c r="O9" i="40"/>
  <c r="N9" i="40"/>
  <c r="M9" i="40"/>
  <c r="L9" i="40"/>
  <c r="K9" i="40"/>
  <c r="P8" i="40"/>
  <c r="N8" i="40"/>
  <c r="M8" i="40"/>
  <c r="L8" i="40"/>
  <c r="K8" i="40"/>
  <c r="P7" i="40"/>
  <c r="O7" i="40"/>
  <c r="N7" i="40"/>
  <c r="M7" i="40"/>
  <c r="L7" i="40"/>
  <c r="K7" i="40"/>
  <c r="P6" i="40"/>
  <c r="O6" i="40"/>
  <c r="N6" i="40"/>
  <c r="M6" i="40"/>
  <c r="L6" i="40"/>
  <c r="K6" i="40"/>
  <c r="P5" i="40"/>
  <c r="O5" i="40"/>
  <c r="N5" i="40"/>
  <c r="M5" i="40"/>
  <c r="L5" i="40"/>
  <c r="K5" i="40"/>
  <c r="P10" i="38"/>
  <c r="O10" i="38"/>
  <c r="N10" i="38"/>
  <c r="M10" i="38"/>
  <c r="L10" i="38"/>
  <c r="K10" i="38"/>
  <c r="P9" i="38"/>
  <c r="O9" i="38"/>
  <c r="N9" i="38"/>
  <c r="M9" i="38"/>
  <c r="L9" i="38"/>
  <c r="K9" i="38"/>
  <c r="P8" i="38"/>
  <c r="N8" i="38"/>
  <c r="M8" i="38"/>
  <c r="L8" i="38"/>
  <c r="K8" i="38"/>
  <c r="P7" i="38"/>
  <c r="O7" i="38"/>
  <c r="N7" i="38"/>
  <c r="M7" i="38"/>
  <c r="L7" i="38"/>
  <c r="K7" i="38"/>
  <c r="P6" i="38"/>
  <c r="O6" i="38"/>
  <c r="N6" i="38"/>
  <c r="M6" i="38"/>
  <c r="L6" i="38"/>
  <c r="K6" i="38"/>
  <c r="P5" i="38"/>
  <c r="O5" i="38"/>
  <c r="N5" i="38"/>
  <c r="M5" i="38"/>
  <c r="L5" i="38"/>
  <c r="K5" i="38"/>
  <c r="O7" i="37"/>
  <c r="P10" i="37"/>
  <c r="P9" i="37"/>
  <c r="P8" i="37"/>
  <c r="P7" i="37"/>
  <c r="P6" i="37"/>
  <c r="P5" i="37"/>
  <c r="O10" i="37"/>
  <c r="O9" i="37"/>
  <c r="O6" i="37"/>
  <c r="O5" i="37"/>
  <c r="N10" i="37"/>
  <c r="N9" i="37"/>
  <c r="N8" i="37"/>
  <c r="N7" i="37"/>
  <c r="N6" i="37"/>
  <c r="N5" i="37"/>
  <c r="M10" i="37"/>
  <c r="M9" i="37"/>
  <c r="M8" i="37"/>
  <c r="M7" i="37"/>
  <c r="M6" i="37"/>
  <c r="M5" i="37"/>
  <c r="L10" i="37"/>
  <c r="L9" i="37"/>
  <c r="L8" i="37"/>
  <c r="L7" i="37"/>
  <c r="L6" i="37"/>
  <c r="L5" i="37"/>
  <c r="K10" i="37"/>
  <c r="K9" i="37"/>
  <c r="K8" i="37"/>
  <c r="K7" i="37"/>
  <c r="K6" i="37"/>
  <c r="K5" i="37"/>
  <c r="N12" i="36"/>
  <c r="K13" i="36"/>
  <c r="M29" i="36"/>
  <c r="K34" i="36"/>
  <c r="K43" i="36"/>
  <c r="J43" i="36"/>
  <c r="M42" i="36"/>
  <c r="J38" i="36"/>
  <c r="M36" i="36"/>
  <c r="J36" i="36"/>
  <c r="J35" i="36"/>
  <c r="K30" i="36"/>
  <c r="M28" i="36"/>
  <c r="M27" i="36"/>
  <c r="M26" i="36"/>
  <c r="J26" i="36"/>
  <c r="M20" i="36"/>
  <c r="K12" i="36"/>
  <c r="J12" i="36"/>
  <c r="G45" i="37"/>
  <c r="H45" i="37" s="1"/>
  <c r="G44" i="37"/>
  <c r="H44" i="37" s="1"/>
  <c r="G43" i="37"/>
  <c r="H43" i="37" s="1"/>
  <c r="G42" i="37"/>
  <c r="H42" i="37" s="1"/>
  <c r="G41" i="37"/>
  <c r="H41" i="37" s="1"/>
  <c r="G40" i="37"/>
  <c r="H40" i="37" s="1"/>
  <c r="F45" i="37"/>
  <c r="F45" i="36" s="1"/>
  <c r="F44" i="37"/>
  <c r="F44" i="36" s="1"/>
  <c r="F43" i="37"/>
  <c r="F43" i="36" s="1"/>
  <c r="F42" i="37"/>
  <c r="F42" i="36" s="1"/>
  <c r="F41" i="37"/>
  <c r="F41" i="36" s="1"/>
  <c r="F40" i="37"/>
  <c r="F40" i="36" s="1"/>
  <c r="D45" i="37"/>
  <c r="E45" i="37" s="1"/>
  <c r="D44" i="37"/>
  <c r="D44" i="36" s="1"/>
  <c r="D43" i="37"/>
  <c r="D43" i="36" s="1"/>
  <c r="D42" i="37"/>
  <c r="D41" i="37"/>
  <c r="D40" i="37"/>
  <c r="E40" i="37" s="1"/>
  <c r="C45" i="37"/>
  <c r="C45" i="36" s="1"/>
  <c r="C44" i="37"/>
  <c r="C44" i="36" s="1"/>
  <c r="C43" i="37"/>
  <c r="C43" i="36" s="1"/>
  <c r="C42" i="37"/>
  <c r="C42" i="36" s="1"/>
  <c r="C41" i="37"/>
  <c r="C41" i="36" s="1"/>
  <c r="C40" i="37"/>
  <c r="C40" i="36" s="1"/>
  <c r="G17" i="37"/>
  <c r="H17" i="37" s="1"/>
  <c r="G16" i="37"/>
  <c r="H16" i="37" s="1"/>
  <c r="G15" i="37"/>
  <c r="H15" i="37" s="1"/>
  <c r="G14" i="37"/>
  <c r="H14" i="37" s="1"/>
  <c r="G13" i="37"/>
  <c r="H13" i="37" s="1"/>
  <c r="G12" i="37"/>
  <c r="H12" i="37" s="1"/>
  <c r="F17" i="37"/>
  <c r="F17" i="36" s="1"/>
  <c r="F16" i="37"/>
  <c r="F16" i="36" s="1"/>
  <c r="F15" i="37"/>
  <c r="F15" i="36" s="1"/>
  <c r="F14" i="37"/>
  <c r="F14" i="36" s="1"/>
  <c r="F13" i="37"/>
  <c r="F13" i="36" s="1"/>
  <c r="F12" i="37"/>
  <c r="F12" i="36" s="1"/>
  <c r="C12" i="37"/>
  <c r="C12" i="36" s="1"/>
  <c r="D17" i="37"/>
  <c r="D17" i="36" s="1"/>
  <c r="D16" i="37"/>
  <c r="D16" i="36" s="1"/>
  <c r="D15" i="37"/>
  <c r="D15" i="36" s="1"/>
  <c r="D14" i="37"/>
  <c r="D14" i="36" s="1"/>
  <c r="D13" i="37"/>
  <c r="D13" i="36" s="1"/>
  <c r="D12" i="37"/>
  <c r="D12" i="36" s="1"/>
  <c r="C17" i="37"/>
  <c r="C17" i="36" s="1"/>
  <c r="C16" i="37"/>
  <c r="C16" i="36" s="1"/>
  <c r="C15" i="37"/>
  <c r="C15" i="36" s="1"/>
  <c r="C14" i="37"/>
  <c r="C14" i="36" s="1"/>
  <c r="C13" i="37"/>
  <c r="C13" i="36" s="1"/>
  <c r="C5" i="37"/>
  <c r="C5" i="36" s="1"/>
  <c r="N44" i="43" l="1"/>
  <c r="G22" i="35"/>
  <c r="N35" i="43"/>
  <c r="N45" i="35"/>
  <c r="G31" i="35"/>
  <c r="N33" i="35"/>
  <c r="N26" i="43"/>
  <c r="N21" i="43"/>
  <c r="N29" i="36"/>
  <c r="N45" i="36"/>
  <c r="N22" i="35"/>
  <c r="N16" i="43"/>
  <c r="N30" i="43"/>
  <c r="N19" i="35"/>
  <c r="N12" i="43"/>
  <c r="G33" i="35"/>
  <c r="N7" i="43"/>
  <c r="N13" i="35"/>
  <c r="G44" i="43"/>
  <c r="G16" i="43"/>
  <c r="G40" i="43"/>
  <c r="E27" i="41"/>
  <c r="L27" i="43" s="1"/>
  <c r="E42" i="39"/>
  <c r="L42" i="35" s="1"/>
  <c r="E16" i="37"/>
  <c r="E17" i="37"/>
  <c r="E15" i="37"/>
  <c r="E43" i="39"/>
  <c r="L43" i="35" s="1"/>
  <c r="E15" i="42"/>
  <c r="E15" i="43" s="1"/>
  <c r="E14" i="37"/>
  <c r="E29" i="42"/>
  <c r="E29" i="43" s="1"/>
  <c r="E43" i="42"/>
  <c r="E43" i="43" s="1"/>
  <c r="E29" i="41"/>
  <c r="L29" i="43" s="1"/>
  <c r="E13" i="37"/>
  <c r="K30" i="35"/>
  <c r="K43" i="43"/>
  <c r="E35" i="39"/>
  <c r="L35" i="35" s="1"/>
  <c r="K30" i="43"/>
  <c r="E7" i="40"/>
  <c r="E8" i="40"/>
  <c r="E36" i="39"/>
  <c r="L36" i="35" s="1"/>
  <c r="E21" i="40"/>
  <c r="E21" i="35" s="1"/>
  <c r="E45" i="39"/>
  <c r="L45" i="35" s="1"/>
  <c r="E35" i="42"/>
  <c r="E35" i="43" s="1"/>
  <c r="E17" i="42"/>
  <c r="E17" i="43" s="1"/>
  <c r="E10" i="40"/>
  <c r="E10" i="35" s="1"/>
  <c r="E24" i="40"/>
  <c r="E24" i="35" s="1"/>
  <c r="E38" i="39"/>
  <c r="L38" i="35" s="1"/>
  <c r="D24" i="35"/>
  <c r="E40" i="40"/>
  <c r="E40" i="35" s="1"/>
  <c r="E26" i="39"/>
  <c r="L26" i="35" s="1"/>
  <c r="E40" i="39"/>
  <c r="L40" i="35" s="1"/>
  <c r="E12" i="42"/>
  <c r="E12" i="43" s="1"/>
  <c r="E40" i="42"/>
  <c r="E40" i="43" s="1"/>
  <c r="E26" i="41"/>
  <c r="L26" i="43" s="1"/>
  <c r="D21" i="35"/>
  <c r="K44" i="36"/>
  <c r="E41" i="38"/>
  <c r="L41" i="36" s="1"/>
  <c r="E12" i="41"/>
  <c r="L12" i="43" s="1"/>
  <c r="E13" i="39"/>
  <c r="L13" i="35" s="1"/>
  <c r="E27" i="39"/>
  <c r="L27" i="35" s="1"/>
  <c r="E41" i="39"/>
  <c r="L41" i="35" s="1"/>
  <c r="E27" i="42"/>
  <c r="E27" i="43" s="1"/>
  <c r="E41" i="41"/>
  <c r="L41" i="43" s="1"/>
  <c r="E14" i="40"/>
  <c r="E14" i="35" s="1"/>
  <c r="E28" i="40"/>
  <c r="E28" i="35" s="1"/>
  <c r="D9" i="35"/>
  <c r="E13" i="42"/>
  <c r="E13" i="43" s="1"/>
  <c r="E41" i="42"/>
  <c r="E41" i="43" s="1"/>
  <c r="E13" i="41"/>
  <c r="L13" i="43" s="1"/>
  <c r="E14" i="42"/>
  <c r="E14" i="43" s="1"/>
  <c r="E29" i="38"/>
  <c r="L29" i="36" s="1"/>
  <c r="E43" i="38"/>
  <c r="E42" i="42"/>
  <c r="E42" i="43" s="1"/>
  <c r="E14" i="41"/>
  <c r="L14" i="43" s="1"/>
  <c r="E28" i="41"/>
  <c r="L28" i="43" s="1"/>
  <c r="E42" i="41"/>
  <c r="L42" i="43" s="1"/>
  <c r="E13" i="40"/>
  <c r="E13" i="35" s="1"/>
  <c r="E27" i="40"/>
  <c r="E27" i="35" s="1"/>
  <c r="E37" i="42"/>
  <c r="E37" i="43" s="1"/>
  <c r="E10" i="41"/>
  <c r="L10" i="43" s="1"/>
  <c r="E36" i="41"/>
  <c r="L36" i="43" s="1"/>
  <c r="D17" i="43"/>
  <c r="K29" i="43"/>
  <c r="K13" i="35"/>
  <c r="E42" i="38"/>
  <c r="L42" i="36" s="1"/>
  <c r="E41" i="40"/>
  <c r="E41" i="35" s="1"/>
  <c r="K13" i="43"/>
  <c r="K45" i="35"/>
  <c r="K28" i="43"/>
  <c r="E38" i="42"/>
  <c r="E38" i="43" s="1"/>
  <c r="D41" i="35"/>
  <c r="D16" i="43"/>
  <c r="E44" i="37"/>
  <c r="E37" i="41"/>
  <c r="L37" i="43" s="1"/>
  <c r="E43" i="37"/>
  <c r="E43" i="36" s="1"/>
  <c r="E42" i="40"/>
  <c r="E42" i="35" s="1"/>
  <c r="K44" i="35"/>
  <c r="K42" i="43"/>
  <c r="K27" i="43"/>
  <c r="K12" i="43"/>
  <c r="E14" i="39"/>
  <c r="L14" i="35" s="1"/>
  <c r="E28" i="39"/>
  <c r="L28" i="35" s="1"/>
  <c r="D40" i="35"/>
  <c r="D5" i="43"/>
  <c r="D15" i="43"/>
  <c r="E15" i="40"/>
  <c r="E15" i="35" s="1"/>
  <c r="E41" i="37"/>
  <c r="E30" i="38"/>
  <c r="L30" i="36" s="1"/>
  <c r="E29" i="40"/>
  <c r="E29" i="35" s="1"/>
  <c r="E38" i="41"/>
  <c r="L38" i="43" s="1"/>
  <c r="K43" i="35"/>
  <c r="K27" i="35"/>
  <c r="D30" i="43"/>
  <c r="D14" i="43"/>
  <c r="K41" i="43"/>
  <c r="E43" i="40"/>
  <c r="E43" i="35" s="1"/>
  <c r="E15" i="39"/>
  <c r="L15" i="35" s="1"/>
  <c r="K26" i="43"/>
  <c r="E29" i="39"/>
  <c r="L29" i="35" s="1"/>
  <c r="K42" i="35"/>
  <c r="K26" i="35"/>
  <c r="K9" i="43"/>
  <c r="D29" i="43"/>
  <c r="E45" i="38"/>
  <c r="L45" i="36" s="1"/>
  <c r="E30" i="40"/>
  <c r="E30" i="35" s="1"/>
  <c r="D37" i="35"/>
  <c r="D13" i="43"/>
  <c r="K24" i="43"/>
  <c r="D44" i="43"/>
  <c r="K40" i="43"/>
  <c r="K41" i="35"/>
  <c r="K23" i="43"/>
  <c r="E31" i="40"/>
  <c r="E31" i="35" s="1"/>
  <c r="K23" i="35"/>
  <c r="D43" i="43"/>
  <c r="K38" i="43"/>
  <c r="E17" i="39"/>
  <c r="L17" i="35" s="1"/>
  <c r="K40" i="35"/>
  <c r="D12" i="43"/>
  <c r="D19" i="35"/>
  <c r="D42" i="43"/>
  <c r="K38" i="35"/>
  <c r="D10" i="43"/>
  <c r="D34" i="35"/>
  <c r="D41" i="43"/>
  <c r="E35" i="38"/>
  <c r="L35" i="36" s="1"/>
  <c r="D9" i="43"/>
  <c r="K36" i="43"/>
  <c r="E31" i="42"/>
  <c r="E31" i="43" s="1"/>
  <c r="K37" i="35"/>
  <c r="E17" i="38"/>
  <c r="L17" i="36" s="1"/>
  <c r="D16" i="35"/>
  <c r="D24" i="43"/>
  <c r="E45" i="42"/>
  <c r="E45" i="43" s="1"/>
  <c r="E17" i="41"/>
  <c r="L17" i="43" s="1"/>
  <c r="D33" i="35"/>
  <c r="E17" i="40"/>
  <c r="E17" i="35" s="1"/>
  <c r="E21" i="38"/>
  <c r="L21" i="36" s="1"/>
  <c r="E36" i="38"/>
  <c r="L36" i="36" s="1"/>
  <c r="E34" i="39"/>
  <c r="L34" i="35" s="1"/>
  <c r="D40" i="43"/>
  <c r="D8" i="43"/>
  <c r="K20" i="36"/>
  <c r="E35" i="40"/>
  <c r="E35" i="35" s="1"/>
  <c r="E33" i="42"/>
  <c r="E33" i="43" s="1"/>
  <c r="D15" i="35"/>
  <c r="E31" i="39"/>
  <c r="L31" i="35" s="1"/>
  <c r="E10" i="38"/>
  <c r="E7" i="39"/>
  <c r="E21" i="39"/>
  <c r="L21" i="35" s="1"/>
  <c r="E6" i="42"/>
  <c r="E6" i="43" s="1"/>
  <c r="E20" i="42"/>
  <c r="E20" i="43" s="1"/>
  <c r="E31" i="41"/>
  <c r="L31" i="43" s="1"/>
  <c r="E5" i="41"/>
  <c r="L5" i="43" s="1"/>
  <c r="E19" i="41"/>
  <c r="L19" i="43" s="1"/>
  <c r="D31" i="35"/>
  <c r="K19" i="35"/>
  <c r="D38" i="43"/>
  <c r="E45" i="40"/>
  <c r="E45" i="35" s="1"/>
  <c r="D14" i="35"/>
  <c r="K35" i="35"/>
  <c r="D7" i="43"/>
  <c r="E36" i="40"/>
  <c r="E36" i="35" s="1"/>
  <c r="E34" i="42"/>
  <c r="E34" i="43" s="1"/>
  <c r="E8" i="39"/>
  <c r="E33" i="41"/>
  <c r="L33" i="43" s="1"/>
  <c r="D37" i="43"/>
  <c r="K17" i="43"/>
  <c r="E12" i="38"/>
  <c r="L12" i="36" s="1"/>
  <c r="E22" i="40"/>
  <c r="E22" i="35" s="1"/>
  <c r="E6" i="41"/>
  <c r="L6" i="43" s="1"/>
  <c r="K34" i="35"/>
  <c r="K17" i="35"/>
  <c r="D6" i="43"/>
  <c r="K33" i="43"/>
  <c r="E26" i="38"/>
  <c r="L26" i="36" s="1"/>
  <c r="E38" i="38"/>
  <c r="L38" i="36" s="1"/>
  <c r="D13" i="35"/>
  <c r="D45" i="35"/>
  <c r="E34" i="41"/>
  <c r="L34" i="43" s="1"/>
  <c r="K16" i="35"/>
  <c r="E13" i="38"/>
  <c r="L13" i="36" s="1"/>
  <c r="E7" i="41"/>
  <c r="L7" i="43" s="1"/>
  <c r="K33" i="35"/>
  <c r="K5" i="43"/>
  <c r="K31" i="43"/>
  <c r="K16" i="43"/>
  <c r="E40" i="38"/>
  <c r="L40" i="36" s="1"/>
  <c r="D44" i="35"/>
  <c r="D20" i="43"/>
  <c r="E38" i="40"/>
  <c r="E38" i="35" s="1"/>
  <c r="D28" i="35"/>
  <c r="K15" i="35"/>
  <c r="E10" i="39"/>
  <c r="E24" i="39"/>
  <c r="L24" i="35" s="1"/>
  <c r="E22" i="42"/>
  <c r="E22" i="43" s="1"/>
  <c r="E36" i="42"/>
  <c r="E36" i="43" s="1"/>
  <c r="D10" i="35"/>
  <c r="K31" i="35"/>
  <c r="K45" i="43"/>
  <c r="E14" i="38"/>
  <c r="L14" i="36" s="1"/>
  <c r="D5" i="35"/>
  <c r="E12" i="40"/>
  <c r="E12" i="35" s="1"/>
  <c r="E26" i="40"/>
  <c r="E26" i="35" s="1"/>
  <c r="E8" i="41"/>
  <c r="L8" i="43" s="1"/>
  <c r="E22" i="41"/>
  <c r="L22" i="43" s="1"/>
  <c r="D19" i="43"/>
  <c r="G43" i="43"/>
  <c r="G34" i="43"/>
  <c r="G24" i="43"/>
  <c r="G15" i="43"/>
  <c r="G6" i="43"/>
  <c r="N38" i="43"/>
  <c r="N29" i="43"/>
  <c r="N20" i="43"/>
  <c r="N10" i="43"/>
  <c r="G44" i="35"/>
  <c r="G35" i="35"/>
  <c r="G26" i="35"/>
  <c r="G16" i="35"/>
  <c r="N44" i="35"/>
  <c r="N35" i="35"/>
  <c r="N26" i="35"/>
  <c r="N16" i="35"/>
  <c r="G42" i="43"/>
  <c r="G33" i="43"/>
  <c r="G23" i="43"/>
  <c r="G14" i="43"/>
  <c r="N5" i="43"/>
  <c r="N37" i="43"/>
  <c r="N28" i="43"/>
  <c r="N19" i="43"/>
  <c r="N9" i="43"/>
  <c r="G43" i="35"/>
  <c r="G34" i="35"/>
  <c r="G24" i="35"/>
  <c r="G15" i="35"/>
  <c r="N43" i="35"/>
  <c r="N34" i="35"/>
  <c r="N24" i="35"/>
  <c r="N15" i="35"/>
  <c r="G41" i="43"/>
  <c r="G31" i="43"/>
  <c r="G22" i="43"/>
  <c r="G13" i="43"/>
  <c r="N45" i="43"/>
  <c r="N36" i="43"/>
  <c r="N27" i="43"/>
  <c r="N17" i="43"/>
  <c r="N8" i="43"/>
  <c r="G23" i="35"/>
  <c r="G14" i="35"/>
  <c r="N42" i="35"/>
  <c r="N23" i="35"/>
  <c r="N14" i="35"/>
  <c r="N13" i="36"/>
  <c r="N31" i="35"/>
  <c r="G38" i="43"/>
  <c r="G29" i="43"/>
  <c r="G20" i="43"/>
  <c r="G10" i="43"/>
  <c r="N43" i="43"/>
  <c r="N34" i="43"/>
  <c r="N24" i="43"/>
  <c r="N15" i="43"/>
  <c r="N6" i="43"/>
  <c r="G40" i="35"/>
  <c r="G30" i="35"/>
  <c r="G21" i="35"/>
  <c r="G12" i="35"/>
  <c r="N40" i="35"/>
  <c r="N30" i="35"/>
  <c r="N21" i="35"/>
  <c r="N12" i="35"/>
  <c r="G37" i="43"/>
  <c r="G28" i="43"/>
  <c r="G19" i="43"/>
  <c r="G9" i="43"/>
  <c r="N42" i="43"/>
  <c r="N33" i="43"/>
  <c r="N23" i="43"/>
  <c r="N14" i="43"/>
  <c r="G38" i="35"/>
  <c r="G29" i="35"/>
  <c r="G20" i="35"/>
  <c r="G10" i="35"/>
  <c r="N38" i="35"/>
  <c r="N29" i="35"/>
  <c r="N20" i="35"/>
  <c r="G5" i="43"/>
  <c r="G45" i="43"/>
  <c r="G36" i="43"/>
  <c r="G27" i="43"/>
  <c r="G17" i="43"/>
  <c r="G8" i="43"/>
  <c r="N41" i="43"/>
  <c r="N31" i="43"/>
  <c r="N22" i="43"/>
  <c r="N13" i="43"/>
  <c r="G9" i="35"/>
  <c r="G19" i="35"/>
  <c r="G45" i="35"/>
  <c r="G36" i="35"/>
  <c r="G27" i="35"/>
  <c r="G17" i="35"/>
  <c r="N36" i="35"/>
  <c r="N27" i="35"/>
  <c r="N17" i="35"/>
  <c r="H5" i="40"/>
  <c r="I5" i="40" s="1"/>
  <c r="H5" i="35" s="1"/>
  <c r="N5" i="35"/>
  <c r="I33" i="39"/>
  <c r="O33" i="35" s="1"/>
  <c r="I38" i="39"/>
  <c r="O38" i="35" s="1"/>
  <c r="I34" i="39"/>
  <c r="O34" i="35" s="1"/>
  <c r="I35" i="39"/>
  <c r="O35" i="35" s="1"/>
  <c r="I19" i="41"/>
  <c r="O19" i="43" s="1"/>
  <c r="I21" i="41"/>
  <c r="O21" i="43" s="1"/>
  <c r="I22" i="41"/>
  <c r="O22" i="43" s="1"/>
  <c r="I20" i="41"/>
  <c r="O20" i="43" s="1"/>
  <c r="I24" i="41"/>
  <c r="O24" i="43" s="1"/>
  <c r="I23" i="41"/>
  <c r="O23" i="43" s="1"/>
  <c r="I13" i="41"/>
  <c r="O13" i="43" s="1"/>
  <c r="I12" i="41"/>
  <c r="O12" i="43" s="1"/>
  <c r="I15" i="41"/>
  <c r="O15" i="43" s="1"/>
  <c r="I16" i="41"/>
  <c r="O16" i="43" s="1"/>
  <c r="I14" i="41"/>
  <c r="O14" i="43" s="1"/>
  <c r="I17" i="41"/>
  <c r="O17" i="43" s="1"/>
  <c r="I37" i="41"/>
  <c r="O37" i="43" s="1"/>
  <c r="I36" i="41"/>
  <c r="O36" i="43" s="1"/>
  <c r="I38" i="41"/>
  <c r="O38" i="43" s="1"/>
  <c r="I35" i="41"/>
  <c r="O35" i="43" s="1"/>
  <c r="I34" i="41"/>
  <c r="O34" i="43" s="1"/>
  <c r="I33" i="41"/>
  <c r="O33" i="43" s="1"/>
  <c r="I29" i="41"/>
  <c r="O29" i="43" s="1"/>
  <c r="I28" i="41"/>
  <c r="O28" i="43" s="1"/>
  <c r="I31" i="41"/>
  <c r="O31" i="43" s="1"/>
  <c r="I27" i="41"/>
  <c r="O27" i="43" s="1"/>
  <c r="I30" i="41"/>
  <c r="O30" i="43" s="1"/>
  <c r="I26" i="41"/>
  <c r="O26" i="43" s="1"/>
  <c r="I45" i="41"/>
  <c r="O45" i="43" s="1"/>
  <c r="I44" i="41"/>
  <c r="O44" i="43" s="1"/>
  <c r="I41" i="41"/>
  <c r="O41" i="43" s="1"/>
  <c r="I43" i="41"/>
  <c r="O43" i="43" s="1"/>
  <c r="I42" i="41"/>
  <c r="O42" i="43" s="1"/>
  <c r="I40" i="41"/>
  <c r="O40" i="43" s="1"/>
  <c r="I8" i="41"/>
  <c r="O8" i="43" s="1"/>
  <c r="I5" i="41"/>
  <c r="O5" i="43" s="1"/>
  <c r="I7" i="41"/>
  <c r="O7" i="43" s="1"/>
  <c r="I6" i="41"/>
  <c r="O6" i="43" s="1"/>
  <c r="I10" i="41"/>
  <c r="O10" i="43" s="1"/>
  <c r="I9" i="41"/>
  <c r="O9" i="43" s="1"/>
  <c r="E9" i="41"/>
  <c r="L9" i="43" s="1"/>
  <c r="E15" i="41"/>
  <c r="L15" i="43" s="1"/>
  <c r="E20" i="41"/>
  <c r="L20" i="43" s="1"/>
  <c r="E21" i="41"/>
  <c r="L21" i="43" s="1"/>
  <c r="I37" i="42"/>
  <c r="H37" i="43" s="1"/>
  <c r="I33" i="42"/>
  <c r="H33" i="43" s="1"/>
  <c r="I36" i="42"/>
  <c r="H36" i="43" s="1"/>
  <c r="I35" i="42"/>
  <c r="H35" i="43" s="1"/>
  <c r="I38" i="42"/>
  <c r="H38" i="43" s="1"/>
  <c r="I34" i="42"/>
  <c r="H34" i="43" s="1"/>
  <c r="I13" i="42"/>
  <c r="H13" i="43" s="1"/>
  <c r="I12" i="42"/>
  <c r="H12" i="43" s="1"/>
  <c r="I15" i="42"/>
  <c r="H15" i="43" s="1"/>
  <c r="I14" i="42"/>
  <c r="H14" i="43" s="1"/>
  <c r="I17" i="42"/>
  <c r="H17" i="43" s="1"/>
  <c r="I16" i="42"/>
  <c r="H16" i="43" s="1"/>
  <c r="I30" i="42"/>
  <c r="H30" i="43" s="1"/>
  <c r="I29" i="42"/>
  <c r="H29" i="43" s="1"/>
  <c r="I28" i="42"/>
  <c r="H28" i="43" s="1"/>
  <c r="I27" i="42"/>
  <c r="H27" i="43" s="1"/>
  <c r="I31" i="42"/>
  <c r="H31" i="43" s="1"/>
  <c r="I26" i="42"/>
  <c r="H26" i="43" s="1"/>
  <c r="I5" i="42"/>
  <c r="H5" i="43" s="1"/>
  <c r="I7" i="42"/>
  <c r="H7" i="43" s="1"/>
  <c r="I8" i="42"/>
  <c r="H8" i="43" s="1"/>
  <c r="I6" i="42"/>
  <c r="H6" i="43" s="1"/>
  <c r="I10" i="42"/>
  <c r="H10" i="43" s="1"/>
  <c r="I9" i="42"/>
  <c r="H9" i="43" s="1"/>
  <c r="I21" i="42"/>
  <c r="H21" i="43" s="1"/>
  <c r="I19" i="42"/>
  <c r="H19" i="43" s="1"/>
  <c r="I23" i="42"/>
  <c r="H23" i="43" s="1"/>
  <c r="I20" i="42"/>
  <c r="H20" i="43" s="1"/>
  <c r="I22" i="42"/>
  <c r="H22" i="43" s="1"/>
  <c r="I24" i="42"/>
  <c r="H24" i="43" s="1"/>
  <c r="I45" i="42"/>
  <c r="H45" i="43" s="1"/>
  <c r="I44" i="42"/>
  <c r="H44" i="43" s="1"/>
  <c r="I43" i="42"/>
  <c r="H43" i="43" s="1"/>
  <c r="I40" i="42"/>
  <c r="H40" i="43" s="1"/>
  <c r="I42" i="42"/>
  <c r="H42" i="43" s="1"/>
  <c r="I41" i="42"/>
  <c r="H41" i="43" s="1"/>
  <c r="E26" i="42"/>
  <c r="E26" i="43" s="1"/>
  <c r="E28" i="42"/>
  <c r="E28" i="43" s="1"/>
  <c r="E21" i="42"/>
  <c r="E21" i="43" s="1"/>
  <c r="E23" i="42"/>
  <c r="E23" i="43" s="1"/>
  <c r="I13" i="39"/>
  <c r="O13" i="35" s="1"/>
  <c r="I17" i="39"/>
  <c r="O17" i="35" s="1"/>
  <c r="I12" i="39"/>
  <c r="O12" i="35" s="1"/>
  <c r="I14" i="39"/>
  <c r="O14" i="35" s="1"/>
  <c r="I16" i="39"/>
  <c r="O16" i="35" s="1"/>
  <c r="I15" i="39"/>
  <c r="O15" i="35" s="1"/>
  <c r="I5" i="39"/>
  <c r="O5" i="35" s="1"/>
  <c r="I7" i="39"/>
  <c r="I9" i="39"/>
  <c r="I10" i="39"/>
  <c r="I8" i="39"/>
  <c r="I6" i="39"/>
  <c r="I29" i="39"/>
  <c r="O29" i="35" s="1"/>
  <c r="I31" i="39"/>
  <c r="O31" i="35" s="1"/>
  <c r="I26" i="39"/>
  <c r="O26" i="35" s="1"/>
  <c r="I28" i="39"/>
  <c r="O28" i="35" s="1"/>
  <c r="I30" i="39"/>
  <c r="O30" i="35" s="1"/>
  <c r="I27" i="39"/>
  <c r="O27" i="35" s="1"/>
  <c r="I45" i="39"/>
  <c r="O45" i="35" s="1"/>
  <c r="I41" i="39"/>
  <c r="O41" i="35" s="1"/>
  <c r="I44" i="39"/>
  <c r="O44" i="35" s="1"/>
  <c r="I43" i="39"/>
  <c r="O43" i="35" s="1"/>
  <c r="I42" i="39"/>
  <c r="O42" i="35" s="1"/>
  <c r="I40" i="39"/>
  <c r="O40" i="35" s="1"/>
  <c r="I24" i="39"/>
  <c r="O24" i="35" s="1"/>
  <c r="I21" i="39"/>
  <c r="O21" i="35" s="1"/>
  <c r="I20" i="39"/>
  <c r="O20" i="35" s="1"/>
  <c r="I19" i="39"/>
  <c r="O19" i="35" s="1"/>
  <c r="I23" i="39"/>
  <c r="O23" i="35" s="1"/>
  <c r="I22" i="39"/>
  <c r="O22" i="35" s="1"/>
  <c r="E12" i="39"/>
  <c r="L12" i="35" s="1"/>
  <c r="E20" i="39"/>
  <c r="L20" i="35" s="1"/>
  <c r="E5" i="39"/>
  <c r="L5" i="35" s="1"/>
  <c r="I36" i="39"/>
  <c r="O36" i="35" s="1"/>
  <c r="E9" i="39"/>
  <c r="L9" i="35" s="1"/>
  <c r="E23" i="39"/>
  <c r="L23" i="35" s="1"/>
  <c r="I7" i="40"/>
  <c r="I6" i="40"/>
  <c r="I8" i="40"/>
  <c r="I10" i="40"/>
  <c r="H10" i="35" s="1"/>
  <c r="I9" i="40"/>
  <c r="H9" i="35" s="1"/>
  <c r="I13" i="40"/>
  <c r="H13" i="35" s="1"/>
  <c r="I14" i="40"/>
  <c r="H14" i="35" s="1"/>
  <c r="I16" i="40"/>
  <c r="H16" i="35" s="1"/>
  <c r="I12" i="40"/>
  <c r="H12" i="35" s="1"/>
  <c r="I17" i="40"/>
  <c r="H17" i="35" s="1"/>
  <c r="I15" i="40"/>
  <c r="H15" i="35" s="1"/>
  <c r="I37" i="40"/>
  <c r="H37" i="35" s="1"/>
  <c r="I38" i="40"/>
  <c r="H38" i="35" s="1"/>
  <c r="I36" i="40"/>
  <c r="H36" i="35" s="1"/>
  <c r="I35" i="40"/>
  <c r="H35" i="35" s="1"/>
  <c r="I34" i="40"/>
  <c r="H34" i="35" s="1"/>
  <c r="I33" i="40"/>
  <c r="H33" i="35" s="1"/>
  <c r="I29" i="40"/>
  <c r="H29" i="35" s="1"/>
  <c r="I30" i="40"/>
  <c r="H30" i="35" s="1"/>
  <c r="I28" i="40"/>
  <c r="H28" i="35" s="1"/>
  <c r="I31" i="40"/>
  <c r="H31" i="35" s="1"/>
  <c r="I27" i="40"/>
  <c r="H27" i="35" s="1"/>
  <c r="I26" i="40"/>
  <c r="H26" i="35" s="1"/>
  <c r="I45" i="40"/>
  <c r="H45" i="35" s="1"/>
  <c r="I41" i="40"/>
  <c r="H41" i="35" s="1"/>
  <c r="I44" i="40"/>
  <c r="H44" i="35" s="1"/>
  <c r="I43" i="40"/>
  <c r="H43" i="35" s="1"/>
  <c r="I40" i="40"/>
  <c r="H40" i="35" s="1"/>
  <c r="I42" i="40"/>
  <c r="H42" i="35" s="1"/>
  <c r="I21" i="40"/>
  <c r="H21" i="35" s="1"/>
  <c r="I19" i="40"/>
  <c r="H19" i="35" s="1"/>
  <c r="I24" i="40"/>
  <c r="H24" i="35" s="1"/>
  <c r="I20" i="40"/>
  <c r="H20" i="35" s="1"/>
  <c r="I22" i="40"/>
  <c r="H22" i="35" s="1"/>
  <c r="I23" i="40"/>
  <c r="H23" i="35" s="1"/>
  <c r="E20" i="40"/>
  <c r="E20" i="35" s="1"/>
  <c r="E23" i="40"/>
  <c r="E23" i="35" s="1"/>
  <c r="I6" i="38"/>
  <c r="I5" i="38"/>
  <c r="I7" i="38"/>
  <c r="I8" i="38"/>
  <c r="I10" i="38"/>
  <c r="I9" i="38"/>
  <c r="I13" i="38"/>
  <c r="O13" i="36" s="1"/>
  <c r="I16" i="38"/>
  <c r="O16" i="36" s="1"/>
  <c r="I12" i="38"/>
  <c r="O12" i="36" s="1"/>
  <c r="I15" i="38"/>
  <c r="O15" i="36" s="1"/>
  <c r="I14" i="38"/>
  <c r="O14" i="36" s="1"/>
  <c r="I17" i="38"/>
  <c r="O17" i="36" s="1"/>
  <c r="I37" i="38"/>
  <c r="O37" i="36" s="1"/>
  <c r="I38" i="38"/>
  <c r="O38" i="36" s="1"/>
  <c r="I33" i="38"/>
  <c r="O33" i="36" s="1"/>
  <c r="I36" i="38"/>
  <c r="O36" i="36" s="1"/>
  <c r="I35" i="38"/>
  <c r="O35" i="36" s="1"/>
  <c r="I34" i="38"/>
  <c r="O34" i="36" s="1"/>
  <c r="I19" i="38"/>
  <c r="O19" i="36" s="1"/>
  <c r="I24" i="38"/>
  <c r="O24" i="36" s="1"/>
  <c r="I22" i="38"/>
  <c r="O22" i="36" s="1"/>
  <c r="I21" i="38"/>
  <c r="O21" i="36" s="1"/>
  <c r="I23" i="38"/>
  <c r="O23" i="36" s="1"/>
  <c r="I20" i="38"/>
  <c r="O20" i="36" s="1"/>
  <c r="I29" i="38"/>
  <c r="I28" i="38"/>
  <c r="O28" i="36" s="1"/>
  <c r="I31" i="38"/>
  <c r="O31" i="36" s="1"/>
  <c r="I27" i="38"/>
  <c r="O27" i="36" s="1"/>
  <c r="I26" i="38"/>
  <c r="O26" i="36" s="1"/>
  <c r="I30" i="38"/>
  <c r="O30" i="36" s="1"/>
  <c r="I45" i="38"/>
  <c r="I44" i="38"/>
  <c r="O44" i="36" s="1"/>
  <c r="I41" i="38"/>
  <c r="O41" i="36" s="1"/>
  <c r="I43" i="38"/>
  <c r="O43" i="36" s="1"/>
  <c r="I40" i="38"/>
  <c r="O40" i="36" s="1"/>
  <c r="I42" i="38"/>
  <c r="O42" i="36" s="1"/>
  <c r="K29" i="36"/>
  <c r="E19" i="38"/>
  <c r="L19" i="36" s="1"/>
  <c r="E23" i="38"/>
  <c r="L23" i="36" s="1"/>
  <c r="K16" i="36"/>
  <c r="K17" i="36"/>
  <c r="K33" i="36"/>
  <c r="N33" i="36"/>
  <c r="K41" i="36"/>
  <c r="E7" i="35"/>
  <c r="N42" i="36"/>
  <c r="K28" i="36"/>
  <c r="K37" i="36"/>
  <c r="N27" i="36"/>
  <c r="L43" i="36"/>
  <c r="N36" i="36"/>
  <c r="K27" i="36"/>
  <c r="N28" i="36"/>
  <c r="L31" i="36"/>
  <c r="N20" i="36"/>
  <c r="N44" i="36"/>
  <c r="N19" i="36"/>
  <c r="N43" i="36"/>
  <c r="N17" i="36"/>
  <c r="K26" i="36"/>
  <c r="L15" i="36"/>
  <c r="N16" i="36"/>
  <c r="L16" i="36"/>
  <c r="N24" i="36"/>
  <c r="N40" i="36"/>
  <c r="K36" i="36"/>
  <c r="N31" i="36"/>
  <c r="N21" i="36"/>
  <c r="N41" i="36"/>
  <c r="N23" i="36"/>
  <c r="L44" i="36"/>
  <c r="K40" i="36"/>
  <c r="N15" i="36"/>
  <c r="K31" i="36"/>
  <c r="K35" i="36"/>
  <c r="K23" i="36"/>
  <c r="L24" i="36"/>
  <c r="N35" i="36"/>
  <c r="N38" i="36"/>
  <c r="N30" i="36"/>
  <c r="K15" i="36"/>
  <c r="N22" i="36"/>
  <c r="L33" i="36"/>
  <c r="K38" i="36"/>
  <c r="N14" i="36"/>
  <c r="N26" i="36"/>
  <c r="K22" i="36"/>
  <c r="L34" i="36"/>
  <c r="N37" i="36"/>
  <c r="N34" i="36"/>
  <c r="K24" i="36"/>
  <c r="G43" i="36"/>
  <c r="G44" i="36"/>
  <c r="I17" i="37"/>
  <c r="H17" i="36" s="1"/>
  <c r="I16" i="37"/>
  <c r="H16" i="36" s="1"/>
  <c r="I13" i="37"/>
  <c r="H13" i="36" s="1"/>
  <c r="G14" i="36"/>
  <c r="G15" i="36"/>
  <c r="G16" i="36"/>
  <c r="G17" i="36"/>
  <c r="I41" i="37"/>
  <c r="H41" i="36" s="1"/>
  <c r="I40" i="37"/>
  <c r="H40" i="36" s="1"/>
  <c r="I42" i="37"/>
  <c r="H42" i="36" s="1"/>
  <c r="I45" i="37"/>
  <c r="H45" i="36" s="1"/>
  <c r="I43" i="37"/>
  <c r="H43" i="36" s="1"/>
  <c r="I44" i="37"/>
  <c r="H44" i="36" s="1"/>
  <c r="I15" i="37"/>
  <c r="H15" i="36" s="1"/>
  <c r="G45" i="36"/>
  <c r="I14" i="37"/>
  <c r="H14" i="36" s="1"/>
  <c r="D40" i="36"/>
  <c r="I12" i="37"/>
  <c r="H12" i="36" s="1"/>
  <c r="D45" i="36"/>
  <c r="D41" i="36"/>
  <c r="G12" i="36"/>
  <c r="G40" i="36"/>
  <c r="G41" i="36"/>
  <c r="E42" i="36"/>
  <c r="D42" i="36"/>
  <c r="G13" i="36"/>
  <c r="G42" i="36"/>
  <c r="L20" i="36"/>
  <c r="M10" i="36"/>
  <c r="J10" i="36"/>
  <c r="M9" i="36"/>
  <c r="L9" i="36"/>
  <c r="J9" i="36"/>
  <c r="M8" i="36"/>
  <c r="J8" i="36"/>
  <c r="M7" i="36"/>
  <c r="J7" i="36"/>
  <c r="M6" i="36"/>
  <c r="J6" i="36"/>
  <c r="M5" i="36"/>
  <c r="J5" i="36"/>
  <c r="G38" i="37"/>
  <c r="H38" i="37" s="1"/>
  <c r="F38" i="37"/>
  <c r="F38" i="36" s="1"/>
  <c r="D38" i="37"/>
  <c r="D38" i="36" s="1"/>
  <c r="C38" i="37"/>
  <c r="C38" i="36" s="1"/>
  <c r="G37" i="37"/>
  <c r="H37" i="37" s="1"/>
  <c r="F37" i="37"/>
  <c r="F37" i="36" s="1"/>
  <c r="D37" i="37"/>
  <c r="E37" i="37" s="1"/>
  <c r="E37" i="36" s="1"/>
  <c r="C37" i="37"/>
  <c r="C37" i="36" s="1"/>
  <c r="G36" i="37"/>
  <c r="H36" i="37" s="1"/>
  <c r="F36" i="37"/>
  <c r="F36" i="36" s="1"/>
  <c r="D36" i="37"/>
  <c r="C36" i="37"/>
  <c r="C36" i="36" s="1"/>
  <c r="G35" i="37"/>
  <c r="H35" i="37" s="1"/>
  <c r="F35" i="37"/>
  <c r="F35" i="36" s="1"/>
  <c r="D35" i="37"/>
  <c r="C35" i="37"/>
  <c r="C35" i="36" s="1"/>
  <c r="G34" i="37"/>
  <c r="H34" i="37" s="1"/>
  <c r="F34" i="37"/>
  <c r="F34" i="36" s="1"/>
  <c r="D34" i="37"/>
  <c r="C34" i="37"/>
  <c r="C34" i="36" s="1"/>
  <c r="G33" i="37"/>
  <c r="H33" i="37" s="1"/>
  <c r="F33" i="37"/>
  <c r="F33" i="36" s="1"/>
  <c r="D33" i="37"/>
  <c r="D33" i="36" s="1"/>
  <c r="C33" i="37"/>
  <c r="C33" i="36" s="1"/>
  <c r="G31" i="37"/>
  <c r="H31" i="37" s="1"/>
  <c r="F31" i="37"/>
  <c r="F31" i="36" s="1"/>
  <c r="D31" i="37"/>
  <c r="D31" i="36" s="1"/>
  <c r="C31" i="37"/>
  <c r="C31" i="36" s="1"/>
  <c r="G30" i="37"/>
  <c r="H30" i="37" s="1"/>
  <c r="F30" i="37"/>
  <c r="F30" i="36" s="1"/>
  <c r="D30" i="37"/>
  <c r="E30" i="37" s="1"/>
  <c r="E30" i="36" s="1"/>
  <c r="C30" i="37"/>
  <c r="C30" i="36" s="1"/>
  <c r="G29" i="37"/>
  <c r="H29" i="37" s="1"/>
  <c r="F29" i="37"/>
  <c r="F29" i="36" s="1"/>
  <c r="D29" i="37"/>
  <c r="D29" i="36" s="1"/>
  <c r="C29" i="37"/>
  <c r="C29" i="36" s="1"/>
  <c r="G28" i="37"/>
  <c r="H28" i="37" s="1"/>
  <c r="F28" i="37"/>
  <c r="F28" i="36" s="1"/>
  <c r="D28" i="37"/>
  <c r="C28" i="37"/>
  <c r="C28" i="36" s="1"/>
  <c r="G27" i="37"/>
  <c r="F27" i="37"/>
  <c r="F27" i="36" s="1"/>
  <c r="D27" i="37"/>
  <c r="C27" i="37"/>
  <c r="C27" i="36" s="1"/>
  <c r="G26" i="37"/>
  <c r="F26" i="37"/>
  <c r="F26" i="36" s="1"/>
  <c r="D26" i="37"/>
  <c r="C26" i="37"/>
  <c r="C26" i="36" s="1"/>
  <c r="G24" i="37"/>
  <c r="G24" i="36" s="1"/>
  <c r="F24" i="37"/>
  <c r="F24" i="36" s="1"/>
  <c r="D24" i="37"/>
  <c r="D24" i="36" s="1"/>
  <c r="C24" i="37"/>
  <c r="C24" i="36" s="1"/>
  <c r="G23" i="37"/>
  <c r="H23" i="37" s="1"/>
  <c r="F23" i="37"/>
  <c r="F23" i="36" s="1"/>
  <c r="D23" i="37"/>
  <c r="C23" i="37"/>
  <c r="C23" i="36" s="1"/>
  <c r="G22" i="37"/>
  <c r="H22" i="37" s="1"/>
  <c r="F22" i="37"/>
  <c r="F22" i="36" s="1"/>
  <c r="D22" i="37"/>
  <c r="C22" i="37"/>
  <c r="C22" i="36" s="1"/>
  <c r="G21" i="37"/>
  <c r="G21" i="36" s="1"/>
  <c r="F21" i="37"/>
  <c r="F21" i="36" s="1"/>
  <c r="D21" i="37"/>
  <c r="D21" i="36" s="1"/>
  <c r="C21" i="37"/>
  <c r="C21" i="36" s="1"/>
  <c r="G20" i="37"/>
  <c r="H20" i="37" s="1"/>
  <c r="F20" i="37"/>
  <c r="F20" i="36" s="1"/>
  <c r="D20" i="37"/>
  <c r="D20" i="36" s="1"/>
  <c r="C20" i="37"/>
  <c r="C20" i="36" s="1"/>
  <c r="G19" i="37"/>
  <c r="H19" i="37" s="1"/>
  <c r="F19" i="37"/>
  <c r="F19" i="36" s="1"/>
  <c r="D19" i="37"/>
  <c r="C19" i="37"/>
  <c r="C19" i="36" s="1"/>
  <c r="G10" i="37"/>
  <c r="G10" i="36" s="1"/>
  <c r="F10" i="37"/>
  <c r="F10" i="36" s="1"/>
  <c r="D10" i="37"/>
  <c r="D10" i="36" s="1"/>
  <c r="C10" i="37"/>
  <c r="C10" i="36" s="1"/>
  <c r="G9" i="37"/>
  <c r="H9" i="37" s="1"/>
  <c r="F9" i="37"/>
  <c r="F9" i="36" s="1"/>
  <c r="D9" i="37"/>
  <c r="E9" i="37" s="1"/>
  <c r="E9" i="36" s="1"/>
  <c r="C9" i="37"/>
  <c r="C9" i="36" s="1"/>
  <c r="G8" i="37"/>
  <c r="H8" i="37" s="1"/>
  <c r="F8" i="37"/>
  <c r="F8" i="36" s="1"/>
  <c r="D8" i="37"/>
  <c r="C8" i="37"/>
  <c r="C8" i="36" s="1"/>
  <c r="G7" i="37"/>
  <c r="H7" i="37" s="1"/>
  <c r="F7" i="37"/>
  <c r="F7" i="36" s="1"/>
  <c r="D7" i="37"/>
  <c r="D7" i="36" s="1"/>
  <c r="C7" i="37"/>
  <c r="C7" i="36" s="1"/>
  <c r="G6" i="37"/>
  <c r="F6" i="37"/>
  <c r="F6" i="36" s="1"/>
  <c r="D6" i="37"/>
  <c r="C6" i="37"/>
  <c r="C6" i="36" s="1"/>
  <c r="G5" i="37"/>
  <c r="F5" i="37"/>
  <c r="F5" i="36" s="1"/>
  <c r="D5" i="37"/>
  <c r="F8" i="35"/>
  <c r="C8" i="35"/>
  <c r="F7" i="35"/>
  <c r="C7" i="35"/>
  <c r="F6" i="35"/>
  <c r="D6" i="35"/>
  <c r="C6" i="35"/>
  <c r="C5" i="35"/>
  <c r="M10" i="35"/>
  <c r="K10" i="35"/>
  <c r="J10" i="35"/>
  <c r="M9" i="35"/>
  <c r="J9" i="35"/>
  <c r="M8" i="35"/>
  <c r="K8" i="35"/>
  <c r="J8" i="35"/>
  <c r="N7" i="35"/>
  <c r="M7" i="35"/>
  <c r="K7" i="35"/>
  <c r="J7" i="35"/>
  <c r="M6" i="35"/>
  <c r="K6" i="35"/>
  <c r="J6" i="35"/>
  <c r="E23" i="37" l="1"/>
  <c r="E23" i="36" s="1"/>
  <c r="O29" i="36"/>
  <c r="O45" i="36"/>
  <c r="E44" i="36"/>
  <c r="I9" i="37"/>
  <c r="H9" i="36" s="1"/>
  <c r="E40" i="36"/>
  <c r="E5" i="37"/>
  <c r="E5" i="36" s="1"/>
  <c r="E26" i="37"/>
  <c r="E26" i="36" s="1"/>
  <c r="E41" i="36"/>
  <c r="E45" i="36"/>
  <c r="N10" i="36"/>
  <c r="E28" i="37"/>
  <c r="E28" i="36" s="1"/>
  <c r="E13" i="36"/>
  <c r="E17" i="36"/>
  <c r="E15" i="36"/>
  <c r="E12" i="36"/>
  <c r="E14" i="36"/>
  <c r="E16" i="36"/>
  <c r="L8" i="36"/>
  <c r="H24" i="37"/>
  <c r="H21" i="37"/>
  <c r="E22" i="37"/>
  <c r="E22" i="36" s="1"/>
  <c r="E35" i="37"/>
  <c r="E35" i="36" s="1"/>
  <c r="L7" i="36"/>
  <c r="E27" i="37"/>
  <c r="E27" i="36" s="1"/>
  <c r="E34" i="37"/>
  <c r="E34" i="36" s="1"/>
  <c r="E36" i="37"/>
  <c r="E36" i="36" s="1"/>
  <c r="H10" i="37"/>
  <c r="G38" i="36"/>
  <c r="E8" i="35"/>
  <c r="E6" i="35"/>
  <c r="D23" i="36"/>
  <c r="N6" i="35"/>
  <c r="G30" i="36"/>
  <c r="G20" i="36"/>
  <c r="G22" i="36"/>
  <c r="G29" i="36"/>
  <c r="E7" i="37"/>
  <c r="E7" i="36" s="1"/>
  <c r="D8" i="35"/>
  <c r="D34" i="36"/>
  <c r="E19" i="37"/>
  <c r="E19" i="36" s="1"/>
  <c r="E21" i="37"/>
  <c r="E21" i="36" s="1"/>
  <c r="D9" i="36"/>
  <c r="D27" i="36"/>
  <c r="D37" i="36"/>
  <c r="E6" i="37"/>
  <c r="E6" i="36" s="1"/>
  <c r="D7" i="35"/>
  <c r="D22" i="36"/>
  <c r="D35" i="36"/>
  <c r="E8" i="37"/>
  <c r="E8" i="36" s="1"/>
  <c r="E33" i="37"/>
  <c r="E33" i="36" s="1"/>
  <c r="L5" i="36"/>
  <c r="D5" i="36"/>
  <c r="D6" i="36"/>
  <c r="D30" i="36"/>
  <c r="E20" i="37"/>
  <c r="E20" i="36" s="1"/>
  <c r="D8" i="36"/>
  <c r="D28" i="36"/>
  <c r="E29" i="37"/>
  <c r="E29" i="36" s="1"/>
  <c r="K9" i="35"/>
  <c r="D19" i="36"/>
  <c r="D26" i="36"/>
  <c r="D36" i="36"/>
  <c r="N10" i="35"/>
  <c r="H26" i="37"/>
  <c r="G26" i="36"/>
  <c r="G7" i="35"/>
  <c r="N9" i="35"/>
  <c r="H6" i="37"/>
  <c r="G6" i="36"/>
  <c r="H5" i="37"/>
  <c r="G5" i="36"/>
  <c r="G27" i="36"/>
  <c r="H27" i="37"/>
  <c r="N8" i="35"/>
  <c r="G8" i="35"/>
  <c r="G9" i="36"/>
  <c r="G35" i="36"/>
  <c r="N6" i="36"/>
  <c r="G34" i="36"/>
  <c r="G23" i="36"/>
  <c r="G33" i="36"/>
  <c r="N7" i="36"/>
  <c r="G31" i="36"/>
  <c r="N8" i="36"/>
  <c r="G6" i="35"/>
  <c r="G7" i="36"/>
  <c r="G19" i="36"/>
  <c r="G28" i="36"/>
  <c r="G37" i="36"/>
  <c r="N9" i="36"/>
  <c r="N5" i="36"/>
  <c r="G8" i="36"/>
  <c r="G36" i="36"/>
  <c r="L6" i="36"/>
  <c r="L10" i="36"/>
  <c r="E31" i="37"/>
  <c r="E31" i="36" s="1"/>
  <c r="E38" i="37"/>
  <c r="E38" i="36" s="1"/>
  <c r="E24" i="37"/>
  <c r="E24" i="36" s="1"/>
  <c r="I7" i="37"/>
  <c r="H7" i="36" s="1"/>
  <c r="I8" i="37"/>
  <c r="H8" i="36" s="1"/>
  <c r="I29" i="37"/>
  <c r="H29" i="36" s="1"/>
  <c r="I30" i="37"/>
  <c r="H30" i="36" s="1"/>
  <c r="I31" i="37"/>
  <c r="H31" i="36" s="1"/>
  <c r="I28" i="37"/>
  <c r="H28" i="36" s="1"/>
  <c r="I38" i="37"/>
  <c r="H38" i="36" s="1"/>
  <c r="I33" i="37"/>
  <c r="H33" i="36" s="1"/>
  <c r="I34" i="37"/>
  <c r="H34" i="36" s="1"/>
  <c r="I35" i="37"/>
  <c r="H35" i="36" s="1"/>
  <c r="I36" i="37"/>
  <c r="H36" i="36" s="1"/>
  <c r="I37" i="37"/>
  <c r="H37" i="36" s="1"/>
  <c r="I20" i="37"/>
  <c r="H20" i="36" s="1"/>
  <c r="I22" i="37"/>
  <c r="H22" i="36" s="1"/>
  <c r="I23" i="37"/>
  <c r="H23" i="36" s="1"/>
  <c r="I19" i="37"/>
  <c r="H19" i="36" s="1"/>
  <c r="E10" i="37"/>
  <c r="E10" i="36" s="1"/>
  <c r="L6" i="35"/>
  <c r="L8" i="35"/>
  <c r="L10" i="35"/>
  <c r="L7" i="35"/>
  <c r="O10" i="35"/>
  <c r="O9" i="35"/>
  <c r="I26" i="37" l="1"/>
  <c r="H26" i="36" s="1"/>
  <c r="I10" i="37"/>
  <c r="H10" i="36" s="1"/>
  <c r="I24" i="37"/>
  <c r="H24" i="36" s="1"/>
  <c r="I5" i="37"/>
  <c r="H5" i="36" s="1"/>
  <c r="I21" i="37"/>
  <c r="H21" i="36" s="1"/>
  <c r="O7" i="35"/>
  <c r="O6" i="35"/>
  <c r="I27" i="37"/>
  <c r="H27" i="36" s="1"/>
  <c r="I6" i="37"/>
  <c r="H6" i="36" s="1"/>
  <c r="O8" i="35"/>
  <c r="H7" i="35"/>
  <c r="H6" i="35"/>
  <c r="H8" i="35"/>
  <c r="O9" i="36"/>
  <c r="O6" i="36"/>
  <c r="O10" i="36"/>
  <c r="K10" i="36"/>
  <c r="K7" i="36"/>
  <c r="K6" i="36"/>
  <c r="O7" i="36"/>
  <c r="K8" i="36"/>
  <c r="O5" i="36"/>
  <c r="K5" i="36"/>
  <c r="K9" i="36"/>
  <c r="O8" i="36" l="1"/>
</calcChain>
</file>

<file path=xl/sharedStrings.xml><?xml version="1.0" encoding="utf-8"?>
<sst xmlns="http://schemas.openxmlformats.org/spreadsheetml/2006/main" count="774" uniqueCount="219">
  <si>
    <t>Bias</t>
  </si>
  <si>
    <t>RMSE</t>
  </si>
  <si>
    <t>$GLM$</t>
  </si>
  <si>
    <t>$IPS_{exp}$</t>
  </si>
  <si>
    <t>$IPS_{proj}$</t>
  </si>
  <si>
    <t>$IPS_{ind}$</t>
  </si>
  <si>
    <t>sample size n</t>
  </si>
  <si>
    <t>n</t>
  </si>
  <si>
    <t>ATE-bias-IPS-exp</t>
  </si>
  <si>
    <t>ATE-bias-IPS-ind</t>
  </si>
  <si>
    <t>ATE-bias-IPS-proj</t>
  </si>
  <si>
    <t>ATE-bias-GLM</t>
  </si>
  <si>
    <t>QTE-0.25-bias-IPS-exp</t>
  </si>
  <si>
    <t>QTE-0.25-bias-IPS-ind</t>
  </si>
  <si>
    <t>QTE-0.25-bias-IPS-proj</t>
  </si>
  <si>
    <t>QTE-0.25-bias-GLM</t>
  </si>
  <si>
    <t>QTE-0.5-bias-IPS-exp</t>
  </si>
  <si>
    <t>QTE-0.5-bias-IPS-ind</t>
  </si>
  <si>
    <t>QTE-0.5-bias-IPS-proj</t>
  </si>
  <si>
    <t>QTE-0.5-bias-GLM</t>
  </si>
  <si>
    <t>QTE-0.75-bias-IPS-exp</t>
  </si>
  <si>
    <t>QTE-0.75-bias-IPS-ind</t>
  </si>
  <si>
    <t>QTE-0.75-bias-IPS-proj</t>
  </si>
  <si>
    <t>QTE-0.75-bias-GLM</t>
  </si>
  <si>
    <t>ATE-RMSE-IPS-exp</t>
  </si>
  <si>
    <t>ATE-RMSE-IPS-ind</t>
  </si>
  <si>
    <t>ATE-RMSE-IPS-proj</t>
  </si>
  <si>
    <t>ATE-RMSE-GLM</t>
  </si>
  <si>
    <t>QTE-0.25-RMSE-IPS-exp</t>
  </si>
  <si>
    <t>QTE-0.25-RMSE-IPS-ind</t>
  </si>
  <si>
    <t>QTE-0.25-RMSE-IPS-proj</t>
  </si>
  <si>
    <t>QTE-0.25-RMSE-GLM</t>
  </si>
  <si>
    <t>QTE-0.5-RMSE-IPS-exp</t>
  </si>
  <si>
    <t>QTE-0.5-RMSE-IPS-ind</t>
  </si>
  <si>
    <t>QTE-0.5-RMSE-IPS-proj</t>
  </si>
  <si>
    <t>QTE-0.5-RMSE-GLM</t>
  </si>
  <si>
    <t>QTE-0.75-RMSE-IPS-exp</t>
  </si>
  <si>
    <t>QTE-0.75-RMSE-IPS-ind</t>
  </si>
  <si>
    <t>QTE-0.75-RMSE-IPS-proj</t>
  </si>
  <si>
    <t>QTE-0.75-RMSE-GLM</t>
  </si>
  <si>
    <t>ATE-Empcov-IPS-exp</t>
  </si>
  <si>
    <t>ATE-Empcov-IPS-ind</t>
  </si>
  <si>
    <t>ATE-Empcov-IPS-proj</t>
  </si>
  <si>
    <t>ATE-Empcov-GLM</t>
  </si>
  <si>
    <t>QTE-0.25-Empcov-IPS-exp</t>
  </si>
  <si>
    <t>QTE-0.25-Empcov-IPS-ind</t>
  </si>
  <si>
    <t>QTE-0.25-Empcov-IPS-proj</t>
  </si>
  <si>
    <t>QTE-0.25-Empcov-GLM</t>
  </si>
  <si>
    <t>CI length</t>
  </si>
  <si>
    <t>95% Cov.</t>
  </si>
  <si>
    <t>QTE-0.5-Empcov-IPS-exp</t>
  </si>
  <si>
    <t>QTE-0.5-Empcov-IPS-ind</t>
  </si>
  <si>
    <t>QTE-0.5-Empcov-IPS-proj</t>
  </si>
  <si>
    <t>QTE-0.5-Empcov-GLM</t>
  </si>
  <si>
    <t>QTE-0.75-Empcov-IPS-exp</t>
  </si>
  <si>
    <t>QTE-0.75-Empcov-IPS-ind</t>
  </si>
  <si>
    <t>QTE-0.75-Empcov-IPS-proj</t>
  </si>
  <si>
    <t>QTE-0.75-Empcov-GLM</t>
  </si>
  <si>
    <t>ATE</t>
  </si>
  <si>
    <t>QTE-0.25</t>
  </si>
  <si>
    <t>QTE-0.5</t>
  </si>
  <si>
    <t>Correctly Specified</t>
  </si>
  <si>
    <t>QTE-0.75</t>
  </si>
  <si>
    <t>QTE-0.1-Empcov-IPS-exp</t>
  </si>
  <si>
    <t>QTE-0.1-Empcov-IPS-ind</t>
  </si>
  <si>
    <t>QTE-0.1-Empcov-IPS-proj</t>
  </si>
  <si>
    <t>QTE-0.1-Empcov-GLM</t>
  </si>
  <si>
    <t>QTE-0.9-Empcov-IPS-exp</t>
  </si>
  <si>
    <t>QTE-0.9-Empcov-IPS-ind</t>
  </si>
  <si>
    <t>QTE-0.9-Empcov-IPS-proj</t>
  </si>
  <si>
    <t>QTE-0.9-Empcov-GLM</t>
  </si>
  <si>
    <t>Misspecified</t>
  </si>
  <si>
    <t>QTE-0.10-bias-IPS-exp</t>
  </si>
  <si>
    <t>QTE-0.10-bias-IPS-ind</t>
  </si>
  <si>
    <t>QTE-0.10-bias-IPS-proj</t>
  </si>
  <si>
    <t>QTE-0.10-bias-GLM</t>
  </si>
  <si>
    <t>QTE-0.9-bias-IPS-exp</t>
  </si>
  <si>
    <t>QTE-0.9-bias-IPS-ind</t>
  </si>
  <si>
    <t>QTE-0.9-bias-IPS-proj</t>
  </si>
  <si>
    <t>QTE-0.9-bias-GLM</t>
  </si>
  <si>
    <t>QTE-0.10-RMSE-IPS-exp</t>
  </si>
  <si>
    <t>QTE-0.10-RMSE-IPS-ind</t>
  </si>
  <si>
    <t>QTE-0.10-RMSE-IPS-proj</t>
  </si>
  <si>
    <t>QTE-0.10-RMSE-GLM</t>
  </si>
  <si>
    <t>QTE-0.9-RMSE-IPS-exp</t>
  </si>
  <si>
    <t>QTE-0.9-RMSE-IPS-ind</t>
  </si>
  <si>
    <t>QTE-0.9-RMSE-IPS-proj</t>
  </si>
  <si>
    <t>QTE-0.9-RMSE-GLM</t>
  </si>
  <si>
    <t>$CBPS-1$</t>
  </si>
  <si>
    <t>$CBPS-2$</t>
  </si>
  <si>
    <t>Rel. MSE</t>
  </si>
  <si>
    <t>ARE</t>
  </si>
  <si>
    <t>ATE-Empcov-CBPS-Just</t>
  </si>
  <si>
    <t>ATE-Empcov-CBPS-over</t>
  </si>
  <si>
    <t>QTE-0.1-Empcov-CBPS-Just</t>
  </si>
  <si>
    <t>QTE-0.1-Empcov-CBPS-over</t>
  </si>
  <si>
    <t>QTE-0.25-Empcov-CBPS-Just</t>
  </si>
  <si>
    <t>QTE-0.25-Empcov-CBPS-over</t>
  </si>
  <si>
    <t>QTE-0.5-Empcov-CBPS-Just</t>
  </si>
  <si>
    <t>QTE-0.5-Empcov-CBPS-over</t>
  </si>
  <si>
    <t>QTE-0.75-Empcov-CBPS-Just</t>
  </si>
  <si>
    <t>QTE-0.75-Empcov-CBPS-over</t>
  </si>
  <si>
    <t>QTE-0.9-Empcov-CBPS-Just</t>
  </si>
  <si>
    <t>QTE-0.9-Empcov-CBPS-over</t>
  </si>
  <si>
    <t>ATE-ASSD-IPS-exp</t>
  </si>
  <si>
    <t>ATE-ASSD-IPS-ind</t>
  </si>
  <si>
    <t>ATE-ASSD-IPS-proj</t>
  </si>
  <si>
    <t>ATE-ASSD-CBPS-Just</t>
  </si>
  <si>
    <t>ATE-ASSD-CBPS-over</t>
  </si>
  <si>
    <t>ATE-ASSD-GLM</t>
  </si>
  <si>
    <t>QTE-0.1-ASSD-IPS-exp</t>
  </si>
  <si>
    <t>QTE-0.1-ASSD-IPS-ind</t>
  </si>
  <si>
    <t>QTE-0.1-ASSD-IPS-proj</t>
  </si>
  <si>
    <t>QTE-0.1-ASSD-CBPS-Just</t>
  </si>
  <si>
    <t>QTE-0.1-ASSD-CBPS-over</t>
  </si>
  <si>
    <t>QTE-0.1-ASSD-GLM</t>
  </si>
  <si>
    <t>QTE-0.25-ASSD-IPS-exp</t>
  </si>
  <si>
    <t>QTE-0.25-ASSD-IPS-ind</t>
  </si>
  <si>
    <t>QTE-0.25-ASSD-IPS-proj</t>
  </si>
  <si>
    <t>QTE-0.25-ASSD-CBPS-Just</t>
  </si>
  <si>
    <t>QTE-0.25-ASSD-CBPS-over</t>
  </si>
  <si>
    <t>QTE-0.25-ASSD-GLM</t>
  </si>
  <si>
    <t>QTE-0.5-ASSD-IPS-exp</t>
  </si>
  <si>
    <t>QTE-0.5-ASSD-IPS-ind</t>
  </si>
  <si>
    <t>QTE-0.5-ASSD-IPS-proj</t>
  </si>
  <si>
    <t>QTE-0.5-ASSD-CBPS-Just</t>
  </si>
  <si>
    <t>QTE-0.5-ASSD-CBPS-over</t>
  </si>
  <si>
    <t>QTE-0.5-ASSD-GLM</t>
  </si>
  <si>
    <t>QTE-0.75-ASSD-IPS-exp</t>
  </si>
  <si>
    <t>QTE-0.75-ASSD-IPS-ind</t>
  </si>
  <si>
    <t>QTE-0.75-ASSD-IPS-proj</t>
  </si>
  <si>
    <t>QTE-0.75-ASSD-CBPS-Just</t>
  </si>
  <si>
    <t>QTE-0.75-ASSD-CBPS-over</t>
  </si>
  <si>
    <t>QTE-0.75-ASSD-GLM</t>
  </si>
  <si>
    <t>QTE-0.9-ASSD-IPS-exp</t>
  </si>
  <si>
    <t>QTE-0.9-ASSD-IPS-ind</t>
  </si>
  <si>
    <t>QTE-0.9-ASSD-IPS-proj</t>
  </si>
  <si>
    <t>QTE-0.9-ASSD-CBPS-Just</t>
  </si>
  <si>
    <t>QTE-0.9-ASSD-CBPS-over</t>
  </si>
  <si>
    <t>QTE-0.9-ASSD-GLM</t>
  </si>
  <si>
    <t>ATE-bias-CBPS-just</t>
  </si>
  <si>
    <t>ATE-bias-CBPS-over</t>
  </si>
  <si>
    <t>QTE-0.10-bias-CBPS-Just</t>
  </si>
  <si>
    <t>QTE-0.10-bias-CBPS-over</t>
  </si>
  <si>
    <t>QTE-0.25-bias-CBPS-Just</t>
  </si>
  <si>
    <t>QTE-0.25-bias-CBPS-over</t>
  </si>
  <si>
    <t>QTE-0.5-bias-CBPS-Just</t>
  </si>
  <si>
    <t>QTE-0.5-bias-CBPS-over</t>
  </si>
  <si>
    <t>QTE-0.75-bias-CBPS-Just</t>
  </si>
  <si>
    <t>QTE-0.75-bias-CBPS-over</t>
  </si>
  <si>
    <t>QTE-0.9-bias-CBPS-Just</t>
  </si>
  <si>
    <t>QTE-0.9-bias-CBPS-over</t>
  </si>
  <si>
    <t>ATE-RMSE-CBPS-Just</t>
  </si>
  <si>
    <t>ATE-RMSE-CBPS-over</t>
  </si>
  <si>
    <t>QTE-0.10-RMSE-CBPS-Just</t>
  </si>
  <si>
    <t>QTE-0.10-RMSE-CBPS-over</t>
  </si>
  <si>
    <t>QTE-0.25-RMSE-CBPS-Just</t>
  </si>
  <si>
    <t>QTE-0.25-RMSE-CBPS-over</t>
  </si>
  <si>
    <t>QTE-0.5-RMSE-CBPS-Just</t>
  </si>
  <si>
    <t>QTE-0.5-RMSE-CBPS-over</t>
  </si>
  <si>
    <t>QTE-0.75-RMSE-CBPS-Just</t>
  </si>
  <si>
    <t>QTE-0.75-RMSE-CBPS-over</t>
  </si>
  <si>
    <t>QTE-0.9-RMSE-CBPS-Just</t>
  </si>
  <si>
    <t>QTE-0.9-RMSE-CBPS-over</t>
  </si>
  <si>
    <t>Asy. Std Dev</t>
  </si>
  <si>
    <t>n=200 correctly specified row</t>
  </si>
  <si>
    <t>n=200 misspecified specified row</t>
  </si>
  <si>
    <t>relMSE</t>
  </si>
  <si>
    <t>nrep</t>
  </si>
  <si>
    <t>dgp (1: correct, 2:misspec)</t>
  </si>
  <si>
    <t>ks-IPS-exp</t>
  </si>
  <si>
    <t>ks-IPS-ind</t>
  </si>
  <si>
    <t>ks-IPS-proj</t>
  </si>
  <si>
    <t>ks-CBPS-Just</t>
  </si>
  <si>
    <t>ks-CBPS-over</t>
  </si>
  <si>
    <t>ks-GLM</t>
  </si>
  <si>
    <t>ks-IPS-exp_1</t>
  </si>
  <si>
    <t>ks-IPS-ind_1</t>
  </si>
  <si>
    <t>ks-IPS-proj_1</t>
  </si>
  <si>
    <t>ks-CBPS-Just_1</t>
  </si>
  <si>
    <t>ks-CBPS-over_1</t>
  </si>
  <si>
    <t>ks-GLM_1</t>
  </si>
  <si>
    <t>ks-IPS-exp_0</t>
  </si>
  <si>
    <t>ks-IPS-ind_0</t>
  </si>
  <si>
    <t>ks-IPS-proj_0</t>
  </si>
  <si>
    <t>ks-CBPS-Just_0</t>
  </si>
  <si>
    <t>ks-CBPS-over_0</t>
  </si>
  <si>
    <t>ks-GLM_0</t>
  </si>
  <si>
    <t>cvm-IPS-exp</t>
  </si>
  <si>
    <t>cvm-IPS-ind</t>
  </si>
  <si>
    <t>cvm-IPS-proj</t>
  </si>
  <si>
    <t>cvm-CBPS-Just</t>
  </si>
  <si>
    <t>cvm-CBPS-over</t>
  </si>
  <si>
    <t>cvm-GLM</t>
  </si>
  <si>
    <t>cvm-IPS-exp_1</t>
  </si>
  <si>
    <t>cvm-IPS-ind_1</t>
  </si>
  <si>
    <t>cvm-IPS-proj_1</t>
  </si>
  <si>
    <t>cvm-CBPS-Just_1</t>
  </si>
  <si>
    <t>cvm-CBPS-over_1</t>
  </si>
  <si>
    <t>cvm-GLM_1</t>
  </si>
  <si>
    <t>cvm-IPS-exp_0</t>
  </si>
  <si>
    <t>cvm-IPS-ind_0</t>
  </si>
  <si>
    <t>cvm-IPS-proj_0</t>
  </si>
  <si>
    <t>cvm-CBPS-Just_0</t>
  </si>
  <si>
    <t>cvm-CBPS-over_0</t>
  </si>
  <si>
    <t>cvm-GLM_0</t>
  </si>
  <si>
    <t>QTE-0.10</t>
  </si>
  <si>
    <t>QTE-0.90</t>
  </si>
  <si>
    <t>KS_bal</t>
  </si>
  <si>
    <t>CvM_bal</t>
  </si>
  <si>
    <t>KS_bal1</t>
  </si>
  <si>
    <t>CvM_bal1</t>
  </si>
  <si>
    <t>KS_bal0</t>
  </si>
  <si>
    <t>CvM_bal0</t>
  </si>
  <si>
    <t>n=500 correctly specified row</t>
  </si>
  <si>
    <t>n=500 misspecified specified row</t>
  </si>
  <si>
    <t>n=1000 correctly specified row</t>
  </si>
  <si>
    <t>n=1000 misspecified specified row</t>
  </si>
  <si>
    <t>Absolute Distributional Imbalance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</si>
</sst>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10" xfId="0" applyFill="1" applyBorder="1"/>
    <xf numFmtId="0" fontId="0" fillId="0" borderId="0" xfId="0" applyFill="1" applyBorder="1"/>
    <xf numFmtId="164" fontId="0" fillId="0" borderId="0" xfId="0" applyNumberFormat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6" fillId="33" borderId="0" xfId="0" applyFont="1" applyFill="1"/>
    <xf numFmtId="0" fontId="0" fillId="0" borderId="0" xfId="0" applyFill="1" applyAlignment="1">
      <alignment horizontal="center"/>
    </xf>
    <xf numFmtId="2" fontId="0" fillId="0" borderId="0" xfId="0" applyNumberFormat="1"/>
    <xf numFmtId="164" fontId="0" fillId="0" borderId="10" xfId="0" applyNumberFormat="1" applyBorder="1"/>
    <xf numFmtId="2" fontId="0" fillId="0" borderId="10" xfId="0" applyNumberFormat="1" applyBorder="1"/>
    <xf numFmtId="1" fontId="0" fillId="0" borderId="0" xfId="0" applyNumberFormat="1" applyFill="1"/>
    <xf numFmtId="0" fontId="0" fillId="0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7"/>
  <sheetViews>
    <sheetView workbookViewId="0">
      <selection sqref="A1:BX7"/>
    </sheetView>
  </sheetViews>
  <sheetFormatPr defaultRowHeight="14.25" x14ac:dyDescent="0.45"/>
  <sheetData>
    <row r="1" spans="1:76" x14ac:dyDescent="0.45">
      <c r="B1" t="s">
        <v>168</v>
      </c>
      <c r="C1" t="s">
        <v>7</v>
      </c>
      <c r="D1" t="s">
        <v>169</v>
      </c>
      <c r="E1" t="s">
        <v>40</v>
      </c>
      <c r="F1" t="s">
        <v>41</v>
      </c>
      <c r="G1" t="s">
        <v>42</v>
      </c>
      <c r="H1" t="s">
        <v>92</v>
      </c>
      <c r="I1" t="s">
        <v>93</v>
      </c>
      <c r="J1" t="s">
        <v>43</v>
      </c>
      <c r="K1" t="s">
        <v>63</v>
      </c>
      <c r="L1" t="s">
        <v>64</v>
      </c>
      <c r="M1" t="s">
        <v>65</v>
      </c>
      <c r="N1" t="s">
        <v>94</v>
      </c>
      <c r="O1" t="s">
        <v>95</v>
      </c>
      <c r="P1" t="s">
        <v>66</v>
      </c>
      <c r="Q1" t="s">
        <v>44</v>
      </c>
      <c r="R1" t="s">
        <v>45</v>
      </c>
      <c r="S1" t="s">
        <v>46</v>
      </c>
      <c r="T1" t="s">
        <v>96</v>
      </c>
      <c r="U1" t="s">
        <v>97</v>
      </c>
      <c r="V1" t="s">
        <v>47</v>
      </c>
      <c r="W1" t="s">
        <v>50</v>
      </c>
      <c r="X1" t="s">
        <v>51</v>
      </c>
      <c r="Y1" t="s">
        <v>52</v>
      </c>
      <c r="Z1" t="s">
        <v>98</v>
      </c>
      <c r="AA1" t="s">
        <v>99</v>
      </c>
      <c r="AB1" t="s">
        <v>53</v>
      </c>
      <c r="AC1" t="s">
        <v>54</v>
      </c>
      <c r="AD1" t="s">
        <v>55</v>
      </c>
      <c r="AE1" t="s">
        <v>56</v>
      </c>
      <c r="AF1" t="s">
        <v>100</v>
      </c>
      <c r="AG1" t="s">
        <v>101</v>
      </c>
      <c r="AH1" t="s">
        <v>57</v>
      </c>
      <c r="AI1" t="s">
        <v>67</v>
      </c>
      <c r="AJ1" t="s">
        <v>68</v>
      </c>
      <c r="AK1" t="s">
        <v>69</v>
      </c>
      <c r="AL1" t="s">
        <v>102</v>
      </c>
      <c r="AM1" t="s">
        <v>103</v>
      </c>
      <c r="AN1" t="s">
        <v>70</v>
      </c>
      <c r="AO1" t="s">
        <v>104</v>
      </c>
      <c r="AP1" t="s">
        <v>105</v>
      </c>
      <c r="AQ1" t="s">
        <v>106</v>
      </c>
      <c r="AR1" t="s">
        <v>107</v>
      </c>
      <c r="AS1" t="s">
        <v>108</v>
      </c>
      <c r="AT1" t="s">
        <v>109</v>
      </c>
      <c r="AU1" t="s">
        <v>110</v>
      </c>
      <c r="AV1" t="s">
        <v>111</v>
      </c>
      <c r="AW1" t="s">
        <v>112</v>
      </c>
      <c r="AX1" t="s">
        <v>113</v>
      </c>
      <c r="AY1" t="s">
        <v>114</v>
      </c>
      <c r="AZ1" t="s">
        <v>115</v>
      </c>
      <c r="BA1" t="s">
        <v>116</v>
      </c>
      <c r="BB1" t="s">
        <v>117</v>
      </c>
      <c r="BC1" t="s">
        <v>118</v>
      </c>
      <c r="BD1" t="s">
        <v>119</v>
      </c>
      <c r="BE1" t="s">
        <v>120</v>
      </c>
      <c r="BF1" t="s">
        <v>121</v>
      </c>
      <c r="BG1" t="s">
        <v>122</v>
      </c>
      <c r="BH1" t="s">
        <v>123</v>
      </c>
      <c r="BI1" t="s">
        <v>124</v>
      </c>
      <c r="BJ1" t="s">
        <v>125</v>
      </c>
      <c r="BK1" t="s">
        <v>126</v>
      </c>
      <c r="BL1" t="s">
        <v>127</v>
      </c>
      <c r="BM1" t="s">
        <v>128</v>
      </c>
      <c r="BN1" t="s">
        <v>129</v>
      </c>
      <c r="BO1" t="s">
        <v>130</v>
      </c>
      <c r="BP1" t="s">
        <v>131</v>
      </c>
      <c r="BQ1" t="s">
        <v>132</v>
      </c>
      <c r="BR1" t="s">
        <v>133</v>
      </c>
      <c r="BS1" t="s">
        <v>134</v>
      </c>
      <c r="BT1" t="s">
        <v>135</v>
      </c>
      <c r="BU1" t="s">
        <v>136</v>
      </c>
      <c r="BV1" t="s">
        <v>137</v>
      </c>
      <c r="BW1" t="s">
        <v>138</v>
      </c>
      <c r="BX1" t="s">
        <v>139</v>
      </c>
    </row>
    <row r="2" spans="1:76" x14ac:dyDescent="0.45">
      <c r="A2">
        <v>1</v>
      </c>
      <c r="B2">
        <v>1000</v>
      </c>
      <c r="C2">
        <v>200</v>
      </c>
      <c r="D2">
        <v>1</v>
      </c>
      <c r="E2">
        <v>0.93799999999999994</v>
      </c>
      <c r="F2">
        <v>0.94199999999999995</v>
      </c>
      <c r="G2">
        <v>0.93100000000000005</v>
      </c>
      <c r="H2">
        <v>0.91700000000000004</v>
      </c>
      <c r="I2">
        <v>0.94299999999999995</v>
      </c>
      <c r="J2">
        <v>0.92900000000000005</v>
      </c>
      <c r="K2">
        <v>0.94799999999999995</v>
      </c>
      <c r="L2">
        <v>0.95299999999999996</v>
      </c>
      <c r="M2">
        <v>0.94899999999999995</v>
      </c>
      <c r="N2">
        <v>0.93600000000000005</v>
      </c>
      <c r="O2">
        <v>0.95699999999999996</v>
      </c>
      <c r="P2">
        <v>0.94499999999999995</v>
      </c>
      <c r="Q2">
        <v>0.95399999999999996</v>
      </c>
      <c r="R2">
        <v>0.96399999999999997</v>
      </c>
      <c r="S2">
        <v>0.95099999999999996</v>
      </c>
      <c r="T2">
        <v>0.95399999999999996</v>
      </c>
      <c r="U2">
        <v>0.95699999999999996</v>
      </c>
      <c r="V2">
        <v>0.94599999999999995</v>
      </c>
      <c r="W2">
        <v>0.94799999999999995</v>
      </c>
      <c r="X2">
        <v>0.95299999999999996</v>
      </c>
      <c r="Y2">
        <v>0.94799999999999995</v>
      </c>
      <c r="Z2">
        <v>0.93400000000000005</v>
      </c>
      <c r="AA2">
        <v>0.96</v>
      </c>
      <c r="AB2">
        <v>0.94199999999999995</v>
      </c>
      <c r="AC2">
        <v>0.92300000000000004</v>
      </c>
      <c r="AD2">
        <v>0.94099999999999995</v>
      </c>
      <c r="AE2">
        <v>0.92600000000000005</v>
      </c>
      <c r="AF2">
        <v>0.91600000000000004</v>
      </c>
      <c r="AG2">
        <v>0.94699999999999995</v>
      </c>
      <c r="AH2">
        <v>0.92400000000000004</v>
      </c>
      <c r="AI2">
        <v>0.85399999999999998</v>
      </c>
      <c r="AJ2">
        <v>0.88200000000000001</v>
      </c>
      <c r="AK2">
        <v>0.86799999999999999</v>
      </c>
      <c r="AL2">
        <v>0.81499999999999995</v>
      </c>
      <c r="AM2">
        <v>0.88800000000000001</v>
      </c>
      <c r="AN2">
        <v>0.81299999999999994</v>
      </c>
      <c r="AO2">
        <v>76.775388048687702</v>
      </c>
      <c r="AP2">
        <v>83.912014631761195</v>
      </c>
      <c r="AQ2">
        <v>75.1724605263569</v>
      </c>
      <c r="AR2">
        <v>79.958373550792203</v>
      </c>
      <c r="AS2">
        <v>84.301764383207498</v>
      </c>
      <c r="AT2">
        <v>88.106460669653799</v>
      </c>
      <c r="AU2">
        <v>112.16180442336299</v>
      </c>
      <c r="AV2">
        <v>120.57711141882599</v>
      </c>
      <c r="AW2">
        <v>111.753372710291</v>
      </c>
      <c r="AX2">
        <v>107.93661704147701</v>
      </c>
      <c r="AY2">
        <v>111.615904809423</v>
      </c>
      <c r="AZ2">
        <v>108.34354904726401</v>
      </c>
      <c r="BA2">
        <v>99.394983756964905</v>
      </c>
      <c r="BB2">
        <v>107.902945614711</v>
      </c>
      <c r="BC2">
        <v>98.486546766978506</v>
      </c>
      <c r="BD2">
        <v>97.933577859193704</v>
      </c>
      <c r="BE2">
        <v>100.79973858418199</v>
      </c>
      <c r="BF2">
        <v>100.103706188489</v>
      </c>
      <c r="BG2">
        <v>99.7085130234357</v>
      </c>
      <c r="BH2">
        <v>105.855425226091</v>
      </c>
      <c r="BI2">
        <v>98.121942850592703</v>
      </c>
      <c r="BJ2">
        <v>103.773068732987</v>
      </c>
      <c r="BK2">
        <v>106.17751716869</v>
      </c>
      <c r="BL2">
        <v>109.754361901366</v>
      </c>
      <c r="BM2">
        <v>117.523370580777</v>
      </c>
      <c r="BN2">
        <v>120.086499987338</v>
      </c>
      <c r="BO2">
        <v>114.354378024525</v>
      </c>
      <c r="BP2">
        <v>125.863578215307</v>
      </c>
      <c r="BQ2">
        <v>127.963590758737</v>
      </c>
      <c r="BR2">
        <v>138.27591680396199</v>
      </c>
      <c r="BS2">
        <v>150.356407078166</v>
      </c>
      <c r="BT2">
        <v>150.345558402515</v>
      </c>
      <c r="BU2">
        <v>147.029003738781</v>
      </c>
      <c r="BV2">
        <v>152.452566611436</v>
      </c>
      <c r="BW2">
        <v>160.15312220466501</v>
      </c>
      <c r="BX2">
        <v>160.32297788854399</v>
      </c>
    </row>
    <row r="3" spans="1:76" x14ac:dyDescent="0.45">
      <c r="A3">
        <v>2</v>
      </c>
      <c r="B3">
        <v>1000</v>
      </c>
      <c r="C3">
        <v>200</v>
      </c>
      <c r="D3">
        <v>2</v>
      </c>
      <c r="E3">
        <v>0.92400000000000004</v>
      </c>
      <c r="F3">
        <v>0.95199999999999996</v>
      </c>
      <c r="G3">
        <v>0.95499999999999996</v>
      </c>
      <c r="H3">
        <v>0.89800000000000002</v>
      </c>
      <c r="I3">
        <v>0.93899999999999995</v>
      </c>
      <c r="J3">
        <v>0.89800000000000002</v>
      </c>
      <c r="K3">
        <v>0.91700000000000004</v>
      </c>
      <c r="L3">
        <v>0.95099999999999996</v>
      </c>
      <c r="M3">
        <v>0.98199999999999998</v>
      </c>
      <c r="N3">
        <v>0.90500000000000003</v>
      </c>
      <c r="O3">
        <v>0.94499999999999995</v>
      </c>
      <c r="P3">
        <v>0.93300000000000005</v>
      </c>
      <c r="Q3">
        <v>0.94</v>
      </c>
      <c r="R3">
        <v>0.96</v>
      </c>
      <c r="S3">
        <v>0.97699999999999998</v>
      </c>
      <c r="T3">
        <v>0.93600000000000005</v>
      </c>
      <c r="U3">
        <v>0.95</v>
      </c>
      <c r="V3">
        <v>0.94399999999999995</v>
      </c>
      <c r="W3">
        <v>0.95499999999999996</v>
      </c>
      <c r="X3">
        <v>0.95499999999999996</v>
      </c>
      <c r="Y3">
        <v>0.97299999999999998</v>
      </c>
      <c r="Z3">
        <v>0.93500000000000005</v>
      </c>
      <c r="AA3">
        <v>0.95699999999999996</v>
      </c>
      <c r="AB3">
        <v>0.92600000000000005</v>
      </c>
      <c r="AC3">
        <v>0.89300000000000002</v>
      </c>
      <c r="AD3">
        <v>0.92700000000000005</v>
      </c>
      <c r="AE3">
        <v>0.95</v>
      </c>
      <c r="AF3">
        <v>0.87</v>
      </c>
      <c r="AG3">
        <v>0.92900000000000005</v>
      </c>
      <c r="AH3">
        <v>0.85</v>
      </c>
      <c r="AI3">
        <v>0.78700000000000003</v>
      </c>
      <c r="AJ3">
        <v>0.85299999999999998</v>
      </c>
      <c r="AK3">
        <v>0.92600000000000005</v>
      </c>
      <c r="AL3">
        <v>0.76</v>
      </c>
      <c r="AM3">
        <v>0.84199999999999997</v>
      </c>
      <c r="AN3">
        <v>0.69099999999999995</v>
      </c>
      <c r="AO3">
        <v>74.975582369505304</v>
      </c>
      <c r="AP3">
        <v>90.134395020252597</v>
      </c>
      <c r="AQ3">
        <v>81.396339345301797</v>
      </c>
      <c r="AR3">
        <v>76.988268673690897</v>
      </c>
      <c r="AS3">
        <v>83.918628178097094</v>
      </c>
      <c r="AT3">
        <v>96.433956518245296</v>
      </c>
      <c r="AU3">
        <v>114.500936728003</v>
      </c>
      <c r="AV3">
        <v>130.59433387171899</v>
      </c>
      <c r="AW3">
        <v>153.730357668718</v>
      </c>
      <c r="AX3">
        <v>112.62097158772301</v>
      </c>
      <c r="AY3">
        <v>114.745269597671</v>
      </c>
      <c r="AZ3">
        <v>119.34562155418701</v>
      </c>
      <c r="BA3">
        <v>98.234780361087005</v>
      </c>
      <c r="BB3">
        <v>109.83109729178901</v>
      </c>
      <c r="BC3">
        <v>121.554619984098</v>
      </c>
      <c r="BD3">
        <v>98.824644140655806</v>
      </c>
      <c r="BE3">
        <v>100.94106296919099</v>
      </c>
      <c r="BF3">
        <v>111.262815363074</v>
      </c>
      <c r="BG3">
        <v>97.737687322076994</v>
      </c>
      <c r="BH3">
        <v>107.98890068306601</v>
      </c>
      <c r="BI3">
        <v>103.731645048994</v>
      </c>
      <c r="BJ3">
        <v>101.078085485629</v>
      </c>
      <c r="BK3">
        <v>105.003186507813</v>
      </c>
      <c r="BL3">
        <v>125.092469516379</v>
      </c>
      <c r="BM3">
        <v>113.346110474398</v>
      </c>
      <c r="BN3">
        <v>129.43341842620299</v>
      </c>
      <c r="BO3">
        <v>126.42217343481801</v>
      </c>
      <c r="BP3">
        <v>118.992381587384</v>
      </c>
      <c r="BQ3">
        <v>126.286633503365</v>
      </c>
      <c r="BR3">
        <v>144.17759956655101</v>
      </c>
      <c r="BS3">
        <v>145.784827072327</v>
      </c>
      <c r="BT3">
        <v>168.382711731717</v>
      </c>
      <c r="BU3">
        <v>185.330328397118</v>
      </c>
      <c r="BV3">
        <v>144.05097315162001</v>
      </c>
      <c r="BW3">
        <v>155.805867564815</v>
      </c>
      <c r="BX3">
        <v>139.83064671664201</v>
      </c>
    </row>
    <row r="4" spans="1:76" x14ac:dyDescent="0.45">
      <c r="A4">
        <v>3</v>
      </c>
      <c r="B4">
        <v>1000</v>
      </c>
      <c r="C4">
        <v>500</v>
      </c>
      <c r="D4">
        <v>1</v>
      </c>
      <c r="E4">
        <v>0.94499999999999995</v>
      </c>
      <c r="F4">
        <v>0.96699999999999997</v>
      </c>
      <c r="G4">
        <v>0.94399999999999995</v>
      </c>
      <c r="H4">
        <v>0.93300000000000005</v>
      </c>
      <c r="I4">
        <v>0.95</v>
      </c>
      <c r="J4">
        <v>0.94199999999999995</v>
      </c>
      <c r="K4">
        <v>0.95499999999999996</v>
      </c>
      <c r="L4">
        <v>0.96</v>
      </c>
      <c r="M4">
        <v>0.95199999999999996</v>
      </c>
      <c r="N4">
        <v>0.95599999999999996</v>
      </c>
      <c r="O4">
        <v>0.95899999999999996</v>
      </c>
      <c r="P4">
        <v>0.96</v>
      </c>
      <c r="Q4">
        <v>0.95399999999999996</v>
      </c>
      <c r="R4">
        <v>0.96699999999999997</v>
      </c>
      <c r="S4">
        <v>0.95699999999999996</v>
      </c>
      <c r="T4">
        <v>0.95599999999999996</v>
      </c>
      <c r="U4">
        <v>0.96899999999999997</v>
      </c>
      <c r="V4">
        <v>0.95399999999999996</v>
      </c>
      <c r="W4">
        <v>0.94299999999999995</v>
      </c>
      <c r="X4">
        <v>0.96199999999999997</v>
      </c>
      <c r="Y4">
        <v>0.94</v>
      </c>
      <c r="Z4">
        <v>0.93700000000000006</v>
      </c>
      <c r="AA4">
        <v>0.95299999999999996</v>
      </c>
      <c r="AB4">
        <v>0.94599999999999995</v>
      </c>
      <c r="AC4">
        <v>0.94</v>
      </c>
      <c r="AD4">
        <v>0.94699999999999995</v>
      </c>
      <c r="AE4">
        <v>0.94099999999999995</v>
      </c>
      <c r="AF4">
        <v>0.93300000000000005</v>
      </c>
      <c r="AG4">
        <v>0.95</v>
      </c>
      <c r="AH4">
        <v>0.94</v>
      </c>
      <c r="AI4">
        <v>0.93400000000000005</v>
      </c>
      <c r="AJ4">
        <v>0.95</v>
      </c>
      <c r="AK4">
        <v>0.93600000000000005</v>
      </c>
      <c r="AL4">
        <v>0.92600000000000005</v>
      </c>
      <c r="AM4">
        <v>0.94899999999999995</v>
      </c>
      <c r="AN4">
        <v>0.91900000000000004</v>
      </c>
      <c r="AO4">
        <v>80.266160715349798</v>
      </c>
      <c r="AP4">
        <v>88.487968127541905</v>
      </c>
      <c r="AQ4">
        <v>78.853526982952999</v>
      </c>
      <c r="AR4">
        <v>85.504181581400303</v>
      </c>
      <c r="AS4">
        <v>88.6056859268663</v>
      </c>
      <c r="AT4">
        <v>93.908474335827904</v>
      </c>
      <c r="AU4">
        <v>110.782936559132</v>
      </c>
      <c r="AV4">
        <v>122.290723686375</v>
      </c>
      <c r="AW4">
        <v>110.811623624821</v>
      </c>
      <c r="AX4">
        <v>107.175229656189</v>
      </c>
      <c r="AY4">
        <v>110.01786652239799</v>
      </c>
      <c r="AZ4">
        <v>107.837858856869</v>
      </c>
      <c r="BA4">
        <v>98.163118369398703</v>
      </c>
      <c r="BB4">
        <v>110.20399794957</v>
      </c>
      <c r="BC4">
        <v>97.992207081969596</v>
      </c>
      <c r="BD4">
        <v>97.340619128018503</v>
      </c>
      <c r="BE4">
        <v>99.861165631711501</v>
      </c>
      <c r="BF4">
        <v>99.584017199850805</v>
      </c>
      <c r="BG4">
        <v>100.326899879715</v>
      </c>
      <c r="BH4">
        <v>109.244234207538</v>
      </c>
      <c r="BI4">
        <v>99.387571122346202</v>
      </c>
      <c r="BJ4">
        <v>105.088427558357</v>
      </c>
      <c r="BK4">
        <v>106.835022691359</v>
      </c>
      <c r="BL4">
        <v>110.456939455078</v>
      </c>
      <c r="BM4">
        <v>123.50178083886</v>
      </c>
      <c r="BN4">
        <v>125.840389522339</v>
      </c>
      <c r="BO4">
        <v>121.098129772116</v>
      </c>
      <c r="BP4">
        <v>132.29679348178601</v>
      </c>
      <c r="BQ4">
        <v>132.502689521376</v>
      </c>
      <c r="BR4">
        <v>142.91403302565999</v>
      </c>
      <c r="BS4">
        <v>175.744341674211</v>
      </c>
      <c r="BT4">
        <v>169.77340366773399</v>
      </c>
      <c r="BU4">
        <v>170.99927651942301</v>
      </c>
      <c r="BV4">
        <v>183.28313764437399</v>
      </c>
      <c r="BW4">
        <v>180.623617621763</v>
      </c>
      <c r="BX4">
        <v>199.24185756908699</v>
      </c>
    </row>
    <row r="5" spans="1:76" x14ac:dyDescent="0.45">
      <c r="A5">
        <v>4</v>
      </c>
      <c r="B5">
        <v>1000</v>
      </c>
      <c r="C5">
        <v>500</v>
      </c>
      <c r="D5">
        <v>2</v>
      </c>
      <c r="E5">
        <v>0.92100000000000004</v>
      </c>
      <c r="F5">
        <v>0.94699999999999995</v>
      </c>
      <c r="G5">
        <v>0.96099999999999997</v>
      </c>
      <c r="H5">
        <v>0.874</v>
      </c>
      <c r="I5">
        <v>0.92700000000000005</v>
      </c>
      <c r="J5">
        <v>0.86299999999999999</v>
      </c>
      <c r="K5">
        <v>0.871</v>
      </c>
      <c r="L5">
        <v>0.94099999999999995</v>
      </c>
      <c r="M5">
        <v>0.98899999999999999</v>
      </c>
      <c r="N5">
        <v>0.89400000000000002</v>
      </c>
      <c r="O5">
        <v>0.91900000000000004</v>
      </c>
      <c r="P5">
        <v>0.93600000000000005</v>
      </c>
      <c r="Q5">
        <v>0.92900000000000005</v>
      </c>
      <c r="R5">
        <v>0.96799999999999997</v>
      </c>
      <c r="S5">
        <v>0.98399999999999999</v>
      </c>
      <c r="T5">
        <v>0.94499999999999995</v>
      </c>
      <c r="U5">
        <v>0.95299999999999996</v>
      </c>
      <c r="V5">
        <v>0.95599999999999996</v>
      </c>
      <c r="W5">
        <v>0.93799999999999994</v>
      </c>
      <c r="X5">
        <v>0.95499999999999996</v>
      </c>
      <c r="Y5">
        <v>0.96</v>
      </c>
      <c r="Z5">
        <v>0.92500000000000004</v>
      </c>
      <c r="AA5">
        <v>0.94699999999999995</v>
      </c>
      <c r="AB5">
        <v>0.89800000000000002</v>
      </c>
      <c r="AC5">
        <v>0.82799999999999996</v>
      </c>
      <c r="AD5">
        <v>0.89100000000000001</v>
      </c>
      <c r="AE5">
        <v>0.96199999999999997</v>
      </c>
      <c r="AF5">
        <v>0.79200000000000004</v>
      </c>
      <c r="AG5">
        <v>0.86699999999999999</v>
      </c>
      <c r="AH5">
        <v>0.78100000000000003</v>
      </c>
      <c r="AI5">
        <v>0.76</v>
      </c>
      <c r="AJ5">
        <v>0.875</v>
      </c>
      <c r="AK5">
        <v>0.95799999999999996</v>
      </c>
      <c r="AL5">
        <v>0.71699999999999997</v>
      </c>
      <c r="AM5">
        <v>0.82299999999999995</v>
      </c>
      <c r="AN5">
        <v>0.66300000000000003</v>
      </c>
      <c r="AO5">
        <v>78.472971142880297</v>
      </c>
      <c r="AP5">
        <v>101.116747359301</v>
      </c>
      <c r="AQ5">
        <v>85.766359333918402</v>
      </c>
      <c r="AR5">
        <v>79.583761863068304</v>
      </c>
      <c r="AS5">
        <v>91.541220481640707</v>
      </c>
      <c r="AT5">
        <v>116.948548055488</v>
      </c>
      <c r="AU5">
        <v>112.923263222465</v>
      </c>
      <c r="AV5">
        <v>130.128867568244</v>
      </c>
      <c r="AW5">
        <v>170.275360086002</v>
      </c>
      <c r="AX5">
        <v>110.61095381120499</v>
      </c>
      <c r="AY5">
        <v>112.464983548034</v>
      </c>
      <c r="AZ5">
        <v>115.68780196723</v>
      </c>
      <c r="BA5">
        <v>97.030526752334595</v>
      </c>
      <c r="BB5">
        <v>111.52441340244199</v>
      </c>
      <c r="BC5">
        <v>130.69863994876499</v>
      </c>
      <c r="BD5">
        <v>96.936713797892395</v>
      </c>
      <c r="BE5">
        <v>100.263215262152</v>
      </c>
      <c r="BF5">
        <v>114.518098377431</v>
      </c>
      <c r="BG5">
        <v>97.889015428149605</v>
      </c>
      <c r="BH5">
        <v>113.016265381583</v>
      </c>
      <c r="BI5">
        <v>103.32006368197899</v>
      </c>
      <c r="BJ5">
        <v>100.141130596956</v>
      </c>
      <c r="BK5">
        <v>107.580571848066</v>
      </c>
      <c r="BL5">
        <v>141.81328286585099</v>
      </c>
      <c r="BM5">
        <v>118.441049534855</v>
      </c>
      <c r="BN5">
        <v>141.63375230486201</v>
      </c>
      <c r="BO5">
        <v>137.611473966159</v>
      </c>
      <c r="BP5">
        <v>121.726049220739</v>
      </c>
      <c r="BQ5">
        <v>136.34327213981101</v>
      </c>
      <c r="BR5">
        <v>176.06868112529699</v>
      </c>
      <c r="BS5">
        <v>174.43010697661899</v>
      </c>
      <c r="BT5">
        <v>211.940788511694</v>
      </c>
      <c r="BU5">
        <v>228.82007955523201</v>
      </c>
      <c r="BV5">
        <v>171.46626694315</v>
      </c>
      <c r="BW5">
        <v>191.94895199693701</v>
      </c>
      <c r="BX5">
        <v>198.23919942604601</v>
      </c>
    </row>
    <row r="6" spans="1:76" x14ac:dyDescent="0.45">
      <c r="A6">
        <v>5</v>
      </c>
      <c r="B6">
        <v>1000</v>
      </c>
      <c r="C6">
        <v>1000</v>
      </c>
      <c r="D6">
        <v>1</v>
      </c>
      <c r="E6">
        <v>0.93899999999999995</v>
      </c>
      <c r="F6">
        <v>0.97199999999999998</v>
      </c>
      <c r="G6">
        <v>0.94</v>
      </c>
      <c r="H6">
        <v>0.93500000000000005</v>
      </c>
      <c r="I6">
        <v>0.94699999999999995</v>
      </c>
      <c r="J6">
        <v>0.94199999999999995</v>
      </c>
      <c r="K6">
        <v>0.95299999999999996</v>
      </c>
      <c r="L6">
        <v>0.95399999999999996</v>
      </c>
      <c r="M6">
        <v>0.95299999999999996</v>
      </c>
      <c r="N6">
        <v>0.95399999999999996</v>
      </c>
      <c r="O6">
        <v>0.95499999999999996</v>
      </c>
      <c r="P6">
        <v>0.94599999999999995</v>
      </c>
      <c r="Q6">
        <v>0.94799999999999995</v>
      </c>
      <c r="R6">
        <v>0.96399999999999997</v>
      </c>
      <c r="S6">
        <v>0.94299999999999995</v>
      </c>
      <c r="T6">
        <v>0.94899999999999995</v>
      </c>
      <c r="U6">
        <v>0.95799999999999996</v>
      </c>
      <c r="V6">
        <v>0.95199999999999996</v>
      </c>
      <c r="W6">
        <v>0.95299999999999996</v>
      </c>
      <c r="X6">
        <v>0.97199999999999998</v>
      </c>
      <c r="Y6">
        <v>0.95099999999999996</v>
      </c>
      <c r="Z6">
        <v>0.95499999999999996</v>
      </c>
      <c r="AA6">
        <v>0.95399999999999996</v>
      </c>
      <c r="AB6">
        <v>0.95299999999999996</v>
      </c>
      <c r="AC6">
        <v>0.93600000000000005</v>
      </c>
      <c r="AD6">
        <v>0.95699999999999996</v>
      </c>
      <c r="AE6">
        <v>0.93400000000000005</v>
      </c>
      <c r="AF6">
        <v>0.93200000000000005</v>
      </c>
      <c r="AG6">
        <v>0.94499999999999995</v>
      </c>
      <c r="AH6">
        <v>0.94</v>
      </c>
      <c r="AI6">
        <v>0.93200000000000005</v>
      </c>
      <c r="AJ6">
        <v>0.94699999999999995</v>
      </c>
      <c r="AK6">
        <v>0.93400000000000005</v>
      </c>
      <c r="AL6">
        <v>0.93</v>
      </c>
      <c r="AM6">
        <v>0.94299999999999995</v>
      </c>
      <c r="AN6">
        <v>0.93700000000000006</v>
      </c>
      <c r="AO6">
        <v>81.817498456756496</v>
      </c>
      <c r="AP6">
        <v>90.821368794261602</v>
      </c>
      <c r="AQ6">
        <v>80.474317267103203</v>
      </c>
      <c r="AR6">
        <v>87.964564468295094</v>
      </c>
      <c r="AS6">
        <v>91.362563618070297</v>
      </c>
      <c r="AT6">
        <v>95.033968395456199</v>
      </c>
      <c r="AU6">
        <v>111.37034173656301</v>
      </c>
      <c r="AV6">
        <v>124.97898714868199</v>
      </c>
      <c r="AW6">
        <v>111.618448114052</v>
      </c>
      <c r="AX6">
        <v>107.932729805311</v>
      </c>
      <c r="AY6">
        <v>110.42413094092799</v>
      </c>
      <c r="AZ6">
        <v>108.620398100893</v>
      </c>
      <c r="BA6">
        <v>97.817854798549106</v>
      </c>
      <c r="BB6">
        <v>112.55904106585101</v>
      </c>
      <c r="BC6">
        <v>97.894629594000406</v>
      </c>
      <c r="BD6">
        <v>97.219388346413893</v>
      </c>
      <c r="BE6">
        <v>100.12167670747201</v>
      </c>
      <c r="BF6">
        <v>99.351856644293207</v>
      </c>
      <c r="BG6">
        <v>100.022915380135</v>
      </c>
      <c r="BH6">
        <v>111.157988670599</v>
      </c>
      <c r="BI6">
        <v>99.336412114891104</v>
      </c>
      <c r="BJ6">
        <v>105.118558808345</v>
      </c>
      <c r="BK6">
        <v>107.45928152559</v>
      </c>
      <c r="BL6">
        <v>109.598229829658</v>
      </c>
      <c r="BM6">
        <v>125.86516833486399</v>
      </c>
      <c r="BN6">
        <v>128.620109845689</v>
      </c>
      <c r="BO6">
        <v>123.896075389578</v>
      </c>
      <c r="BP6">
        <v>134.980590075565</v>
      </c>
      <c r="BQ6">
        <v>135.85865296948401</v>
      </c>
      <c r="BR6">
        <v>142.99278095455199</v>
      </c>
      <c r="BS6">
        <v>185.26758611266399</v>
      </c>
      <c r="BT6">
        <v>177.63625048279499</v>
      </c>
      <c r="BU6">
        <v>181.67197395895201</v>
      </c>
      <c r="BV6">
        <v>192.69625760923699</v>
      </c>
      <c r="BW6">
        <v>191.786913658526</v>
      </c>
      <c r="BX6">
        <v>207.406099464444</v>
      </c>
    </row>
    <row r="7" spans="1:76" x14ac:dyDescent="0.45">
      <c r="A7">
        <v>6</v>
      </c>
      <c r="B7">
        <v>1000</v>
      </c>
      <c r="C7">
        <v>1000</v>
      </c>
      <c r="D7">
        <v>2</v>
      </c>
      <c r="E7">
        <v>0.874</v>
      </c>
      <c r="F7">
        <v>0.93700000000000006</v>
      </c>
      <c r="G7">
        <v>0.96299999999999997</v>
      </c>
      <c r="H7">
        <v>0.79900000000000004</v>
      </c>
      <c r="I7">
        <v>0.875</v>
      </c>
      <c r="J7">
        <v>0.75600000000000001</v>
      </c>
      <c r="K7">
        <v>0.79</v>
      </c>
      <c r="L7">
        <v>0.91</v>
      </c>
      <c r="M7">
        <v>0.98199999999999998</v>
      </c>
      <c r="N7">
        <v>0.83799999999999997</v>
      </c>
      <c r="O7">
        <v>0.88700000000000001</v>
      </c>
      <c r="P7">
        <v>0.91600000000000004</v>
      </c>
      <c r="Q7">
        <v>0.89100000000000001</v>
      </c>
      <c r="R7">
        <v>0.96299999999999997</v>
      </c>
      <c r="S7">
        <v>0.97699999999999998</v>
      </c>
      <c r="T7">
        <v>0.92900000000000005</v>
      </c>
      <c r="U7">
        <v>0.94499999999999995</v>
      </c>
      <c r="V7">
        <v>0.95</v>
      </c>
      <c r="W7">
        <v>0.94199999999999995</v>
      </c>
      <c r="X7">
        <v>0.95899999999999996</v>
      </c>
      <c r="Y7">
        <v>0.96899999999999997</v>
      </c>
      <c r="Z7">
        <v>0.90400000000000003</v>
      </c>
      <c r="AA7">
        <v>0.93200000000000005</v>
      </c>
      <c r="AB7">
        <v>0.85799999999999998</v>
      </c>
      <c r="AC7">
        <v>0.71499999999999997</v>
      </c>
      <c r="AD7">
        <v>0.85</v>
      </c>
      <c r="AE7">
        <v>0.95899999999999996</v>
      </c>
      <c r="AF7">
        <v>0.63100000000000001</v>
      </c>
      <c r="AG7">
        <v>0.75600000000000001</v>
      </c>
      <c r="AH7">
        <v>0.628</v>
      </c>
      <c r="AI7">
        <v>0.61599999999999999</v>
      </c>
      <c r="AJ7">
        <v>0.78</v>
      </c>
      <c r="AK7">
        <v>0.96199999999999997</v>
      </c>
      <c r="AL7">
        <v>0.51800000000000002</v>
      </c>
      <c r="AM7">
        <v>0.66700000000000004</v>
      </c>
      <c r="AN7">
        <v>0.52</v>
      </c>
      <c r="AO7">
        <v>81.048965426658</v>
      </c>
      <c r="AP7">
        <v>108.029964228944</v>
      </c>
      <c r="AQ7">
        <v>89.856851461604194</v>
      </c>
      <c r="AR7">
        <v>80.636895144110994</v>
      </c>
      <c r="AS7">
        <v>98.324658061826696</v>
      </c>
      <c r="AT7">
        <v>134.85142157670001</v>
      </c>
      <c r="AU7">
        <v>113.488684064846</v>
      </c>
      <c r="AV7">
        <v>132.905294754316</v>
      </c>
      <c r="AW7">
        <v>200.45775186084799</v>
      </c>
      <c r="AX7">
        <v>110.815845080888</v>
      </c>
      <c r="AY7">
        <v>112.94340868718</v>
      </c>
      <c r="AZ7">
        <v>120.171639908521</v>
      </c>
      <c r="BA7">
        <v>96.979086095871395</v>
      </c>
      <c r="BB7">
        <v>114.23500333549499</v>
      </c>
      <c r="BC7">
        <v>149.54201758223701</v>
      </c>
      <c r="BD7">
        <v>96.513771077092997</v>
      </c>
      <c r="BE7">
        <v>101.19459194469999</v>
      </c>
      <c r="BF7">
        <v>121.066711789267</v>
      </c>
      <c r="BG7">
        <v>97.812995944727604</v>
      </c>
      <c r="BH7">
        <v>115.91946565169501</v>
      </c>
      <c r="BI7">
        <v>106.063142542273</v>
      </c>
      <c r="BJ7">
        <v>99.293902813995004</v>
      </c>
      <c r="BK7">
        <v>110.04009851788101</v>
      </c>
      <c r="BL7">
        <v>159.695744067775</v>
      </c>
      <c r="BM7">
        <v>121.880115533479</v>
      </c>
      <c r="BN7">
        <v>148.8196670465</v>
      </c>
      <c r="BO7">
        <v>146.387950417593</v>
      </c>
      <c r="BP7">
        <v>122.563781677598</v>
      </c>
      <c r="BQ7">
        <v>146.78140418440901</v>
      </c>
      <c r="BR7">
        <v>200.429453793645</v>
      </c>
      <c r="BS7">
        <v>195.597088581251</v>
      </c>
      <c r="BT7">
        <v>233.316388275251</v>
      </c>
      <c r="BU7">
        <v>264.03008370723802</v>
      </c>
      <c r="BV7">
        <v>181.30180477781099</v>
      </c>
      <c r="BW7">
        <v>219.35978165421801</v>
      </c>
      <c r="BX7">
        <v>242.10787061934101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20"/>
  <sheetViews>
    <sheetView workbookViewId="0">
      <selection activeCell="O9" sqref="O9"/>
    </sheetView>
  </sheetViews>
  <sheetFormatPr defaultColWidth="9.33203125" defaultRowHeight="14.25" x14ac:dyDescent="0.45"/>
  <cols>
    <col min="1" max="1" width="8" style="1" bestFit="1" customWidth="1"/>
    <col min="2" max="2" width="11.1328125" style="1" bestFit="1" customWidth="1"/>
    <col min="3" max="3" width="6.86328125" style="1" bestFit="1" customWidth="1"/>
    <col min="4" max="4" width="6.1328125" style="1" bestFit="1" customWidth="1"/>
    <col min="5" max="5" width="7.53125" style="1" bestFit="1" customWidth="1"/>
    <col min="6" max="6" width="8" style="1" bestFit="1" customWidth="1"/>
    <col min="7" max="7" width="7.6640625" style="1" bestFit="1" customWidth="1"/>
    <col min="8" max="8" width="10.46484375" style="1" bestFit="1" customWidth="1"/>
    <col min="9" max="9" width="5.1328125" style="1" bestFit="1" customWidth="1"/>
    <col min="10" max="10" width="8.33203125" style="1" customWidth="1"/>
    <col min="11" max="17" width="9.33203125" style="1"/>
    <col min="18" max="18" width="28" style="1" bestFit="1" customWidth="1"/>
    <col min="19" max="16384" width="9.33203125" style="1"/>
  </cols>
  <sheetData>
    <row r="1" spans="1:18" x14ac:dyDescent="0.45">
      <c r="C1" s="16" t="s">
        <v>71</v>
      </c>
      <c r="D1" s="16"/>
      <c r="E1" s="16"/>
      <c r="F1" s="16"/>
      <c r="G1" s="16"/>
      <c r="H1" s="11"/>
      <c r="I1" s="11"/>
      <c r="J1" s="11"/>
      <c r="R1" s="10" t="s">
        <v>215</v>
      </c>
    </row>
    <row r="2" spans="1:18" x14ac:dyDescent="0.45">
      <c r="C2" s="11" t="s">
        <v>0</v>
      </c>
      <c r="D2" s="11" t="s">
        <v>1</v>
      </c>
      <c r="E2" s="11" t="s">
        <v>90</v>
      </c>
      <c r="F2" s="11" t="s">
        <v>49</v>
      </c>
      <c r="G2" s="11" t="s">
        <v>48</v>
      </c>
      <c r="H2" s="11" t="s">
        <v>164</v>
      </c>
      <c r="I2" s="11" t="s">
        <v>91</v>
      </c>
      <c r="J2" s="11"/>
      <c r="K2" s="11" t="s">
        <v>208</v>
      </c>
      <c r="L2" s="11" t="s">
        <v>209</v>
      </c>
      <c r="M2" s="11" t="s">
        <v>210</v>
      </c>
      <c r="N2" s="11" t="s">
        <v>211</v>
      </c>
      <c r="O2" s="11" t="s">
        <v>212</v>
      </c>
      <c r="P2" s="11" t="s">
        <v>213</v>
      </c>
      <c r="Q2" s="11"/>
      <c r="R2" s="10">
        <v>5</v>
      </c>
    </row>
    <row r="3" spans="1:18" x14ac:dyDescent="0.45">
      <c r="B3" s="1" t="s">
        <v>6</v>
      </c>
      <c r="C3" s="11">
        <v>500</v>
      </c>
      <c r="D3" s="11">
        <v>500</v>
      </c>
      <c r="E3" s="11">
        <v>500</v>
      </c>
      <c r="F3" s="11">
        <v>500</v>
      </c>
      <c r="G3" s="11">
        <v>500</v>
      </c>
      <c r="H3" s="11">
        <v>500</v>
      </c>
      <c r="I3" s="11">
        <v>500</v>
      </c>
      <c r="J3" s="11"/>
      <c r="K3" s="11"/>
      <c r="L3" s="11"/>
      <c r="M3" s="11"/>
      <c r="N3" s="11"/>
      <c r="O3" s="11"/>
      <c r="P3" s="11"/>
    </row>
    <row r="4" spans="1:18" x14ac:dyDescent="0.45">
      <c r="C4" s="11"/>
      <c r="D4" s="11"/>
      <c r="E4" s="11"/>
      <c r="F4" s="11"/>
      <c r="G4" s="11"/>
      <c r="H4" s="11"/>
      <c r="I4" s="11"/>
      <c r="J4" s="11"/>
    </row>
    <row r="5" spans="1:18" x14ac:dyDescent="0.45">
      <c r="A5" s="2" t="s">
        <v>58</v>
      </c>
      <c r="B5" s="1" t="s">
        <v>3</v>
      </c>
      <c r="C5" s="5">
        <f>HLOOKUP("ATE-bias-IPS-exp",Point!$D$1:$DR$96,$R$2,FALSE)</f>
        <v>1.9327792177696901</v>
      </c>
      <c r="D5" s="5">
        <f>HLOOKUP("ATE-RMSE-IPS-exp",Point!$D$1:$DR$96,$R$2,FALSE)</f>
        <v>4.0337983930432504</v>
      </c>
      <c r="E5" s="5">
        <f>(D5/$D$9)^2</f>
        <v>0.7799466032965745</v>
      </c>
      <c r="F5" s="5">
        <f>HLOOKUP("ATE-Empcov-IPS-exp",inference!$D$1:$DR$96,$R$2,FALSE)</f>
        <v>0.92100000000000004</v>
      </c>
      <c r="G5" s="5">
        <f>HLOOKUP("ATE-ASSD-IPS-exp",inference!$D$1:$DR$96,$R$2,FALSE)*2*1.96/SQRT(G$3)</f>
        <v>13.7569183931538</v>
      </c>
      <c r="H5" s="5">
        <f>G5/(2*1.96/SQRT(G$3))</f>
        <v>78.472971142880297</v>
      </c>
      <c r="I5" s="5">
        <f t="shared" ref="I5:I10" si="0">($H$9/H5)^2</f>
        <v>1.3607965653694212</v>
      </c>
      <c r="J5" s="5"/>
      <c r="K5" s="5">
        <f>HLOOKUP("ks-IPS-exp",balance!$D$1:$DR$96,$R$2,FALSE)</f>
        <v>2.1859080150119201</v>
      </c>
      <c r="L5" s="5">
        <f>HLOOKUP("cvm-IPS-exp",balance!$D$1:$DR$96,$R$2,FALSE)</f>
        <v>0.31008383870226103</v>
      </c>
      <c r="M5" s="5">
        <f>HLOOKUP("ks-IPS-exp_1",balance!$D$1:$DR$96,$R$2,FALSE)</f>
        <v>1.28978537344221</v>
      </c>
      <c r="N5" s="5">
        <f>HLOOKUP("cvm-IPS-exp_1",balance!$D$1:$DR$96,$R$2,FALSE)</f>
        <v>7.6741109725770196E-2</v>
      </c>
      <c r="O5" s="5">
        <f>HLOOKUP("ks-IPS-exp_0",balance!$D$1:$DR$96,$R$2,FALSE)</f>
        <v>1.2573104483691899</v>
      </c>
      <c r="P5" s="5">
        <f>HLOOKUP("cvm-IPS-exp_0",balance!$D$1:$DR$96,$R$2,FALSE)</f>
        <v>0.10685916544582599</v>
      </c>
    </row>
    <row r="6" spans="1:18" x14ac:dyDescent="0.45">
      <c r="B6" s="1" t="s">
        <v>5</v>
      </c>
      <c r="C6" s="5">
        <f>HLOOKUP("ATE-bias-IPS-ind",Point!$D$1:$DR$96,$R$2,FALSE)</f>
        <v>2.4512830865551698</v>
      </c>
      <c r="D6" s="5">
        <f>HLOOKUP("ATE-RMSE-IPS-ind",Point!$D$1:$DR$96,$R$2,FALSE)</f>
        <v>4.5493798427601604</v>
      </c>
      <c r="E6" s="5">
        <f t="shared" ref="E6:E10" si="1">(D6/$D$9)^2</f>
        <v>0.99206674480430246</v>
      </c>
      <c r="F6" s="5">
        <f>HLOOKUP("ATE-Empcov-IPS-ind",inference!$D$1:$DR$96,$R$2,FALSE)</f>
        <v>0.94699999999999995</v>
      </c>
      <c r="G6" s="5">
        <f>HLOOKUP("ATE-ASSD-IPS-ind",inference!$D$1:$DR$96,$R$2,FALSE)*2*1.96/SQRT(G$3)</f>
        <v>17.72654738751104</v>
      </c>
      <c r="H6" s="5">
        <f t="shared" ref="H6:H9" si="2">G6/(2*1.96/SQRT(G$3))</f>
        <v>101.11674735930102</v>
      </c>
      <c r="I6" s="5">
        <f t="shared" si="0"/>
        <v>0.81957219222874877</v>
      </c>
      <c r="J6" s="5"/>
      <c r="K6" s="5">
        <f>HLOOKUP("ks-IPS-ind",balance!$D$1:$DR$96,$R$2,FALSE)</f>
        <v>1.9338274164496101</v>
      </c>
      <c r="L6" s="5">
        <f>HLOOKUP("cvm-IPS-ind",balance!$D$1:$DR$96,$R$2,FALSE)</f>
        <v>0.22721697272104999</v>
      </c>
      <c r="M6" s="5">
        <f>HLOOKUP("ks-IPS-ind_1",balance!$D$1:$DR$96,$R$2,FALSE)</f>
        <v>1.13171507590906</v>
      </c>
      <c r="N6" s="5">
        <f>HLOOKUP("cvm-IPS-ind_1",balance!$D$1:$DR$96,$R$2,FALSE)</f>
        <v>5.7108951288089599E-2</v>
      </c>
      <c r="O6" s="5">
        <f>HLOOKUP("ks-IPS-ind_0",balance!$D$1:$DR$96,$R$2,FALSE)</f>
        <v>1.11576170817742</v>
      </c>
      <c r="P6" s="5">
        <f>HLOOKUP("cvm-IPS-ind_0",balance!$D$1:$DR$96,$R$2,FALSE)</f>
        <v>7.4857175273804005E-2</v>
      </c>
    </row>
    <row r="7" spans="1:18" x14ac:dyDescent="0.45">
      <c r="B7" s="1" t="s">
        <v>4</v>
      </c>
      <c r="C7" s="5">
        <f>HLOOKUP("ATE-bias-IPS-proj",Point!$D$1:$DR$96,$R$2,FALSE)</f>
        <v>0.49723926832950499</v>
      </c>
      <c r="D7" s="5">
        <f>HLOOKUP("ATE-RMSE-IPS-proj",Point!$D$1:$DR$96,$R$2,FALSE)</f>
        <v>3.4006503112147399</v>
      </c>
      <c r="E7" s="5">
        <f t="shared" si="1"/>
        <v>0.55431986845292203</v>
      </c>
      <c r="F7" s="6">
        <f>HLOOKUP("ATE-Empcov-IPS-proj",inference!$D$1:$DR$96,$R$2,FALSE)</f>
        <v>0.96099999999999997</v>
      </c>
      <c r="G7" s="6">
        <f>HLOOKUP("ATE-ASSD-IPS-proj",inference!$D$1:$DR$96,$R$2,FALSE)*2*1.96/SQRT(G$3)</f>
        <v>15.035505716819905</v>
      </c>
      <c r="H7" s="5">
        <f t="shared" si="2"/>
        <v>85.766359333918402</v>
      </c>
      <c r="I7" s="5">
        <f t="shared" si="0"/>
        <v>1.1391986097512266</v>
      </c>
      <c r="J7" s="5"/>
      <c r="K7" s="5">
        <f>HLOOKUP("ks-IPS-proj",balance!$D$1:$DR$96,$R$2,FALSE)</f>
        <v>3.0107551625018698</v>
      </c>
      <c r="L7" s="5">
        <f>HLOOKUP("cvm-IPS-proj",balance!$D$1:$DR$96,$R$2,FALSE)</f>
        <v>0.69106173883020505</v>
      </c>
      <c r="M7" s="5">
        <f>HLOOKUP("ks-IPS-proj_1",balance!$D$1:$DR$96,$R$2,FALSE)</f>
        <v>1.54912817798852</v>
      </c>
      <c r="N7" s="5">
        <f>HLOOKUP("cvm-IPS-proj_1",balance!$D$1:$DR$96,$R$2,FALSE)</f>
        <v>0.13301590555155701</v>
      </c>
      <c r="O7" s="5">
        <f>HLOOKUP("ks-IPS-proj_0",balance!$D$1:$DR$96,$R$2,FALSE)</f>
        <v>1.6371814337062101</v>
      </c>
      <c r="P7" s="5">
        <f>HLOOKUP("cvm-IPS-proj_0",balance!$D$1:$DR$96,$R$2,FALSE)</f>
        <v>0.24874471133975301</v>
      </c>
    </row>
    <row r="8" spans="1:18" x14ac:dyDescent="0.45">
      <c r="B8" s="1" t="s">
        <v>88</v>
      </c>
      <c r="C8" s="5">
        <f>HLOOKUP("ATE-bias-CBPS-just",Point!$D$1:$DR$96,$R$2,FALSE)</f>
        <v>2.7145883189435098</v>
      </c>
      <c r="D8" s="5">
        <f>HLOOKUP("ATE-RMSE-CBPS-just",Point!$D$1:$DR$96,$R$2,FALSE)</f>
        <v>4.5573426577371601</v>
      </c>
      <c r="E8" s="5">
        <f t="shared" si="1"/>
        <v>0.99554262838014851</v>
      </c>
      <c r="F8" s="5">
        <f>HLOOKUP("ATE-Empcov-CBPS-just",inference!$D$1:$DR$96,$R$2,FALSE)</f>
        <v>0.874</v>
      </c>
      <c r="G8" s="5">
        <f>HLOOKUP("ATE-ASSD-CBPS-just",inference!$D$1:$DR$96,$R$2,FALSE)*2*1.96/SQRT(G$3)</f>
        <v>13.951648592188519</v>
      </c>
      <c r="H8" s="5">
        <f t="shared" si="2"/>
        <v>79.583761863068304</v>
      </c>
      <c r="I8" s="5">
        <f t="shared" si="0"/>
        <v>1.3230750162102316</v>
      </c>
      <c r="J8" s="5"/>
      <c r="K8" s="5">
        <f>HLOOKUP("ks-CBPS-Just",balance!$D$1:$DR$96,$R$2,FALSE)</f>
        <v>2.2979957204183599</v>
      </c>
      <c r="L8" s="5">
        <f>HLOOKUP("cvm-CBPS-Just",balance!$D$1:$DR$96,$R$2,FALSE)</f>
        <v>0.34538492460991699</v>
      </c>
      <c r="M8" s="5">
        <f>HLOOKUP("ks-CBPS-Just_1",balance!$D$1:$DR$96,$R$2,FALSE)</f>
        <v>1.35255769587342</v>
      </c>
      <c r="N8" s="5">
        <f>HLOOKUP("cvm-CBPS-Just_1",balance!$D$1:$DR$96,$R$2,FALSE)</f>
        <v>8.6802209528878405E-2</v>
      </c>
      <c r="O8" s="5">
        <f>HLOOKUP("ks-CBPS-Just_0",balance!$D$1:$DR$96,$R$2,FALSE)</f>
        <v>1.28423376056871</v>
      </c>
      <c r="P8" s="5">
        <f>HLOOKUP("cvm-CBPS-Just_0",balance!$D$1:$DR$96,$R$2,FALSE)</f>
        <v>0.115995659195363</v>
      </c>
    </row>
    <row r="9" spans="1:18" x14ac:dyDescent="0.45">
      <c r="B9" s="1" t="s">
        <v>89</v>
      </c>
      <c r="C9" s="5">
        <f>HLOOKUP("ATE-bias-CBPS-over",Point!$D$1:$DR$96,$R$2,FALSE)</f>
        <v>2.5634925158391599</v>
      </c>
      <c r="D9" s="5">
        <f>HLOOKUP("ATE-RMSE-CBPS-over",Point!$D$1:$DR$96,$R$2,FALSE)</f>
        <v>4.5675336240253799</v>
      </c>
      <c r="E9" s="5">
        <f t="shared" si="1"/>
        <v>1</v>
      </c>
      <c r="F9" s="5">
        <f>HLOOKUP("ATE-Empcov-CBPS-over",inference!$D$1:$DR$96,$R$2,FALSE)</f>
        <v>0.92700000000000005</v>
      </c>
      <c r="G9" s="5">
        <f>HLOOKUP("ATE-ASSD-CBPS-over",inference!$D$1:$DR$96,$R$2,FALSE)*2*1.96/SQRT(G$3)</f>
        <v>16.047883512435181</v>
      </c>
      <c r="H9" s="5">
        <f t="shared" si="2"/>
        <v>91.541220481640721</v>
      </c>
      <c r="I9" s="5">
        <f t="shared" si="0"/>
        <v>1</v>
      </c>
      <c r="J9" s="5"/>
      <c r="K9" s="5">
        <f>HLOOKUP("ks-CBPS-over",balance!$D$1:$DR$96,$R$2,FALSE)</f>
        <v>2.2678940707362401</v>
      </c>
      <c r="L9" s="5">
        <f>HLOOKUP("cvm-CBPS-over",balance!$D$1:$DR$96,$R$2,FALSE)</f>
        <v>0.32770248188054102</v>
      </c>
      <c r="M9" s="5">
        <f>HLOOKUP("ks-CBPS-over_1",balance!$D$1:$DR$96,$R$2,FALSE)</f>
        <v>1.30592070470904</v>
      </c>
      <c r="N9" s="5">
        <f>HLOOKUP("cvm-CBPS-over_1",balance!$D$1:$DR$96,$R$2,FALSE)</f>
        <v>7.76701755610857E-2</v>
      </c>
      <c r="O9" s="5">
        <f>HLOOKUP("ks-CBPS-over_0",balance!$D$1:$DR$96,$R$2,FALSE)</f>
        <v>1.2561945773300101</v>
      </c>
      <c r="P9" s="5">
        <f>HLOOKUP("cvm-CBPS-over_0",balance!$D$1:$DR$96,$R$2,FALSE)</f>
        <v>0.111140852320584</v>
      </c>
    </row>
    <row r="10" spans="1:18" s="3" customFormat="1" x14ac:dyDescent="0.45">
      <c r="B10" s="3" t="s">
        <v>2</v>
      </c>
      <c r="C10" s="5">
        <f>HLOOKUP("ATE-bias-GLM",Point!$D$1:$DR$96,$R$2,FALSE)</f>
        <v>5.9248319272177303</v>
      </c>
      <c r="D10" s="5">
        <f>HLOOKUP("ATE-RMSE-GLM",Point!$D$1:$DR$96,$R$2,FALSE)</f>
        <v>10.411394188378299</v>
      </c>
      <c r="E10" s="5">
        <f t="shared" si="1"/>
        <v>5.1958221047713335</v>
      </c>
      <c r="F10" s="5">
        <f>HLOOKUP("ATE-Empcov-GLM",inference!$D$1:$DR$96,$R$2,FALSE)</f>
        <v>0.86299999999999999</v>
      </c>
      <c r="G10" s="5">
        <f>HLOOKUP("ATE-ASSD-GLM",inference!$D$1:$DR$96,$R$2,FALSE)*2*1.96/SQRT(G$3)</f>
        <v>20.501984420442604</v>
      </c>
      <c r="H10" s="5">
        <f>G10/(2*1.96/SQRT(G$3))</f>
        <v>116.948548055488</v>
      </c>
      <c r="I10" s="5">
        <f t="shared" si="0"/>
        <v>0.61269414220566454</v>
      </c>
      <c r="J10" s="5"/>
      <c r="K10" s="5">
        <f>HLOOKUP("ks-GLM",balance!$D$1:$DR$96,$R$2,FALSE)</f>
        <v>2.6992985383983998</v>
      </c>
      <c r="L10" s="5">
        <f>HLOOKUP("cvm-GLM",balance!$D$1:$DR$96,$R$2,FALSE)</f>
        <v>0.46062156136386201</v>
      </c>
      <c r="M10" s="5">
        <f>HLOOKUP("ks-GLM_1",balance!$D$1:$DR$96,$R$2,FALSE)</f>
        <v>1.89152328392557</v>
      </c>
      <c r="N10" s="5">
        <f>HLOOKUP("cvm-GLM_1",balance!$D$1:$DR$96,$R$2,FALSE)</f>
        <v>0.21376072329684101</v>
      </c>
      <c r="O10" s="5">
        <f>HLOOKUP("ks-GLM_0",balance!$D$1:$DR$96,$R$2,FALSE)</f>
        <v>1.2429107259440999</v>
      </c>
      <c r="P10" s="5">
        <f>HLOOKUP("cvm-GLM_0",balance!$D$1:$DR$96,$R$2,FALSE)</f>
        <v>0.10562332880264599</v>
      </c>
    </row>
    <row r="11" spans="1:18" s="4" customFormat="1" x14ac:dyDescent="0.45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8" x14ac:dyDescent="0.45">
      <c r="A12" s="2" t="s">
        <v>206</v>
      </c>
      <c r="B12" s="1" t="s">
        <v>3</v>
      </c>
      <c r="C12" s="5">
        <f>HLOOKUP("QTE-0.10-bias-IPS-exp",Point!$D$1:$DR$96,$R$2,FALSE)</f>
        <v>-3.95510237641379</v>
      </c>
      <c r="D12" s="5">
        <f>HLOOKUP("QTE-0.10-RMSE-IPS-exp",Point!$D$1:$DR$96,$R$2,FALSE)</f>
        <v>6.3368326633882504</v>
      </c>
      <c r="E12" s="5">
        <f t="shared" ref="E12:E15" si="3">(D12/$D$16)^2</f>
        <v>1.3160723921217075</v>
      </c>
      <c r="F12" s="5">
        <f>HLOOKUP("QTE-0.1-Empcov-IPS-exp",inference!$D$1:$DR$96,$R$2,FALSE)</f>
        <v>0.871</v>
      </c>
      <c r="G12" s="5">
        <f>HLOOKUP("QTE-0.1-ASSD-IPS-exp",inference!$D$1:$DR$96,$R$2,FALSE)*2*1.96/SQRT(G$3)</f>
        <v>19.79632087603224</v>
      </c>
      <c r="H12" s="5">
        <f>G12/(2*1.96/SQRT(G$3))</f>
        <v>112.923263222465</v>
      </c>
      <c r="I12" s="5">
        <f t="shared" ref="I12:I17" si="4">($H$16/H12)^2</f>
        <v>0.99189981343622979</v>
      </c>
      <c r="J12" s="5"/>
      <c r="K12" s="5"/>
      <c r="L12" s="5"/>
      <c r="M12" s="5"/>
      <c r="N12" s="5"/>
    </row>
    <row r="13" spans="1:18" x14ac:dyDescent="0.45">
      <c r="B13" s="1" t="s">
        <v>5</v>
      </c>
      <c r="C13" s="5">
        <f>HLOOKUP("QTE-0.10-bias-IPS-ind",Point!$D$1:$DR$96,$R$2,FALSE)</f>
        <v>-2.8648151492279101</v>
      </c>
      <c r="D13" s="5">
        <f>HLOOKUP("QTE-0.10-RMSE-IPS-ind",Point!$D$1:$DR$96,$R$2,FALSE)</f>
        <v>5.9621785241901097</v>
      </c>
      <c r="E13" s="5">
        <f t="shared" si="3"/>
        <v>1.1650518472978049</v>
      </c>
      <c r="F13" s="5">
        <f>HLOOKUP("QTE-0.1-Empcov-IPS-ind",inference!$D$1:$DR$96,$R$2,FALSE)</f>
        <v>0.94099999999999995</v>
      </c>
      <c r="G13" s="5">
        <f>HLOOKUP("QTE-0.1-ASSD-IPS-ind",inference!$D$1:$DR$96,$R$2,FALSE)*2*1.96/SQRT(G$3)</f>
        <v>22.812596307464649</v>
      </c>
      <c r="H13" s="5">
        <f t="shared" ref="H13:H16" si="5">G13/(2*1.96/SQRT(G$3))</f>
        <v>130.128867568244</v>
      </c>
      <c r="I13" s="5">
        <f t="shared" si="4"/>
        <v>0.74694280339601749</v>
      </c>
      <c r="J13" s="5"/>
      <c r="K13" s="5"/>
      <c r="L13" s="5"/>
      <c r="M13" s="5"/>
      <c r="N13" s="5"/>
    </row>
    <row r="14" spans="1:18" x14ac:dyDescent="0.45">
      <c r="B14" s="1" t="s">
        <v>4</v>
      </c>
      <c r="C14" s="5">
        <f>HLOOKUP("QTE-0.10-bias-IPS-proj",Point!$D$1:$DR$96,$R$2,FALSE)</f>
        <v>-2.1486064887013501</v>
      </c>
      <c r="D14" s="5">
        <f>HLOOKUP("QTE-0.10-RMSE-IPS-proj",Point!$D$1:$DR$96,$R$2,FALSE)</f>
        <v>5.5750561469991</v>
      </c>
      <c r="E14" s="5">
        <f t="shared" si="3"/>
        <v>1.018670647172073</v>
      </c>
      <c r="F14" s="6">
        <f>HLOOKUP("QTE-0.1-Empcov-IPS-proj",inference!$D$1:$DR$96,$R$2,FALSE)</f>
        <v>0.98899999999999999</v>
      </c>
      <c r="G14" s="6">
        <f>HLOOKUP("QTE-0.1-ASSD-IPS-proj",inference!$D$1:$DR$96,$R$2,FALSE)*2*1.96/SQRT(G$3)</f>
        <v>29.850586755571502</v>
      </c>
      <c r="H14" s="5">
        <f t="shared" si="5"/>
        <v>170.275360086002</v>
      </c>
      <c r="I14" s="5">
        <f t="shared" si="4"/>
        <v>0.43624557358442095</v>
      </c>
      <c r="J14" s="5"/>
      <c r="K14" s="5"/>
      <c r="L14" s="5"/>
      <c r="M14" s="5"/>
      <c r="N14" s="5"/>
    </row>
    <row r="15" spans="1:18" x14ac:dyDescent="0.45">
      <c r="B15" s="1" t="s">
        <v>88</v>
      </c>
      <c r="C15" s="5">
        <f>HLOOKUP("QTE-0.10-bias-CBPS-just",Point!$D$1:$DR$96,$R$2,FALSE)</f>
        <v>-3.16182685295724</v>
      </c>
      <c r="D15" s="5">
        <f>HLOOKUP("QTE-0.10-RMSE-CBPS-just",Point!$D$1:$DR$96,$R$2,FALSE)</f>
        <v>5.81110807227107</v>
      </c>
      <c r="E15" s="5">
        <f t="shared" si="3"/>
        <v>1.1067593655210823</v>
      </c>
      <c r="F15" s="5">
        <f>HLOOKUP("QTE-0.1-Empcov-CBPS-just",inference!$D$1:$DR$96,$R$2,FALSE)</f>
        <v>0.89400000000000002</v>
      </c>
      <c r="G15" s="5">
        <f>HLOOKUP("QTE-0.1-ASSD-CBPS-just",inference!$D$1:$DR$96,$R$2,FALSE)*2*1.96/SQRT(G$3)</f>
        <v>19.390955163390792</v>
      </c>
      <c r="H15" s="5">
        <f t="shared" si="5"/>
        <v>110.61095381120499</v>
      </c>
      <c r="I15" s="5">
        <f t="shared" si="4"/>
        <v>1.0338043934209828</v>
      </c>
      <c r="J15" s="5"/>
      <c r="K15" s="5"/>
      <c r="L15" s="5"/>
      <c r="M15" s="5"/>
      <c r="N15" s="5"/>
    </row>
    <row r="16" spans="1:18" x14ac:dyDescent="0.45">
      <c r="B16" s="1" t="s">
        <v>89</v>
      </c>
      <c r="C16" s="5">
        <f>HLOOKUP("QTE-0.10-bias-CBPS-over",Point!$D$1:$DR$96,$R$2,FALSE)</f>
        <v>-2.7922581480320599</v>
      </c>
      <c r="D16" s="5">
        <f>HLOOKUP("QTE-0.10-RMSE-CBPS-over",Point!$D$1:$DR$96,$R$2,FALSE)</f>
        <v>5.52372882168972</v>
      </c>
      <c r="E16" s="5">
        <f>(D16/$D$16)^2</f>
        <v>1</v>
      </c>
      <c r="F16" s="5">
        <f>HLOOKUP("QTE-0.1-Empcov-CBPS-over",inference!$D$1:$DR$96,$R$2,FALSE)</f>
        <v>0.91900000000000004</v>
      </c>
      <c r="G16" s="5">
        <f>HLOOKUP("QTE-0.1-ASSD-CBPS-over",inference!$D$1:$DR$96,$R$2,FALSE)*2*1.96/SQRT(G$3)</f>
        <v>19.715980906861081</v>
      </c>
      <c r="H16" s="5">
        <f t="shared" si="5"/>
        <v>112.464983548034</v>
      </c>
      <c r="I16" s="5">
        <f>($H$16/H16)^2</f>
        <v>1</v>
      </c>
      <c r="J16" s="5"/>
      <c r="K16" s="5"/>
      <c r="L16" s="5"/>
      <c r="M16" s="5"/>
      <c r="N16" s="5"/>
    </row>
    <row r="17" spans="1:17" s="3" customFormat="1" x14ac:dyDescent="0.45">
      <c r="B17" s="3" t="s">
        <v>2</v>
      </c>
      <c r="C17" s="5">
        <f>HLOOKUP("QTE-0.10-bias-GLM",Point!$D$1:$DR$96,$R$2,FALSE)</f>
        <v>-1.5388587728905501</v>
      </c>
      <c r="D17" s="5">
        <f>HLOOKUP("QTE-0.10-RMSE-GLM",Point!$D$1:$DR$96,$R$2,FALSE)</f>
        <v>5.64209735783973</v>
      </c>
      <c r="E17" s="5">
        <f>(D17/$D$16)^2</f>
        <v>1.0433174059041421</v>
      </c>
      <c r="F17" s="5">
        <f>HLOOKUP("QTE-0.1-Empcov-GLM",inference!$D$1:$DR$96,$R$2,FALSE)</f>
        <v>0.93600000000000005</v>
      </c>
      <c r="G17" s="5">
        <f>HLOOKUP("QTE-0.1-ASSD-GLM",inference!$D$1:$DR$96,$R$2,FALSE)*2*1.96/SQRT(G$3)</f>
        <v>20.280965886314799</v>
      </c>
      <c r="H17" s="5">
        <f>G17/(2*1.96/SQRT(G$3))</f>
        <v>115.68780196723002</v>
      </c>
      <c r="I17" s="5">
        <f t="shared" si="4"/>
        <v>0.94506027602445886</v>
      </c>
      <c r="J17" s="5"/>
      <c r="K17" s="5"/>
      <c r="L17" s="5"/>
      <c r="M17" s="5"/>
      <c r="N17" s="5"/>
    </row>
    <row r="18" spans="1:17" s="4" customFormat="1" x14ac:dyDescent="0.45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7" x14ac:dyDescent="0.45">
      <c r="A19" s="2" t="s">
        <v>59</v>
      </c>
      <c r="B19" s="1" t="s">
        <v>3</v>
      </c>
      <c r="C19" s="5">
        <f>HLOOKUP("QTE-0.25-bias-IPS-exp",Point!$D$1:$DR$96,$R$2,FALSE)</f>
        <v>-2.08233202602668</v>
      </c>
      <c r="D19" s="5">
        <f>HLOOKUP("QTE-0.25-RMSE-IPS-exp",Point!$D$1:$DR$96,$R$2,FALSE)</f>
        <v>4.7886508995495998</v>
      </c>
      <c r="E19" s="5">
        <f>(D19/$D$23)^2</f>
        <v>1.231397972646735</v>
      </c>
      <c r="F19" s="5">
        <f>HLOOKUP("QTE-0.25-Empcov-IPS-exp",inference!$D$1:$DR$96,$R$2,FALSE)</f>
        <v>0.92900000000000005</v>
      </c>
      <c r="G19" s="5">
        <f>HLOOKUP("QTE-0.25-ASSD-IPS-exp",inference!$D$1:$DR$96,$R$2,FALSE)*2*1.96/SQRT(G$3)</f>
        <v>17.010201330929235</v>
      </c>
      <c r="H19" s="5">
        <f>G19/(2*1.96/SQRT(G$3))</f>
        <v>97.030526752334609</v>
      </c>
      <c r="I19" s="5">
        <f>($H$23/H19)^2</f>
        <v>1.0677423707677358</v>
      </c>
      <c r="J19" s="5"/>
      <c r="K19" s="5"/>
      <c r="L19" s="5"/>
      <c r="M19" s="5"/>
      <c r="N19" s="5"/>
    </row>
    <row r="20" spans="1:17" x14ac:dyDescent="0.45">
      <c r="B20" s="1" t="s">
        <v>5</v>
      </c>
      <c r="C20" s="5">
        <f>HLOOKUP("QTE-0.25-bias-IPS-ind",Point!$D$1:$DR$96,$R$2,FALSE)</f>
        <v>-1.0968057491002601</v>
      </c>
      <c r="D20" s="5">
        <f>HLOOKUP("QTE-0.25-RMSE-IPS-ind",Point!$D$1:$DR$96,$R$2,FALSE)</f>
        <v>4.6029674359490604</v>
      </c>
      <c r="E20" s="5">
        <f t="shared" ref="E20:E24" si="6">(D20/$D$23)^2</f>
        <v>1.137752724897819</v>
      </c>
      <c r="F20" s="5">
        <f>HLOOKUP("QTE-0.25-Empcov-IPS-ind",inference!$D$1:$DR$96,$R$2,FALSE)</f>
        <v>0.96799999999999997</v>
      </c>
      <c r="G20" s="5">
        <f>HLOOKUP("QTE-0.25-ASSD-IPS-ind",inference!$D$1:$DR$96,$R$2,FALSE)*2*1.96/SQRT(G$3)</f>
        <v>19.551091690262073</v>
      </c>
      <c r="H20" s="5">
        <f t="shared" ref="H20:H23" si="7">G20/(2*1.96/SQRT(G$3))</f>
        <v>111.52441340244199</v>
      </c>
      <c r="I20" s="5">
        <f t="shared" ref="I20:I24" si="8">($H$23/H20)^2</f>
        <v>0.80824562016293222</v>
      </c>
      <c r="J20" s="5"/>
      <c r="K20" s="5"/>
      <c r="L20" s="5"/>
      <c r="M20" s="5"/>
      <c r="N20" s="5"/>
    </row>
    <row r="21" spans="1:17" x14ac:dyDescent="0.45">
      <c r="B21" s="1" t="s">
        <v>4</v>
      </c>
      <c r="C21" s="5">
        <f>HLOOKUP("QTE-0.25-bias-IPS-proj",Point!$D$1:$DR$96,$R$2,FALSE)</f>
        <v>-1.3203959237282901</v>
      </c>
      <c r="D21" s="5">
        <f>HLOOKUP("QTE-0.25-RMSE-IPS-proj",Point!$D$1:$DR$96,$R$2,FALSE)</f>
        <v>4.6316690880586702</v>
      </c>
      <c r="E21" s="5">
        <f t="shared" si="6"/>
        <v>1.151985801336356</v>
      </c>
      <c r="F21" s="6">
        <f>HLOOKUP("QTE-0.25-Empcov-IPS-proj",inference!$D$1:$DR$96,$R$2,FALSE)</f>
        <v>0.98399999999999999</v>
      </c>
      <c r="G21" s="6">
        <f>HLOOKUP("QTE-0.25-ASSD-IPS-proj",inference!$D$1:$DR$96,$R$2,FALSE)*2*1.96/SQRT(G$3)</f>
        <v>22.912481809789117</v>
      </c>
      <c r="H21" s="5">
        <f t="shared" si="7"/>
        <v>130.69863994876499</v>
      </c>
      <c r="I21" s="5">
        <f t="shared" si="8"/>
        <v>0.58849275211195817</v>
      </c>
      <c r="J21" s="5"/>
      <c r="K21" s="5"/>
      <c r="L21" s="5"/>
      <c r="M21" s="5"/>
      <c r="N21" s="5"/>
    </row>
    <row r="22" spans="1:17" x14ac:dyDescent="0.45">
      <c r="B22" s="1" t="s">
        <v>88</v>
      </c>
      <c r="C22" s="5">
        <f>HLOOKUP("QTE-0.25-bias-CBPS-just",Point!$D$1:$DR$96,$R$2,FALSE)</f>
        <v>-1.25281549128613</v>
      </c>
      <c r="D22" s="5">
        <f>HLOOKUP("QTE-0.25-RMSE-CBPS-just",Point!$D$1:$DR$96,$R$2,FALSE)</f>
        <v>4.4597270819400103</v>
      </c>
      <c r="E22" s="5">
        <f t="shared" si="6"/>
        <v>1.0680427692753798</v>
      </c>
      <c r="F22" s="5">
        <f>HLOOKUP("QTE-0.25-Empcov-CBPS-just",inference!$D$1:$DR$96,$R$2,FALSE)</f>
        <v>0.94499999999999995</v>
      </c>
      <c r="G22" s="5">
        <f>HLOOKUP("QTE-0.25-ASSD-CBPS-just",inference!$D$1:$DR$96,$R$2,FALSE)*2*1.96/SQRT(G$3)</f>
        <v>16.993755194894288</v>
      </c>
      <c r="H22" s="5">
        <f t="shared" si="7"/>
        <v>96.936713797892395</v>
      </c>
      <c r="I22" s="5">
        <f t="shared" si="8"/>
        <v>1.0698100401274082</v>
      </c>
      <c r="J22" s="5"/>
      <c r="K22" s="5"/>
      <c r="L22" s="5"/>
      <c r="M22" s="5"/>
      <c r="N22" s="5"/>
    </row>
    <row r="23" spans="1:17" x14ac:dyDescent="0.45">
      <c r="B23" s="1" t="s">
        <v>89</v>
      </c>
      <c r="C23" s="5">
        <f>HLOOKUP("QTE-0.25-bias-CBPS-over",Point!$D$1:$DR$96,$R$2,FALSE)</f>
        <v>-1.10081520958738</v>
      </c>
      <c r="D23" s="5">
        <f>HLOOKUP("QTE-0.25-RMSE-CBPS-over",Point!$D$1:$DR$96,$R$2,FALSE)</f>
        <v>4.3153294813701901</v>
      </c>
      <c r="E23" s="5">
        <f>(D23/$D$23)^2</f>
        <v>1</v>
      </c>
      <c r="F23" s="5">
        <f>HLOOKUP("QTE-0.25-Empcov-CBPS-over",inference!$D$1:$DR$96,$R$2,FALSE)</f>
        <v>0.95299999999999996</v>
      </c>
      <c r="G23" s="5">
        <f>HLOOKUP("QTE-0.25-ASSD-CBPS-over",inference!$D$1:$DR$96,$R$2,FALSE)*2*1.96/SQRT(G$3)</f>
        <v>17.576916613559114</v>
      </c>
      <c r="H23" s="5">
        <f t="shared" si="7"/>
        <v>100.263215262152</v>
      </c>
      <c r="I23" s="5">
        <f t="shared" si="8"/>
        <v>1</v>
      </c>
      <c r="J23" s="5"/>
      <c r="K23" s="5"/>
      <c r="L23" s="5"/>
      <c r="M23" s="5"/>
      <c r="N23" s="5"/>
    </row>
    <row r="24" spans="1:17" s="3" customFormat="1" x14ac:dyDescent="0.45">
      <c r="B24" s="3" t="s">
        <v>2</v>
      </c>
      <c r="C24" s="5">
        <f>HLOOKUP("QTE-0.25-bias-GLM",Point!$D$1:$DR$96,$R$2,FALSE)</f>
        <v>0.71361467957365599</v>
      </c>
      <c r="D24" s="5">
        <f>HLOOKUP("QTE-0.25-RMSE-GLM",Point!$D$1:$DR$96,$R$2,FALSE)</f>
        <v>6.0961112019174504</v>
      </c>
      <c r="E24" s="5">
        <f t="shared" si="6"/>
        <v>1.9956199667465286</v>
      </c>
      <c r="F24" s="5">
        <f>HLOOKUP("QTE-0.25-Empcov-GLM",inference!$D$1:$DR$96,$R$2,FALSE)</f>
        <v>0.95599999999999996</v>
      </c>
      <c r="G24" s="5">
        <f>HLOOKUP("QTE-0.25-ASSD-GLM",inference!$D$1:$DR$96,$R$2,FALSE)*2*1.96/SQRT(G$3)</f>
        <v>20.075907805874017</v>
      </c>
      <c r="H24" s="5">
        <f>G24/(2*1.96/SQRT(G$3))</f>
        <v>114.51809837743102</v>
      </c>
      <c r="I24" s="5">
        <f t="shared" si="8"/>
        <v>0.76654031277077528</v>
      </c>
      <c r="J24" s="5"/>
      <c r="K24" s="5"/>
      <c r="L24" s="5"/>
      <c r="M24" s="5"/>
      <c r="N24" s="5"/>
    </row>
    <row r="25" spans="1:17" x14ac:dyDescent="0.45">
      <c r="A25" s="4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4"/>
      <c r="P25" s="4"/>
      <c r="Q25" s="4"/>
    </row>
    <row r="26" spans="1:17" x14ac:dyDescent="0.45">
      <c r="A26" s="2" t="s">
        <v>60</v>
      </c>
      <c r="B26" s="1" t="s">
        <v>3</v>
      </c>
      <c r="C26" s="5">
        <f>HLOOKUP("QTE-0.5-bias-IPS-exp",Point!$D$1:$DR$96,$R$2,FALSE)</f>
        <v>1.0578834446763801</v>
      </c>
      <c r="D26" s="5">
        <f>HLOOKUP("QTE-0.5-RMSE-IPS-exp",Point!$D$1:$DR$96,$R$2,FALSE)</f>
        <v>4.47648877164551</v>
      </c>
      <c r="E26" s="5">
        <f>(D26/$D$30)^2</f>
        <v>0.85743879979580617</v>
      </c>
      <c r="F26" s="5">
        <f>HLOOKUP("QTE-0.5-Empcov-IPS-exp",inference!$D$1:$DR$96,$R$2,FALSE)</f>
        <v>0.93799999999999994</v>
      </c>
      <c r="G26" s="5">
        <f>HLOOKUP("QTE-0.5-ASSD-IPS-exp",inference!$D$1:$DR$96,$R$2,FALSE)*2*1.96/SQRT(G$3)</f>
        <v>17.160701031432868</v>
      </c>
      <c r="H26" s="5">
        <f>G26/(2*1.96/SQRT(G$3))</f>
        <v>97.889015428149619</v>
      </c>
      <c r="I26" s="5">
        <f>($H$30/H26)^2</f>
        <v>1.2078132125939947</v>
      </c>
      <c r="J26" s="5"/>
      <c r="K26"/>
      <c r="L26"/>
      <c r="M26"/>
      <c r="N26"/>
      <c r="O26"/>
      <c r="P26"/>
      <c r="Q26"/>
    </row>
    <row r="27" spans="1:17" x14ac:dyDescent="0.45">
      <c r="B27" s="1" t="s">
        <v>5</v>
      </c>
      <c r="C27" s="5">
        <f>HLOOKUP("QTE-0.5-bias-IPS-ind",Point!$D$1:$DR$96,$R$2,FALSE)</f>
        <v>1.73488085500343</v>
      </c>
      <c r="D27" s="5">
        <f>HLOOKUP("QTE-0.5-RMSE-IPS-ind",Point!$D$1:$DR$96,$R$2,FALSE)</f>
        <v>4.8597799758928604</v>
      </c>
      <c r="E27" s="5">
        <f t="shared" ref="E27:E31" si="9">(D27/$D$30)^2</f>
        <v>1.0105582392422632</v>
      </c>
      <c r="F27" s="5">
        <f>HLOOKUP("QTE-0.5-Empcov-IPS-ind",inference!$D$1:$DR$96,$R$2,FALSE)</f>
        <v>0.95499999999999996</v>
      </c>
      <c r="G27" s="5">
        <f>HLOOKUP("QTE-0.5-ASSD-IPS-ind",inference!$D$1:$DR$96,$R$2,FALSE)*2*1.96/SQRT(G$3)</f>
        <v>19.81262487337986</v>
      </c>
      <c r="H27" s="5">
        <f t="shared" ref="H27:H30" si="10">G27/(2*1.96/SQRT(G$3))</f>
        <v>113.016265381583</v>
      </c>
      <c r="I27" s="5">
        <f t="shared" ref="I27:I31" si="11">($H$30/H27)^2</f>
        <v>0.9061201600168044</v>
      </c>
      <c r="J27" s="5"/>
      <c r="K27" s="5"/>
      <c r="L27" s="5"/>
      <c r="M27" s="5"/>
      <c r="N27" s="5"/>
    </row>
    <row r="28" spans="1:17" x14ac:dyDescent="0.45">
      <c r="B28" s="1" t="s">
        <v>4</v>
      </c>
      <c r="C28" s="5">
        <f>HLOOKUP("QTE-0.5-bias-IPS-proj",Point!$D$1:$DR$96,$R$2,FALSE)</f>
        <v>0.18670798746836001</v>
      </c>
      <c r="D28" s="5">
        <f>HLOOKUP("QTE-0.5-RMSE-IPS-proj",Point!$D$1:$DR$96,$R$2,FALSE)</f>
        <v>4.27174284322383</v>
      </c>
      <c r="E28" s="5">
        <f t="shared" si="9"/>
        <v>0.78079735561934549</v>
      </c>
      <c r="F28" s="6">
        <f>HLOOKUP("QTE-0.5-Empcov-IPS-proj",inference!$D$1:$DR$96,$R$2,FALSE)</f>
        <v>0.96</v>
      </c>
      <c r="G28" s="6">
        <f>HLOOKUP("QTE-0.5-ASSD-IPS-proj",inference!$D$1:$DR$96,$R$2,FALSE)*2*1.96/SQRT(G$3)</f>
        <v>18.112805769268959</v>
      </c>
      <c r="H28" s="5">
        <f t="shared" si="10"/>
        <v>103.32006368197901</v>
      </c>
      <c r="I28" s="5">
        <f t="shared" si="11"/>
        <v>1.0841724484121509</v>
      </c>
      <c r="J28" s="5"/>
      <c r="K28" s="5"/>
      <c r="L28" s="5"/>
      <c r="M28" s="5"/>
      <c r="N28" s="5"/>
    </row>
    <row r="29" spans="1:17" x14ac:dyDescent="0.45">
      <c r="B29" s="1" t="s">
        <v>88</v>
      </c>
      <c r="C29" s="5">
        <f>HLOOKUP("QTE-0.5-bias-CBPS-just",Point!$D$1:$DR$96,$R$2,FALSE)</f>
        <v>1.94087610754089</v>
      </c>
      <c r="D29" s="5">
        <f>HLOOKUP("QTE-0.5-RMSE-CBPS-just",Point!$D$1:$DR$96,$R$2,FALSE)</f>
        <v>4.9409538436846097</v>
      </c>
      <c r="E29" s="5">
        <f t="shared" si="9"/>
        <v>1.0445992907633903</v>
      </c>
      <c r="F29" s="5">
        <f>HLOOKUP("QTE-0.5-Empcov-CBPS-just",inference!$D$1:$DR$96,$R$2,FALSE)</f>
        <v>0.92500000000000004</v>
      </c>
      <c r="G29" s="5">
        <f>HLOOKUP("QTE-0.5-ASSD-CBPS-just",inference!$D$1:$DR$96,$R$2,FALSE)*2*1.96/SQRT(G$3)</f>
        <v>17.555514228104652</v>
      </c>
      <c r="H29" s="5">
        <f t="shared" si="10"/>
        <v>100.141130596956</v>
      </c>
      <c r="I29" s="5">
        <f t="shared" si="11"/>
        <v>1.1540980741978413</v>
      </c>
      <c r="J29" s="5"/>
      <c r="K29" s="5"/>
      <c r="L29" s="5"/>
      <c r="M29" s="5"/>
      <c r="N29" s="5"/>
    </row>
    <row r="30" spans="1:17" x14ac:dyDescent="0.45">
      <c r="B30" s="1" t="s">
        <v>89</v>
      </c>
      <c r="C30" s="5">
        <f>HLOOKUP("QTE-0.5-bias-CBPS-over",Point!$D$1:$DR$96,$R$2,FALSE)</f>
        <v>1.7608757381021201</v>
      </c>
      <c r="D30" s="5">
        <f>HLOOKUP("QTE-0.5-RMSE-CBPS-over",Point!$D$1:$DR$96,$R$2,FALSE)</f>
        <v>4.8343260015163203</v>
      </c>
      <c r="E30" s="5">
        <f t="shared" si="9"/>
        <v>1</v>
      </c>
      <c r="F30" s="5">
        <f>HLOOKUP("QTE-0.5-Empcov-CBPS-over",inference!$D$1:$DR$96,$R$2,FALSE)</f>
        <v>0.94699999999999995</v>
      </c>
      <c r="G30" s="5">
        <f>HLOOKUP("QTE-0.5-ASSD-CBPS-over",inference!$D$1:$DR$96,$R$2,FALSE)*2*1.96/SQRT(G$3)</f>
        <v>18.859705782109138</v>
      </c>
      <c r="H30" s="5">
        <f t="shared" si="10"/>
        <v>107.580571848066</v>
      </c>
      <c r="I30" s="5">
        <f t="shared" si="11"/>
        <v>1</v>
      </c>
      <c r="J30" s="5"/>
      <c r="K30" s="5"/>
      <c r="L30" s="5"/>
      <c r="M30" s="5"/>
      <c r="N30" s="5"/>
    </row>
    <row r="31" spans="1:17" x14ac:dyDescent="0.45">
      <c r="A31" s="3"/>
      <c r="B31" s="3" t="s">
        <v>2</v>
      </c>
      <c r="C31" s="5">
        <f>HLOOKUP("QTE-0.5-bias-GLM",Point!$D$1:$DR$96,$R$2,FALSE)</f>
        <v>5.2862594302975001</v>
      </c>
      <c r="D31" s="5">
        <f>HLOOKUP("QTE-0.5-RMSE-GLM",Point!$D$1:$DR$96,$R$2,FALSE)</f>
        <v>11.775879548043701</v>
      </c>
      <c r="E31" s="5">
        <f t="shared" si="9"/>
        <v>5.933553223506685</v>
      </c>
      <c r="F31" s="5">
        <f>HLOOKUP("QTE-0.5-Empcov-GLM",inference!$D$1:$DR$96,$R$2,FALSE)</f>
        <v>0.89800000000000002</v>
      </c>
      <c r="G31" s="5">
        <f>HLOOKUP("QTE-0.5-ASSD-GLM",inference!$D$1:$DR$96,$R$2,FALSE)*2*1.96/SQRT(G$3)</f>
        <v>24.860964623075201</v>
      </c>
      <c r="H31" s="5">
        <f>G31/(2*1.96/SQRT(G$3))</f>
        <v>141.81328286585099</v>
      </c>
      <c r="I31" s="5">
        <f t="shared" si="11"/>
        <v>0.5754848240904652</v>
      </c>
      <c r="J31" s="5"/>
      <c r="K31" s="5"/>
      <c r="L31" s="5"/>
      <c r="M31" s="5"/>
      <c r="N31" s="5"/>
      <c r="O31" s="3"/>
      <c r="P31" s="3"/>
      <c r="Q31" s="3"/>
    </row>
    <row r="32" spans="1:17" x14ac:dyDescent="0.45">
      <c r="H32" s="6"/>
      <c r="I32" s="6"/>
      <c r="J32" s="6"/>
    </row>
    <row r="33" spans="1:10" x14ac:dyDescent="0.45">
      <c r="A33" s="2" t="s">
        <v>62</v>
      </c>
      <c r="B33" s="1" t="s">
        <v>3</v>
      </c>
      <c r="C33" s="5">
        <f>HLOOKUP("QTE-0.75-bias-IPS-exp",Point!$D$1:$DR$96,$R$2,FALSE)</f>
        <v>5.3036011987505098</v>
      </c>
      <c r="D33" s="5">
        <f>HLOOKUP("QTE-0.75-RMSE-IPS-exp",Point!$D$1:$DR$96,$R$2,FALSE)</f>
        <v>7.4769281145920097</v>
      </c>
      <c r="E33" s="5">
        <f>(D33/$D$37)^2</f>
        <v>0.87129573925657922</v>
      </c>
      <c r="F33" s="5">
        <f>HLOOKUP("QTE-0.75-Empcov-IPS-exp",inference!$D$1:$DR$96,$R$2,FALSE)</f>
        <v>0.82799999999999996</v>
      </c>
      <c r="G33" s="5">
        <f>HLOOKUP("QTE-0.75-ASSD-IPS-exp",inference!$D$1:$DR$96,$R$2,FALSE)*2*1.96/SQRT(G$3)</f>
        <v>20.763631465970278</v>
      </c>
      <c r="H33" s="5">
        <f>G33/(2*1.96/SQRT(G$3))</f>
        <v>118.441049534855</v>
      </c>
      <c r="I33" s="5">
        <f>($H$37/H33)^2</f>
        <v>1.325143561627389</v>
      </c>
      <c r="J33" s="5"/>
    </row>
    <row r="34" spans="1:10" x14ac:dyDescent="0.45">
      <c r="B34" s="1" t="s">
        <v>5</v>
      </c>
      <c r="C34" s="5">
        <f>HLOOKUP("QTE-0.75-bias-IPS-ind",Point!$D$1:$DR$96,$R$2,FALSE)</f>
        <v>5.4802700397937896</v>
      </c>
      <c r="D34" s="5">
        <f>HLOOKUP("QTE-0.75-RMSE-IPS-ind",Point!$D$1:$DR$96,$R$2,FALSE)</f>
        <v>7.7632942652575903</v>
      </c>
      <c r="E34" s="5">
        <f t="shared" ref="E34:E38" si="12">(D34/$D$37)^2</f>
        <v>0.93931504043095493</v>
      </c>
      <c r="F34" s="5">
        <f>HLOOKUP("QTE-0.75-Empcov-IPS-ind",inference!$D$1:$DR$96,$R$2,FALSE)</f>
        <v>0.89100000000000001</v>
      </c>
      <c r="G34" s="5">
        <f>HLOOKUP("QTE-0.75-ASSD-IPS-ind",inference!$D$1:$DR$96,$R$2,FALSE)*2*1.96/SQRT(G$3)</f>
        <v>24.829491528063855</v>
      </c>
      <c r="H34" s="5">
        <f t="shared" ref="H34:H37" si="13">G34/(2*1.96/SQRT(G$3))</f>
        <v>141.63375230486201</v>
      </c>
      <c r="I34" s="5">
        <f t="shared" ref="I34:I38" si="14">($H$37/H34)^2</f>
        <v>0.9266887760683149</v>
      </c>
      <c r="J34" s="5"/>
    </row>
    <row r="35" spans="1:10" x14ac:dyDescent="0.45">
      <c r="B35" s="1" t="s">
        <v>4</v>
      </c>
      <c r="C35" s="5">
        <f>HLOOKUP("QTE-0.75-bias-IPS-proj",Point!$D$1:$DR$96,$R$2,FALSE)</f>
        <v>1.9935328304081601</v>
      </c>
      <c r="D35" s="5">
        <f>HLOOKUP("QTE-0.75-RMSE-IPS-proj",Point!$D$1:$DR$96,$R$2,FALSE)</f>
        <v>5.3060045798988504</v>
      </c>
      <c r="E35" s="5">
        <f t="shared" si="12"/>
        <v>0.43878767556716169</v>
      </c>
      <c r="F35" s="6">
        <f>HLOOKUP("QTE-0.75-Empcov-IPS-proj",inference!$D$1:$DR$96,$R$2,FALSE)</f>
        <v>0.96199999999999997</v>
      </c>
      <c r="G35" s="6">
        <f>HLOOKUP("QTE-0.75-ASSD-IPS-proj",inference!$D$1:$DR$96,$R$2,FALSE)*2*1.96/SQRT(G$3)</f>
        <v>24.124355045346288</v>
      </c>
      <c r="H35" s="5">
        <f t="shared" si="13"/>
        <v>137.611473966159</v>
      </c>
      <c r="I35" s="5">
        <f t="shared" si="14"/>
        <v>0.98165330210435919</v>
      </c>
      <c r="J35" s="5"/>
    </row>
    <row r="36" spans="1:10" x14ac:dyDescent="0.45">
      <c r="B36" s="1" t="s">
        <v>88</v>
      </c>
      <c r="C36" s="5">
        <f>HLOOKUP("QTE-0.75-bias-CBPS-just",Point!$D$1:$DR$96,$R$2,FALSE)</f>
        <v>6.1564142901169499</v>
      </c>
      <c r="D36" s="5">
        <f>HLOOKUP("QTE-0.75-RMSE-CBPS-just",Point!$D$1:$DR$96,$R$2,FALSE)</f>
        <v>8.2911561490483408</v>
      </c>
      <c r="E36" s="5">
        <f t="shared" si="12"/>
        <v>1.0713943914278963</v>
      </c>
      <c r="F36" s="5">
        <f>HLOOKUP("QTE-0.75-Empcov-CBPS-just",inference!$D$1:$DR$96,$R$2,FALSE)</f>
        <v>0.79200000000000004</v>
      </c>
      <c r="G36" s="5">
        <f>HLOOKUP("QTE-0.75-ASSD-CBPS-just",inference!$D$1:$DR$96,$R$2,FALSE)*2*1.96/SQRT(G$3)</f>
        <v>21.339517302100521</v>
      </c>
      <c r="H36" s="5">
        <f t="shared" si="13"/>
        <v>121.726049220739</v>
      </c>
      <c r="I36" s="5">
        <f t="shared" si="14"/>
        <v>1.2545858118772857</v>
      </c>
      <c r="J36" s="5"/>
    </row>
    <row r="37" spans="1:10" x14ac:dyDescent="0.45">
      <c r="B37" s="1" t="s">
        <v>89</v>
      </c>
      <c r="C37" s="5">
        <f>HLOOKUP("QTE-0.75-bias-CBPS-over",Point!$D$1:$DR$96,$R$2,FALSE)</f>
        <v>5.6504798055130001</v>
      </c>
      <c r="D37" s="5">
        <f>HLOOKUP("QTE-0.75-RMSE-CBPS-over",Point!$D$1:$DR$96,$R$2,FALSE)</f>
        <v>8.0101455960068595</v>
      </c>
      <c r="E37" s="5">
        <f t="shared" si="12"/>
        <v>1</v>
      </c>
      <c r="F37" s="5">
        <f>HLOOKUP("QTE-0.75-Empcov-CBPS-over",inference!$D$1:$DR$96,$R$2,FALSE)</f>
        <v>0.86699999999999999</v>
      </c>
      <c r="G37" s="5">
        <f>HLOOKUP("QTE-0.75-ASSD-CBPS-over",inference!$D$1:$DR$96,$R$2,FALSE)*2*1.96/SQRT(G$3)</f>
        <v>23.902029462702654</v>
      </c>
      <c r="H37" s="5">
        <f t="shared" si="13"/>
        <v>136.34327213981101</v>
      </c>
      <c r="I37" s="5">
        <f t="shared" si="14"/>
        <v>1</v>
      </c>
      <c r="J37" s="5"/>
    </row>
    <row r="38" spans="1:10" x14ac:dyDescent="0.45">
      <c r="A38" s="3"/>
      <c r="B38" s="3" t="s">
        <v>2</v>
      </c>
      <c r="C38" s="5">
        <f>HLOOKUP("QTE-0.75-bias-GLM",Point!$D$1:$DR$96,$R$2,FALSE)</f>
        <v>11.260677515581699</v>
      </c>
      <c r="D38" s="5">
        <f>HLOOKUP("QTE-0.75-RMSE-GLM",Point!$D$1:$DR$96,$R$2,FALSE)</f>
        <v>17.985183769444902</v>
      </c>
      <c r="E38" s="5">
        <f t="shared" si="12"/>
        <v>5.0413742555012542</v>
      </c>
      <c r="F38" s="5">
        <f>HLOOKUP("QTE-0.75-Empcov-GLM",inference!$D$1:$DR$96,$R$2,FALSE)</f>
        <v>0.78100000000000003</v>
      </c>
      <c r="G38" s="5">
        <f>HLOOKUP("QTE-0.75-ASSD-GLM",inference!$D$1:$DR$96,$R$2,FALSE)*2*1.96/SQRT(G$3)</f>
        <v>30.866200712864021</v>
      </c>
      <c r="H38" s="5">
        <f>G38/(2*1.96/SQRT(G$3))</f>
        <v>176.06868112529699</v>
      </c>
      <c r="I38" s="5">
        <f t="shared" si="14"/>
        <v>0.59965740760317432</v>
      </c>
      <c r="J38" s="5"/>
    </row>
    <row r="39" spans="1:10" x14ac:dyDescent="0.45">
      <c r="H39" s="7"/>
      <c r="I39" s="7"/>
      <c r="J39" s="7"/>
    </row>
    <row r="40" spans="1:10" x14ac:dyDescent="0.45">
      <c r="A40" s="2" t="s">
        <v>207</v>
      </c>
      <c r="B40" s="1" t="s">
        <v>3</v>
      </c>
      <c r="C40" s="5">
        <f>HLOOKUP("QTE-0.9-bias-IPS-exp",Point!$D$1:$DR$96,$R$2,FALSE)</f>
        <v>10.1175210943273</v>
      </c>
      <c r="D40" s="5">
        <f>HLOOKUP("QTE-0.9-RMSE-IPS-exp",Point!$D$1:$DR$96,$R$2,FALSE)</f>
        <v>13.2307946850934</v>
      </c>
      <c r="E40" s="5">
        <f t="shared" ref="E40:E45" si="15">(D40/$D$44)^2</f>
        <v>1.0091995508423737</v>
      </c>
      <c r="F40" s="5">
        <f>HLOOKUP("QTE-0.9-Empcov-IPS-exp",inference!$D$1:$DR$96,$R$2,FALSE)</f>
        <v>0.76</v>
      </c>
      <c r="G40" s="5">
        <f>HLOOKUP("QTE-0.9-ASSD-IPS-exp",inference!$D$1:$DR$96,$R$2,FALSE)*2*1.96/SQRT(G$3)</f>
        <v>30.578945999346779</v>
      </c>
      <c r="H40" s="5">
        <f>G40/(2*1.96/SQRT(G$3))</f>
        <v>174.43010697661899</v>
      </c>
      <c r="I40" s="5">
        <f t="shared" ref="I40:I45" si="16">($H$44/H40)^2</f>
        <v>1.2109566495261055</v>
      </c>
      <c r="J40" s="5"/>
    </row>
    <row r="41" spans="1:10" x14ac:dyDescent="0.45">
      <c r="B41" s="1" t="s">
        <v>5</v>
      </c>
      <c r="C41" s="5">
        <f>HLOOKUP("QTE-0.9-bias-IPS-ind",Point!$D$1:$DR$96,$R$2,FALSE)</f>
        <v>9.5987065149350101</v>
      </c>
      <c r="D41" s="5">
        <f>HLOOKUP("QTE-0.9-RMSE-IPS-ind",Point!$D$1:$DR$96,$R$2,FALSE)</f>
        <v>12.997001531868399</v>
      </c>
      <c r="E41" s="5">
        <f t="shared" si="15"/>
        <v>0.97384878902450023</v>
      </c>
      <c r="F41" s="5">
        <f>HLOOKUP("QTE-0.9-Empcov-IPS-ind",inference!$D$1:$DR$96,$R$2,FALSE)</f>
        <v>0.875</v>
      </c>
      <c r="G41" s="5">
        <f>HLOOKUP("QTE-0.9-ASSD-IPS-ind",inference!$D$1:$DR$96,$R$2,FALSE)*2*1.96/SQRT(G$3)</f>
        <v>37.154858408857052</v>
      </c>
      <c r="H41" s="5">
        <f t="shared" ref="H41:H44" si="17">G41/(2*1.96/SQRT(G$3))</f>
        <v>211.940788511694</v>
      </c>
      <c r="I41" s="5">
        <f t="shared" si="16"/>
        <v>0.82024274745334247</v>
      </c>
      <c r="J41" s="5"/>
    </row>
    <row r="42" spans="1:10" x14ac:dyDescent="0.45">
      <c r="B42" s="1" t="s">
        <v>4</v>
      </c>
      <c r="C42" s="5">
        <f>HLOOKUP("QTE-0.9-bias-IPS-proj",Point!$D$1:$DR$96,$R$2,FALSE)</f>
        <v>3.8076668375939602</v>
      </c>
      <c r="D42" s="5">
        <f>HLOOKUP("QTE-0.9-RMSE-IPS-proj",Point!$D$1:$DR$96,$R$2,FALSE)</f>
        <v>8.0643429817873606</v>
      </c>
      <c r="E42" s="5">
        <f t="shared" si="15"/>
        <v>0.37492393711376143</v>
      </c>
      <c r="F42" s="6">
        <f>HLOOKUP("QTE-0.9-Empcov-IPS-proj",inference!$D$1:$DR$96,$R$2,FALSE)</f>
        <v>0.95799999999999996</v>
      </c>
      <c r="G42" s="6">
        <f>HLOOKUP("QTE-0.9-ASSD-IPS-proj",inference!$D$1:$DR$96,$R$2,FALSE)*2*1.96/SQRT(G$3)</f>
        <v>40.113928596188835</v>
      </c>
      <c r="H42" s="5">
        <f t="shared" si="17"/>
        <v>228.82007955523204</v>
      </c>
      <c r="I42" s="5">
        <f t="shared" si="16"/>
        <v>0.70369299219177095</v>
      </c>
      <c r="J42" s="5"/>
    </row>
    <row r="43" spans="1:10" x14ac:dyDescent="0.45">
      <c r="B43" s="1" t="s">
        <v>88</v>
      </c>
      <c r="C43" s="5">
        <f>HLOOKUP("QTE-0.9-bias-CBPS-just",Point!$D$1:$DR$96,$R$2,FALSE)</f>
        <v>10.6427799152803</v>
      </c>
      <c r="D43" s="5">
        <f>HLOOKUP("QTE-0.9-RMSE-CBPS-just",Point!$D$1:$DR$96,$R$2,FALSE)</f>
        <v>13.6521079092263</v>
      </c>
      <c r="E43" s="5">
        <f t="shared" si="15"/>
        <v>1.0744955298316379</v>
      </c>
      <c r="F43" s="5">
        <f>HLOOKUP("QTE-0.9-Empcov-CBPS-just",inference!$D$1:$DR$96,$R$2,FALSE)</f>
        <v>0.71699999999999997</v>
      </c>
      <c r="G43" s="5">
        <f>HLOOKUP("QTE-0.9-ASSD-CBPS-just",inference!$D$1:$DR$96,$R$2,FALSE)*2*1.96/SQRT(G$3)</f>
        <v>30.059361932667862</v>
      </c>
      <c r="H43" s="5">
        <f t="shared" si="17"/>
        <v>171.46626694315</v>
      </c>
      <c r="I43" s="5">
        <f t="shared" si="16"/>
        <v>1.2531818752567119</v>
      </c>
      <c r="J43" s="5"/>
    </row>
    <row r="44" spans="1:10" x14ac:dyDescent="0.45">
      <c r="B44" s="1" t="s">
        <v>89</v>
      </c>
      <c r="C44" s="5">
        <f>HLOOKUP("QTE-0.9-bias-CBPS-over",Point!$D$1:$DR$96,$R$2,FALSE)</f>
        <v>9.8518971183424409</v>
      </c>
      <c r="D44" s="5">
        <f>HLOOKUP("QTE-0.9-RMSE-CBPS-over",Point!$D$1:$DR$96,$R$2,FALSE)</f>
        <v>13.170352711907499</v>
      </c>
      <c r="E44" s="5">
        <f t="shared" si="15"/>
        <v>1</v>
      </c>
      <c r="F44" s="5">
        <f>HLOOKUP("QTE-0.9-Empcov-CBPS-over",inference!$D$1:$DR$96,$R$2,FALSE)</f>
        <v>0.82299999999999995</v>
      </c>
      <c r="G44" s="5">
        <f>HLOOKUP("QTE-0.9-ASSD-CBPS-over",inference!$D$1:$DR$96,$R$2,FALSE)*2*1.96/SQRT(G$3)</f>
        <v>33.650134942199621</v>
      </c>
      <c r="H44" s="5">
        <f t="shared" si="17"/>
        <v>191.94895199693704</v>
      </c>
      <c r="I44" s="5">
        <f>($H$44/H44)^2</f>
        <v>1</v>
      </c>
      <c r="J44" s="5"/>
    </row>
    <row r="45" spans="1:10" x14ac:dyDescent="0.45">
      <c r="A45" s="3"/>
      <c r="B45" s="3" t="s">
        <v>2</v>
      </c>
      <c r="C45" s="5">
        <f>HLOOKUP("QTE-0.9-bias-GLM",Point!$D$1:$DR$96,$R$2,FALSE)</f>
        <v>15.8095272617996</v>
      </c>
      <c r="D45" s="5">
        <f>HLOOKUP("QTE-0.9-RMSE-GLM",Point!$D$1:$DR$96,$R$2,FALSE)</f>
        <v>22.692619631956799</v>
      </c>
      <c r="E45" s="5">
        <f t="shared" si="15"/>
        <v>2.9687556644624089</v>
      </c>
      <c r="F45" s="5">
        <f>HLOOKUP("QTE-0.9-Empcov-GLM",inference!$D$1:$DR$96,$R$2,FALSE)</f>
        <v>0.66300000000000003</v>
      </c>
      <c r="G45" s="5">
        <f>HLOOKUP("QTE-0.9-ASSD-GLM",inference!$D$1:$DR$96,$R$2,FALSE)*2*1.96/SQRT(G$3)</f>
        <v>34.752863936587246</v>
      </c>
      <c r="H45" s="5">
        <f>G45/(2*1.96/SQRT(G$3))</f>
        <v>198.23919942604599</v>
      </c>
      <c r="I45" s="5">
        <f t="shared" si="16"/>
        <v>0.93754564379483685</v>
      </c>
      <c r="J45" s="5"/>
    </row>
    <row r="46" spans="1:10" x14ac:dyDescent="0.45">
      <c r="H46" s="7"/>
      <c r="I46" s="7"/>
      <c r="J46" s="7"/>
    </row>
    <row r="47" spans="1:10" x14ac:dyDescent="0.45">
      <c r="H47" s="7"/>
      <c r="I47" s="7"/>
      <c r="J47" s="7"/>
    </row>
    <row r="48" spans="1:10" x14ac:dyDescent="0.45">
      <c r="H48" s="7"/>
      <c r="I48" s="7"/>
      <c r="J48" s="7"/>
    </row>
    <row r="49" spans="8:10" x14ac:dyDescent="0.45">
      <c r="H49" s="7"/>
      <c r="I49" s="7"/>
      <c r="J49" s="7"/>
    </row>
    <row r="50" spans="8:10" x14ac:dyDescent="0.45">
      <c r="H50" s="7"/>
      <c r="I50" s="7"/>
      <c r="J50" s="7"/>
    </row>
    <row r="51" spans="8:10" x14ac:dyDescent="0.45">
      <c r="H51" s="7"/>
      <c r="I51" s="7"/>
      <c r="J51" s="7"/>
    </row>
    <row r="52" spans="8:10" x14ac:dyDescent="0.45">
      <c r="H52" s="7"/>
      <c r="I52" s="7"/>
      <c r="J52" s="7"/>
    </row>
    <row r="53" spans="8:10" x14ac:dyDescent="0.45">
      <c r="H53" s="7"/>
      <c r="I53" s="7"/>
      <c r="J53" s="7"/>
    </row>
    <row r="54" spans="8:10" x14ac:dyDescent="0.45">
      <c r="H54" s="7"/>
      <c r="I54" s="7"/>
      <c r="J54" s="7"/>
    </row>
    <row r="55" spans="8:10" x14ac:dyDescent="0.45">
      <c r="H55" s="7"/>
      <c r="I55" s="7"/>
      <c r="J55" s="7"/>
    </row>
    <row r="56" spans="8:10" x14ac:dyDescent="0.45">
      <c r="H56" s="7"/>
      <c r="I56" s="7"/>
      <c r="J56" s="7"/>
    </row>
    <row r="57" spans="8:10" x14ac:dyDescent="0.45">
      <c r="H57" s="7"/>
      <c r="I57" s="7"/>
      <c r="J57" s="7"/>
    </row>
    <row r="58" spans="8:10" x14ac:dyDescent="0.45">
      <c r="H58" s="7"/>
      <c r="I58" s="7"/>
      <c r="J58" s="7"/>
    </row>
    <row r="59" spans="8:10" x14ac:dyDescent="0.45">
      <c r="H59" s="7"/>
      <c r="I59" s="7"/>
      <c r="J59" s="7"/>
    </row>
    <row r="60" spans="8:10" x14ac:dyDescent="0.45">
      <c r="H60" s="7"/>
      <c r="I60" s="7"/>
      <c r="J60" s="7"/>
    </row>
    <row r="61" spans="8:10" x14ac:dyDescent="0.45">
      <c r="H61" s="7"/>
      <c r="I61" s="7"/>
      <c r="J61" s="7"/>
    </row>
    <row r="62" spans="8:10" x14ac:dyDescent="0.45">
      <c r="H62" s="7"/>
      <c r="I62" s="7"/>
      <c r="J62" s="7"/>
    </row>
    <row r="63" spans="8:10" x14ac:dyDescent="0.45">
      <c r="H63" s="7"/>
      <c r="I63" s="7"/>
      <c r="J63" s="7"/>
    </row>
    <row r="64" spans="8:10" x14ac:dyDescent="0.45">
      <c r="H64" s="7"/>
      <c r="I64" s="7"/>
      <c r="J64" s="7"/>
    </row>
    <row r="65" spans="8:10" x14ac:dyDescent="0.45">
      <c r="H65" s="7"/>
      <c r="I65" s="7"/>
      <c r="J65" s="7"/>
    </row>
    <row r="66" spans="8:10" x14ac:dyDescent="0.45">
      <c r="H66" s="7"/>
      <c r="I66" s="7"/>
      <c r="J66" s="7"/>
    </row>
    <row r="67" spans="8:10" x14ac:dyDescent="0.45">
      <c r="H67" s="7"/>
      <c r="I67" s="7"/>
      <c r="J67" s="7"/>
    </row>
    <row r="68" spans="8:10" x14ac:dyDescent="0.45">
      <c r="H68" s="7"/>
      <c r="I68" s="7"/>
      <c r="J68" s="7"/>
    </row>
    <row r="69" spans="8:10" x14ac:dyDescent="0.45">
      <c r="H69" s="7"/>
      <c r="I69" s="7"/>
      <c r="J69" s="7"/>
    </row>
    <row r="70" spans="8:10" x14ac:dyDescent="0.45">
      <c r="H70" s="7"/>
      <c r="I70" s="7"/>
      <c r="J70" s="7"/>
    </row>
    <row r="71" spans="8:10" x14ac:dyDescent="0.45">
      <c r="H71" s="7"/>
      <c r="I71" s="7"/>
      <c r="J71" s="7"/>
    </row>
    <row r="72" spans="8:10" x14ac:dyDescent="0.45">
      <c r="H72" s="7"/>
      <c r="I72" s="7"/>
      <c r="J72" s="7"/>
    </row>
    <row r="73" spans="8:10" x14ac:dyDescent="0.45">
      <c r="H73" s="7"/>
      <c r="I73" s="7"/>
      <c r="J73" s="7"/>
    </row>
    <row r="74" spans="8:10" x14ac:dyDescent="0.45">
      <c r="H74" s="7"/>
      <c r="I74" s="7"/>
      <c r="J74" s="7"/>
    </row>
    <row r="75" spans="8:10" x14ac:dyDescent="0.45">
      <c r="H75" s="7"/>
      <c r="I75" s="7"/>
      <c r="J75" s="7"/>
    </row>
    <row r="76" spans="8:10" x14ac:dyDescent="0.45">
      <c r="H76" s="7"/>
      <c r="I76" s="7"/>
      <c r="J76" s="7"/>
    </row>
    <row r="77" spans="8:10" x14ac:dyDescent="0.45">
      <c r="H77" s="7"/>
      <c r="I77" s="7"/>
      <c r="J77" s="7"/>
    </row>
    <row r="78" spans="8:10" x14ac:dyDescent="0.45">
      <c r="H78" s="7"/>
      <c r="I78" s="7"/>
      <c r="J78" s="7"/>
    </row>
    <row r="79" spans="8:10" x14ac:dyDescent="0.45">
      <c r="H79" s="7"/>
      <c r="I79" s="7"/>
      <c r="J79" s="7"/>
    </row>
    <row r="80" spans="8:10" x14ac:dyDescent="0.45">
      <c r="H80" s="7"/>
      <c r="I80" s="7"/>
      <c r="J80" s="7"/>
    </row>
    <row r="81" spans="8:10" x14ac:dyDescent="0.45">
      <c r="H81" s="7"/>
      <c r="I81" s="7"/>
      <c r="J81" s="7"/>
    </row>
    <row r="82" spans="8:10" x14ac:dyDescent="0.45">
      <c r="H82" s="7"/>
      <c r="I82" s="7"/>
      <c r="J82" s="7"/>
    </row>
    <row r="83" spans="8:10" x14ac:dyDescent="0.45">
      <c r="H83" s="7"/>
      <c r="I83" s="7"/>
      <c r="J83" s="7"/>
    </row>
    <row r="84" spans="8:10" x14ac:dyDescent="0.45">
      <c r="H84" s="7"/>
      <c r="I84" s="7"/>
      <c r="J84" s="7"/>
    </row>
    <row r="85" spans="8:10" x14ac:dyDescent="0.45">
      <c r="H85" s="7"/>
      <c r="I85" s="7"/>
      <c r="J85" s="7"/>
    </row>
    <row r="86" spans="8:10" x14ac:dyDescent="0.45">
      <c r="H86" s="7"/>
      <c r="I86" s="7"/>
      <c r="J86" s="7"/>
    </row>
    <row r="87" spans="8:10" x14ac:dyDescent="0.45">
      <c r="H87" s="7"/>
      <c r="I87" s="7"/>
      <c r="J87" s="7"/>
    </row>
    <row r="88" spans="8:10" x14ac:dyDescent="0.45">
      <c r="H88" s="7"/>
      <c r="I88" s="7"/>
      <c r="J88" s="7"/>
    </row>
    <row r="89" spans="8:10" x14ac:dyDescent="0.45">
      <c r="H89" s="7"/>
      <c r="I89" s="7"/>
      <c r="J89" s="7"/>
    </row>
    <row r="90" spans="8:10" x14ac:dyDescent="0.45">
      <c r="H90" s="7"/>
      <c r="I90" s="7"/>
      <c r="J90" s="7"/>
    </row>
    <row r="91" spans="8:10" x14ac:dyDescent="0.45">
      <c r="H91" s="7"/>
      <c r="I91" s="7"/>
      <c r="J91" s="7"/>
    </row>
    <row r="92" spans="8:10" x14ac:dyDescent="0.45">
      <c r="H92" s="7"/>
      <c r="I92" s="7"/>
      <c r="J92" s="7"/>
    </row>
    <row r="93" spans="8:10" x14ac:dyDescent="0.45">
      <c r="H93" s="7"/>
      <c r="I93" s="7"/>
      <c r="J93" s="7"/>
    </row>
    <row r="94" spans="8:10" x14ac:dyDescent="0.45">
      <c r="H94" s="7"/>
      <c r="I94" s="7"/>
      <c r="J94" s="7"/>
    </row>
    <row r="95" spans="8:10" x14ac:dyDescent="0.45">
      <c r="H95" s="7"/>
      <c r="I95" s="7"/>
      <c r="J95" s="7"/>
    </row>
    <row r="96" spans="8:10" x14ac:dyDescent="0.45">
      <c r="H96" s="7"/>
      <c r="I96" s="7"/>
      <c r="J96" s="7"/>
    </row>
    <row r="97" spans="8:10" x14ac:dyDescent="0.45">
      <c r="H97" s="7"/>
      <c r="I97" s="7"/>
      <c r="J97" s="7"/>
    </row>
    <row r="98" spans="8:10" x14ac:dyDescent="0.45">
      <c r="H98" s="7"/>
      <c r="I98" s="7"/>
      <c r="J98" s="7"/>
    </row>
    <row r="99" spans="8:10" x14ac:dyDescent="0.45">
      <c r="H99" s="7"/>
      <c r="I99" s="7"/>
      <c r="J99" s="7"/>
    </row>
    <row r="100" spans="8:10" x14ac:dyDescent="0.45">
      <c r="H100" s="7"/>
      <c r="I100" s="7"/>
      <c r="J100" s="7"/>
    </row>
    <row r="101" spans="8:10" x14ac:dyDescent="0.45">
      <c r="H101" s="7"/>
      <c r="I101" s="7"/>
      <c r="J101" s="7"/>
    </row>
    <row r="102" spans="8:10" x14ac:dyDescent="0.45">
      <c r="H102" s="7"/>
      <c r="I102" s="7"/>
      <c r="J102" s="7"/>
    </row>
    <row r="103" spans="8:10" x14ac:dyDescent="0.45">
      <c r="H103" s="7"/>
      <c r="I103" s="7"/>
      <c r="J103" s="7"/>
    </row>
    <row r="104" spans="8:10" x14ac:dyDescent="0.45">
      <c r="H104" s="7"/>
      <c r="I104" s="7"/>
      <c r="J104" s="7"/>
    </row>
    <row r="105" spans="8:10" x14ac:dyDescent="0.45">
      <c r="H105" s="7"/>
      <c r="I105" s="7"/>
      <c r="J105" s="7"/>
    </row>
    <row r="106" spans="8:10" x14ac:dyDescent="0.45">
      <c r="H106" s="7"/>
      <c r="I106" s="7"/>
      <c r="J106" s="7"/>
    </row>
    <row r="107" spans="8:10" x14ac:dyDescent="0.45">
      <c r="H107" s="7"/>
      <c r="I107" s="7"/>
      <c r="J107" s="7"/>
    </row>
    <row r="108" spans="8:10" x14ac:dyDescent="0.45">
      <c r="H108" s="7"/>
      <c r="I108" s="7"/>
      <c r="J108" s="7"/>
    </row>
    <row r="109" spans="8:10" x14ac:dyDescent="0.45">
      <c r="H109" s="7"/>
      <c r="I109" s="7"/>
      <c r="J109" s="7"/>
    </row>
    <row r="110" spans="8:10" x14ac:dyDescent="0.45">
      <c r="H110" s="7"/>
      <c r="I110" s="7"/>
      <c r="J110" s="7"/>
    </row>
    <row r="111" spans="8:10" x14ac:dyDescent="0.45">
      <c r="H111" s="7"/>
      <c r="I111" s="7"/>
      <c r="J111" s="7"/>
    </row>
    <row r="112" spans="8:10" x14ac:dyDescent="0.45">
      <c r="H112" s="7"/>
      <c r="I112" s="7"/>
      <c r="J112" s="7"/>
    </row>
    <row r="113" spans="8:10" x14ac:dyDescent="0.45">
      <c r="H113" s="7"/>
      <c r="I113" s="7"/>
      <c r="J113" s="7"/>
    </row>
    <row r="114" spans="8:10" x14ac:dyDescent="0.45">
      <c r="J114" s="7"/>
    </row>
    <row r="115" spans="8:10" x14ac:dyDescent="0.45">
      <c r="J115" s="7"/>
    </row>
    <row r="116" spans="8:10" x14ac:dyDescent="0.45">
      <c r="J116" s="7"/>
    </row>
    <row r="117" spans="8:10" x14ac:dyDescent="0.45">
      <c r="J117" s="7"/>
    </row>
    <row r="118" spans="8:10" x14ac:dyDescent="0.45">
      <c r="J118" s="7"/>
    </row>
    <row r="119" spans="8:10" x14ac:dyDescent="0.45">
      <c r="J119" s="7"/>
    </row>
    <row r="120" spans="8:10" x14ac:dyDescent="0.45">
      <c r="J120" s="7"/>
    </row>
  </sheetData>
  <mergeCells count="1">
    <mergeCell ref="C1:G1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20"/>
  <sheetViews>
    <sheetView workbookViewId="0">
      <selection activeCell="O9" sqref="O9"/>
    </sheetView>
  </sheetViews>
  <sheetFormatPr defaultColWidth="9.33203125" defaultRowHeight="14.25" x14ac:dyDescent="0.45"/>
  <cols>
    <col min="1" max="1" width="8" style="1" bestFit="1" customWidth="1"/>
    <col min="2" max="2" width="11.6640625" style="1" bestFit="1" customWidth="1"/>
    <col min="3" max="4" width="6.53125" style="1" bestFit="1" customWidth="1"/>
    <col min="5" max="5" width="6.53125" style="1" customWidth="1"/>
    <col min="6" max="7" width="8.33203125" style="1" bestFit="1" customWidth="1"/>
    <col min="8" max="10" width="8.33203125" style="1" customWidth="1"/>
    <col min="11" max="17" width="9.33203125" style="1"/>
    <col min="18" max="18" width="14" style="1" bestFit="1" customWidth="1"/>
    <col min="19" max="16384" width="9.33203125" style="1"/>
  </cols>
  <sheetData>
    <row r="1" spans="1:18" x14ac:dyDescent="0.45">
      <c r="C1" s="16" t="s">
        <v>61</v>
      </c>
      <c r="D1" s="16"/>
      <c r="E1" s="16"/>
      <c r="F1" s="16"/>
      <c r="G1" s="16"/>
      <c r="H1" s="11"/>
      <c r="I1" s="11"/>
      <c r="J1" s="11"/>
      <c r="R1" s="10" t="s">
        <v>216</v>
      </c>
    </row>
    <row r="2" spans="1:18" x14ac:dyDescent="0.45">
      <c r="C2" s="11" t="s">
        <v>0</v>
      </c>
      <c r="D2" s="11" t="s">
        <v>1</v>
      </c>
      <c r="E2" s="11" t="s">
        <v>90</v>
      </c>
      <c r="F2" s="11" t="s">
        <v>49</v>
      </c>
      <c r="G2" s="11" t="s">
        <v>48</v>
      </c>
      <c r="H2" s="11" t="s">
        <v>164</v>
      </c>
      <c r="I2" s="11" t="s">
        <v>91</v>
      </c>
      <c r="J2" s="11"/>
      <c r="K2" s="11" t="s">
        <v>208</v>
      </c>
      <c r="L2" s="11" t="s">
        <v>209</v>
      </c>
      <c r="M2" s="11" t="s">
        <v>210</v>
      </c>
      <c r="N2" s="11" t="s">
        <v>211</v>
      </c>
      <c r="O2" s="11" t="s">
        <v>212</v>
      </c>
      <c r="P2" s="11" t="s">
        <v>213</v>
      </c>
      <c r="Q2" s="11"/>
      <c r="R2" s="10">
        <v>6</v>
      </c>
    </row>
    <row r="3" spans="1:18" x14ac:dyDescent="0.45">
      <c r="B3" s="1" t="s">
        <v>6</v>
      </c>
      <c r="C3" s="11">
        <v>1000</v>
      </c>
      <c r="D3" s="11">
        <v>1000</v>
      </c>
      <c r="E3" s="11">
        <v>1000</v>
      </c>
      <c r="F3" s="11">
        <v>1000</v>
      </c>
      <c r="G3" s="11">
        <v>1000</v>
      </c>
      <c r="H3" s="11">
        <v>1000</v>
      </c>
      <c r="I3" s="11">
        <v>1000</v>
      </c>
      <c r="J3" s="11"/>
      <c r="K3" s="11"/>
      <c r="L3" s="11"/>
      <c r="M3" s="11"/>
      <c r="N3" s="11"/>
      <c r="O3" s="11"/>
      <c r="P3" s="11"/>
    </row>
    <row r="4" spans="1:18" x14ac:dyDescent="0.45">
      <c r="C4" s="11"/>
      <c r="D4" s="11"/>
      <c r="E4" s="11"/>
      <c r="F4" s="11"/>
      <c r="G4" s="11"/>
      <c r="H4" s="11"/>
      <c r="I4" s="11"/>
      <c r="J4" s="11"/>
    </row>
    <row r="5" spans="1:18" x14ac:dyDescent="0.45">
      <c r="A5" s="2" t="s">
        <v>58</v>
      </c>
      <c r="B5" s="1" t="s">
        <v>3</v>
      </c>
      <c r="C5" s="5">
        <f>HLOOKUP("ATE-bias-IPS-exp",Point!$D$1:$DR$96,$R$2,FALSE)</f>
        <v>6.50551147531786E-3</v>
      </c>
      <c r="D5" s="5">
        <f>HLOOKUP("ATE-RMSE-IPS-exp",Point!$D$1:$DR$96,$R$2,FALSE)</f>
        <v>2.6621119448191601</v>
      </c>
      <c r="E5" s="5">
        <f>(D5/$D$9)^2</f>
        <v>0.85472400725017117</v>
      </c>
      <c r="F5" s="5">
        <f>HLOOKUP("ATE-Empcov-IPS-exp",inference!$D$1:$DR$96,$R$2,FALSE)</f>
        <v>0.93899999999999995</v>
      </c>
      <c r="G5" s="5">
        <f>HLOOKUP("ATE-ASSD-IPS-exp",inference!$D$1:$DR$96,$R$2,FALSE)*2*1.96/SQRT(G$3)</f>
        <v>10.142202185161947</v>
      </c>
      <c r="H5" s="5">
        <f>G5/(2*1.96/SQRT(G$3))</f>
        <v>81.817498456756496</v>
      </c>
      <c r="I5" s="5">
        <f t="shared" ref="I5:I10" si="0">($H$9/H5)^2</f>
        <v>1.246935991854152</v>
      </c>
      <c r="J5" s="5"/>
      <c r="K5" s="5">
        <f>HLOOKUP("ks-IPS-exp",balance!$D$1:$DR$96,$R$2,FALSE)</f>
        <v>2.0828664939397799</v>
      </c>
      <c r="L5" s="5">
        <f>HLOOKUP("cvm-IPS-exp",balance!$D$1:$DR$96,$R$2,FALSE)</f>
        <v>0.207653749779699</v>
      </c>
      <c r="M5" s="5">
        <f>HLOOKUP("ks-IPS-exp_1",balance!$D$1:$DR$96,$R$2,FALSE)</f>
        <v>1.15661425137385</v>
      </c>
      <c r="N5" s="5">
        <f>HLOOKUP("cvm-IPS-exp_1",balance!$D$1:$DR$96,$R$2,FALSE)</f>
        <v>4.10290959316576E-2</v>
      </c>
      <c r="O5" s="5">
        <f>HLOOKUP("ks-IPS-exp_0",balance!$D$1:$DR$96,$R$2,FALSE)</f>
        <v>1.3492614061280099</v>
      </c>
      <c r="P5" s="5">
        <f>HLOOKUP("cvm-IPS-exp_0",balance!$D$1:$DR$96,$R$2,FALSE)</f>
        <v>9.7897036268084395E-2</v>
      </c>
    </row>
    <row r="6" spans="1:18" x14ac:dyDescent="0.45">
      <c r="B6" s="1" t="s">
        <v>5</v>
      </c>
      <c r="C6" s="5">
        <f>HLOOKUP("ATE-bias-IPS-ind",Point!$D$1:$DR$96,$R$2,FALSE)</f>
        <v>0.47509310349759698</v>
      </c>
      <c r="D6" s="5">
        <f>HLOOKUP("ATE-RMSE-IPS-ind",Point!$D$1:$DR$96,$R$2,FALSE)</f>
        <v>2.63239263406488</v>
      </c>
      <c r="E6" s="5">
        <f t="shared" ref="E6:E10" si="1">(D6/$D$9)^2</f>
        <v>0.83574657998286928</v>
      </c>
      <c r="F6" s="5">
        <f>HLOOKUP("ATE-Empcov-IPS-ind",inference!$D$1:$DR$96,$R$2,FALSE)</f>
        <v>0.97199999999999998</v>
      </c>
      <c r="G6" s="5">
        <f>HLOOKUP("ATE-ASSD-IPS-ind",inference!$D$1:$DR$96,$R$2,FALSE)*2*1.96/SQRT(G$3)</f>
        <v>11.258333515677075</v>
      </c>
      <c r="H6" s="5">
        <f t="shared" ref="H6:H9" si="2">G6/(2*1.96/SQRT(G$3))</f>
        <v>90.821368794261588</v>
      </c>
      <c r="I6" s="5">
        <f t="shared" si="0"/>
        <v>1.0119532945176588</v>
      </c>
      <c r="J6" s="5"/>
      <c r="K6" s="5">
        <f>HLOOKUP("ks-IPS-ind",balance!$D$1:$DR$96,$R$2,FALSE)</f>
        <v>1.98000019416116</v>
      </c>
      <c r="L6" s="5">
        <f>HLOOKUP("cvm-IPS-ind",balance!$D$1:$DR$96,$R$2,FALSE)</f>
        <v>0.153032925498954</v>
      </c>
      <c r="M6" s="5">
        <f>HLOOKUP("ks-IPS-ind_1",balance!$D$1:$DR$96,$R$2,FALSE)</f>
        <v>1.16953398360623</v>
      </c>
      <c r="N6" s="5">
        <f>HLOOKUP("cvm-IPS-ind_1",balance!$D$1:$DR$96,$R$2,FALSE)</f>
        <v>3.4895797848598503E-2</v>
      </c>
      <c r="O6" s="5">
        <f>HLOOKUP("ks-IPS-ind_0",balance!$D$1:$DR$96,$R$2,FALSE)</f>
        <v>1.20937160226531</v>
      </c>
      <c r="P6" s="5">
        <f>HLOOKUP("cvm-IPS-ind_0",balance!$D$1:$DR$96,$R$2,FALSE)</f>
        <v>6.4998383747258706E-2</v>
      </c>
    </row>
    <row r="7" spans="1:18" x14ac:dyDescent="0.45">
      <c r="B7" s="1" t="s">
        <v>4</v>
      </c>
      <c r="C7" s="5">
        <f>HLOOKUP("ATE-bias-IPS-proj",Point!$D$1:$DR$96,$R$2,FALSE)</f>
        <v>2.2479470655985899E-2</v>
      </c>
      <c r="D7" s="5">
        <f>HLOOKUP("ATE-RMSE-IPS-proj",Point!$D$1:$DR$96,$R$2,FALSE)</f>
        <v>2.6220994097124199</v>
      </c>
      <c r="E7" s="5">
        <f t="shared" si="1"/>
        <v>0.82922345872193248</v>
      </c>
      <c r="F7" s="6">
        <f>HLOOKUP("ATE-Empcov-IPS-proj",inference!$D$1:$DR$96,$R$2,FALSE)</f>
        <v>0.94</v>
      </c>
      <c r="G7" s="6">
        <f>HLOOKUP("ATE-ASSD-IPS-proj",inference!$D$1:$DR$96,$R$2,FALSE)*2*1.96/SQRT(G$3)</f>
        <v>9.975699719873667</v>
      </c>
      <c r="H7" s="5">
        <f t="shared" si="2"/>
        <v>80.474317267103203</v>
      </c>
      <c r="I7" s="5">
        <f t="shared" si="0"/>
        <v>1.2889080996216533</v>
      </c>
      <c r="J7" s="5"/>
      <c r="K7" s="5">
        <f>HLOOKUP("ks-IPS-proj",balance!$D$1:$DR$96,$R$2,FALSE)</f>
        <v>2.0765710877961401</v>
      </c>
      <c r="L7" s="5">
        <f>HLOOKUP("cvm-IPS-proj",balance!$D$1:$DR$96,$R$2,FALSE)</f>
        <v>0.20696503970069199</v>
      </c>
      <c r="M7" s="5">
        <f>HLOOKUP("ks-IPS-proj_1",balance!$D$1:$DR$96,$R$2,FALSE)</f>
        <v>1.1426061857408101</v>
      </c>
      <c r="N7" s="5">
        <f>HLOOKUP("cvm-IPS-proj_1",balance!$D$1:$DR$96,$R$2,FALSE)</f>
        <v>4.0628273627134101E-2</v>
      </c>
      <c r="O7" s="5">
        <f>HLOOKUP("ks-IPS-proj_0",balance!$D$1:$DR$96,$R$2,FALSE)</f>
        <v>1.34021867523727</v>
      </c>
      <c r="P7" s="5">
        <f>HLOOKUP("cvm-IPS-proj_0",balance!$D$1:$DR$96,$R$2,FALSE)</f>
        <v>9.6928556758360707E-2</v>
      </c>
    </row>
    <row r="8" spans="1:18" x14ac:dyDescent="0.45">
      <c r="B8" s="1" t="s">
        <v>88</v>
      </c>
      <c r="C8" s="5">
        <f>HLOOKUP("ATE-bias-CBPS-just",Point!$D$1:$DR$96,$R$2,FALSE)</f>
        <v>1.3764453982084E-2</v>
      </c>
      <c r="D8" s="5">
        <f>HLOOKUP("ATE-RMSE-CBPS-just",Point!$D$1:$DR$96,$R$2,FALSE)</f>
        <v>2.9062851578052</v>
      </c>
      <c r="E8" s="5">
        <f t="shared" si="1"/>
        <v>1.0187080130183956</v>
      </c>
      <c r="F8" s="5">
        <f>HLOOKUP("ATE-Empcov-CBPS-just",inference!$D$1:$DR$96,$R$2,FALSE)</f>
        <v>0.93500000000000005</v>
      </c>
      <c r="G8" s="5">
        <f>HLOOKUP("ATE-ASSD-CBPS-just",inference!$D$1:$DR$96,$R$2,FALSE)*2*1.96/SQRT(G$3)</f>
        <v>10.904200382497606</v>
      </c>
      <c r="H8" s="5">
        <f t="shared" si="2"/>
        <v>87.964564468295094</v>
      </c>
      <c r="I8" s="5">
        <f t="shared" si="0"/>
        <v>1.078750577215023</v>
      </c>
      <c r="J8" s="5"/>
      <c r="K8" s="5">
        <f>HLOOKUP("ks-CBPS-Just",balance!$D$1:$DR$96,$R$2,FALSE)</f>
        <v>2.1486933749856201</v>
      </c>
      <c r="L8" s="5">
        <f>HLOOKUP("cvm-CBPS-Just",balance!$D$1:$DR$96,$R$2,FALSE)</f>
        <v>0.219131597942511</v>
      </c>
      <c r="M8" s="5">
        <f>HLOOKUP("ks-CBPS-Just_1",balance!$D$1:$DR$96,$R$2,FALSE)</f>
        <v>1.1967519017157899</v>
      </c>
      <c r="N8" s="5">
        <f>HLOOKUP("cvm-CBPS-Just_1",balance!$D$1:$DR$96,$R$2,FALSE)</f>
        <v>4.3812192931849903E-2</v>
      </c>
      <c r="O8" s="5">
        <f>HLOOKUP("ks-CBPS-Just_0",balance!$D$1:$DR$96,$R$2,FALSE)</f>
        <v>1.3938056232435301</v>
      </c>
      <c r="P8" s="5">
        <f>HLOOKUP("cvm-CBPS-Just_0",balance!$D$1:$DR$96,$R$2,FALSE)</f>
        <v>0.10380833285374701</v>
      </c>
    </row>
    <row r="9" spans="1:18" x14ac:dyDescent="0.45">
      <c r="B9" s="1" t="s">
        <v>89</v>
      </c>
      <c r="C9" s="5">
        <f>HLOOKUP("ATE-bias-CBPS-over",Point!$D$1:$DR$96,$R$2,FALSE)</f>
        <v>1.9532410964400199E-2</v>
      </c>
      <c r="D9" s="5">
        <f>HLOOKUP("ATE-RMSE-CBPS-over",Point!$D$1:$DR$96,$R$2,FALSE)</f>
        <v>2.8794753353764002</v>
      </c>
      <c r="E9" s="5">
        <f t="shared" si="1"/>
        <v>1</v>
      </c>
      <c r="F9" s="5">
        <f>HLOOKUP("ATE-Empcov-CBPS-over",inference!$D$1:$DR$96,$R$2,FALSE)</f>
        <v>0.94699999999999995</v>
      </c>
      <c r="G9" s="5">
        <f>HLOOKUP("ATE-ASSD-CBPS-over",inference!$D$1:$DR$96,$R$2,FALSE)*2*1.96/SQRT(G$3)</f>
        <v>11.325420721081333</v>
      </c>
      <c r="H9" s="5">
        <f t="shared" si="2"/>
        <v>91.362563618070297</v>
      </c>
      <c r="I9" s="5">
        <f t="shared" si="0"/>
        <v>1</v>
      </c>
      <c r="J9" s="5"/>
      <c r="K9" s="5">
        <f>HLOOKUP("ks-CBPS-over",balance!$D$1:$DR$96,$R$2,FALSE)</f>
        <v>2.15318687056094</v>
      </c>
      <c r="L9" s="5">
        <f>HLOOKUP("cvm-CBPS-over",balance!$D$1:$DR$96,$R$2,FALSE)</f>
        <v>0.21589111864376301</v>
      </c>
      <c r="M9" s="5">
        <f>HLOOKUP("ks-CBPS-over_1",balance!$D$1:$DR$96,$R$2,FALSE)</f>
        <v>1.1798420695521701</v>
      </c>
      <c r="N9" s="5">
        <f>HLOOKUP("cvm-CBPS-over_1",balance!$D$1:$DR$96,$R$2,FALSE)</f>
        <v>4.3910405146337803E-2</v>
      </c>
      <c r="O9" s="5">
        <f>HLOOKUP("ks-CBPS-over_0",balance!$D$1:$DR$96,$R$2,FALSE)</f>
        <v>1.36963056427128</v>
      </c>
      <c r="P9" s="5">
        <f>HLOOKUP("cvm-CBPS-over_0",balance!$D$1:$DR$96,$R$2,FALSE)</f>
        <v>9.8228941883536494E-2</v>
      </c>
    </row>
    <row r="10" spans="1:18" s="3" customFormat="1" x14ac:dyDescent="0.45">
      <c r="B10" s="3" t="s">
        <v>2</v>
      </c>
      <c r="C10" s="5">
        <f>HLOOKUP("ATE-bias-GLM",Point!$D$1:$DR$96,$R$2,FALSE)</f>
        <v>-1.1649209491501699E-2</v>
      </c>
      <c r="D10" s="5">
        <f>HLOOKUP("ATE-RMSE-GLM",Point!$D$1:$DR$96,$R$2,FALSE)</f>
        <v>3.0980672368758002</v>
      </c>
      <c r="E10" s="5">
        <f t="shared" si="1"/>
        <v>1.1575904951546685</v>
      </c>
      <c r="F10" s="5">
        <f>HLOOKUP("ATE-Empcov-GLM",inference!$D$1:$DR$96,$R$2,FALSE)</f>
        <v>0.94199999999999995</v>
      </c>
      <c r="G10" s="5">
        <f>HLOOKUP("ATE-ASSD-GLM",inference!$D$1:$DR$96,$R$2,FALSE)*2*1.96/SQRT(G$3)</f>
        <v>11.780532772392679</v>
      </c>
      <c r="H10" s="5">
        <f>G10/(2*1.96/SQRT(G$3))</f>
        <v>95.033968395456199</v>
      </c>
      <c r="I10" s="5">
        <f t="shared" si="0"/>
        <v>0.92422736903041991</v>
      </c>
      <c r="J10" s="5"/>
      <c r="K10" s="5">
        <f>HLOOKUP("ks-GLM",balance!$D$1:$DR$96,$R$2,FALSE)</f>
        <v>2.1418313011699102</v>
      </c>
      <c r="L10" s="5">
        <f>HLOOKUP("cvm-GLM",balance!$D$1:$DR$96,$R$2,FALSE)</f>
        <v>0.217910346945273</v>
      </c>
      <c r="M10" s="5">
        <f>HLOOKUP("ks-GLM_1",balance!$D$1:$DR$96,$R$2,FALSE)</f>
        <v>1.2042323900652301</v>
      </c>
      <c r="N10" s="5">
        <f>HLOOKUP("cvm-GLM_1",balance!$D$1:$DR$96,$R$2,FALSE)</f>
        <v>4.2266396118734E-2</v>
      </c>
      <c r="O10" s="5">
        <f>HLOOKUP("ks-GLM_0",balance!$D$1:$DR$96,$R$2,FALSE)</f>
        <v>1.4161937529526201</v>
      </c>
      <c r="P10" s="5">
        <f>HLOOKUP("cvm-GLM_0",balance!$D$1:$DR$96,$R$2,FALSE)</f>
        <v>0.10944981022514</v>
      </c>
    </row>
    <row r="11" spans="1:18" s="4" customFormat="1" x14ac:dyDescent="0.45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8" x14ac:dyDescent="0.45">
      <c r="A12" s="2" t="s">
        <v>206</v>
      </c>
      <c r="B12" s="1" t="s">
        <v>3</v>
      </c>
      <c r="C12" s="5">
        <f>HLOOKUP("QTE-0.10-bias-IPS-exp",Point!$D$1:$DR$96,$R$2,FALSE)</f>
        <v>2.1125729563578902E-2</v>
      </c>
      <c r="D12" s="5">
        <f>HLOOKUP("QTE-0.10-RMSE-IPS-exp",Point!$D$1:$DR$96,$R$2,FALSE)</f>
        <v>3.5706786350183002</v>
      </c>
      <c r="E12" s="5">
        <f t="shared" ref="E12:E15" si="3">(D12/$D$16)^2</f>
        <v>1.0611207901538717</v>
      </c>
      <c r="F12" s="5">
        <f>HLOOKUP("QTE-0.1-Empcov-IPS-exp",inference!$D$1:$DR$96,$R$2,FALSE)</f>
        <v>0.95299999999999996</v>
      </c>
      <c r="G12" s="5">
        <f>HLOOKUP("QTE-0.1-ASSD-IPS-exp",inference!$D$1:$DR$96,$R$2,FALSE)*2*1.96/SQRT(G$3)</f>
        <v>13.80561059221097</v>
      </c>
      <c r="H12" s="5">
        <f>G12/(2*1.96/SQRT(G$3))</f>
        <v>111.37034173656301</v>
      </c>
      <c r="I12" s="5">
        <f t="shared" ref="I12:I17" si="4">($H$16/H12)^2</f>
        <v>0.9830800329438113</v>
      </c>
      <c r="J12" s="5"/>
      <c r="K12" s="5"/>
      <c r="L12" s="5"/>
      <c r="M12" s="5"/>
      <c r="N12" s="5"/>
    </row>
    <row r="13" spans="1:18" x14ac:dyDescent="0.45">
      <c r="B13" s="1" t="s">
        <v>5</v>
      </c>
      <c r="C13" s="5">
        <f>HLOOKUP("QTE-0.10-bias-IPS-ind",Point!$D$1:$DR$96,$R$2,FALSE)</f>
        <v>0.230555735240006</v>
      </c>
      <c r="D13" s="5">
        <f>HLOOKUP("QTE-0.10-RMSE-IPS-ind",Point!$D$1:$DR$96,$R$2,FALSE)</f>
        <v>3.9340104434426602</v>
      </c>
      <c r="E13" s="5">
        <f t="shared" si="3"/>
        <v>1.2880547117417405</v>
      </c>
      <c r="F13" s="5">
        <f>HLOOKUP("QTE-0.1-Empcov-IPS-ind",inference!$D$1:$DR$96,$R$2,FALSE)</f>
        <v>0.95399999999999996</v>
      </c>
      <c r="G13" s="5">
        <f>HLOOKUP("QTE-0.1-ASSD-IPS-ind",inference!$D$1:$DR$96,$R$2,FALSE)*2*1.96/SQRT(G$3)</f>
        <v>15.492555754789324</v>
      </c>
      <c r="H13" s="5">
        <f t="shared" ref="H13:H16" si="5">G13/(2*1.96/SQRT(G$3))</f>
        <v>124.97898714868199</v>
      </c>
      <c r="I13" s="5">
        <f t="shared" si="4"/>
        <v>0.78064571183626741</v>
      </c>
      <c r="J13" s="5"/>
      <c r="K13" s="5"/>
      <c r="L13" s="5"/>
      <c r="M13" s="5"/>
      <c r="N13" s="5"/>
    </row>
    <row r="14" spans="1:18" x14ac:dyDescent="0.45">
      <c r="B14" s="1" t="s">
        <v>4</v>
      </c>
      <c r="C14" s="5">
        <f>HLOOKUP("QTE-0.10-bias-IPS-proj",Point!$D$1:$DR$96,$R$2,FALSE)</f>
        <v>2.69103136902764E-2</v>
      </c>
      <c r="D14" s="5">
        <f>HLOOKUP("QTE-0.10-RMSE-IPS-proj",Point!$D$1:$DR$96,$R$2,FALSE)</f>
        <v>3.58137707215301</v>
      </c>
      <c r="E14" s="5">
        <f t="shared" si="3"/>
        <v>1.067488958287494</v>
      </c>
      <c r="F14" s="6">
        <f>HLOOKUP("QTE-0.1-Empcov-IPS-proj",inference!$D$1:$DR$96,$R$2,FALSE)</f>
        <v>0.95299999999999996</v>
      </c>
      <c r="G14" s="6">
        <f>HLOOKUP("QTE-0.1-ASSD-IPS-proj",inference!$D$1:$DR$96,$R$2,FALSE)*2*1.96/SQRT(G$3)</f>
        <v>13.836366177402217</v>
      </c>
      <c r="H14" s="5">
        <f t="shared" si="5"/>
        <v>111.61844811405201</v>
      </c>
      <c r="I14" s="5">
        <f t="shared" si="4"/>
        <v>0.97871449392989129</v>
      </c>
      <c r="J14" s="5"/>
      <c r="K14" s="5"/>
      <c r="L14" s="5"/>
      <c r="M14" s="5"/>
      <c r="N14" s="5"/>
    </row>
    <row r="15" spans="1:18" x14ac:dyDescent="0.45">
      <c r="B15" s="1" t="s">
        <v>88</v>
      </c>
      <c r="C15" s="5">
        <f>HLOOKUP("QTE-0.10-bias-CBPS-just",Point!$D$1:$DR$96,$R$2,FALSE)</f>
        <v>7.8268415430294197E-2</v>
      </c>
      <c r="D15" s="5">
        <f>HLOOKUP("QTE-0.10-RMSE-CBPS-just",Point!$D$1:$DR$96,$R$2,FALSE)</f>
        <v>3.4288719714319198</v>
      </c>
      <c r="E15" s="5">
        <f t="shared" si="3"/>
        <v>0.97851127170469232</v>
      </c>
      <c r="F15" s="5">
        <f>HLOOKUP("QTE-0.1-Empcov-CBPS-just",inference!$D$1:$DR$96,$R$2,FALSE)</f>
        <v>0.95399999999999996</v>
      </c>
      <c r="G15" s="5">
        <f>HLOOKUP("QTE-0.1-ASSD-CBPS-just",inference!$D$1:$DR$96,$R$2,FALSE)*2*1.96/SQRT(G$3)</f>
        <v>13.379479802361532</v>
      </c>
      <c r="H15" s="5">
        <f t="shared" si="5"/>
        <v>107.93272980531101</v>
      </c>
      <c r="I15" s="5">
        <f t="shared" si="4"/>
        <v>1.046698634050816</v>
      </c>
      <c r="J15" s="5"/>
      <c r="K15" s="5"/>
      <c r="L15" s="5"/>
      <c r="M15" s="5"/>
      <c r="N15" s="5"/>
    </row>
    <row r="16" spans="1:18" x14ac:dyDescent="0.45">
      <c r="B16" s="1" t="s">
        <v>89</v>
      </c>
      <c r="C16" s="5">
        <f>HLOOKUP("QTE-0.10-bias-CBPS-over",Point!$D$1:$DR$96,$R$2,FALSE)</f>
        <v>5.4089396845931503E-2</v>
      </c>
      <c r="D16" s="5">
        <f>HLOOKUP("QTE-0.10-RMSE-CBPS-over",Point!$D$1:$DR$96,$R$2,FALSE)</f>
        <v>3.46631760729331</v>
      </c>
      <c r="E16" s="5">
        <f>(D16/$D$16)^2</f>
        <v>1</v>
      </c>
      <c r="F16" s="5">
        <f>HLOOKUP("QTE-0.1-Empcov-CBPS-over",inference!$D$1:$DR$96,$R$2,FALSE)</f>
        <v>0.95499999999999996</v>
      </c>
      <c r="G16" s="5">
        <f>HLOOKUP("QTE-0.1-ASSD-CBPS-over",inference!$D$1:$DR$96,$R$2,FALSE)*2*1.96/SQRT(G$3)</f>
        <v>13.688317086785776</v>
      </c>
      <c r="H16" s="5">
        <f t="shared" si="5"/>
        <v>110.42413094092799</v>
      </c>
      <c r="I16" s="5">
        <f>($H$16/H16)^2</f>
        <v>1</v>
      </c>
      <c r="J16" s="5"/>
      <c r="K16" s="5"/>
      <c r="L16" s="5"/>
      <c r="M16" s="5"/>
      <c r="N16" s="5"/>
    </row>
    <row r="17" spans="1:18" s="3" customFormat="1" x14ac:dyDescent="0.45">
      <c r="B17" s="3" t="s">
        <v>2</v>
      </c>
      <c r="C17" s="5">
        <f>HLOOKUP("QTE-0.10-bias-GLM",Point!$D$1:$DR$96,$R$2,FALSE)</f>
        <v>4.2792354707575697E-2</v>
      </c>
      <c r="D17" s="5">
        <f>HLOOKUP("QTE-0.10-RMSE-GLM",Point!$D$1:$DR$96,$R$2,FALSE)</f>
        <v>3.4657679568586</v>
      </c>
      <c r="E17" s="5">
        <f>(D17/$D$16)^2</f>
        <v>0.99968288719141019</v>
      </c>
      <c r="F17" s="5">
        <f>HLOOKUP("QTE-0.1-Empcov-GLM",inference!$D$1:$DR$96,$R$2,FALSE)</f>
        <v>0.94599999999999995</v>
      </c>
      <c r="G17" s="5">
        <f>HLOOKUP("QTE-0.1-ASSD-GLM",inference!$D$1:$DR$96,$R$2,FALSE)*2*1.96/SQRT(G$3)</f>
        <v>13.464724047439553</v>
      </c>
      <c r="H17" s="5">
        <f>G17/(2*1.96/SQRT(G$3))</f>
        <v>108.62039810089301</v>
      </c>
      <c r="I17" s="5">
        <f t="shared" si="4"/>
        <v>1.0334874318337799</v>
      </c>
      <c r="J17" s="5"/>
      <c r="K17" s="5"/>
      <c r="L17" s="5"/>
      <c r="M17" s="5"/>
      <c r="N17" s="5"/>
    </row>
    <row r="18" spans="1:18" s="4" customFormat="1" x14ac:dyDescent="0.45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8" x14ac:dyDescent="0.45">
      <c r="A19" s="2" t="s">
        <v>59</v>
      </c>
      <c r="B19" s="1" t="s">
        <v>3</v>
      </c>
      <c r="C19" s="5">
        <f>HLOOKUP("QTE-0.25-bias-IPS-exp",Point!$D$1:$DR$96,$R$2,FALSE)</f>
        <v>3.4075986512881698E-2</v>
      </c>
      <c r="D19" s="5">
        <f>HLOOKUP("QTE-0.25-RMSE-IPS-exp",Point!$D$1:$DR$96,$R$2,FALSE)</f>
        <v>3.04801111556199</v>
      </c>
      <c r="E19" s="5">
        <f>(D19/$D$23)^2</f>
        <v>1.0225834861454512</v>
      </c>
      <c r="F19" s="5">
        <f>HLOOKUP("QTE-0.25-Empcov-IPS-exp",inference!$D$1:$DR$96,$R$2,FALSE)</f>
        <v>0.94799999999999995</v>
      </c>
      <c r="G19" s="5">
        <f>HLOOKUP("QTE-0.25-ASSD-IPS-exp",inference!$D$1:$DR$96,$R$2,FALSE)*2*1.96/SQRT(G$3)</f>
        <v>12.125626906205808</v>
      </c>
      <c r="H19" s="5">
        <f>G19/(2*1.96/SQRT(G$3))</f>
        <v>97.817854798549106</v>
      </c>
      <c r="I19" s="5">
        <f>($H$23/H19)^2</f>
        <v>1.0476590272092769</v>
      </c>
      <c r="J19" s="5"/>
      <c r="K19" s="5"/>
      <c r="L19" s="5"/>
      <c r="M19" s="5"/>
      <c r="N19" s="5"/>
    </row>
    <row r="20" spans="1:18" x14ac:dyDescent="0.45">
      <c r="B20" s="1" t="s">
        <v>5</v>
      </c>
      <c r="C20" s="5">
        <f>HLOOKUP("QTE-0.25-bias-IPS-ind",Point!$D$1:$DR$96,$R$2,FALSE)</f>
        <v>0.30384514237301402</v>
      </c>
      <c r="D20" s="5">
        <f>HLOOKUP("QTE-0.25-RMSE-IPS-ind",Point!$D$1:$DR$96,$R$2,FALSE)</f>
        <v>3.2699536997168801</v>
      </c>
      <c r="E20" s="5">
        <f t="shared" ref="E20:E24" si="6">(D20/$D$23)^2</f>
        <v>1.1769252728251316</v>
      </c>
      <c r="F20" s="5">
        <f>HLOOKUP("QTE-0.25-Empcov-IPS-ind",inference!$D$1:$DR$96,$R$2,FALSE)</f>
        <v>0.96399999999999997</v>
      </c>
      <c r="G20" s="5">
        <f>HLOOKUP("QTE-0.25-ASSD-IPS-ind",inference!$D$1:$DR$96,$R$2,FALSE)*2*1.96/SQRT(G$3)</f>
        <v>13.95296328769062</v>
      </c>
      <c r="H20" s="5">
        <f t="shared" ref="H20:H23" si="7">G20/(2*1.96/SQRT(G$3))</f>
        <v>112.55904106585101</v>
      </c>
      <c r="I20" s="5">
        <f t="shared" ref="I20:I24" si="8">($H$23/H20)^2</f>
        <v>0.7912167250119797</v>
      </c>
      <c r="J20" s="5"/>
      <c r="K20" s="5"/>
      <c r="L20" s="5"/>
      <c r="M20" s="5"/>
      <c r="N20" s="5"/>
    </row>
    <row r="21" spans="1:18" x14ac:dyDescent="0.45">
      <c r="B21" s="1" t="s">
        <v>4</v>
      </c>
      <c r="C21" s="5">
        <f>HLOOKUP("QTE-0.25-bias-IPS-proj",Point!$D$1:$DR$96,$R$2,FALSE)</f>
        <v>6.2989605420643399E-2</v>
      </c>
      <c r="D21" s="5">
        <f>HLOOKUP("QTE-0.25-RMSE-IPS-proj",Point!$D$1:$DR$96,$R$2,FALSE)</f>
        <v>3.0528769445292401</v>
      </c>
      <c r="E21" s="5">
        <f t="shared" si="6"/>
        <v>1.0258509860089797</v>
      </c>
      <c r="F21" s="6">
        <f>HLOOKUP("QTE-0.25-Empcov-IPS-proj",inference!$D$1:$DR$96,$R$2,FALSE)</f>
        <v>0.94299999999999995</v>
      </c>
      <c r="G21" s="6">
        <f>HLOOKUP("QTE-0.25-ASSD-IPS-proj",inference!$D$1:$DR$96,$R$2,FALSE)*2*1.96/SQRT(G$3)</f>
        <v>12.13514400845018</v>
      </c>
      <c r="H21" s="5">
        <f t="shared" si="7"/>
        <v>97.894629594000421</v>
      </c>
      <c r="I21" s="5">
        <f t="shared" si="8"/>
        <v>1.0460163984489366</v>
      </c>
      <c r="J21" s="5"/>
      <c r="K21" s="5"/>
      <c r="L21" s="5"/>
      <c r="M21" s="5"/>
      <c r="N21" s="5"/>
    </row>
    <row r="22" spans="1:18" x14ac:dyDescent="0.45">
      <c r="B22" s="1" t="s">
        <v>88</v>
      </c>
      <c r="C22" s="5">
        <f>HLOOKUP("QTE-0.25-bias-CBPS-just",Point!$D$1:$DR$96,$R$2,FALSE)</f>
        <v>4.46056230330747E-2</v>
      </c>
      <c r="D22" s="5">
        <f>HLOOKUP("QTE-0.25-RMSE-CBPS-just",Point!$D$1:$DR$96,$R$2,FALSE)</f>
        <v>3.03743782798368</v>
      </c>
      <c r="E22" s="5">
        <f t="shared" si="6"/>
        <v>1.0155012834926989</v>
      </c>
      <c r="F22" s="5">
        <f>HLOOKUP("QTE-0.25-Empcov-CBPS-just",inference!$D$1:$DR$96,$R$2,FALSE)</f>
        <v>0.94899999999999995</v>
      </c>
      <c r="G22" s="5">
        <f>HLOOKUP("QTE-0.25-ASSD-CBPS-just",inference!$D$1:$DR$96,$R$2,FALSE)*2*1.96/SQRT(G$3)</f>
        <v>12.051440236201472</v>
      </c>
      <c r="H22" s="5">
        <f t="shared" si="7"/>
        <v>97.219388346413908</v>
      </c>
      <c r="I22" s="5">
        <f t="shared" si="8"/>
        <v>1.0605971584051688</v>
      </c>
      <c r="J22" s="5"/>
      <c r="K22" s="5"/>
      <c r="L22" s="5"/>
      <c r="M22" s="5"/>
      <c r="N22" s="5"/>
    </row>
    <row r="23" spans="1:18" x14ac:dyDescent="0.45">
      <c r="B23" s="1" t="s">
        <v>89</v>
      </c>
      <c r="C23" s="5">
        <f>HLOOKUP("QTE-0.25-bias-CBPS-over",Point!$D$1:$DR$96,$R$2,FALSE)</f>
        <v>1.70371746779097E-3</v>
      </c>
      <c r="D23" s="5">
        <f>HLOOKUP("QTE-0.25-RMSE-CBPS-over",Point!$D$1:$DR$96,$R$2,FALSE)</f>
        <v>3.0141659467565698</v>
      </c>
      <c r="E23" s="5">
        <f>(D23/$D$23)^2</f>
        <v>1</v>
      </c>
      <c r="F23" s="5">
        <f>HLOOKUP("QTE-0.25-Empcov-CBPS-over",inference!$D$1:$DR$96,$R$2,FALSE)</f>
        <v>0.95799999999999996</v>
      </c>
      <c r="G23" s="5">
        <f>HLOOKUP("QTE-0.25-ASSD-CBPS-over",inference!$D$1:$DR$96,$R$2,FALSE)*2*1.96/SQRT(G$3)</f>
        <v>12.411211628785068</v>
      </c>
      <c r="H23" s="5">
        <f t="shared" si="7"/>
        <v>100.12167670747201</v>
      </c>
      <c r="I23" s="5">
        <f t="shared" si="8"/>
        <v>1</v>
      </c>
      <c r="J23" s="5"/>
      <c r="K23" s="5"/>
      <c r="L23" s="5"/>
      <c r="M23" s="5"/>
      <c r="N23" s="5"/>
    </row>
    <row r="24" spans="1:18" s="3" customFormat="1" x14ac:dyDescent="0.45">
      <c r="B24" s="3" t="s">
        <v>2</v>
      </c>
      <c r="C24" s="5">
        <f>HLOOKUP("QTE-0.25-bias-GLM",Point!$D$1:$DR$96,$R$2,FALSE)</f>
        <v>5.0562580333490803E-4</v>
      </c>
      <c r="D24" s="5">
        <f>HLOOKUP("QTE-0.25-RMSE-GLM",Point!$D$1:$DR$96,$R$2,FALSE)</f>
        <v>3.0933617117794601</v>
      </c>
      <c r="E24" s="5">
        <f t="shared" si="6"/>
        <v>1.0532393914713813</v>
      </c>
      <c r="F24" s="5">
        <f>HLOOKUP("QTE-0.25-Empcov-GLM",inference!$D$1:$DR$96,$R$2,FALSE)</f>
        <v>0.95199999999999996</v>
      </c>
      <c r="G24" s="5">
        <f>HLOOKUP("QTE-0.25-ASSD-GLM",inference!$D$1:$DR$96,$R$2,FALSE)*2*1.96/SQRT(G$3)</f>
        <v>12.315783745089991</v>
      </c>
      <c r="H24" s="5">
        <f>G24/(2*1.96/SQRT(G$3))</f>
        <v>99.351856644293207</v>
      </c>
      <c r="I24" s="5">
        <f t="shared" si="8"/>
        <v>1.015556881057879</v>
      </c>
      <c r="J24" s="5"/>
      <c r="K24" s="5"/>
      <c r="L24" s="5"/>
      <c r="M24" s="5"/>
      <c r="N24" s="5"/>
    </row>
    <row r="25" spans="1:18" x14ac:dyDescent="0.45">
      <c r="A25" s="4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4"/>
      <c r="P25" s="4"/>
      <c r="Q25" s="4"/>
      <c r="R25" s="4"/>
    </row>
    <row r="26" spans="1:18" x14ac:dyDescent="0.45">
      <c r="A26" s="2" t="s">
        <v>60</v>
      </c>
      <c r="B26" s="1" t="s">
        <v>3</v>
      </c>
      <c r="C26" s="5">
        <f>HLOOKUP("QTE-0.5-bias-IPS-exp",Point!$D$1:$DR$96,$R$2,FALSE)</f>
        <v>7.0910514777587294E-2</v>
      </c>
      <c r="D26" s="5">
        <f>HLOOKUP("QTE-0.5-RMSE-IPS-exp",Point!$D$1:$DR$96,$R$2,FALSE)</f>
        <v>3.0575653543079699</v>
      </c>
      <c r="E26" s="5">
        <f>(D26/$D$30)^2</f>
        <v>0.87999130109666857</v>
      </c>
      <c r="F26" s="5">
        <f>HLOOKUP("QTE-0.5-Empcov-IPS-exp",inference!$D$1:$DR$96,$R$2,FALSE)</f>
        <v>0.95299999999999996</v>
      </c>
      <c r="G26" s="5">
        <f>HLOOKUP("QTE-0.5-ASSD-IPS-exp",inference!$D$1:$DR$96,$R$2,FALSE)*2*1.96/SQRT(G$3)</f>
        <v>12.398969047811315</v>
      </c>
      <c r="H26" s="5">
        <f>G26/(2*1.96/SQRT(G$3))</f>
        <v>100.02291538013502</v>
      </c>
      <c r="I26" s="5">
        <f>($H$30/H26)^2</f>
        <v>1.1542206698815825</v>
      </c>
      <c r="J26" s="5"/>
      <c r="K26"/>
      <c r="L26"/>
      <c r="M26"/>
      <c r="N26"/>
      <c r="O26"/>
      <c r="P26"/>
      <c r="Q26"/>
    </row>
    <row r="27" spans="1:18" x14ac:dyDescent="0.45">
      <c r="B27" s="1" t="s">
        <v>5</v>
      </c>
      <c r="C27" s="5">
        <f>HLOOKUP("QTE-0.5-bias-IPS-ind",Point!$D$1:$DR$96,$R$2,FALSE)</f>
        <v>0.47917056342962799</v>
      </c>
      <c r="D27" s="5">
        <f>HLOOKUP("QTE-0.5-RMSE-IPS-ind",Point!$D$1:$DR$96,$R$2,FALSE)</f>
        <v>3.1754415746197902</v>
      </c>
      <c r="E27" s="5">
        <f t="shared" ref="E27:E31" si="9">(D27/$D$30)^2</f>
        <v>0.94915061770361564</v>
      </c>
      <c r="F27" s="5">
        <f>HLOOKUP("QTE-0.5-Empcov-IPS-ind",inference!$D$1:$DR$96,$R$2,FALSE)</f>
        <v>0.97199999999999998</v>
      </c>
      <c r="G27" s="5">
        <f>HLOOKUP("QTE-0.5-ASSD-IPS-ind",inference!$D$1:$DR$96,$R$2,FALSE)*2*1.96/SQRT(G$3)</f>
        <v>13.779287033433572</v>
      </c>
      <c r="H27" s="5">
        <f t="shared" ref="H27:H30" si="10">G27/(2*1.96/SQRT(G$3))</f>
        <v>111.157988670599</v>
      </c>
      <c r="I27" s="5">
        <f t="shared" ref="I27:I31" si="11">($H$30/H27)^2</f>
        <v>0.93455852890156965</v>
      </c>
      <c r="J27" s="5"/>
      <c r="K27" s="5"/>
      <c r="L27" s="5"/>
      <c r="M27" s="5"/>
      <c r="N27" s="5"/>
    </row>
    <row r="28" spans="1:18" x14ac:dyDescent="0.45">
      <c r="B28" s="1" t="s">
        <v>4</v>
      </c>
      <c r="C28" s="5">
        <f>HLOOKUP("QTE-0.5-bias-IPS-proj",Point!$D$1:$DR$96,$R$2,FALSE)</f>
        <v>6.1157963406225598E-2</v>
      </c>
      <c r="D28" s="5">
        <f>HLOOKUP("QTE-0.5-RMSE-IPS-proj",Point!$D$1:$DR$96,$R$2,FALSE)</f>
        <v>3.0545563221561798</v>
      </c>
      <c r="E28" s="5">
        <f t="shared" si="9"/>
        <v>0.8782601072440539</v>
      </c>
      <c r="F28" s="6">
        <f>HLOOKUP("QTE-0.5-Empcov-IPS-proj",inference!$D$1:$DR$96,$R$2,FALSE)</f>
        <v>0.95099999999999996</v>
      </c>
      <c r="G28" s="6">
        <f>HLOOKUP("QTE-0.5-ASSD-IPS-proj",inference!$D$1:$DR$96,$R$2,FALSE)*2*1.96/SQRT(G$3)</f>
        <v>12.313869221390227</v>
      </c>
      <c r="H28" s="5">
        <f t="shared" si="10"/>
        <v>99.336412114891104</v>
      </c>
      <c r="I28" s="5">
        <f t="shared" si="11"/>
        <v>1.1702291858995941</v>
      </c>
      <c r="J28" s="5"/>
      <c r="K28" s="5"/>
      <c r="L28" s="5"/>
      <c r="M28" s="5"/>
      <c r="N28" s="5"/>
    </row>
    <row r="29" spans="1:18" x14ac:dyDescent="0.45">
      <c r="B29" s="1" t="s">
        <v>88</v>
      </c>
      <c r="C29" s="5">
        <f>HLOOKUP("QTE-0.5-bias-CBPS-just",Point!$D$1:$DR$96,$R$2,FALSE)</f>
        <v>6.9442169455603803E-2</v>
      </c>
      <c r="D29" s="5">
        <f>HLOOKUP("QTE-0.5-RMSE-CBPS-just",Point!$D$1:$DR$96,$R$2,FALSE)</f>
        <v>3.2327023750603998</v>
      </c>
      <c r="E29" s="5">
        <f t="shared" si="9"/>
        <v>0.98369015818445071</v>
      </c>
      <c r="F29" s="5">
        <f>HLOOKUP("QTE-0.5-Empcov-CBPS-just",inference!$D$1:$DR$96,$R$2,FALSE)</f>
        <v>0.95499999999999996</v>
      </c>
      <c r="G29" s="5">
        <f>HLOOKUP("QTE-0.5-ASSD-CBPS-just",inference!$D$1:$DR$96,$R$2,FALSE)*2*1.96/SQRT(G$3)</f>
        <v>13.030631551398036</v>
      </c>
      <c r="H29" s="5">
        <f t="shared" si="10"/>
        <v>105.118558808345</v>
      </c>
      <c r="I29" s="5">
        <f t="shared" si="11"/>
        <v>1.0450307483718724</v>
      </c>
      <c r="J29" s="5"/>
      <c r="K29" s="5"/>
      <c r="L29" s="5"/>
      <c r="M29" s="5"/>
      <c r="N29" s="5"/>
    </row>
    <row r="30" spans="1:18" x14ac:dyDescent="0.45">
      <c r="B30" s="1" t="s">
        <v>89</v>
      </c>
      <c r="C30" s="5">
        <f>HLOOKUP("QTE-0.5-bias-CBPS-over",Point!$D$1:$DR$96,$R$2,FALSE)</f>
        <v>9.9946817157608295E-2</v>
      </c>
      <c r="D30" s="5">
        <f>HLOOKUP("QTE-0.5-RMSE-CBPS-over",Point!$D$1:$DR$96,$R$2,FALSE)</f>
        <v>3.2593917289875698</v>
      </c>
      <c r="E30" s="5">
        <f t="shared" si="9"/>
        <v>1</v>
      </c>
      <c r="F30" s="5">
        <f>HLOOKUP("QTE-0.5-Empcov-CBPS-over",inference!$D$1:$DR$96,$R$2,FALSE)</f>
        <v>0.95399999999999996</v>
      </c>
      <c r="G30" s="5">
        <f>HLOOKUP("QTE-0.5-ASSD-CBPS-over",inference!$D$1:$DR$96,$R$2,FALSE)*2*1.96/SQRT(G$3)</f>
        <v>13.320790545567823</v>
      </c>
      <c r="H30" s="5">
        <f t="shared" si="10"/>
        <v>107.45928152559001</v>
      </c>
      <c r="I30" s="5">
        <f t="shared" si="11"/>
        <v>1</v>
      </c>
      <c r="J30" s="5"/>
      <c r="K30" s="5"/>
      <c r="L30" s="5"/>
      <c r="M30" s="5"/>
      <c r="N30" s="5"/>
    </row>
    <row r="31" spans="1:18" x14ac:dyDescent="0.45">
      <c r="A31" s="3"/>
      <c r="B31" s="3" t="s">
        <v>2</v>
      </c>
      <c r="C31" s="5">
        <f>HLOOKUP("QTE-0.5-bias-GLM",Point!$D$1:$DR$96,$R$2,FALSE)</f>
        <v>6.42702352490616E-2</v>
      </c>
      <c r="D31" s="5">
        <f>HLOOKUP("QTE-0.5-RMSE-GLM",Point!$D$1:$DR$96,$R$2,FALSE)</f>
        <v>3.3545629582961598</v>
      </c>
      <c r="E31" s="5">
        <f t="shared" si="9"/>
        <v>1.0592507396181445</v>
      </c>
      <c r="F31" s="5">
        <f>HLOOKUP("QTE-0.5-Empcov-GLM",inference!$D$1:$DR$96,$R$2,FALSE)</f>
        <v>0.95299999999999996</v>
      </c>
      <c r="G31" s="5">
        <f>HLOOKUP("QTE-0.5-ASSD-GLM",inference!$D$1:$DR$96,$R$2,FALSE)*2*1.96/SQRT(G$3)</f>
        <v>13.585937324345624</v>
      </c>
      <c r="H31" s="5">
        <f>G31/(2*1.96/SQRT(G$3))</f>
        <v>109.598229829658</v>
      </c>
      <c r="I31" s="5">
        <f t="shared" si="11"/>
        <v>0.96134835089259141</v>
      </c>
      <c r="J31" s="5"/>
      <c r="K31" s="5"/>
      <c r="L31" s="5"/>
      <c r="M31" s="5"/>
      <c r="N31" s="5"/>
      <c r="O31" s="3"/>
      <c r="P31" s="3"/>
      <c r="Q31" s="3"/>
      <c r="R31" s="3"/>
    </row>
    <row r="32" spans="1:18" x14ac:dyDescent="0.45">
      <c r="H32" s="6"/>
      <c r="I32" s="6"/>
      <c r="J32" s="6"/>
    </row>
    <row r="33" spans="1:10" x14ac:dyDescent="0.45">
      <c r="A33" s="2" t="s">
        <v>62</v>
      </c>
      <c r="B33" s="1" t="s">
        <v>3</v>
      </c>
      <c r="C33" s="5">
        <f>HLOOKUP("QTE-0.75-bias-IPS-exp",Point!$D$1:$DR$96,$R$2,FALSE)</f>
        <v>4.2403822499830199E-2</v>
      </c>
      <c r="D33" s="5">
        <f>HLOOKUP("QTE-0.75-RMSE-IPS-exp",Point!$D$1:$DR$96,$R$2,FALSE)</f>
        <v>4.1368918295125603</v>
      </c>
      <c r="E33" s="5">
        <f>(D33/$D$37)^2</f>
        <v>0.92652701754095224</v>
      </c>
      <c r="F33" s="5">
        <f>HLOOKUP("QTE-0.75-Empcov-IPS-exp",inference!$D$1:$DR$96,$R$2,FALSE)</f>
        <v>0.93600000000000005</v>
      </c>
      <c r="G33" s="5">
        <f>HLOOKUP("QTE-0.75-ASSD-IPS-exp",inference!$D$1:$DR$96,$R$2,FALSE)*2*1.96/SQRT(G$3)</f>
        <v>15.602407912731978</v>
      </c>
      <c r="H33" s="5">
        <f>G33/(2*1.96/SQRT(G$3))</f>
        <v>125.86516833486401</v>
      </c>
      <c r="I33" s="5">
        <f>($H$37/H33)^2</f>
        <v>1.1651007627593779</v>
      </c>
      <c r="J33" s="5"/>
    </row>
    <row r="34" spans="1:10" x14ac:dyDescent="0.45">
      <c r="B34" s="1" t="s">
        <v>5</v>
      </c>
      <c r="C34" s="5">
        <f>HLOOKUP("QTE-0.75-bias-IPS-ind",Point!$D$1:$DR$96,$R$2,FALSE)</f>
        <v>0.67122986503300397</v>
      </c>
      <c r="D34" s="5">
        <f>HLOOKUP("QTE-0.75-RMSE-IPS-ind",Point!$D$1:$DR$96,$R$2,FALSE)</f>
        <v>3.9562323117651301</v>
      </c>
      <c r="E34" s="5">
        <f t="shared" ref="E34:E38" si="12">(D34/$D$37)^2</f>
        <v>0.84737047688381328</v>
      </c>
      <c r="F34" s="5">
        <f>HLOOKUP("QTE-0.75-Empcov-IPS-ind",inference!$D$1:$DR$96,$R$2,FALSE)</f>
        <v>0.95699999999999996</v>
      </c>
      <c r="G34" s="5">
        <f>HLOOKUP("QTE-0.75-ASSD-IPS-ind",inference!$D$1:$DR$96,$R$2,FALSE)*2*1.96/SQRT(G$3)</f>
        <v>15.943914000526274</v>
      </c>
      <c r="H34" s="5">
        <f t="shared" ref="H34:H37" si="13">G34/(2*1.96/SQRT(G$3))</f>
        <v>128.620109845689</v>
      </c>
      <c r="I34" s="5">
        <f t="shared" ref="I34:I38" si="14">($H$37/H34)^2</f>
        <v>1.1157242083281156</v>
      </c>
      <c r="J34" s="5"/>
    </row>
    <row r="35" spans="1:10" x14ac:dyDescent="0.45">
      <c r="B35" s="1" t="s">
        <v>4</v>
      </c>
      <c r="C35" s="5">
        <f>HLOOKUP("QTE-0.75-bias-IPS-proj",Point!$D$1:$DR$96,$R$2,FALSE)</f>
        <v>5.1693623234644499E-2</v>
      </c>
      <c r="D35" s="5">
        <f>HLOOKUP("QTE-0.75-RMSE-IPS-proj",Point!$D$1:$DR$96,$R$2,FALSE)</f>
        <v>4.0922813724402296</v>
      </c>
      <c r="E35" s="5">
        <f t="shared" si="12"/>
        <v>0.90665222364882136</v>
      </c>
      <c r="F35" s="6">
        <f>HLOOKUP("QTE-0.75-Empcov-IPS-proj",inference!$D$1:$DR$96,$R$2,FALSE)</f>
        <v>0.93400000000000005</v>
      </c>
      <c r="G35" s="6">
        <f>HLOOKUP("QTE-0.75-ASSD-IPS-proj",inference!$D$1:$DR$96,$R$2,FALSE)*2*1.96/SQRT(G$3)</f>
        <v>15.358316622370394</v>
      </c>
      <c r="H35" s="5">
        <f t="shared" si="13"/>
        <v>123.896075389578</v>
      </c>
      <c r="I35" s="5">
        <f t="shared" si="14"/>
        <v>1.2024291865426922</v>
      </c>
      <c r="J35" s="5"/>
    </row>
    <row r="36" spans="1:10" x14ac:dyDescent="0.45">
      <c r="B36" s="1" t="s">
        <v>88</v>
      </c>
      <c r="C36" s="5">
        <f>HLOOKUP("QTE-0.75-bias-CBPS-just",Point!$D$1:$DR$96,$R$2,FALSE)</f>
        <v>3.9547968593465703E-2</v>
      </c>
      <c r="D36" s="5">
        <f>HLOOKUP("QTE-0.75-RMSE-CBPS-just",Point!$D$1:$DR$96,$R$2,FALSE)</f>
        <v>4.4511719804594696</v>
      </c>
      <c r="E36" s="5">
        <f t="shared" si="12"/>
        <v>1.0726511592061811</v>
      </c>
      <c r="F36" s="5">
        <f>HLOOKUP("QTE-0.75-Empcov-CBPS-just",inference!$D$1:$DR$96,$R$2,FALSE)</f>
        <v>0.93200000000000005</v>
      </c>
      <c r="G36" s="5">
        <f>HLOOKUP("QTE-0.75-ASSD-CBPS-just",inference!$D$1:$DR$96,$R$2,FALSE)*2*1.96/SQRT(G$3)</f>
        <v>16.732367298450349</v>
      </c>
      <c r="H36" s="5">
        <f t="shared" si="13"/>
        <v>134.980590075565</v>
      </c>
      <c r="I36" s="5">
        <f t="shared" si="14"/>
        <v>1.0130525261303087</v>
      </c>
      <c r="J36" s="5"/>
    </row>
    <row r="37" spans="1:10" x14ac:dyDescent="0.45">
      <c r="B37" s="1" t="s">
        <v>89</v>
      </c>
      <c r="C37" s="5">
        <f>HLOOKUP("QTE-0.75-bias-CBPS-over",Point!$D$1:$DR$96,$R$2,FALSE)</f>
        <v>4.57586558372753E-2</v>
      </c>
      <c r="D37" s="5">
        <f>HLOOKUP("QTE-0.75-RMSE-CBPS-over",Point!$D$1:$DR$96,$R$2,FALSE)</f>
        <v>4.2977893096465998</v>
      </c>
      <c r="E37" s="5">
        <f t="shared" si="12"/>
        <v>1</v>
      </c>
      <c r="F37" s="5">
        <f>HLOOKUP("QTE-0.75-Empcov-CBPS-over",inference!$D$1:$DR$96,$R$2,FALSE)</f>
        <v>0.94499999999999995</v>
      </c>
      <c r="G37" s="5">
        <f>HLOOKUP("QTE-0.75-ASSD-CBPS-over",inference!$D$1:$DR$96,$R$2,FALSE)*2*1.96/SQRT(G$3)</f>
        <v>16.841213102457935</v>
      </c>
      <c r="H37" s="5">
        <f t="shared" si="13"/>
        <v>135.85865296948401</v>
      </c>
      <c r="I37" s="5">
        <f t="shared" si="14"/>
        <v>1</v>
      </c>
      <c r="J37" s="5"/>
    </row>
    <row r="38" spans="1:10" x14ac:dyDescent="0.45">
      <c r="A38" s="3"/>
      <c r="B38" s="3" t="s">
        <v>2</v>
      </c>
      <c r="C38" s="5">
        <f>HLOOKUP("QTE-0.75-bias-GLM",Point!$D$1:$DR$96,$R$2,FALSE)</f>
        <v>2.7462365738788502E-2</v>
      </c>
      <c r="D38" s="5">
        <f>HLOOKUP("QTE-0.75-RMSE-GLM",Point!$D$1:$DR$96,$R$2,FALSE)</f>
        <v>4.5964072415637602</v>
      </c>
      <c r="E38" s="5">
        <f t="shared" si="12"/>
        <v>1.1437912183368024</v>
      </c>
      <c r="F38" s="5">
        <f>HLOOKUP("QTE-0.75-Empcov-GLM",inference!$D$1:$DR$96,$R$2,FALSE)</f>
        <v>0.94</v>
      </c>
      <c r="G38" s="5">
        <f>HLOOKUP("QTE-0.75-ASSD-GLM",inference!$D$1:$DR$96,$R$2,FALSE)*2*1.96/SQRT(G$3)</f>
        <v>17.725568769694867</v>
      </c>
      <c r="H38" s="5">
        <f>G38/(2*1.96/SQRT(G$3))</f>
        <v>142.99278095455199</v>
      </c>
      <c r="I38" s="5">
        <f t="shared" si="14"/>
        <v>0.90270611321362149</v>
      </c>
      <c r="J38" s="5"/>
    </row>
    <row r="39" spans="1:10" x14ac:dyDescent="0.45">
      <c r="H39" s="7"/>
      <c r="I39" s="7"/>
      <c r="J39" s="7"/>
    </row>
    <row r="40" spans="1:10" x14ac:dyDescent="0.45">
      <c r="A40" s="2" t="s">
        <v>207</v>
      </c>
      <c r="B40" s="1" t="s">
        <v>3</v>
      </c>
      <c r="C40" s="5">
        <f>HLOOKUP("QTE-0.9-bias-IPS-exp",Point!$D$1:$DR$96,$R$2,FALSE)</f>
        <v>-0.13725937851137501</v>
      </c>
      <c r="D40" s="5">
        <f>HLOOKUP("QTE-0.9-RMSE-IPS-exp",Point!$D$1:$DR$96,$R$2,FALSE)</f>
        <v>6.1628839309968502</v>
      </c>
      <c r="E40" s="5">
        <f t="shared" ref="E40:E45" si="15">(D40/$D$44)^2</f>
        <v>0.9700886815093086</v>
      </c>
      <c r="F40" s="5">
        <f>HLOOKUP("QTE-0.9-Empcov-IPS-exp",inference!$D$1:$DR$96,$R$2,FALSE)</f>
        <v>0.93200000000000005</v>
      </c>
      <c r="G40" s="5">
        <f>HLOOKUP("QTE-0.9-ASSD-IPS-exp",inference!$D$1:$DR$96,$R$2,FALSE)*2*1.96/SQRT(G$3)</f>
        <v>22.966007909722034</v>
      </c>
      <c r="H40" s="5">
        <f>G40/(2*1.96/SQRT(G$3))</f>
        <v>185.26758611266399</v>
      </c>
      <c r="I40" s="5">
        <f t="shared" ref="I40:I45" si="16">($H$44/H40)^2</f>
        <v>1.0716156673871595</v>
      </c>
      <c r="J40" s="5"/>
    </row>
    <row r="41" spans="1:10" x14ac:dyDescent="0.45">
      <c r="B41" s="1" t="s">
        <v>5</v>
      </c>
      <c r="C41" s="5">
        <f>HLOOKUP("QTE-0.9-bias-IPS-ind",Point!$D$1:$DR$96,$R$2,FALSE)</f>
        <v>0.75081659930810196</v>
      </c>
      <c r="D41" s="5">
        <f>HLOOKUP("QTE-0.9-RMSE-IPS-ind",Point!$D$1:$DR$96,$R$2,FALSE)</f>
        <v>5.6983535739439999</v>
      </c>
      <c r="E41" s="5">
        <f t="shared" si="15"/>
        <v>0.82935839785329235</v>
      </c>
      <c r="F41" s="5">
        <f>HLOOKUP("QTE-0.9-Empcov-IPS-ind",inference!$D$1:$DR$96,$R$2,FALSE)</f>
        <v>0.94699999999999995</v>
      </c>
      <c r="G41" s="5">
        <f>HLOOKUP("QTE-0.9-ASSD-IPS-ind",inference!$D$1:$DR$96,$R$2,FALSE)*2*1.96/SQRT(G$3)</f>
        <v>22.020017744282427</v>
      </c>
      <c r="H41" s="5">
        <f t="shared" ref="H41:H44" si="17">G41/(2*1.96/SQRT(G$3))</f>
        <v>177.63625048279496</v>
      </c>
      <c r="I41" s="5">
        <f t="shared" si="16"/>
        <v>1.1656676540006055</v>
      </c>
      <c r="J41" s="5"/>
    </row>
    <row r="42" spans="1:10" x14ac:dyDescent="0.45">
      <c r="B42" s="1" t="s">
        <v>4</v>
      </c>
      <c r="C42" s="5">
        <f>HLOOKUP("QTE-0.9-bias-IPS-proj",Point!$D$1:$DR$96,$R$2,FALSE)</f>
        <v>-0.14758788450774901</v>
      </c>
      <c r="D42" s="5">
        <f>HLOOKUP("QTE-0.9-RMSE-IPS-proj",Point!$D$1:$DR$96,$R$2,FALSE)</f>
        <v>6.0418440502219397</v>
      </c>
      <c r="E42" s="5">
        <f t="shared" si="15"/>
        <v>0.93235753065237048</v>
      </c>
      <c r="F42" s="6">
        <f>HLOOKUP("QTE-0.9-Empcov-IPS-proj",inference!$D$1:$DR$96,$R$2,FALSE)</f>
        <v>0.93400000000000005</v>
      </c>
      <c r="G42" s="6">
        <f>HLOOKUP("QTE-0.9-ASSD-IPS-proj",inference!$D$1:$DR$96,$R$2,FALSE)*2*1.96/SQRT(G$3)</f>
        <v>22.520291209380154</v>
      </c>
      <c r="H42" s="5">
        <f t="shared" si="17"/>
        <v>181.67197395895204</v>
      </c>
      <c r="I42" s="5">
        <f t="shared" si="16"/>
        <v>1.1144538028771147</v>
      </c>
      <c r="J42" s="5"/>
    </row>
    <row r="43" spans="1:10" x14ac:dyDescent="0.45">
      <c r="B43" s="1" t="s">
        <v>88</v>
      </c>
      <c r="C43" s="5">
        <f>HLOOKUP("QTE-0.9-bias-CBPS-just",Point!$D$1:$DR$96,$R$2,FALSE)</f>
        <v>-0.18982563092614099</v>
      </c>
      <c r="D43" s="5">
        <f>HLOOKUP("QTE-0.9-RMSE-CBPS-just",Point!$D$1:$DR$96,$R$2,FALSE)</f>
        <v>6.52167135752814</v>
      </c>
      <c r="E43" s="5">
        <f t="shared" si="15"/>
        <v>1.0863287671710946</v>
      </c>
      <c r="F43" s="5">
        <f>HLOOKUP("QTE-0.9-Empcov-CBPS-just",inference!$D$1:$DR$96,$R$2,FALSE)</f>
        <v>0.93</v>
      </c>
      <c r="G43" s="5">
        <f>HLOOKUP("QTE-0.9-ASSD-CBPS-just",inference!$D$1:$DR$96,$R$2,FALSE)*2*1.96/SQRT(G$3)</f>
        <v>23.886875568921056</v>
      </c>
      <c r="H43" s="5">
        <f t="shared" si="17"/>
        <v>192.69625760923699</v>
      </c>
      <c r="I43" s="5">
        <f t="shared" si="16"/>
        <v>0.9905841624473084</v>
      </c>
      <c r="J43" s="5"/>
    </row>
    <row r="44" spans="1:10" x14ac:dyDescent="0.45">
      <c r="B44" s="1" t="s">
        <v>89</v>
      </c>
      <c r="C44" s="5">
        <f>HLOOKUP("QTE-0.9-bias-CBPS-over",Point!$D$1:$DR$96,$R$2,FALSE)</f>
        <v>-0.10374485524568799</v>
      </c>
      <c r="D44" s="5">
        <f>HLOOKUP("QTE-0.9-RMSE-CBPS-over",Point!$D$1:$DR$96,$R$2,FALSE)</f>
        <v>6.2571745433361201</v>
      </c>
      <c r="E44" s="5">
        <f t="shared" si="15"/>
        <v>1</v>
      </c>
      <c r="F44" s="5">
        <f>HLOOKUP("QTE-0.9-Empcov-CBPS-over",inference!$D$1:$DR$96,$R$2,FALSE)</f>
        <v>0.94299999999999995</v>
      </c>
      <c r="G44" s="5">
        <f>HLOOKUP("QTE-0.9-ASSD-CBPS-over",inference!$D$1:$DR$96,$R$2,FALSE)*2*1.96/SQRT(G$3)</f>
        <v>23.774152124939945</v>
      </c>
      <c r="H44" s="5">
        <f t="shared" si="17"/>
        <v>191.786913658526</v>
      </c>
      <c r="I44" s="5">
        <f>($H$44/H44)^2</f>
        <v>1</v>
      </c>
      <c r="J44" s="5"/>
    </row>
    <row r="45" spans="1:10" x14ac:dyDescent="0.45">
      <c r="A45" s="3"/>
      <c r="B45" s="3" t="s">
        <v>2</v>
      </c>
      <c r="C45" s="5">
        <f>HLOOKUP("QTE-0.9-bias-GLM",Point!$D$1:$DR$96,$R$2,FALSE)</f>
        <v>-0.31102541148847801</v>
      </c>
      <c r="D45" s="5">
        <f>HLOOKUP("QTE-0.9-RMSE-GLM",Point!$D$1:$DR$96,$R$2,FALSE)</f>
        <v>7.0930286835712497</v>
      </c>
      <c r="E45" s="5">
        <f t="shared" si="15"/>
        <v>1.2850111400911024</v>
      </c>
      <c r="F45" s="5">
        <f>HLOOKUP("QTE-0.9-Empcov-GLM",inference!$D$1:$DR$96,$R$2,FALSE)</f>
        <v>0.93700000000000006</v>
      </c>
      <c r="G45" s="5">
        <f>HLOOKUP("QTE-0.9-ASSD-GLM",inference!$D$1:$DR$96,$R$2,FALSE)*2*1.96/SQRT(G$3)</f>
        <v>25.710326456827627</v>
      </c>
      <c r="H45" s="5">
        <f>G45/(2*1.96/SQRT(G$3))</f>
        <v>207.406099464444</v>
      </c>
      <c r="I45" s="5">
        <f t="shared" si="16"/>
        <v>0.85505665673931652</v>
      </c>
      <c r="J45" s="5"/>
    </row>
    <row r="46" spans="1:10" x14ac:dyDescent="0.45">
      <c r="H46" s="7"/>
      <c r="I46" s="7"/>
      <c r="J46" s="7"/>
    </row>
    <row r="47" spans="1:10" x14ac:dyDescent="0.45">
      <c r="H47" s="7"/>
      <c r="I47" s="7"/>
      <c r="J47" s="7"/>
    </row>
    <row r="48" spans="1:10" x14ac:dyDescent="0.45">
      <c r="H48" s="7"/>
      <c r="I48" s="7"/>
      <c r="J48" s="7"/>
    </row>
    <row r="49" spans="8:10" x14ac:dyDescent="0.45">
      <c r="H49" s="7"/>
      <c r="I49" s="7"/>
      <c r="J49" s="7"/>
    </row>
    <row r="50" spans="8:10" x14ac:dyDescent="0.45">
      <c r="H50" s="7"/>
      <c r="I50" s="7"/>
      <c r="J50" s="7"/>
    </row>
    <row r="51" spans="8:10" x14ac:dyDescent="0.45">
      <c r="H51" s="7"/>
      <c r="I51" s="7"/>
      <c r="J51" s="7"/>
    </row>
    <row r="52" spans="8:10" x14ac:dyDescent="0.45">
      <c r="H52" s="7"/>
      <c r="I52" s="7"/>
      <c r="J52" s="7"/>
    </row>
    <row r="53" spans="8:10" x14ac:dyDescent="0.45">
      <c r="H53" s="7"/>
      <c r="I53" s="7"/>
      <c r="J53" s="7"/>
    </row>
    <row r="54" spans="8:10" x14ac:dyDescent="0.45">
      <c r="H54" s="7"/>
      <c r="I54" s="7"/>
      <c r="J54" s="7"/>
    </row>
    <row r="55" spans="8:10" x14ac:dyDescent="0.45">
      <c r="H55" s="7"/>
      <c r="I55" s="7"/>
      <c r="J55" s="7"/>
    </row>
    <row r="56" spans="8:10" x14ac:dyDescent="0.45">
      <c r="H56" s="7"/>
      <c r="I56" s="7"/>
      <c r="J56" s="7"/>
    </row>
    <row r="57" spans="8:10" x14ac:dyDescent="0.45">
      <c r="H57" s="7"/>
      <c r="I57" s="7"/>
      <c r="J57" s="7"/>
    </row>
    <row r="58" spans="8:10" x14ac:dyDescent="0.45">
      <c r="H58" s="7"/>
      <c r="I58" s="7"/>
      <c r="J58" s="7"/>
    </row>
    <row r="59" spans="8:10" x14ac:dyDescent="0.45">
      <c r="H59" s="7"/>
      <c r="I59" s="7"/>
      <c r="J59" s="7"/>
    </row>
    <row r="60" spans="8:10" x14ac:dyDescent="0.45">
      <c r="H60" s="7"/>
      <c r="I60" s="7"/>
      <c r="J60" s="7"/>
    </row>
    <row r="61" spans="8:10" x14ac:dyDescent="0.45">
      <c r="H61" s="7"/>
      <c r="I61" s="7"/>
      <c r="J61" s="7"/>
    </row>
    <row r="62" spans="8:10" x14ac:dyDescent="0.45">
      <c r="H62" s="7"/>
      <c r="I62" s="7"/>
      <c r="J62" s="7"/>
    </row>
    <row r="63" spans="8:10" x14ac:dyDescent="0.45">
      <c r="H63" s="7"/>
      <c r="I63" s="7"/>
      <c r="J63" s="7"/>
    </row>
    <row r="64" spans="8:10" x14ac:dyDescent="0.45">
      <c r="H64" s="7"/>
      <c r="I64" s="7"/>
      <c r="J64" s="7"/>
    </row>
    <row r="65" spans="8:10" x14ac:dyDescent="0.45">
      <c r="H65" s="7"/>
      <c r="I65" s="7"/>
      <c r="J65" s="7"/>
    </row>
    <row r="66" spans="8:10" x14ac:dyDescent="0.45">
      <c r="H66" s="7"/>
      <c r="I66" s="7"/>
      <c r="J66" s="7"/>
    </row>
    <row r="67" spans="8:10" x14ac:dyDescent="0.45">
      <c r="H67" s="7"/>
      <c r="I67" s="7"/>
      <c r="J67" s="7"/>
    </row>
    <row r="68" spans="8:10" x14ac:dyDescent="0.45">
      <c r="H68" s="7"/>
      <c r="I68" s="7"/>
      <c r="J68" s="7"/>
    </row>
    <row r="69" spans="8:10" x14ac:dyDescent="0.45">
      <c r="H69" s="7"/>
      <c r="I69" s="7"/>
      <c r="J69" s="7"/>
    </row>
    <row r="70" spans="8:10" x14ac:dyDescent="0.45">
      <c r="H70" s="7"/>
      <c r="I70" s="7"/>
      <c r="J70" s="7"/>
    </row>
    <row r="71" spans="8:10" x14ac:dyDescent="0.45">
      <c r="H71" s="7"/>
      <c r="I71" s="7"/>
      <c r="J71" s="7"/>
    </row>
    <row r="72" spans="8:10" x14ac:dyDescent="0.45">
      <c r="H72" s="7"/>
      <c r="I72" s="7"/>
      <c r="J72" s="7"/>
    </row>
    <row r="73" spans="8:10" x14ac:dyDescent="0.45">
      <c r="H73" s="7"/>
      <c r="I73" s="7"/>
      <c r="J73" s="7"/>
    </row>
    <row r="74" spans="8:10" x14ac:dyDescent="0.45">
      <c r="H74" s="7"/>
      <c r="I74" s="7"/>
      <c r="J74" s="7"/>
    </row>
    <row r="75" spans="8:10" x14ac:dyDescent="0.45">
      <c r="H75" s="7"/>
      <c r="I75" s="7"/>
      <c r="J75" s="7"/>
    </row>
    <row r="76" spans="8:10" x14ac:dyDescent="0.45">
      <c r="H76" s="7"/>
      <c r="I76" s="7"/>
      <c r="J76" s="7"/>
    </row>
    <row r="77" spans="8:10" x14ac:dyDescent="0.45">
      <c r="H77" s="7"/>
      <c r="I77" s="7"/>
      <c r="J77" s="7"/>
    </row>
    <row r="78" spans="8:10" x14ac:dyDescent="0.45">
      <c r="H78" s="7"/>
      <c r="I78" s="7"/>
      <c r="J78" s="7"/>
    </row>
    <row r="79" spans="8:10" x14ac:dyDescent="0.45">
      <c r="H79" s="7"/>
      <c r="I79" s="7"/>
      <c r="J79" s="7"/>
    </row>
    <row r="80" spans="8:10" x14ac:dyDescent="0.45">
      <c r="H80" s="7"/>
      <c r="I80" s="7"/>
      <c r="J80" s="7"/>
    </row>
    <row r="81" spans="8:10" x14ac:dyDescent="0.45">
      <c r="H81" s="7"/>
      <c r="I81" s="7"/>
      <c r="J81" s="7"/>
    </row>
    <row r="82" spans="8:10" x14ac:dyDescent="0.45">
      <c r="H82" s="7"/>
      <c r="I82" s="7"/>
      <c r="J82" s="7"/>
    </row>
    <row r="83" spans="8:10" x14ac:dyDescent="0.45">
      <c r="H83" s="7"/>
      <c r="I83" s="7"/>
      <c r="J83" s="7"/>
    </row>
    <row r="84" spans="8:10" x14ac:dyDescent="0.45">
      <c r="H84" s="7"/>
      <c r="I84" s="7"/>
      <c r="J84" s="7"/>
    </row>
    <row r="85" spans="8:10" x14ac:dyDescent="0.45">
      <c r="H85" s="7"/>
      <c r="I85" s="7"/>
      <c r="J85" s="7"/>
    </row>
    <row r="86" spans="8:10" x14ac:dyDescent="0.45">
      <c r="H86" s="7"/>
      <c r="I86" s="7"/>
      <c r="J86" s="7"/>
    </row>
    <row r="87" spans="8:10" x14ac:dyDescent="0.45">
      <c r="H87" s="7"/>
      <c r="I87" s="7"/>
      <c r="J87" s="7"/>
    </row>
    <row r="88" spans="8:10" x14ac:dyDescent="0.45">
      <c r="H88" s="7"/>
      <c r="I88" s="7"/>
      <c r="J88" s="7"/>
    </row>
    <row r="89" spans="8:10" x14ac:dyDescent="0.45">
      <c r="H89" s="7"/>
      <c r="I89" s="7"/>
      <c r="J89" s="7"/>
    </row>
    <row r="90" spans="8:10" x14ac:dyDescent="0.45">
      <c r="H90" s="7"/>
      <c r="I90" s="7"/>
      <c r="J90" s="7"/>
    </row>
    <row r="91" spans="8:10" x14ac:dyDescent="0.45">
      <c r="H91" s="7"/>
      <c r="I91" s="7"/>
      <c r="J91" s="7"/>
    </row>
    <row r="92" spans="8:10" x14ac:dyDescent="0.45">
      <c r="H92" s="7"/>
      <c r="I92" s="7"/>
      <c r="J92" s="7"/>
    </row>
    <row r="93" spans="8:10" x14ac:dyDescent="0.45">
      <c r="H93" s="7"/>
      <c r="I93" s="7"/>
      <c r="J93" s="7"/>
    </row>
    <row r="94" spans="8:10" x14ac:dyDescent="0.45">
      <c r="H94" s="7"/>
      <c r="I94" s="7"/>
      <c r="J94" s="7"/>
    </row>
    <row r="95" spans="8:10" x14ac:dyDescent="0.45">
      <c r="H95" s="7"/>
      <c r="I95" s="7"/>
      <c r="J95" s="7"/>
    </row>
    <row r="96" spans="8:10" x14ac:dyDescent="0.45">
      <c r="H96" s="7"/>
      <c r="I96" s="7"/>
      <c r="J96" s="7"/>
    </row>
    <row r="97" spans="8:10" x14ac:dyDescent="0.45">
      <c r="H97" s="7"/>
      <c r="I97" s="7"/>
      <c r="J97" s="7"/>
    </row>
    <row r="98" spans="8:10" x14ac:dyDescent="0.45">
      <c r="H98" s="7"/>
      <c r="I98" s="7"/>
      <c r="J98" s="7"/>
    </row>
    <row r="99" spans="8:10" x14ac:dyDescent="0.45">
      <c r="H99" s="7"/>
      <c r="I99" s="7"/>
      <c r="J99" s="7"/>
    </row>
    <row r="100" spans="8:10" x14ac:dyDescent="0.45">
      <c r="H100" s="7"/>
      <c r="I100" s="7"/>
      <c r="J100" s="7"/>
    </row>
    <row r="101" spans="8:10" x14ac:dyDescent="0.45">
      <c r="H101" s="7"/>
      <c r="I101" s="7"/>
      <c r="J101" s="7"/>
    </row>
    <row r="102" spans="8:10" x14ac:dyDescent="0.45">
      <c r="H102" s="7"/>
      <c r="I102" s="7"/>
      <c r="J102" s="7"/>
    </row>
    <row r="103" spans="8:10" x14ac:dyDescent="0.45">
      <c r="H103" s="7"/>
      <c r="I103" s="7"/>
      <c r="J103" s="7"/>
    </row>
    <row r="104" spans="8:10" x14ac:dyDescent="0.45">
      <c r="H104" s="7"/>
      <c r="I104" s="7"/>
      <c r="J104" s="7"/>
    </row>
    <row r="105" spans="8:10" x14ac:dyDescent="0.45">
      <c r="H105" s="7"/>
      <c r="I105" s="7"/>
      <c r="J105" s="7"/>
    </row>
    <row r="106" spans="8:10" x14ac:dyDescent="0.45">
      <c r="H106" s="7"/>
      <c r="I106" s="7"/>
      <c r="J106" s="7"/>
    </row>
    <row r="107" spans="8:10" x14ac:dyDescent="0.45">
      <c r="H107" s="7"/>
      <c r="I107" s="7"/>
      <c r="J107" s="7"/>
    </row>
    <row r="108" spans="8:10" x14ac:dyDescent="0.45">
      <c r="H108" s="7"/>
      <c r="I108" s="7"/>
      <c r="J108" s="7"/>
    </row>
    <row r="109" spans="8:10" x14ac:dyDescent="0.45">
      <c r="H109" s="7"/>
      <c r="I109" s="7"/>
      <c r="J109" s="7"/>
    </row>
    <row r="110" spans="8:10" x14ac:dyDescent="0.45">
      <c r="H110" s="7"/>
      <c r="I110" s="7"/>
      <c r="J110" s="7"/>
    </row>
    <row r="111" spans="8:10" x14ac:dyDescent="0.45">
      <c r="H111" s="7"/>
      <c r="I111" s="7"/>
      <c r="J111" s="7"/>
    </row>
    <row r="112" spans="8:10" x14ac:dyDescent="0.45">
      <c r="H112" s="7"/>
      <c r="I112" s="7"/>
      <c r="J112" s="7"/>
    </row>
    <row r="113" spans="8:10" x14ac:dyDescent="0.45">
      <c r="H113" s="7"/>
      <c r="I113" s="7"/>
      <c r="J113" s="7"/>
    </row>
    <row r="114" spans="8:10" x14ac:dyDescent="0.45">
      <c r="H114" s="7"/>
      <c r="I114" s="7"/>
      <c r="J114" s="7"/>
    </row>
    <row r="115" spans="8:10" x14ac:dyDescent="0.45">
      <c r="H115" s="7"/>
      <c r="I115" s="7"/>
      <c r="J115" s="7"/>
    </row>
    <row r="116" spans="8:10" x14ac:dyDescent="0.45">
      <c r="H116" s="7"/>
      <c r="I116" s="7"/>
      <c r="J116" s="7"/>
    </row>
    <row r="117" spans="8:10" x14ac:dyDescent="0.45">
      <c r="H117" s="7"/>
      <c r="I117" s="7"/>
      <c r="J117" s="7"/>
    </row>
    <row r="118" spans="8:10" x14ac:dyDescent="0.45">
      <c r="H118" s="7"/>
      <c r="I118" s="7"/>
      <c r="J118" s="7"/>
    </row>
    <row r="119" spans="8:10" x14ac:dyDescent="0.45">
      <c r="H119" s="7"/>
      <c r="I119" s="7"/>
      <c r="J119" s="7"/>
    </row>
    <row r="120" spans="8:10" x14ac:dyDescent="0.45">
      <c r="H120" s="7"/>
      <c r="I120" s="7"/>
      <c r="J120" s="7"/>
    </row>
  </sheetData>
  <mergeCells count="1">
    <mergeCell ref="C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20"/>
  <sheetViews>
    <sheetView workbookViewId="0">
      <selection activeCell="O9" sqref="O9"/>
    </sheetView>
  </sheetViews>
  <sheetFormatPr defaultColWidth="9.33203125" defaultRowHeight="14.25" x14ac:dyDescent="0.45"/>
  <cols>
    <col min="1" max="1" width="8" style="1" bestFit="1" customWidth="1"/>
    <col min="2" max="2" width="11.1328125" style="1" bestFit="1" customWidth="1"/>
    <col min="3" max="3" width="6.86328125" style="1" bestFit="1" customWidth="1"/>
    <col min="4" max="4" width="6.1328125" style="1" bestFit="1" customWidth="1"/>
    <col min="5" max="5" width="7.53125" style="1" bestFit="1" customWidth="1"/>
    <col min="6" max="6" width="8" style="1" bestFit="1" customWidth="1"/>
    <col min="7" max="7" width="7.6640625" style="1" bestFit="1" customWidth="1"/>
    <col min="8" max="8" width="10.46484375" style="1" bestFit="1" customWidth="1"/>
    <col min="9" max="9" width="5.1328125" style="1" bestFit="1" customWidth="1"/>
    <col min="10" max="10" width="8.33203125" style="1" customWidth="1"/>
    <col min="11" max="17" width="9.33203125" style="1"/>
    <col min="18" max="18" width="28" style="1" bestFit="1" customWidth="1"/>
    <col min="19" max="16384" width="9.33203125" style="1"/>
  </cols>
  <sheetData>
    <row r="1" spans="1:18" x14ac:dyDescent="0.45">
      <c r="C1" s="16" t="s">
        <v>71</v>
      </c>
      <c r="D1" s="16"/>
      <c r="E1" s="16"/>
      <c r="F1" s="16"/>
      <c r="G1" s="16"/>
      <c r="H1" s="11"/>
      <c r="I1" s="11"/>
      <c r="J1" s="11"/>
      <c r="R1" s="10" t="s">
        <v>217</v>
      </c>
    </row>
    <row r="2" spans="1:18" x14ac:dyDescent="0.45">
      <c r="C2" s="11" t="s">
        <v>0</v>
      </c>
      <c r="D2" s="11" t="s">
        <v>1</v>
      </c>
      <c r="E2" s="11" t="s">
        <v>90</v>
      </c>
      <c r="F2" s="11" t="s">
        <v>49</v>
      </c>
      <c r="G2" s="11" t="s">
        <v>48</v>
      </c>
      <c r="H2" s="11" t="s">
        <v>164</v>
      </c>
      <c r="I2" s="11" t="s">
        <v>91</v>
      </c>
      <c r="J2" s="11"/>
      <c r="K2" s="11" t="s">
        <v>208</v>
      </c>
      <c r="L2" s="11" t="s">
        <v>209</v>
      </c>
      <c r="M2" s="11" t="s">
        <v>210</v>
      </c>
      <c r="N2" s="11" t="s">
        <v>211</v>
      </c>
      <c r="O2" s="11" t="s">
        <v>212</v>
      </c>
      <c r="P2" s="11" t="s">
        <v>213</v>
      </c>
      <c r="Q2" s="11"/>
      <c r="R2" s="10">
        <v>7</v>
      </c>
    </row>
    <row r="3" spans="1:18" x14ac:dyDescent="0.45">
      <c r="B3" s="1" t="s">
        <v>6</v>
      </c>
      <c r="C3" s="11">
        <v>1000</v>
      </c>
      <c r="D3" s="11">
        <v>1000</v>
      </c>
      <c r="E3" s="11">
        <v>1000</v>
      </c>
      <c r="F3" s="11">
        <v>1000</v>
      </c>
      <c r="G3" s="11">
        <v>1000</v>
      </c>
      <c r="H3" s="11">
        <v>1000</v>
      </c>
      <c r="I3" s="11">
        <v>1000</v>
      </c>
      <c r="J3" s="11"/>
      <c r="K3" s="11"/>
      <c r="L3" s="11"/>
      <c r="M3" s="11"/>
      <c r="N3" s="11"/>
      <c r="O3" s="11"/>
      <c r="P3" s="11"/>
    </row>
    <row r="4" spans="1:18" x14ac:dyDescent="0.45">
      <c r="C4" s="11"/>
      <c r="D4" s="11"/>
      <c r="E4" s="11"/>
      <c r="F4" s="11"/>
      <c r="G4" s="11"/>
      <c r="H4" s="11"/>
      <c r="I4" s="11"/>
      <c r="J4" s="11"/>
    </row>
    <row r="5" spans="1:18" x14ac:dyDescent="0.45">
      <c r="A5" s="2" t="s">
        <v>58</v>
      </c>
      <c r="B5" s="1" t="s">
        <v>3</v>
      </c>
      <c r="C5" s="5">
        <f>HLOOKUP("ATE-bias-IPS-exp",Point!$D$1:$DR$96,$R$2,FALSE)</f>
        <v>2.03679522198486</v>
      </c>
      <c r="D5" s="5">
        <f>HLOOKUP("ATE-RMSE-IPS-exp",Point!$D$1:$DR$96,$R$2,FALSE)</f>
        <v>3.3021716034520501</v>
      </c>
      <c r="E5" s="5">
        <f>(D5/$D$9)^2</f>
        <v>0.63187727223943047</v>
      </c>
      <c r="F5" s="5">
        <f>HLOOKUP("ATE-Empcov-IPS-exp",inference!$D$1:$DR$96,$R$2,FALSE)</f>
        <v>0.874</v>
      </c>
      <c r="G5" s="5">
        <f>HLOOKUP("ATE-ASSD-IPS-exp",inference!$D$1:$DR$96,$R$2,FALSE)*2*1.96/SQRT(G$3)</f>
        <v>10.046933843740414</v>
      </c>
      <c r="H5" s="5">
        <f>G5/(2*1.96/SQRT(G$3))</f>
        <v>81.048965426658</v>
      </c>
      <c r="I5" s="5">
        <f t="shared" ref="I5:I10" si="0">($H$9/H5)^2</f>
        <v>1.4717360853977963</v>
      </c>
      <c r="J5" s="5"/>
      <c r="K5" s="5">
        <f>HLOOKUP("ks-IPS-exp",balance!$D$1:$DR$96,$R$2,FALSE)</f>
        <v>2.61620847430529</v>
      </c>
      <c r="L5" s="5">
        <f>HLOOKUP("cvm-IPS-exp",balance!$D$1:$DR$96,$R$2,FALSE)</f>
        <v>0.375430966175263</v>
      </c>
      <c r="M5" s="5">
        <f>HLOOKUP("ks-IPS-exp_1",balance!$D$1:$DR$96,$R$2,FALSE)</f>
        <v>1.62003815216277</v>
      </c>
      <c r="N5" s="5">
        <f>HLOOKUP("cvm-IPS-exp_1",balance!$D$1:$DR$96,$R$2,FALSE)</f>
        <v>0.102338514040408</v>
      </c>
      <c r="O5" s="5">
        <f>HLOOKUP("ks-IPS-exp_0",balance!$D$1:$DR$96,$R$2,FALSE)</f>
        <v>1.46472450050362</v>
      </c>
      <c r="P5" s="5">
        <f>HLOOKUP("cvm-IPS-exp_0",balance!$D$1:$DR$96,$R$2,FALSE)</f>
        <v>0.117422121112399</v>
      </c>
    </row>
    <row r="6" spans="1:18" x14ac:dyDescent="0.45">
      <c r="B6" s="1" t="s">
        <v>5</v>
      </c>
      <c r="C6" s="5">
        <f>HLOOKUP("ATE-bias-IPS-ind",Point!$D$1:$DR$96,$R$2,FALSE)</f>
        <v>2.3708205525346902</v>
      </c>
      <c r="D6" s="5">
        <f>HLOOKUP("ATE-RMSE-IPS-ind",Point!$D$1:$DR$96,$R$2,FALSE)</f>
        <v>3.6777789640584899</v>
      </c>
      <c r="E6" s="5">
        <f t="shared" ref="E6:E10" si="1">(D6/$D$9)^2</f>
        <v>0.78379900287885951</v>
      </c>
      <c r="F6" s="5">
        <f>HLOOKUP("ATE-Empcov-IPS-ind",inference!$D$1:$DR$96,$R$2,FALSE)</f>
        <v>0.93700000000000006</v>
      </c>
      <c r="G6" s="5">
        <f>HLOOKUP("ATE-ASSD-IPS-ind",inference!$D$1:$DR$96,$R$2,FALSE)*2*1.96/SQRT(G$3)</f>
        <v>13.391533106391167</v>
      </c>
      <c r="H6" s="5">
        <f t="shared" ref="H6:H9" si="2">G6/(2*1.96/SQRT(G$3))</f>
        <v>108.029964228944</v>
      </c>
      <c r="I6" s="5">
        <f t="shared" si="0"/>
        <v>0.82839300866945897</v>
      </c>
      <c r="J6" s="5"/>
      <c r="K6" s="5">
        <f>HLOOKUP("ks-IPS-ind",balance!$D$1:$DR$96,$R$2,FALSE)</f>
        <v>2.26943136071346</v>
      </c>
      <c r="L6" s="5">
        <f>HLOOKUP("cvm-IPS-ind",balance!$D$1:$DR$96,$R$2,FALSE)</f>
        <v>0.26785705983644298</v>
      </c>
      <c r="M6" s="5">
        <f>HLOOKUP("ks-IPS-ind_1",balance!$D$1:$DR$96,$R$2,FALSE)</f>
        <v>1.2996315934474301</v>
      </c>
      <c r="N6" s="5">
        <f>HLOOKUP("cvm-IPS-ind_1",balance!$D$1:$DR$96,$R$2,FALSE)</f>
        <v>6.7459204281885995E-2</v>
      </c>
      <c r="O6" s="5">
        <f>HLOOKUP("ks-IPS-ind_0",balance!$D$1:$DR$96,$R$2,FALSE)</f>
        <v>1.3367210024451199</v>
      </c>
      <c r="P6" s="5">
        <f>HLOOKUP("cvm-IPS-ind_0",balance!$D$1:$DR$96,$R$2,FALSE)</f>
        <v>8.6043664930913505E-2</v>
      </c>
    </row>
    <row r="7" spans="1:18" x14ac:dyDescent="0.45">
      <c r="B7" s="1" t="s">
        <v>4</v>
      </c>
      <c r="C7" s="5">
        <f>HLOOKUP("ATE-bias-IPS-proj",Point!$D$1:$DR$96,$R$2,FALSE)</f>
        <v>0.479714291608349</v>
      </c>
      <c r="D7" s="5">
        <f>HLOOKUP("ATE-RMSE-IPS-proj",Point!$D$1:$DR$96,$R$2,FALSE)</f>
        <v>2.5489922015182098</v>
      </c>
      <c r="E7" s="5">
        <f t="shared" si="1"/>
        <v>0.37650476015120421</v>
      </c>
      <c r="F7" s="6">
        <f>HLOOKUP("ATE-Empcov-IPS-proj",inference!$D$1:$DR$96,$R$2,FALSE)</f>
        <v>0.96299999999999997</v>
      </c>
      <c r="G7" s="6">
        <f>HLOOKUP("ATE-ASSD-IPS-proj",inference!$D$1:$DR$96,$R$2,FALSE)*2*1.96/SQRT(G$3)</f>
        <v>11.138770708411894</v>
      </c>
      <c r="H7" s="5">
        <f t="shared" si="2"/>
        <v>89.856851461604194</v>
      </c>
      <c r="I7" s="5">
        <f t="shared" si="0"/>
        <v>1.1973537960057219</v>
      </c>
      <c r="J7" s="5"/>
      <c r="K7" s="5">
        <f>HLOOKUP("ks-IPS-proj",balance!$D$1:$DR$96,$R$2,FALSE)</f>
        <v>3.3808548550935398</v>
      </c>
      <c r="L7" s="5">
        <f>HLOOKUP("cvm-IPS-proj",balance!$D$1:$DR$96,$R$2,FALSE)</f>
        <v>0.74737251247721703</v>
      </c>
      <c r="M7" s="5">
        <f>HLOOKUP("ks-IPS-proj_1",balance!$D$1:$DR$96,$R$2,FALSE)</f>
        <v>1.7222870651101001</v>
      </c>
      <c r="N7" s="5">
        <f>HLOOKUP("cvm-IPS-proj_1",balance!$D$1:$DR$96,$R$2,FALSE)</f>
        <v>0.14725120643220799</v>
      </c>
      <c r="O7" s="5">
        <f>HLOOKUP("ks-IPS-proj_0",balance!$D$1:$DR$96,$R$2,FALSE)</f>
        <v>1.8641463729549901</v>
      </c>
      <c r="P7" s="5">
        <f>HLOOKUP("cvm-IPS-proj_0",balance!$D$1:$DR$96,$R$2,FALSE)</f>
        <v>0.26483642326019902</v>
      </c>
    </row>
    <row r="8" spans="1:18" x14ac:dyDescent="0.45">
      <c r="B8" s="1" t="s">
        <v>88</v>
      </c>
      <c r="C8" s="5">
        <f>HLOOKUP("ATE-bias-CBPS-just",Point!$D$1:$DR$96,$R$2,FALSE)</f>
        <v>2.8016388668496601</v>
      </c>
      <c r="D8" s="5">
        <f>HLOOKUP("ATE-RMSE-CBPS-just",Point!$D$1:$DR$96,$R$2,FALSE)</f>
        <v>3.83677881980514</v>
      </c>
      <c r="E8" s="5">
        <f t="shared" si="1"/>
        <v>0.8530352654798653</v>
      </c>
      <c r="F8" s="5">
        <f>HLOOKUP("ATE-Empcov-CBPS-just",inference!$D$1:$DR$96,$R$2,FALSE)</f>
        <v>0.79900000000000004</v>
      </c>
      <c r="G8" s="5">
        <f>HLOOKUP("ATE-ASSD-CBPS-just",inference!$D$1:$DR$96,$R$2,FALSE)*2*1.96/SQRT(G$3)</f>
        <v>9.9958530823028422</v>
      </c>
      <c r="H8" s="5">
        <f t="shared" si="2"/>
        <v>80.636895144111008</v>
      </c>
      <c r="I8" s="5">
        <f t="shared" si="0"/>
        <v>1.4868162361071853</v>
      </c>
      <c r="J8" s="5"/>
      <c r="K8" s="5">
        <f>HLOOKUP("ks-CBPS-Just",balance!$D$1:$DR$96,$R$2,FALSE)</f>
        <v>2.7229078783508101</v>
      </c>
      <c r="L8" s="5">
        <f>HLOOKUP("cvm-CBPS-Just",balance!$D$1:$DR$96,$R$2,FALSE)</f>
        <v>0.40838706634380201</v>
      </c>
      <c r="M8" s="5">
        <f>HLOOKUP("ks-CBPS-Just_1",balance!$D$1:$DR$96,$R$2,FALSE)</f>
        <v>1.65922265887461</v>
      </c>
      <c r="N8" s="5">
        <f>HLOOKUP("cvm-CBPS-Just_1",balance!$D$1:$DR$96,$R$2,FALSE)</f>
        <v>0.11156179720185801</v>
      </c>
      <c r="O8" s="5">
        <f>HLOOKUP("ks-CBPS-Just_0",balance!$D$1:$DR$96,$R$2,FALSE)</f>
        <v>1.4669097267103901</v>
      </c>
      <c r="P8" s="5">
        <f>HLOOKUP("cvm-CBPS-Just_0",balance!$D$1:$DR$96,$R$2,FALSE)</f>
        <v>0.12191894019042</v>
      </c>
    </row>
    <row r="9" spans="1:18" x14ac:dyDescent="0.45">
      <c r="B9" s="1" t="s">
        <v>89</v>
      </c>
      <c r="C9" s="5">
        <f>HLOOKUP("ATE-bias-CBPS-over",Point!$D$1:$DR$96,$R$2,FALSE)</f>
        <v>3.0887656679172699</v>
      </c>
      <c r="D9" s="5">
        <f>HLOOKUP("ATE-RMSE-CBPS-over",Point!$D$1:$DR$96,$R$2,FALSE)</f>
        <v>4.15416049221135</v>
      </c>
      <c r="E9" s="5">
        <f t="shared" si="1"/>
        <v>1</v>
      </c>
      <c r="F9" s="5">
        <f>HLOOKUP("ATE-Empcov-CBPS-over",inference!$D$1:$DR$96,$R$2,FALSE)</f>
        <v>0.875</v>
      </c>
      <c r="G9" s="5">
        <f>HLOOKUP("ATE-ASSD-CBPS-over",inference!$D$1:$DR$96,$R$2,FALSE)*2*1.96/SQRT(G$3)</f>
        <v>12.188450889598284</v>
      </c>
      <c r="H9" s="5">
        <f t="shared" si="2"/>
        <v>98.324658061826696</v>
      </c>
      <c r="I9" s="5">
        <f t="shared" si="0"/>
        <v>1</v>
      </c>
      <c r="J9" s="5"/>
      <c r="K9" s="5">
        <f>HLOOKUP("ks-CBPS-over",balance!$D$1:$DR$96,$R$2,FALSE)</f>
        <v>2.7965399821905099</v>
      </c>
      <c r="L9" s="5">
        <f>HLOOKUP("cvm-CBPS-over",balance!$D$1:$DR$96,$R$2,FALSE)</f>
        <v>0.41850955061348599</v>
      </c>
      <c r="M9" s="5">
        <f>HLOOKUP("ks-CBPS-over_1",balance!$D$1:$DR$96,$R$2,FALSE)</f>
        <v>1.68781339665219</v>
      </c>
      <c r="N9" s="5">
        <f>HLOOKUP("cvm-CBPS-over_1",balance!$D$1:$DR$96,$R$2,FALSE)</f>
        <v>0.110086380787476</v>
      </c>
      <c r="O9" s="5">
        <f>HLOOKUP("ks-CBPS-over_0",balance!$D$1:$DR$96,$R$2,FALSE)</f>
        <v>1.48197408293961</v>
      </c>
      <c r="P9" s="5">
        <f>HLOOKUP("cvm-CBPS-over_0",balance!$D$1:$DR$96,$R$2,FALSE)</f>
        <v>0.12678987279352599</v>
      </c>
    </row>
    <row r="10" spans="1:18" s="3" customFormat="1" x14ac:dyDescent="0.45">
      <c r="B10" s="3" t="s">
        <v>2</v>
      </c>
      <c r="C10" s="5">
        <f>HLOOKUP("ATE-bias-GLM",Point!$D$1:$DR$96,$R$2,FALSE)</f>
        <v>6.5099207659416098</v>
      </c>
      <c r="D10" s="5">
        <f>HLOOKUP("ATE-RMSE-GLM",Point!$D$1:$DR$96,$R$2,FALSE)</f>
        <v>10.2758419881556</v>
      </c>
      <c r="E10" s="5">
        <f t="shared" si="1"/>
        <v>6.1188286681170423</v>
      </c>
      <c r="F10" s="5">
        <f>HLOOKUP("ATE-Empcov-GLM",inference!$D$1:$DR$96,$R$2,FALSE)</f>
        <v>0.75600000000000001</v>
      </c>
      <c r="G10" s="5">
        <f>HLOOKUP("ATE-ASSD-GLM",inference!$D$1:$DR$96,$R$2,FALSE)*2*1.96/SQRT(G$3)</f>
        <v>16.716355405442709</v>
      </c>
      <c r="H10" s="5">
        <f>G10/(2*1.96/SQRT(G$3))</f>
        <v>134.85142157670003</v>
      </c>
      <c r="I10" s="5">
        <f t="shared" si="0"/>
        <v>0.53163532632340649</v>
      </c>
      <c r="J10" s="5"/>
      <c r="K10" s="5">
        <f>HLOOKUP("ks-GLM",balance!$D$1:$DR$96,$R$2,FALSE)</f>
        <v>3.4840227027408202</v>
      </c>
      <c r="L10" s="5">
        <f>HLOOKUP("cvm-GLM",balance!$D$1:$DR$96,$R$2,FALSE)</f>
        <v>0.72221207820399302</v>
      </c>
      <c r="M10" s="5">
        <f>HLOOKUP("ks-GLM_1",balance!$D$1:$DR$96,$R$2,FALSE)</f>
        <v>2.54678040549115</v>
      </c>
      <c r="N10" s="5">
        <f>HLOOKUP("cvm-GLM_1",balance!$D$1:$DR$96,$R$2,FALSE)</f>
        <v>0.392140063672618</v>
      </c>
      <c r="O10" s="5">
        <f>HLOOKUP("ks-GLM_0",balance!$D$1:$DR$96,$R$2,FALSE)</f>
        <v>1.4295710558025201</v>
      </c>
      <c r="P10" s="5">
        <f>HLOOKUP("cvm-GLM_0",balance!$D$1:$DR$96,$R$2,FALSE)</f>
        <v>0.116473489087739</v>
      </c>
    </row>
    <row r="11" spans="1:18" s="4" customFormat="1" x14ac:dyDescent="0.45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8" x14ac:dyDescent="0.45">
      <c r="A12" s="2" t="s">
        <v>206</v>
      </c>
      <c r="B12" s="1" t="s">
        <v>3</v>
      </c>
      <c r="C12" s="5">
        <f>HLOOKUP("QTE-0.10-bias-IPS-exp",Point!$D$1:$DR$96,$R$2,FALSE)</f>
        <v>-4.0604686211722001</v>
      </c>
      <c r="D12" s="5">
        <f>HLOOKUP("QTE-0.10-RMSE-IPS-exp",Point!$D$1:$DR$96,$R$2,FALSE)</f>
        <v>5.4545262223488598</v>
      </c>
      <c r="E12" s="5">
        <f t="shared" ref="E12:E15" si="3">(D12/$D$16)^2</f>
        <v>1.5238065820907694</v>
      </c>
      <c r="F12" s="5">
        <f>HLOOKUP("QTE-0.1-Empcov-IPS-exp",inference!$D$1:$DR$96,$R$2,FALSE)</f>
        <v>0.79</v>
      </c>
      <c r="G12" s="5">
        <f>HLOOKUP("QTE-0.1-ASSD-IPS-exp",inference!$D$1:$DR$96,$R$2,FALSE)*2*1.96/SQRT(G$3)</f>
        <v>14.06820302776665</v>
      </c>
      <c r="H12" s="5">
        <f>G12/(2*1.96/SQRT(G$3))</f>
        <v>113.488684064846</v>
      </c>
      <c r="I12" s="5">
        <f t="shared" ref="I12:I17" si="4">($H$16/H12)^2</f>
        <v>0.99041375008019872</v>
      </c>
      <c r="J12" s="5"/>
      <c r="K12" s="5"/>
      <c r="L12" s="5"/>
      <c r="M12" s="5"/>
      <c r="N12" s="5"/>
    </row>
    <row r="13" spans="1:18" x14ac:dyDescent="0.45">
      <c r="B13" s="1" t="s">
        <v>5</v>
      </c>
      <c r="C13" s="5">
        <f>HLOOKUP("QTE-0.10-bias-IPS-ind",Point!$D$1:$DR$96,$R$2,FALSE)</f>
        <v>-3.1946709366575798</v>
      </c>
      <c r="D13" s="5">
        <f>HLOOKUP("QTE-0.10-RMSE-IPS-ind",Point!$D$1:$DR$96,$R$2,FALSE)</f>
        <v>4.9731406727798504</v>
      </c>
      <c r="E13" s="5">
        <f t="shared" si="3"/>
        <v>1.2667101935741083</v>
      </c>
      <c r="F13" s="5">
        <f>HLOOKUP("QTE-0.1-Empcov-IPS-ind",inference!$D$1:$DR$96,$R$2,FALSE)</f>
        <v>0.91</v>
      </c>
      <c r="G13" s="5">
        <f>HLOOKUP("QTE-0.1-ASSD-IPS-ind",inference!$D$1:$DR$96,$R$2,FALSE)*2*1.96/SQRT(G$3)</f>
        <v>16.475111025170953</v>
      </c>
      <c r="H13" s="5">
        <f t="shared" ref="H13:H16" si="5">G13/(2*1.96/SQRT(G$3))</f>
        <v>132.905294754316</v>
      </c>
      <c r="I13" s="5">
        <f t="shared" si="4"/>
        <v>0.72216629599270576</v>
      </c>
      <c r="J13" s="5"/>
      <c r="K13" s="5"/>
      <c r="L13" s="5"/>
      <c r="M13" s="5"/>
      <c r="N13" s="5"/>
    </row>
    <row r="14" spans="1:18" x14ac:dyDescent="0.45">
      <c r="B14" s="1" t="s">
        <v>4</v>
      </c>
      <c r="C14" s="5">
        <f>HLOOKUP("QTE-0.10-bias-IPS-proj",Point!$D$1:$DR$96,$R$2,FALSE)</f>
        <v>-2.6574696337696002</v>
      </c>
      <c r="D14" s="5">
        <f>HLOOKUP("QTE-0.10-RMSE-IPS-proj",Point!$D$1:$DR$96,$R$2,FALSE)</f>
        <v>4.67467718987134</v>
      </c>
      <c r="E14" s="5">
        <f t="shared" si="3"/>
        <v>1.1192291928057154</v>
      </c>
      <c r="F14" s="6">
        <f>HLOOKUP("QTE-0.1-Empcov-IPS-proj",inference!$D$1:$DR$96,$R$2,FALSE)</f>
        <v>0.98199999999999998</v>
      </c>
      <c r="G14" s="6">
        <f>HLOOKUP("QTE-0.1-ASSD-IPS-proj",inference!$D$1:$DR$96,$R$2,FALSE)*2*1.96/SQRT(G$3)</f>
        <v>24.849000364271731</v>
      </c>
      <c r="H14" s="5">
        <f t="shared" si="5"/>
        <v>200.45775186084799</v>
      </c>
      <c r="I14" s="5">
        <f t="shared" si="4"/>
        <v>0.31745054045180282</v>
      </c>
      <c r="J14" s="5"/>
      <c r="K14" s="5"/>
      <c r="L14" s="5"/>
      <c r="M14" s="5"/>
      <c r="N14" s="5"/>
    </row>
    <row r="15" spans="1:18" x14ac:dyDescent="0.45">
      <c r="B15" s="1" t="s">
        <v>88</v>
      </c>
      <c r="C15" s="5">
        <f>HLOOKUP("QTE-0.10-bias-CBPS-just",Point!$D$1:$DR$96,$R$2,FALSE)</f>
        <v>-3.1713258290493802</v>
      </c>
      <c r="D15" s="5">
        <f>HLOOKUP("QTE-0.10-RMSE-CBPS-just",Point!$D$1:$DR$96,$R$2,FALSE)</f>
        <v>4.7826057961170898</v>
      </c>
      <c r="E15" s="5">
        <f t="shared" si="3"/>
        <v>1.1715071646458737</v>
      </c>
      <c r="F15" s="5">
        <f>HLOOKUP("QTE-0.1-Empcov-CBPS-just",inference!$D$1:$DR$96,$R$2,FALSE)</f>
        <v>0.83799999999999997</v>
      </c>
      <c r="G15" s="5">
        <f>HLOOKUP("QTE-0.1-ASSD-CBPS-just",inference!$D$1:$DR$96,$R$2,FALSE)*2*1.96/SQRT(G$3)</f>
        <v>13.736874474645306</v>
      </c>
      <c r="H15" s="5">
        <f t="shared" si="5"/>
        <v>110.815845080888</v>
      </c>
      <c r="I15" s="5">
        <f t="shared" si="4"/>
        <v>1.0387667891616998</v>
      </c>
      <c r="J15" s="5"/>
      <c r="K15" s="5"/>
      <c r="L15" s="5"/>
      <c r="M15" s="5"/>
      <c r="N15" s="5"/>
    </row>
    <row r="16" spans="1:18" x14ac:dyDescent="0.45">
      <c r="B16" s="1" t="s">
        <v>89</v>
      </c>
      <c r="C16" s="5">
        <f>HLOOKUP("QTE-0.10-bias-CBPS-over",Point!$D$1:$DR$96,$R$2,FALSE)</f>
        <v>-2.7140690092842998</v>
      </c>
      <c r="D16" s="5">
        <f>HLOOKUP("QTE-0.10-RMSE-CBPS-over",Point!$D$1:$DR$96,$R$2,FALSE)</f>
        <v>4.4186755250987302</v>
      </c>
      <c r="E16" s="5">
        <f>(D16/$D$16)^2</f>
        <v>1</v>
      </c>
      <c r="F16" s="5">
        <f>HLOOKUP("QTE-0.1-Empcov-CBPS-over",inference!$D$1:$DR$96,$R$2,FALSE)</f>
        <v>0.88700000000000001</v>
      </c>
      <c r="G16" s="5">
        <f>HLOOKUP("QTE-0.1-ASSD-CBPS-over",inference!$D$1:$DR$96,$R$2,FALSE)*2*1.96/SQRT(G$3)</f>
        <v>14.000609991665673</v>
      </c>
      <c r="H16" s="5">
        <f t="shared" si="5"/>
        <v>112.94340868718</v>
      </c>
      <c r="I16" s="5">
        <f>($H$16/H16)^2</f>
        <v>1</v>
      </c>
      <c r="J16" s="5"/>
      <c r="K16" s="5"/>
      <c r="L16" s="5"/>
      <c r="M16" s="5"/>
      <c r="N16" s="5"/>
    </row>
    <row r="17" spans="1:17" s="3" customFormat="1" x14ac:dyDescent="0.45">
      <c r="B17" s="3" t="s">
        <v>2</v>
      </c>
      <c r="C17" s="5">
        <f>HLOOKUP("QTE-0.10-bias-GLM",Point!$D$1:$DR$96,$R$2,FALSE)</f>
        <v>-1.3707790563362201</v>
      </c>
      <c r="D17" s="5">
        <f>HLOOKUP("QTE-0.10-RMSE-GLM",Point!$D$1:$DR$96,$R$2,FALSE)</f>
        <v>4.71253401061107</v>
      </c>
      <c r="E17" s="5">
        <f>(D17/$D$16)^2</f>
        <v>1.1374302454139742</v>
      </c>
      <c r="F17" s="5">
        <f>HLOOKUP("QTE-0.1-Empcov-GLM",inference!$D$1:$DR$96,$R$2,FALSE)</f>
        <v>0.91600000000000004</v>
      </c>
      <c r="G17" s="5">
        <f>HLOOKUP("QTE-0.1-ASSD-GLM",inference!$D$1:$DR$96,$R$2,FALSE)*2*1.96/SQRT(G$3)</f>
        <v>14.89663081692578</v>
      </c>
      <c r="H17" s="5">
        <f>G17/(2*1.96/SQRT(G$3))</f>
        <v>120.171639908521</v>
      </c>
      <c r="I17" s="5">
        <f t="shared" si="4"/>
        <v>0.88331947592287507</v>
      </c>
      <c r="J17" s="5"/>
      <c r="K17" s="5"/>
      <c r="L17" s="5"/>
      <c r="M17" s="5"/>
      <c r="N17" s="5"/>
    </row>
    <row r="18" spans="1:17" s="4" customFormat="1" x14ac:dyDescent="0.45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7" x14ac:dyDescent="0.45">
      <c r="A19" s="2" t="s">
        <v>59</v>
      </c>
      <c r="B19" s="1" t="s">
        <v>3</v>
      </c>
      <c r="C19" s="5">
        <f>HLOOKUP("QTE-0.25-bias-IPS-exp",Point!$D$1:$DR$96,$R$2,FALSE)</f>
        <v>-2.2080901167836902</v>
      </c>
      <c r="D19" s="5">
        <f>HLOOKUP("QTE-0.25-RMSE-IPS-exp",Point!$D$1:$DR$96,$R$2,FALSE)</f>
        <v>3.7405472990917898</v>
      </c>
      <c r="E19" s="5">
        <f>(D19/$D$23)^2</f>
        <v>1.450184225483474</v>
      </c>
      <c r="F19" s="5">
        <f>HLOOKUP("QTE-0.25-Empcov-IPS-exp",inference!$D$1:$DR$96,$R$2,FALSE)</f>
        <v>0.89100000000000001</v>
      </c>
      <c r="G19" s="5">
        <f>HLOOKUP("QTE-0.25-ASSD-IPS-exp",inference!$D$1:$DR$96,$R$2,FALSE)*2*1.96/SQRT(G$3)</f>
        <v>12.021652060609183</v>
      </c>
      <c r="H19" s="5">
        <f>G19/(2*1.96/SQRT(G$3))</f>
        <v>96.979086095871381</v>
      </c>
      <c r="I19" s="5">
        <f>($H$23/H19)^2</f>
        <v>1.0888258744820818</v>
      </c>
      <c r="J19" s="5"/>
      <c r="K19" s="5"/>
      <c r="L19" s="5"/>
      <c r="M19" s="5"/>
      <c r="N19" s="5"/>
    </row>
    <row r="20" spans="1:17" x14ac:dyDescent="0.45">
      <c r="B20" s="1" t="s">
        <v>5</v>
      </c>
      <c r="C20" s="5">
        <f>HLOOKUP("QTE-0.25-bias-IPS-ind",Point!$D$1:$DR$96,$R$2,FALSE)</f>
        <v>-1.4510861663419601</v>
      </c>
      <c r="D20" s="5">
        <f>HLOOKUP("QTE-0.25-RMSE-IPS-ind",Point!$D$1:$DR$96,$R$2,FALSE)</f>
        <v>3.4560194179731298</v>
      </c>
      <c r="E20" s="5">
        <f t="shared" ref="E20:E24" si="6">(D20/$D$23)^2</f>
        <v>1.2379560400325822</v>
      </c>
      <c r="F20" s="5">
        <f>HLOOKUP("QTE-0.25-Empcov-IPS-ind",inference!$D$1:$DR$96,$R$2,FALSE)</f>
        <v>0.96299999999999997</v>
      </c>
      <c r="G20" s="5">
        <f>HLOOKUP("QTE-0.25-ASSD-IPS-ind",inference!$D$1:$DR$96,$R$2,FALSE)*2*1.96/SQRT(G$3)</f>
        <v>14.160717723038168</v>
      </c>
      <c r="H20" s="5">
        <f t="shared" ref="H20:H23" si="7">G20/(2*1.96/SQRT(G$3))</f>
        <v>114.23500333549499</v>
      </c>
      <c r="I20" s="5">
        <f t="shared" ref="I20:I24" si="8">($H$23/H20)^2</f>
        <v>0.78472268874076023</v>
      </c>
      <c r="J20" s="5"/>
      <c r="K20" s="5"/>
      <c r="L20" s="5"/>
      <c r="M20" s="5"/>
      <c r="N20" s="5"/>
    </row>
    <row r="21" spans="1:17" x14ac:dyDescent="0.45">
      <c r="B21" s="1" t="s">
        <v>4</v>
      </c>
      <c r="C21" s="5">
        <f>HLOOKUP("QTE-0.25-bias-IPS-proj",Point!$D$1:$DR$96,$R$2,FALSE)</f>
        <v>-1.7661616996352001</v>
      </c>
      <c r="D21" s="5">
        <f>HLOOKUP("QTE-0.25-RMSE-IPS-proj",Point!$D$1:$DR$96,$R$2,FALSE)</f>
        <v>3.67971663226262</v>
      </c>
      <c r="E21" s="5">
        <f t="shared" si="6"/>
        <v>1.4034004996930833</v>
      </c>
      <c r="F21" s="6">
        <f>HLOOKUP("QTE-0.25-Empcov-IPS-proj",inference!$D$1:$DR$96,$R$2,FALSE)</f>
        <v>0.97699999999999998</v>
      </c>
      <c r="G21" s="6">
        <f>HLOOKUP("QTE-0.25-ASSD-IPS-proj",inference!$D$1:$DR$96,$R$2,FALSE)*2*1.96/SQRT(G$3)</f>
        <v>18.53742055310715</v>
      </c>
      <c r="H21" s="5">
        <f t="shared" si="7"/>
        <v>149.54201758223701</v>
      </c>
      <c r="I21" s="5">
        <f t="shared" si="8"/>
        <v>0.45791844311733187</v>
      </c>
      <c r="J21" s="5"/>
      <c r="K21" s="5"/>
      <c r="L21" s="5"/>
      <c r="M21" s="5"/>
      <c r="N21" s="5"/>
    </row>
    <row r="22" spans="1:17" x14ac:dyDescent="0.45">
      <c r="B22" s="1" t="s">
        <v>88</v>
      </c>
      <c r="C22" s="5">
        <f>HLOOKUP("QTE-0.25-bias-CBPS-just",Point!$D$1:$DR$96,$R$2,FALSE)</f>
        <v>-1.3143451773099599</v>
      </c>
      <c r="D22" s="5">
        <f>HLOOKUP("QTE-0.25-RMSE-CBPS-just",Point!$D$1:$DR$96,$R$2,FALSE)</f>
        <v>3.28131482353117</v>
      </c>
      <c r="E22" s="5">
        <f t="shared" si="6"/>
        <v>1.1159601232645564</v>
      </c>
      <c r="F22" s="5">
        <f>HLOOKUP("QTE-0.25-Empcov-CBPS-just",inference!$D$1:$DR$96,$R$2,FALSE)</f>
        <v>0.92900000000000005</v>
      </c>
      <c r="G22" s="5">
        <f>HLOOKUP("QTE-0.25-ASSD-CBPS-just",inference!$D$1:$DR$96,$R$2,FALSE)*2*1.96/SQRT(G$3)</f>
        <v>11.963971013287292</v>
      </c>
      <c r="H22" s="5">
        <f t="shared" si="7"/>
        <v>96.513771077092997</v>
      </c>
      <c r="I22" s="5">
        <f t="shared" si="8"/>
        <v>1.0993501417926581</v>
      </c>
      <c r="J22" s="5"/>
      <c r="K22" s="5"/>
      <c r="L22" s="5"/>
      <c r="M22" s="5"/>
      <c r="N22" s="5"/>
    </row>
    <row r="23" spans="1:17" x14ac:dyDescent="0.45">
      <c r="B23" s="1" t="s">
        <v>89</v>
      </c>
      <c r="C23" s="5">
        <f>HLOOKUP("QTE-0.25-bias-CBPS-over",Point!$D$1:$DR$96,$R$2,FALSE)</f>
        <v>-0.95745980123072605</v>
      </c>
      <c r="D23" s="5">
        <f>HLOOKUP("QTE-0.25-RMSE-CBPS-over",Point!$D$1:$DR$96,$R$2,FALSE)</f>
        <v>3.1061581380627401</v>
      </c>
      <c r="E23" s="5">
        <f>(D23/$D$23)^2</f>
        <v>1</v>
      </c>
      <c r="F23" s="5">
        <f>HLOOKUP("QTE-0.25-Empcov-CBPS-over",inference!$D$1:$DR$96,$R$2,FALSE)</f>
        <v>0.94499999999999995</v>
      </c>
      <c r="G23" s="5">
        <f>HLOOKUP("QTE-0.25-ASSD-CBPS-over",inference!$D$1:$DR$96,$R$2,FALSE)*2*1.96/SQRT(G$3)</f>
        <v>12.544211579513929</v>
      </c>
      <c r="H23" s="5">
        <f t="shared" si="7"/>
        <v>101.19459194469999</v>
      </c>
      <c r="I23" s="5">
        <f t="shared" si="8"/>
        <v>1</v>
      </c>
      <c r="J23" s="5"/>
      <c r="K23" s="5"/>
      <c r="L23" s="5"/>
      <c r="M23" s="5"/>
      <c r="N23" s="5"/>
    </row>
    <row r="24" spans="1:17" s="3" customFormat="1" x14ac:dyDescent="0.45">
      <c r="B24" s="3" t="s">
        <v>2</v>
      </c>
      <c r="C24" s="5">
        <f>HLOOKUP("QTE-0.25-bias-GLM",Point!$D$1:$DR$96,$R$2,FALSE)</f>
        <v>1.0848144539979501</v>
      </c>
      <c r="D24" s="5">
        <f>HLOOKUP("QTE-0.25-RMSE-GLM",Point!$D$1:$DR$96,$R$2,FALSE)</f>
        <v>6.4230334441484196</v>
      </c>
      <c r="E24" s="5">
        <f t="shared" si="6"/>
        <v>4.2759561408691047</v>
      </c>
      <c r="F24" s="5">
        <f>HLOOKUP("QTE-0.25-Empcov-GLM",inference!$D$1:$DR$96,$R$2,FALSE)</f>
        <v>0.95</v>
      </c>
      <c r="G24" s="5">
        <f>HLOOKUP("QTE-0.25-ASSD-GLM",inference!$D$1:$DR$96,$R$2,FALSE)*2*1.96/SQRT(G$3)</f>
        <v>15.007585076784718</v>
      </c>
      <c r="H24" s="5">
        <f>G24/(2*1.96/SQRT(G$3))</f>
        <v>121.066711789267</v>
      </c>
      <c r="I24" s="5">
        <f t="shared" si="8"/>
        <v>0.69865876686051354</v>
      </c>
      <c r="J24" s="5"/>
      <c r="K24" s="5"/>
      <c r="L24" s="5"/>
      <c r="M24" s="5"/>
      <c r="N24" s="5"/>
    </row>
    <row r="25" spans="1:17" x14ac:dyDescent="0.45">
      <c r="A25" s="4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4"/>
      <c r="P25" s="4"/>
      <c r="Q25" s="4"/>
    </row>
    <row r="26" spans="1:17" x14ac:dyDescent="0.45">
      <c r="A26" s="2" t="s">
        <v>60</v>
      </c>
      <c r="B26" s="1" t="s">
        <v>3</v>
      </c>
      <c r="C26" s="5">
        <f>HLOOKUP("QTE-0.5-bias-IPS-exp",Point!$D$1:$DR$96,$R$2,FALSE)</f>
        <v>1.0033818481722301</v>
      </c>
      <c r="D26" s="5">
        <f>HLOOKUP("QTE-0.5-RMSE-IPS-exp",Point!$D$1:$DR$96,$R$2,FALSE)</f>
        <v>3.1796176969071799</v>
      </c>
      <c r="E26" s="5">
        <f>(D26/$D$30)^2</f>
        <v>0.71510905778256151</v>
      </c>
      <c r="F26" s="5">
        <f>HLOOKUP("QTE-0.5-Empcov-IPS-exp",inference!$D$1:$DR$96,$R$2,FALSE)</f>
        <v>0.94199999999999995</v>
      </c>
      <c r="G26" s="5">
        <f>HLOOKUP("QTE-0.5-ASSD-IPS-exp",inference!$D$1:$DR$96,$R$2,FALSE)*2*1.96/SQRT(G$3)</f>
        <v>12.125024596445973</v>
      </c>
      <c r="H26" s="5">
        <f>G26/(2*1.96/SQRT(G$3))</f>
        <v>97.812995944727604</v>
      </c>
      <c r="I26" s="5">
        <f>($H$30/H26)^2</f>
        <v>1.2656359973369782</v>
      </c>
      <c r="J26" s="5"/>
      <c r="K26"/>
      <c r="L26"/>
      <c r="M26"/>
      <c r="N26"/>
      <c r="O26"/>
      <c r="P26"/>
      <c r="Q26"/>
    </row>
    <row r="27" spans="1:17" x14ac:dyDescent="0.45">
      <c r="B27" s="1" t="s">
        <v>5</v>
      </c>
      <c r="C27" s="5">
        <f>HLOOKUP("QTE-0.5-bias-IPS-ind",Point!$D$1:$DR$96,$R$2,FALSE)</f>
        <v>1.5158185532014199</v>
      </c>
      <c r="D27" s="5">
        <f>HLOOKUP("QTE-0.5-RMSE-IPS-ind",Point!$D$1:$DR$96,$R$2,FALSE)</f>
        <v>3.4912779639560401</v>
      </c>
      <c r="E27" s="5">
        <f t="shared" ref="E27:E31" si="9">(D27/$D$30)^2</f>
        <v>0.86216685432912998</v>
      </c>
      <c r="F27" s="5">
        <f>HLOOKUP("QTE-0.5-Empcov-IPS-ind",inference!$D$1:$DR$96,$R$2,FALSE)</f>
        <v>0.95899999999999996</v>
      </c>
      <c r="G27" s="5">
        <f>HLOOKUP("QTE-0.5-ASSD-IPS-ind",inference!$D$1:$DR$96,$R$2,FALSE)*2*1.96/SQRT(G$3)</f>
        <v>14.369525835073228</v>
      </c>
      <c r="H27" s="5">
        <f t="shared" ref="H27:H30" si="10">G27/(2*1.96/SQRT(G$3))</f>
        <v>115.91946565169501</v>
      </c>
      <c r="I27" s="5">
        <f t="shared" ref="I27:I31" si="11">($H$30/H27)^2</f>
        <v>0.9011336348092166</v>
      </c>
      <c r="J27" s="5"/>
      <c r="K27" s="5"/>
      <c r="L27" s="5"/>
      <c r="M27" s="5"/>
      <c r="N27" s="5"/>
    </row>
    <row r="28" spans="1:17" x14ac:dyDescent="0.45">
      <c r="B28" s="1" t="s">
        <v>4</v>
      </c>
      <c r="C28" s="5">
        <f>HLOOKUP("QTE-0.5-bias-IPS-proj",Point!$D$1:$DR$96,$R$2,FALSE)</f>
        <v>3.8223287729533002E-3</v>
      </c>
      <c r="D28" s="5">
        <f>HLOOKUP("QTE-0.5-RMSE-IPS-proj",Point!$D$1:$DR$96,$R$2,FALSE)</f>
        <v>3.0316207951478402</v>
      </c>
      <c r="E28" s="5">
        <f t="shared" si="9"/>
        <v>0.65008810982958076</v>
      </c>
      <c r="F28" s="6">
        <f>HLOOKUP("QTE-0.5-Empcov-IPS-proj",inference!$D$1:$DR$96,$R$2,FALSE)</f>
        <v>0.96899999999999997</v>
      </c>
      <c r="G28" s="6">
        <f>HLOOKUP("QTE-0.5-ASSD-IPS-proj",inference!$D$1:$DR$96,$R$2,FALSE)*2*1.96/SQRT(G$3)</f>
        <v>13.147723364164426</v>
      </c>
      <c r="H28" s="5">
        <f t="shared" si="10"/>
        <v>106.063142542273</v>
      </c>
      <c r="I28" s="5">
        <f t="shared" si="11"/>
        <v>1.0763981922707635</v>
      </c>
      <c r="J28" s="5"/>
      <c r="K28" s="5"/>
      <c r="L28" s="5"/>
      <c r="M28" s="5"/>
      <c r="N28" s="5"/>
    </row>
    <row r="29" spans="1:17" x14ac:dyDescent="0.45">
      <c r="B29" s="1" t="s">
        <v>88</v>
      </c>
      <c r="C29" s="5">
        <f>HLOOKUP("QTE-0.5-bias-CBPS-just",Point!$D$1:$DR$96,$R$2,FALSE)</f>
        <v>1.8785696683037001</v>
      </c>
      <c r="D29" s="5">
        <f>HLOOKUP("QTE-0.5-RMSE-CBPS-just",Point!$D$1:$DR$96,$R$2,FALSE)</f>
        <v>3.6176301597701301</v>
      </c>
      <c r="E29" s="5">
        <f t="shared" si="9"/>
        <v>0.92570114171115025</v>
      </c>
      <c r="F29" s="5">
        <f>HLOOKUP("QTE-0.5-Empcov-CBPS-just",inference!$D$1:$DR$96,$R$2,FALSE)</f>
        <v>0.90400000000000003</v>
      </c>
      <c r="G29" s="5">
        <f>HLOOKUP("QTE-0.5-ASSD-CBPS-just",inference!$D$1:$DR$96,$R$2,FALSE)*2*1.96/SQRT(G$3)</f>
        <v>12.308599713857362</v>
      </c>
      <c r="H29" s="5">
        <f t="shared" si="10"/>
        <v>99.293902813995004</v>
      </c>
      <c r="I29" s="5">
        <f t="shared" si="11"/>
        <v>1.2281651746290381</v>
      </c>
      <c r="J29" s="5"/>
      <c r="K29" s="5"/>
      <c r="L29" s="5"/>
      <c r="M29" s="5"/>
      <c r="N29" s="5"/>
    </row>
    <row r="30" spans="1:17" x14ac:dyDescent="0.45">
      <c r="B30" s="1" t="s">
        <v>89</v>
      </c>
      <c r="C30" s="5">
        <f>HLOOKUP("QTE-0.5-bias-CBPS-over",Point!$D$1:$DR$96,$R$2,FALSE)</f>
        <v>2.1120082586510902</v>
      </c>
      <c r="D30" s="5">
        <f>HLOOKUP("QTE-0.5-RMSE-CBPS-over",Point!$D$1:$DR$96,$R$2,FALSE)</f>
        <v>3.7600079743701098</v>
      </c>
      <c r="E30" s="5">
        <f t="shared" si="9"/>
        <v>1</v>
      </c>
      <c r="F30" s="5">
        <f>HLOOKUP("QTE-0.5-Empcov-CBPS-over",inference!$D$1:$DR$96,$R$2,FALSE)</f>
        <v>0.93200000000000005</v>
      </c>
      <c r="G30" s="5">
        <f>HLOOKUP("QTE-0.5-ASSD-CBPS-over",inference!$D$1:$DR$96,$R$2,FALSE)*2*1.96/SQRT(G$3)</f>
        <v>13.640711934420251</v>
      </c>
      <c r="H30" s="5">
        <f t="shared" si="10"/>
        <v>110.04009851788102</v>
      </c>
      <c r="I30" s="5">
        <f t="shared" si="11"/>
        <v>1</v>
      </c>
      <c r="J30" s="5"/>
      <c r="K30" s="5"/>
      <c r="L30" s="5"/>
      <c r="M30" s="5"/>
      <c r="N30" s="5"/>
    </row>
    <row r="31" spans="1:17" x14ac:dyDescent="0.45">
      <c r="A31" s="3"/>
      <c r="B31" s="3" t="s">
        <v>2</v>
      </c>
      <c r="C31" s="5">
        <f>HLOOKUP("QTE-0.5-bias-GLM",Point!$D$1:$DR$96,$R$2,FALSE)</f>
        <v>5.5184922507038197</v>
      </c>
      <c r="D31" s="5">
        <f>HLOOKUP("QTE-0.5-RMSE-GLM",Point!$D$1:$DR$96,$R$2,FALSE)</f>
        <v>10.995043113991899</v>
      </c>
      <c r="E31" s="5">
        <f t="shared" si="9"/>
        <v>8.5509888735426323</v>
      </c>
      <c r="F31" s="5">
        <f>HLOOKUP("QTE-0.5-Empcov-GLM",inference!$D$1:$DR$96,$R$2,FALSE)</f>
        <v>0.85799999999999998</v>
      </c>
      <c r="G31" s="5">
        <f>HLOOKUP("QTE-0.5-ASSD-GLM",inference!$D$1:$DR$96,$R$2,FALSE)*2*1.96/SQRT(G$3)</f>
        <v>19.79608952846808</v>
      </c>
      <c r="H31" s="5">
        <f>G31/(2*1.96/SQRT(G$3))</f>
        <v>159.695744067775</v>
      </c>
      <c r="I31" s="5">
        <f t="shared" si="11"/>
        <v>0.47480497037415781</v>
      </c>
      <c r="J31" s="5"/>
      <c r="K31" s="5"/>
      <c r="L31" s="5"/>
      <c r="M31" s="5"/>
      <c r="N31" s="5"/>
      <c r="O31" s="3"/>
      <c r="P31" s="3"/>
      <c r="Q31" s="3"/>
    </row>
    <row r="32" spans="1:17" x14ac:dyDescent="0.45">
      <c r="H32" s="6"/>
      <c r="I32" s="6"/>
      <c r="J32" s="6"/>
    </row>
    <row r="33" spans="1:10" x14ac:dyDescent="0.45">
      <c r="A33" s="2" t="s">
        <v>62</v>
      </c>
      <c r="B33" s="1" t="s">
        <v>3</v>
      </c>
      <c r="C33" s="5">
        <f>HLOOKUP("QTE-0.75-bias-IPS-exp",Point!$D$1:$DR$96,$R$2,FALSE)</f>
        <v>5.4384491593199398</v>
      </c>
      <c r="D33" s="5">
        <f>HLOOKUP("QTE-0.75-RMSE-IPS-exp",Point!$D$1:$DR$96,$R$2,FALSE)</f>
        <v>6.5512610626088899</v>
      </c>
      <c r="E33" s="5">
        <f>(D33/$D$37)^2</f>
        <v>0.75374849702794189</v>
      </c>
      <c r="F33" s="5">
        <f>HLOOKUP("QTE-0.75-Empcov-IPS-exp",inference!$D$1:$DR$96,$R$2,FALSE)</f>
        <v>0.71499999999999997</v>
      </c>
      <c r="G33" s="5">
        <f>HLOOKUP("QTE-0.75-ASSD-IPS-exp",inference!$D$1:$DR$96,$R$2,FALSE)*2*1.96/SQRT(G$3)</f>
        <v>15.10841564955426</v>
      </c>
      <c r="H33" s="5">
        <f>G33/(2*1.96/SQRT(G$3))</f>
        <v>121.88011553347901</v>
      </c>
      <c r="I33" s="5">
        <f>($H$37/H33)^2</f>
        <v>1.4503618300033856</v>
      </c>
      <c r="J33" s="5"/>
    </row>
    <row r="34" spans="1:10" x14ac:dyDescent="0.45">
      <c r="B34" s="1" t="s">
        <v>5</v>
      </c>
      <c r="C34" s="5">
        <f>HLOOKUP("QTE-0.75-bias-IPS-ind",Point!$D$1:$DR$96,$R$2,FALSE)</f>
        <v>5.4480481173336202</v>
      </c>
      <c r="D34" s="5">
        <f>HLOOKUP("QTE-0.75-RMSE-IPS-ind",Point!$D$1:$DR$96,$R$2,FALSE)</f>
        <v>6.6617461002552103</v>
      </c>
      <c r="E34" s="5">
        <f t="shared" ref="E34:E38" si="12">(D34/$D$37)^2</f>
        <v>0.77938635784143284</v>
      </c>
      <c r="F34" s="5">
        <f>HLOOKUP("QTE-0.75-Empcov-IPS-ind",inference!$D$1:$DR$96,$R$2,FALSE)</f>
        <v>0.85</v>
      </c>
      <c r="G34" s="5">
        <f>HLOOKUP("QTE-0.75-ASSD-IPS-ind",inference!$D$1:$DR$96,$R$2,FALSE)*2*1.96/SQRT(G$3)</f>
        <v>18.447877052997857</v>
      </c>
      <c r="H34" s="5">
        <f t="shared" ref="H34:H37" si="13">G34/(2*1.96/SQRT(G$3))</f>
        <v>148.8196670465</v>
      </c>
      <c r="I34" s="5">
        <f t="shared" ref="I34:I38" si="14">($H$37/H34)^2</f>
        <v>0.97279519996744379</v>
      </c>
      <c r="J34" s="5"/>
    </row>
    <row r="35" spans="1:10" x14ac:dyDescent="0.45">
      <c r="B35" s="1" t="s">
        <v>4</v>
      </c>
      <c r="C35" s="5">
        <f>HLOOKUP("QTE-0.75-bias-IPS-proj",Point!$D$1:$DR$96,$R$2,FALSE)</f>
        <v>2.3150599239075902</v>
      </c>
      <c r="D35" s="5">
        <f>HLOOKUP("QTE-0.75-RMSE-IPS-proj",Point!$D$1:$DR$96,$R$2,FALSE)</f>
        <v>4.1916081333015498</v>
      </c>
      <c r="E35" s="5">
        <f t="shared" si="12"/>
        <v>0.30855884186093585</v>
      </c>
      <c r="F35" s="6">
        <f>HLOOKUP("QTE-0.75-Empcov-IPS-proj",inference!$D$1:$DR$96,$R$2,FALSE)</f>
        <v>0.95899999999999996</v>
      </c>
      <c r="G35" s="6">
        <f>HLOOKUP("QTE-0.75-ASSD-IPS-proj",inference!$D$1:$DR$96,$R$2,FALSE)*2*1.96/SQRT(G$3)</f>
        <v>18.146438336676916</v>
      </c>
      <c r="H35" s="5">
        <f t="shared" si="13"/>
        <v>146.387950417593</v>
      </c>
      <c r="I35" s="5">
        <f t="shared" si="14"/>
        <v>1.0053827178776995</v>
      </c>
      <c r="J35" s="5"/>
    </row>
    <row r="36" spans="1:10" x14ac:dyDescent="0.45">
      <c r="B36" s="1" t="s">
        <v>88</v>
      </c>
      <c r="C36" s="5">
        <f>HLOOKUP("QTE-0.75-bias-CBPS-just",Point!$D$1:$DR$96,$R$2,FALSE)</f>
        <v>6.2425945570730397</v>
      </c>
      <c r="D36" s="5">
        <f>HLOOKUP("QTE-0.75-RMSE-CBPS-just",Point!$D$1:$DR$96,$R$2,FALSE)</f>
        <v>7.3349469608996598</v>
      </c>
      <c r="E36" s="5">
        <f t="shared" si="12"/>
        <v>0.94486682888157369</v>
      </c>
      <c r="F36" s="5">
        <f>HLOOKUP("QTE-0.75-Empcov-CBPS-just",inference!$D$1:$DR$96,$R$2,FALSE)</f>
        <v>0.63100000000000001</v>
      </c>
      <c r="G36" s="5">
        <f>HLOOKUP("QTE-0.75-ASSD-CBPS-just",inference!$D$1:$DR$96,$R$2,FALSE)*2*1.96/SQRT(G$3)</f>
        <v>15.19316378279705</v>
      </c>
      <c r="H36" s="5">
        <f t="shared" si="13"/>
        <v>122.56378167759802</v>
      </c>
      <c r="I36" s="5">
        <f t="shared" si="14"/>
        <v>1.4342265937263692</v>
      </c>
      <c r="J36" s="5"/>
    </row>
    <row r="37" spans="1:10" x14ac:dyDescent="0.45">
      <c r="B37" s="1" t="s">
        <v>89</v>
      </c>
      <c r="C37" s="5">
        <f>HLOOKUP("QTE-0.75-bias-CBPS-over",Point!$D$1:$DR$96,$R$2,FALSE)</f>
        <v>6.4302097534388496</v>
      </c>
      <c r="D37" s="5">
        <f>HLOOKUP("QTE-0.75-RMSE-CBPS-over",Point!$D$1:$DR$96,$R$2,FALSE)</f>
        <v>7.5459109628876204</v>
      </c>
      <c r="E37" s="5">
        <f t="shared" si="12"/>
        <v>1</v>
      </c>
      <c r="F37" s="5">
        <f>HLOOKUP("QTE-0.75-Empcov-CBPS-over",inference!$D$1:$DR$96,$R$2,FALSE)</f>
        <v>0.75600000000000001</v>
      </c>
      <c r="G37" s="5">
        <f>HLOOKUP("QTE-0.75-ASSD-CBPS-over",inference!$D$1:$DR$96,$R$2,FALSE)*2*1.96/SQRT(G$3)</f>
        <v>18.195211370915683</v>
      </c>
      <c r="H37" s="5">
        <f t="shared" si="13"/>
        <v>146.78140418440901</v>
      </c>
      <c r="I37" s="5">
        <f t="shared" si="14"/>
        <v>1</v>
      </c>
      <c r="J37" s="5"/>
    </row>
    <row r="38" spans="1:10" x14ac:dyDescent="0.45">
      <c r="A38" s="3"/>
      <c r="B38" s="3" t="s">
        <v>2</v>
      </c>
      <c r="C38" s="5">
        <f>HLOOKUP("QTE-0.75-bias-GLM",Point!$D$1:$DR$96,$R$2,FALSE)</f>
        <v>12.1467842508884</v>
      </c>
      <c r="D38" s="5">
        <f>HLOOKUP("QTE-0.75-RMSE-GLM",Point!$D$1:$DR$96,$R$2,FALSE)</f>
        <v>17.858808974936299</v>
      </c>
      <c r="E38" s="5">
        <f t="shared" si="12"/>
        <v>5.6012071024944534</v>
      </c>
      <c r="F38" s="5">
        <f>HLOOKUP("QTE-0.75-Empcov-GLM",inference!$D$1:$DR$96,$R$2,FALSE)</f>
        <v>0.628</v>
      </c>
      <c r="G38" s="5">
        <f>HLOOKUP("QTE-0.75-ASSD-GLM",inference!$D$1:$DR$96,$R$2,FALSE)*2*1.96/SQRT(G$3)</f>
        <v>24.845492499518645</v>
      </c>
      <c r="H38" s="5">
        <f>G38/(2*1.96/SQRT(G$3))</f>
        <v>200.429453793645</v>
      </c>
      <c r="I38" s="5">
        <f t="shared" si="14"/>
        <v>0.53631382248568671</v>
      </c>
      <c r="J38" s="5"/>
    </row>
    <row r="39" spans="1:10" x14ac:dyDescent="0.45">
      <c r="H39" s="7"/>
      <c r="I39" s="7"/>
      <c r="J39" s="7"/>
    </row>
    <row r="40" spans="1:10" x14ac:dyDescent="0.45">
      <c r="A40" s="2" t="s">
        <v>207</v>
      </c>
      <c r="B40" s="1" t="s">
        <v>3</v>
      </c>
      <c r="C40" s="5">
        <f>HLOOKUP("QTE-0.9-bias-IPS-exp",Point!$D$1:$DR$96,$R$2,FALSE)</f>
        <v>10.5654305499133</v>
      </c>
      <c r="D40" s="5">
        <f>HLOOKUP("QTE-0.9-RMSE-IPS-exp",Point!$D$1:$DR$96,$R$2,FALSE)</f>
        <v>12.3375073132941</v>
      </c>
      <c r="E40" s="5">
        <f t="shared" ref="E40:E45" si="15">(D40/$D$44)^2</f>
        <v>0.91115781667180684</v>
      </c>
      <c r="F40" s="5">
        <f>HLOOKUP("QTE-0.9-Empcov-IPS-exp",inference!$D$1:$DR$96,$R$2,FALSE)</f>
        <v>0.61599999999999999</v>
      </c>
      <c r="G40" s="5">
        <f>HLOOKUP("QTE-0.9-ASSD-IPS-exp",inference!$D$1:$DR$96,$R$2,FALSE)*2*1.96/SQRT(G$3)</f>
        <v>24.246466301687054</v>
      </c>
      <c r="H40" s="5">
        <f>G40/(2*1.96/SQRT(G$3))</f>
        <v>195.597088581251</v>
      </c>
      <c r="I40" s="5">
        <f t="shared" ref="I40:I45" si="16">($H$44/H40)^2</f>
        <v>1.2577352650580276</v>
      </c>
      <c r="J40" s="5"/>
    </row>
    <row r="41" spans="1:10" x14ac:dyDescent="0.45">
      <c r="B41" s="1" t="s">
        <v>5</v>
      </c>
      <c r="C41" s="5">
        <f>HLOOKUP("QTE-0.9-bias-IPS-ind",Point!$D$1:$DR$96,$R$2,FALSE)</f>
        <v>9.8370185167350801</v>
      </c>
      <c r="D41" s="5">
        <f>HLOOKUP("QTE-0.9-RMSE-IPS-ind",Point!$D$1:$DR$96,$R$2,FALSE)</f>
        <v>11.6429059383787</v>
      </c>
      <c r="E41" s="5">
        <f t="shared" si="15"/>
        <v>0.81144957431461762</v>
      </c>
      <c r="F41" s="5">
        <f>HLOOKUP("QTE-0.9-Empcov-IPS-ind",inference!$D$1:$DR$96,$R$2,FALSE)</f>
        <v>0.78</v>
      </c>
      <c r="G41" s="5">
        <f>HLOOKUP("QTE-0.9-ASSD-IPS-ind",inference!$D$1:$DR$96,$R$2,FALSE)*2*1.96/SQRT(G$3)</f>
        <v>28.922199133844714</v>
      </c>
      <c r="H41" s="5">
        <f t="shared" ref="H41:H44" si="17">G41/(2*1.96/SQRT(G$3))</f>
        <v>233.316388275251</v>
      </c>
      <c r="I41" s="5">
        <f t="shared" si="16"/>
        <v>0.88394149271410194</v>
      </c>
      <c r="J41" s="5"/>
    </row>
    <row r="42" spans="1:10" x14ac:dyDescent="0.45">
      <c r="B42" s="1" t="s">
        <v>4</v>
      </c>
      <c r="C42" s="5">
        <f>HLOOKUP("QTE-0.9-bias-IPS-proj",Point!$D$1:$DR$96,$R$2,FALSE)</f>
        <v>4.5055076762374799</v>
      </c>
      <c r="D42" s="5">
        <f>HLOOKUP("QTE-0.9-RMSE-IPS-proj",Point!$D$1:$DR$96,$R$2,FALSE)</f>
        <v>6.8223251313676201</v>
      </c>
      <c r="E42" s="5">
        <f t="shared" si="15"/>
        <v>0.27861441642145884</v>
      </c>
      <c r="F42" s="6">
        <f>HLOOKUP("QTE-0.9-Empcov-IPS-proj",inference!$D$1:$DR$96,$R$2,FALSE)</f>
        <v>0.96199999999999997</v>
      </c>
      <c r="G42" s="6">
        <f>HLOOKUP("QTE-0.9-ASSD-IPS-proj",inference!$D$1:$DR$96,$R$2,FALSE)*2*1.96/SQRT(G$3)</f>
        <v>32.72950826453561</v>
      </c>
      <c r="H42" s="5">
        <f t="shared" si="17"/>
        <v>264.03008370723802</v>
      </c>
      <c r="I42" s="5">
        <f t="shared" si="16"/>
        <v>0.69025122095994396</v>
      </c>
      <c r="J42" s="5"/>
    </row>
    <row r="43" spans="1:10" x14ac:dyDescent="0.45">
      <c r="B43" s="1" t="s">
        <v>88</v>
      </c>
      <c r="C43" s="5">
        <f>HLOOKUP("QTE-0.9-bias-CBPS-just",Point!$D$1:$DR$96,$R$2,FALSE)</f>
        <v>10.844718939825601</v>
      </c>
      <c r="D43" s="5">
        <f>HLOOKUP("QTE-0.9-RMSE-CBPS-just",Point!$D$1:$DR$96,$R$2,FALSE)</f>
        <v>12.4031378927977</v>
      </c>
      <c r="E43" s="5">
        <f t="shared" si="15"/>
        <v>0.92087758736697845</v>
      </c>
      <c r="F43" s="5">
        <f>HLOOKUP("QTE-0.9-Empcov-CBPS-just",inference!$D$1:$DR$96,$R$2,FALSE)</f>
        <v>0.51800000000000002</v>
      </c>
      <c r="G43" s="5">
        <f>HLOOKUP("QTE-0.9-ASSD-CBPS-just",inference!$D$1:$DR$96,$R$2,FALSE)*2*1.96/SQRT(G$3)</f>
        <v>22.474404562285553</v>
      </c>
      <c r="H43" s="5">
        <f t="shared" si="17"/>
        <v>181.30180477781099</v>
      </c>
      <c r="I43" s="5">
        <f t="shared" si="16"/>
        <v>1.4638944210275915</v>
      </c>
      <c r="J43" s="5"/>
    </row>
    <row r="44" spans="1:10" x14ac:dyDescent="0.45">
      <c r="B44" s="1" t="s">
        <v>89</v>
      </c>
      <c r="C44" s="5">
        <f>HLOOKUP("QTE-0.9-bias-CBPS-over",Point!$D$1:$DR$96,$R$2,FALSE)</f>
        <v>11.112730217269901</v>
      </c>
      <c r="D44" s="5">
        <f>HLOOKUP("QTE-0.9-RMSE-CBPS-over",Point!$D$1:$DR$96,$R$2,FALSE)</f>
        <v>12.9250020450456</v>
      </c>
      <c r="E44" s="5">
        <f t="shared" si="15"/>
        <v>1</v>
      </c>
      <c r="F44" s="5">
        <f>HLOOKUP("QTE-0.9-Empcov-CBPS-over",inference!$D$1:$DR$96,$R$2,FALSE)</f>
        <v>0.66700000000000004</v>
      </c>
      <c r="G44" s="5">
        <f>HLOOKUP("QTE-0.9-ASSD-CBPS-over",inference!$D$1:$DR$96,$R$2,FALSE)*2*1.96/SQRT(G$3)</f>
        <v>27.192120252930248</v>
      </c>
      <c r="H44" s="5">
        <f t="shared" si="17"/>
        <v>219.35978165421804</v>
      </c>
      <c r="I44" s="5">
        <f>($H$44/H44)^2</f>
        <v>1</v>
      </c>
      <c r="J44" s="5"/>
    </row>
    <row r="45" spans="1:10" x14ac:dyDescent="0.45">
      <c r="A45" s="3"/>
      <c r="B45" s="3" t="s">
        <v>2</v>
      </c>
      <c r="C45" s="5">
        <f>HLOOKUP("QTE-0.9-bias-GLM",Point!$D$1:$DR$96,$R$2,FALSE)</f>
        <v>17.288013850345902</v>
      </c>
      <c r="D45" s="5">
        <f>HLOOKUP("QTE-0.9-RMSE-GLM",Point!$D$1:$DR$96,$R$2,FALSE)</f>
        <v>22.6944193724797</v>
      </c>
      <c r="E45" s="5">
        <f t="shared" si="15"/>
        <v>3.0830240386797172</v>
      </c>
      <c r="F45" s="5">
        <f>HLOOKUP("QTE-0.9-Empcov-GLM",inference!$D$1:$DR$96,$R$2,FALSE)</f>
        <v>0.52</v>
      </c>
      <c r="G45" s="5">
        <f>HLOOKUP("QTE-0.9-ASSD-GLM",inference!$D$1:$DR$96,$R$2,FALSE)*2*1.96/SQRT(G$3)</f>
        <v>30.012002575930754</v>
      </c>
      <c r="H45" s="5">
        <f>G45/(2*1.96/SQRT(G$3))</f>
        <v>242.10787061934101</v>
      </c>
      <c r="I45" s="5">
        <f t="shared" si="16"/>
        <v>0.82091122514346171</v>
      </c>
      <c r="J45" s="5"/>
    </row>
    <row r="46" spans="1:10" x14ac:dyDescent="0.45">
      <c r="H46" s="7"/>
      <c r="I46" s="7"/>
      <c r="J46" s="7"/>
    </row>
    <row r="47" spans="1:10" x14ac:dyDescent="0.45">
      <c r="H47" s="7"/>
      <c r="I47" s="7"/>
      <c r="J47" s="7"/>
    </row>
    <row r="48" spans="1:10" x14ac:dyDescent="0.45">
      <c r="H48" s="7"/>
      <c r="I48" s="7"/>
      <c r="J48" s="7"/>
    </row>
    <row r="49" spans="8:10" x14ac:dyDescent="0.45">
      <c r="H49" s="7"/>
      <c r="I49" s="7"/>
      <c r="J49" s="7"/>
    </row>
    <row r="50" spans="8:10" x14ac:dyDescent="0.45">
      <c r="H50" s="7"/>
      <c r="I50" s="7"/>
      <c r="J50" s="7"/>
    </row>
    <row r="51" spans="8:10" x14ac:dyDescent="0.45">
      <c r="H51" s="7"/>
      <c r="I51" s="7"/>
      <c r="J51" s="7"/>
    </row>
    <row r="52" spans="8:10" x14ac:dyDescent="0.45">
      <c r="H52" s="7"/>
      <c r="I52" s="7"/>
      <c r="J52" s="7"/>
    </row>
    <row r="53" spans="8:10" x14ac:dyDescent="0.45">
      <c r="H53" s="7"/>
      <c r="I53" s="7"/>
      <c r="J53" s="7"/>
    </row>
    <row r="54" spans="8:10" x14ac:dyDescent="0.45">
      <c r="H54" s="7"/>
      <c r="I54" s="7"/>
      <c r="J54" s="7"/>
    </row>
    <row r="55" spans="8:10" x14ac:dyDescent="0.45">
      <c r="H55" s="7"/>
      <c r="I55" s="7"/>
      <c r="J55" s="7"/>
    </row>
    <row r="56" spans="8:10" x14ac:dyDescent="0.45">
      <c r="H56" s="7"/>
      <c r="I56" s="7"/>
      <c r="J56" s="7"/>
    </row>
    <row r="57" spans="8:10" x14ac:dyDescent="0.45">
      <c r="H57" s="7"/>
      <c r="I57" s="7"/>
      <c r="J57" s="7"/>
    </row>
    <row r="58" spans="8:10" x14ac:dyDescent="0.45">
      <c r="H58" s="7"/>
      <c r="I58" s="7"/>
      <c r="J58" s="7"/>
    </row>
    <row r="59" spans="8:10" x14ac:dyDescent="0.45">
      <c r="H59" s="7"/>
      <c r="I59" s="7"/>
      <c r="J59" s="7"/>
    </row>
    <row r="60" spans="8:10" x14ac:dyDescent="0.45">
      <c r="H60" s="7"/>
      <c r="I60" s="7"/>
      <c r="J60" s="7"/>
    </row>
    <row r="61" spans="8:10" x14ac:dyDescent="0.45">
      <c r="H61" s="7"/>
      <c r="I61" s="7"/>
      <c r="J61" s="7"/>
    </row>
    <row r="62" spans="8:10" x14ac:dyDescent="0.45">
      <c r="H62" s="7"/>
      <c r="I62" s="7"/>
      <c r="J62" s="7"/>
    </row>
    <row r="63" spans="8:10" x14ac:dyDescent="0.45">
      <c r="H63" s="7"/>
      <c r="I63" s="7"/>
      <c r="J63" s="7"/>
    </row>
    <row r="64" spans="8:10" x14ac:dyDescent="0.45">
      <c r="H64" s="7"/>
      <c r="I64" s="7"/>
      <c r="J64" s="7"/>
    </row>
    <row r="65" spans="8:10" x14ac:dyDescent="0.45">
      <c r="H65" s="7"/>
      <c r="I65" s="7"/>
      <c r="J65" s="7"/>
    </row>
    <row r="66" spans="8:10" x14ac:dyDescent="0.45">
      <c r="H66" s="7"/>
      <c r="I66" s="7"/>
      <c r="J66" s="7"/>
    </row>
    <row r="67" spans="8:10" x14ac:dyDescent="0.45">
      <c r="H67" s="7"/>
      <c r="I67" s="7"/>
      <c r="J67" s="7"/>
    </row>
    <row r="68" spans="8:10" x14ac:dyDescent="0.45">
      <c r="H68" s="7"/>
      <c r="I68" s="7"/>
      <c r="J68" s="7"/>
    </row>
    <row r="69" spans="8:10" x14ac:dyDescent="0.45">
      <c r="H69" s="7"/>
      <c r="I69" s="7"/>
      <c r="J69" s="7"/>
    </row>
    <row r="70" spans="8:10" x14ac:dyDescent="0.45">
      <c r="H70" s="7"/>
      <c r="I70" s="7"/>
      <c r="J70" s="7"/>
    </row>
    <row r="71" spans="8:10" x14ac:dyDescent="0.45">
      <c r="H71" s="7"/>
      <c r="I71" s="7"/>
      <c r="J71" s="7"/>
    </row>
    <row r="72" spans="8:10" x14ac:dyDescent="0.45">
      <c r="H72" s="7"/>
      <c r="I72" s="7"/>
      <c r="J72" s="7"/>
    </row>
    <row r="73" spans="8:10" x14ac:dyDescent="0.45">
      <c r="H73" s="7"/>
      <c r="I73" s="7"/>
      <c r="J73" s="7"/>
    </row>
    <row r="74" spans="8:10" x14ac:dyDescent="0.45">
      <c r="H74" s="7"/>
      <c r="I74" s="7"/>
      <c r="J74" s="7"/>
    </row>
    <row r="75" spans="8:10" x14ac:dyDescent="0.45">
      <c r="H75" s="7"/>
      <c r="I75" s="7"/>
      <c r="J75" s="7"/>
    </row>
    <row r="76" spans="8:10" x14ac:dyDescent="0.45">
      <c r="H76" s="7"/>
      <c r="I76" s="7"/>
      <c r="J76" s="7"/>
    </row>
    <row r="77" spans="8:10" x14ac:dyDescent="0.45">
      <c r="H77" s="7"/>
      <c r="I77" s="7"/>
      <c r="J77" s="7"/>
    </row>
    <row r="78" spans="8:10" x14ac:dyDescent="0.45">
      <c r="H78" s="7"/>
      <c r="I78" s="7"/>
      <c r="J78" s="7"/>
    </row>
    <row r="79" spans="8:10" x14ac:dyDescent="0.45">
      <c r="H79" s="7"/>
      <c r="I79" s="7"/>
      <c r="J79" s="7"/>
    </row>
    <row r="80" spans="8:10" x14ac:dyDescent="0.45">
      <c r="H80" s="7"/>
      <c r="I80" s="7"/>
      <c r="J80" s="7"/>
    </row>
    <row r="81" spans="8:10" x14ac:dyDescent="0.45">
      <c r="H81" s="7"/>
      <c r="I81" s="7"/>
      <c r="J81" s="7"/>
    </row>
    <row r="82" spans="8:10" x14ac:dyDescent="0.45">
      <c r="H82" s="7"/>
      <c r="I82" s="7"/>
      <c r="J82" s="7"/>
    </row>
    <row r="83" spans="8:10" x14ac:dyDescent="0.45">
      <c r="H83" s="7"/>
      <c r="I83" s="7"/>
      <c r="J83" s="7"/>
    </row>
    <row r="84" spans="8:10" x14ac:dyDescent="0.45">
      <c r="H84" s="7"/>
      <c r="I84" s="7"/>
      <c r="J84" s="7"/>
    </row>
    <row r="85" spans="8:10" x14ac:dyDescent="0.45">
      <c r="H85" s="7"/>
      <c r="I85" s="7"/>
      <c r="J85" s="7"/>
    </row>
    <row r="86" spans="8:10" x14ac:dyDescent="0.45">
      <c r="H86" s="7"/>
      <c r="I86" s="7"/>
      <c r="J86" s="7"/>
    </row>
    <row r="87" spans="8:10" x14ac:dyDescent="0.45">
      <c r="H87" s="7"/>
      <c r="I87" s="7"/>
      <c r="J87" s="7"/>
    </row>
    <row r="88" spans="8:10" x14ac:dyDescent="0.45">
      <c r="H88" s="7"/>
      <c r="I88" s="7"/>
      <c r="J88" s="7"/>
    </row>
    <row r="89" spans="8:10" x14ac:dyDescent="0.45">
      <c r="H89" s="7"/>
      <c r="I89" s="7"/>
      <c r="J89" s="7"/>
    </row>
    <row r="90" spans="8:10" x14ac:dyDescent="0.45">
      <c r="H90" s="7"/>
      <c r="I90" s="7"/>
      <c r="J90" s="7"/>
    </row>
    <row r="91" spans="8:10" x14ac:dyDescent="0.45">
      <c r="H91" s="7"/>
      <c r="I91" s="7"/>
      <c r="J91" s="7"/>
    </row>
    <row r="92" spans="8:10" x14ac:dyDescent="0.45">
      <c r="H92" s="7"/>
      <c r="I92" s="7"/>
      <c r="J92" s="7"/>
    </row>
    <row r="93" spans="8:10" x14ac:dyDescent="0.45">
      <c r="H93" s="7"/>
      <c r="I93" s="7"/>
      <c r="J93" s="7"/>
    </row>
    <row r="94" spans="8:10" x14ac:dyDescent="0.45">
      <c r="H94" s="7"/>
      <c r="I94" s="7"/>
      <c r="J94" s="7"/>
    </row>
    <row r="95" spans="8:10" x14ac:dyDescent="0.45">
      <c r="H95" s="7"/>
      <c r="I95" s="7"/>
      <c r="J95" s="7"/>
    </row>
    <row r="96" spans="8:10" x14ac:dyDescent="0.45">
      <c r="H96" s="7"/>
      <c r="I96" s="7"/>
      <c r="J96" s="7"/>
    </row>
    <row r="97" spans="8:10" x14ac:dyDescent="0.45">
      <c r="H97" s="7"/>
      <c r="I97" s="7"/>
      <c r="J97" s="7"/>
    </row>
    <row r="98" spans="8:10" x14ac:dyDescent="0.45">
      <c r="H98" s="7"/>
      <c r="I98" s="7"/>
      <c r="J98" s="7"/>
    </row>
    <row r="99" spans="8:10" x14ac:dyDescent="0.45">
      <c r="H99" s="7"/>
      <c r="I99" s="7"/>
      <c r="J99" s="7"/>
    </row>
    <row r="100" spans="8:10" x14ac:dyDescent="0.45">
      <c r="H100" s="7"/>
      <c r="I100" s="7"/>
      <c r="J100" s="7"/>
    </row>
    <row r="101" spans="8:10" x14ac:dyDescent="0.45">
      <c r="H101" s="7"/>
      <c r="I101" s="7"/>
      <c r="J101" s="7"/>
    </row>
    <row r="102" spans="8:10" x14ac:dyDescent="0.45">
      <c r="H102" s="7"/>
      <c r="I102" s="7"/>
      <c r="J102" s="7"/>
    </row>
    <row r="103" spans="8:10" x14ac:dyDescent="0.45">
      <c r="H103" s="7"/>
      <c r="I103" s="7"/>
      <c r="J103" s="7"/>
    </row>
    <row r="104" spans="8:10" x14ac:dyDescent="0.45">
      <c r="H104" s="7"/>
      <c r="I104" s="7"/>
      <c r="J104" s="7"/>
    </row>
    <row r="105" spans="8:10" x14ac:dyDescent="0.45">
      <c r="H105" s="7"/>
      <c r="I105" s="7"/>
      <c r="J105" s="7"/>
    </row>
    <row r="106" spans="8:10" x14ac:dyDescent="0.45">
      <c r="H106" s="7"/>
      <c r="I106" s="7"/>
      <c r="J106" s="7"/>
    </row>
    <row r="107" spans="8:10" x14ac:dyDescent="0.45">
      <c r="H107" s="7"/>
      <c r="I107" s="7"/>
      <c r="J107" s="7"/>
    </row>
    <row r="108" spans="8:10" x14ac:dyDescent="0.45">
      <c r="H108" s="7"/>
      <c r="I108" s="7"/>
      <c r="J108" s="7"/>
    </row>
    <row r="109" spans="8:10" x14ac:dyDescent="0.45">
      <c r="H109" s="7"/>
      <c r="I109" s="7"/>
      <c r="J109" s="7"/>
    </row>
    <row r="110" spans="8:10" x14ac:dyDescent="0.45">
      <c r="H110" s="7"/>
      <c r="I110" s="7"/>
      <c r="J110" s="7"/>
    </row>
    <row r="111" spans="8:10" x14ac:dyDescent="0.45">
      <c r="H111" s="7"/>
      <c r="I111" s="7"/>
      <c r="J111" s="7"/>
    </row>
    <row r="112" spans="8:10" x14ac:dyDescent="0.45">
      <c r="H112" s="7"/>
      <c r="I112" s="7"/>
      <c r="J112" s="7"/>
    </row>
    <row r="113" spans="8:10" x14ac:dyDescent="0.45">
      <c r="H113" s="7"/>
      <c r="I113" s="7"/>
      <c r="J113" s="7"/>
    </row>
    <row r="114" spans="8:10" x14ac:dyDescent="0.45">
      <c r="J114" s="7"/>
    </row>
    <row r="115" spans="8:10" x14ac:dyDescent="0.45">
      <c r="J115" s="7"/>
    </row>
    <row r="116" spans="8:10" x14ac:dyDescent="0.45">
      <c r="J116" s="7"/>
    </row>
    <row r="117" spans="8:10" x14ac:dyDescent="0.45">
      <c r="J117" s="7"/>
    </row>
    <row r="118" spans="8:10" x14ac:dyDescent="0.45">
      <c r="J118" s="7"/>
    </row>
    <row r="119" spans="8:10" x14ac:dyDescent="0.45">
      <c r="J119" s="7"/>
    </row>
    <row r="120" spans="8:10" x14ac:dyDescent="0.45">
      <c r="J120" s="7"/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74932-4DF2-474B-AAD7-0F3B4624A884}">
  <dimension ref="A1:AN7"/>
  <sheetViews>
    <sheetView workbookViewId="0">
      <selection activeCell="K21" sqref="K21"/>
    </sheetView>
  </sheetViews>
  <sheetFormatPr defaultRowHeight="14.25" x14ac:dyDescent="0.45"/>
  <sheetData>
    <row r="1" spans="1:40" x14ac:dyDescent="0.45">
      <c r="B1" t="s">
        <v>168</v>
      </c>
      <c r="C1" t="s">
        <v>7</v>
      </c>
      <c r="D1" t="s">
        <v>169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  <c r="J1" t="s">
        <v>175</v>
      </c>
      <c r="K1" t="s">
        <v>176</v>
      </c>
      <c r="L1" t="s">
        <v>177</v>
      </c>
      <c r="M1" t="s">
        <v>178</v>
      </c>
      <c r="N1" t="s">
        <v>179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187</v>
      </c>
      <c r="W1" t="s">
        <v>188</v>
      </c>
      <c r="X1" t="s">
        <v>189</v>
      </c>
      <c r="Y1" t="s">
        <v>190</v>
      </c>
      <c r="Z1" t="s">
        <v>191</v>
      </c>
      <c r="AA1" t="s">
        <v>192</v>
      </c>
      <c r="AB1" t="s">
        <v>193</v>
      </c>
      <c r="AC1" t="s">
        <v>194</v>
      </c>
      <c r="AD1" t="s">
        <v>195</v>
      </c>
      <c r="AE1" t="s">
        <v>196</v>
      </c>
      <c r="AF1" t="s">
        <v>197</v>
      </c>
      <c r="AG1" t="s">
        <v>198</v>
      </c>
      <c r="AH1" t="s">
        <v>199</v>
      </c>
      <c r="AI1" t="s">
        <v>200</v>
      </c>
      <c r="AJ1" t="s">
        <v>201</v>
      </c>
      <c r="AK1" t="s">
        <v>202</v>
      </c>
      <c r="AL1" t="s">
        <v>203</v>
      </c>
      <c r="AM1" t="s">
        <v>204</v>
      </c>
      <c r="AN1" t="s">
        <v>205</v>
      </c>
    </row>
    <row r="2" spans="1:40" x14ac:dyDescent="0.45">
      <c r="A2">
        <v>1</v>
      </c>
      <c r="B2">
        <v>1000</v>
      </c>
      <c r="C2">
        <v>200</v>
      </c>
      <c r="D2">
        <v>1</v>
      </c>
      <c r="E2">
        <v>1.7859085126847101</v>
      </c>
      <c r="F2">
        <v>1.55649831982689</v>
      </c>
      <c r="G2">
        <v>1.7626581667086301</v>
      </c>
      <c r="H2">
        <v>1.8663511504983701</v>
      </c>
      <c r="I2">
        <v>1.81833869637548</v>
      </c>
      <c r="J2">
        <v>1.86139159249575</v>
      </c>
      <c r="K2">
        <v>1.00220618286914</v>
      </c>
      <c r="L2">
        <v>0.84880302015223397</v>
      </c>
      <c r="M2">
        <v>0.973078324024228</v>
      </c>
      <c r="N2">
        <v>1.0714967609792201</v>
      </c>
      <c r="O2">
        <v>0.99787796518006799</v>
      </c>
      <c r="P2">
        <v>1.0756971401045801</v>
      </c>
      <c r="Q2">
        <v>1.12287095453108</v>
      </c>
      <c r="R2">
        <v>0.94840885678625497</v>
      </c>
      <c r="S2">
        <v>1.08980369209842</v>
      </c>
      <c r="T2">
        <v>1.2079767815123501</v>
      </c>
      <c r="U2">
        <v>1.10148359446487</v>
      </c>
      <c r="V2">
        <v>1.2071780071517799</v>
      </c>
      <c r="W2">
        <v>0.22531818404522799</v>
      </c>
      <c r="X2">
        <v>0.161538341067194</v>
      </c>
      <c r="Y2">
        <v>0.219516937809419</v>
      </c>
      <c r="Z2">
        <v>0.24508249275723401</v>
      </c>
      <c r="AA2">
        <v>0.23011668576390901</v>
      </c>
      <c r="AB2">
        <v>0.24396956839560399</v>
      </c>
      <c r="AC2">
        <v>5.1352784644541703E-2</v>
      </c>
      <c r="AD2">
        <v>3.6257495250564098E-2</v>
      </c>
      <c r="AE2">
        <v>4.9819624755447101E-2</v>
      </c>
      <c r="AF2">
        <v>5.5593207444084899E-2</v>
      </c>
      <c r="AG2">
        <v>5.2304326853738599E-2</v>
      </c>
      <c r="AH2">
        <v>5.42450140365799E-2</v>
      </c>
      <c r="AI2">
        <v>9.7392785317032202E-2</v>
      </c>
      <c r="AJ2">
        <v>6.2375175177357703E-2</v>
      </c>
      <c r="AK2">
        <v>9.1756135945992801E-2</v>
      </c>
      <c r="AL2">
        <v>0.112549626838887</v>
      </c>
      <c r="AM2">
        <v>9.2782871413913406E-2</v>
      </c>
      <c r="AN2">
        <v>0.11644513921235899</v>
      </c>
    </row>
    <row r="3" spans="1:40" x14ac:dyDescent="0.45">
      <c r="A3">
        <v>2</v>
      </c>
      <c r="B3">
        <v>1000</v>
      </c>
      <c r="C3">
        <v>200</v>
      </c>
      <c r="D3">
        <v>2</v>
      </c>
      <c r="E3">
        <v>1.8509064313128001</v>
      </c>
      <c r="F3">
        <v>1.6204000431673999</v>
      </c>
      <c r="G3">
        <v>2.54930486882443</v>
      </c>
      <c r="H3">
        <v>1.98517041214923</v>
      </c>
      <c r="I3">
        <v>1.8896417262657901</v>
      </c>
      <c r="J3">
        <v>2.1067745843999401</v>
      </c>
      <c r="K3">
        <v>1.04935840448321</v>
      </c>
      <c r="L3">
        <v>0.93255730401955805</v>
      </c>
      <c r="M3">
        <v>1.3011000656896601</v>
      </c>
      <c r="N3">
        <v>1.14529220217621</v>
      </c>
      <c r="O3">
        <v>1.04550859286903</v>
      </c>
      <c r="P3">
        <v>1.37974660126459</v>
      </c>
      <c r="Q3">
        <v>1.08873479900201</v>
      </c>
      <c r="R3">
        <v>0.91092741319880299</v>
      </c>
      <c r="S3">
        <v>1.3982795136975501</v>
      </c>
      <c r="T3">
        <v>1.15419196453569</v>
      </c>
      <c r="U3">
        <v>1.07638524965099</v>
      </c>
      <c r="V3">
        <v>1.10948665265914</v>
      </c>
      <c r="W3">
        <v>0.28677782706703098</v>
      </c>
      <c r="X3">
        <v>0.20563012817012499</v>
      </c>
      <c r="Y3">
        <v>0.60108692853380596</v>
      </c>
      <c r="Z3">
        <v>0.33226212482531697</v>
      </c>
      <c r="AA3">
        <v>0.29694959180765401</v>
      </c>
      <c r="AB3">
        <v>0.341975728603715</v>
      </c>
      <c r="AC3">
        <v>6.91474493077468E-2</v>
      </c>
      <c r="AD3">
        <v>5.24072888224415E-2</v>
      </c>
      <c r="AE3">
        <v>0.116905328391743</v>
      </c>
      <c r="AF3">
        <v>8.10740022882359E-2</v>
      </c>
      <c r="AG3">
        <v>6.9218460830952802E-2</v>
      </c>
      <c r="AH3">
        <v>0.124617320355304</v>
      </c>
      <c r="AI3">
        <v>0.103996781557569</v>
      </c>
      <c r="AJ3">
        <v>6.7014322666418602E-2</v>
      </c>
      <c r="AK3">
        <v>0.22361305234048301</v>
      </c>
      <c r="AL3">
        <v>0.12173858826494</v>
      </c>
      <c r="AM3">
        <v>0.104394963645062</v>
      </c>
      <c r="AN3">
        <v>0.104796442966597</v>
      </c>
    </row>
    <row r="4" spans="1:40" x14ac:dyDescent="0.45">
      <c r="A4">
        <v>3</v>
      </c>
      <c r="B4">
        <v>1000</v>
      </c>
      <c r="C4">
        <v>500</v>
      </c>
      <c r="D4">
        <v>1</v>
      </c>
      <c r="E4">
        <v>1.98307573073864</v>
      </c>
      <c r="F4">
        <v>1.8240741678679</v>
      </c>
      <c r="G4">
        <v>1.97628830580582</v>
      </c>
      <c r="H4">
        <v>2.0610865445448199</v>
      </c>
      <c r="I4">
        <v>2.0525505790418501</v>
      </c>
      <c r="J4">
        <v>2.0556549510103501</v>
      </c>
      <c r="K4">
        <v>1.09803047651057</v>
      </c>
      <c r="L4">
        <v>1.04028762121114</v>
      </c>
      <c r="M4">
        <v>1.0833541696672899</v>
      </c>
      <c r="N4">
        <v>1.1447097894861</v>
      </c>
      <c r="O4">
        <v>1.1114210558489599</v>
      </c>
      <c r="P4">
        <v>1.1442831457286999</v>
      </c>
      <c r="Q4">
        <v>1.25129650015372</v>
      </c>
      <c r="R4">
        <v>1.10943822537047</v>
      </c>
      <c r="S4">
        <v>1.2364173494144499</v>
      </c>
      <c r="T4">
        <v>1.3071612102205501</v>
      </c>
      <c r="U4">
        <v>1.25569064003155</v>
      </c>
      <c r="V4">
        <v>1.3320067450253299</v>
      </c>
      <c r="W4">
        <v>0.21488031892119699</v>
      </c>
      <c r="X4">
        <v>0.156106108884664</v>
      </c>
      <c r="Y4">
        <v>0.21290167647142</v>
      </c>
      <c r="Z4">
        <v>0.23111712751264499</v>
      </c>
      <c r="AA4">
        <v>0.222402211698146</v>
      </c>
      <c r="AB4">
        <v>0.23571663994528</v>
      </c>
      <c r="AC4">
        <v>4.4218110802656398E-2</v>
      </c>
      <c r="AD4">
        <v>3.5014407113139502E-2</v>
      </c>
      <c r="AE4">
        <v>4.3833701351536698E-2</v>
      </c>
      <c r="AF4">
        <v>4.7915132656864201E-2</v>
      </c>
      <c r="AG4">
        <v>4.7683557713198703E-2</v>
      </c>
      <c r="AH4">
        <v>4.5933379287641497E-2</v>
      </c>
      <c r="AI4">
        <v>9.9157920427529606E-2</v>
      </c>
      <c r="AJ4">
        <v>6.4149368082626695E-2</v>
      </c>
      <c r="AK4">
        <v>9.65192563497696E-2</v>
      </c>
      <c r="AL4">
        <v>0.108002677250331</v>
      </c>
      <c r="AM4">
        <v>9.5414793582489693E-2</v>
      </c>
      <c r="AN4">
        <v>0.119639251486316</v>
      </c>
    </row>
    <row r="5" spans="1:40" x14ac:dyDescent="0.45">
      <c r="A5">
        <v>4</v>
      </c>
      <c r="B5">
        <v>1000</v>
      </c>
      <c r="C5">
        <v>500</v>
      </c>
      <c r="D5">
        <v>2</v>
      </c>
      <c r="E5">
        <v>2.1859080150119201</v>
      </c>
      <c r="F5">
        <v>1.9338274164496101</v>
      </c>
      <c r="G5">
        <v>3.0107551625018698</v>
      </c>
      <c r="H5">
        <v>2.2979957204183599</v>
      </c>
      <c r="I5">
        <v>2.2678940707362401</v>
      </c>
      <c r="J5">
        <v>2.6992985383983998</v>
      </c>
      <c r="K5">
        <v>1.28978537344221</v>
      </c>
      <c r="L5">
        <v>1.13171507590906</v>
      </c>
      <c r="M5">
        <v>1.54912817798852</v>
      </c>
      <c r="N5">
        <v>1.35255769587342</v>
      </c>
      <c r="O5">
        <v>1.30592070470904</v>
      </c>
      <c r="P5">
        <v>1.89152328392557</v>
      </c>
      <c r="Q5">
        <v>1.2573104483691899</v>
      </c>
      <c r="R5">
        <v>1.11576170817742</v>
      </c>
      <c r="S5">
        <v>1.6371814337062101</v>
      </c>
      <c r="T5">
        <v>1.28423376056871</v>
      </c>
      <c r="U5">
        <v>1.2561945773300101</v>
      </c>
      <c r="V5">
        <v>1.2429107259440999</v>
      </c>
      <c r="W5">
        <v>0.31008383870226103</v>
      </c>
      <c r="X5">
        <v>0.22721697272104999</v>
      </c>
      <c r="Y5">
        <v>0.69106173883020505</v>
      </c>
      <c r="Z5">
        <v>0.34538492460991699</v>
      </c>
      <c r="AA5">
        <v>0.32770248188054102</v>
      </c>
      <c r="AB5">
        <v>0.46062156136386201</v>
      </c>
      <c r="AC5">
        <v>7.6741109725770196E-2</v>
      </c>
      <c r="AD5">
        <v>5.7108951288089599E-2</v>
      </c>
      <c r="AE5">
        <v>0.13301590555155701</v>
      </c>
      <c r="AF5">
        <v>8.6802209528878405E-2</v>
      </c>
      <c r="AG5">
        <v>7.76701755610857E-2</v>
      </c>
      <c r="AH5">
        <v>0.21376072329684101</v>
      </c>
      <c r="AI5">
        <v>0.10685916544582599</v>
      </c>
      <c r="AJ5">
        <v>7.4857175273804005E-2</v>
      </c>
      <c r="AK5">
        <v>0.24874471133975301</v>
      </c>
      <c r="AL5">
        <v>0.115995659195363</v>
      </c>
      <c r="AM5">
        <v>0.111140852320584</v>
      </c>
      <c r="AN5">
        <v>0.10562332880264599</v>
      </c>
    </row>
    <row r="6" spans="1:40" x14ac:dyDescent="0.45">
      <c r="A6">
        <v>5</v>
      </c>
      <c r="B6">
        <v>1000</v>
      </c>
      <c r="C6">
        <v>1000</v>
      </c>
      <c r="D6">
        <v>1</v>
      </c>
      <c r="E6">
        <v>2.0828664939397799</v>
      </c>
      <c r="F6">
        <v>1.98000019416116</v>
      </c>
      <c r="G6">
        <v>2.0765710877961401</v>
      </c>
      <c r="H6">
        <v>2.1486933749856201</v>
      </c>
      <c r="I6">
        <v>2.15318687056094</v>
      </c>
      <c r="J6">
        <v>2.1418313011699102</v>
      </c>
      <c r="K6">
        <v>1.15661425137385</v>
      </c>
      <c r="L6">
        <v>1.16953398360623</v>
      </c>
      <c r="M6">
        <v>1.1426061857408101</v>
      </c>
      <c r="N6">
        <v>1.1967519017157899</v>
      </c>
      <c r="O6">
        <v>1.1798420695521701</v>
      </c>
      <c r="P6">
        <v>1.2042323900652301</v>
      </c>
      <c r="Q6">
        <v>1.3492614061280099</v>
      </c>
      <c r="R6">
        <v>1.20937160226531</v>
      </c>
      <c r="S6">
        <v>1.34021867523727</v>
      </c>
      <c r="T6">
        <v>1.3938056232435301</v>
      </c>
      <c r="U6">
        <v>1.36963056427128</v>
      </c>
      <c r="V6">
        <v>1.4161937529526201</v>
      </c>
      <c r="W6">
        <v>0.207653749779699</v>
      </c>
      <c r="X6">
        <v>0.153032925498954</v>
      </c>
      <c r="Y6">
        <v>0.20696503970069199</v>
      </c>
      <c r="Z6">
        <v>0.219131597942511</v>
      </c>
      <c r="AA6">
        <v>0.21589111864376301</v>
      </c>
      <c r="AB6">
        <v>0.217910346945273</v>
      </c>
      <c r="AC6">
        <v>4.10290959316576E-2</v>
      </c>
      <c r="AD6">
        <v>3.4895797848598503E-2</v>
      </c>
      <c r="AE6">
        <v>4.0628273627134101E-2</v>
      </c>
      <c r="AF6">
        <v>4.3812192931849903E-2</v>
      </c>
      <c r="AG6">
        <v>4.3910405146337803E-2</v>
      </c>
      <c r="AH6">
        <v>4.2266396118734E-2</v>
      </c>
      <c r="AI6">
        <v>9.7897036268084395E-2</v>
      </c>
      <c r="AJ6">
        <v>6.4998383747258706E-2</v>
      </c>
      <c r="AK6">
        <v>9.6928556758360707E-2</v>
      </c>
      <c r="AL6">
        <v>0.10380833285374701</v>
      </c>
      <c r="AM6">
        <v>9.8228941883536494E-2</v>
      </c>
      <c r="AN6">
        <v>0.10944981022514</v>
      </c>
    </row>
    <row r="7" spans="1:40" x14ac:dyDescent="0.45">
      <c r="A7">
        <v>6</v>
      </c>
      <c r="B7">
        <v>1000</v>
      </c>
      <c r="C7">
        <v>1000</v>
      </c>
      <c r="D7">
        <v>2</v>
      </c>
      <c r="E7">
        <v>2.61620847430529</v>
      </c>
      <c r="F7">
        <v>2.26943136071346</v>
      </c>
      <c r="G7">
        <v>3.3808548550935398</v>
      </c>
      <c r="H7">
        <v>2.7229078783508101</v>
      </c>
      <c r="I7">
        <v>2.7965399821905099</v>
      </c>
      <c r="J7">
        <v>3.4840227027408202</v>
      </c>
      <c r="K7">
        <v>1.62003815216277</v>
      </c>
      <c r="L7">
        <v>1.2996315934474301</v>
      </c>
      <c r="M7">
        <v>1.7222870651101001</v>
      </c>
      <c r="N7">
        <v>1.65922265887461</v>
      </c>
      <c r="O7">
        <v>1.68781339665219</v>
      </c>
      <c r="P7">
        <v>2.54678040549115</v>
      </c>
      <c r="Q7">
        <v>1.46472450050362</v>
      </c>
      <c r="R7">
        <v>1.3367210024451199</v>
      </c>
      <c r="S7">
        <v>1.8641463729549901</v>
      </c>
      <c r="T7">
        <v>1.4669097267103901</v>
      </c>
      <c r="U7">
        <v>1.48197408293961</v>
      </c>
      <c r="V7">
        <v>1.4295710558025201</v>
      </c>
      <c r="W7">
        <v>0.375430966175263</v>
      </c>
      <c r="X7">
        <v>0.26785705983644298</v>
      </c>
      <c r="Y7">
        <v>0.74737251247721703</v>
      </c>
      <c r="Z7">
        <v>0.40838706634380201</v>
      </c>
      <c r="AA7">
        <v>0.41850955061348599</v>
      </c>
      <c r="AB7">
        <v>0.72221207820399302</v>
      </c>
      <c r="AC7">
        <v>0.102338514040408</v>
      </c>
      <c r="AD7">
        <v>6.7459204281885995E-2</v>
      </c>
      <c r="AE7">
        <v>0.14725120643220799</v>
      </c>
      <c r="AF7">
        <v>0.11156179720185801</v>
      </c>
      <c r="AG7">
        <v>0.110086380787476</v>
      </c>
      <c r="AH7">
        <v>0.392140063672618</v>
      </c>
      <c r="AI7">
        <v>0.117422121112399</v>
      </c>
      <c r="AJ7">
        <v>8.6043664930913505E-2</v>
      </c>
      <c r="AK7">
        <v>0.26483642326019902</v>
      </c>
      <c r="AL7">
        <v>0.12191894019042</v>
      </c>
      <c r="AM7">
        <v>0.12678987279352599</v>
      </c>
      <c r="AN7">
        <v>0.116473489087739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7"/>
  <sheetViews>
    <sheetView workbookViewId="0">
      <selection activeCell="D14" sqref="D14"/>
    </sheetView>
  </sheetViews>
  <sheetFormatPr defaultRowHeight="14.25" x14ac:dyDescent="0.45"/>
  <sheetData>
    <row r="1" spans="1:76" x14ac:dyDescent="0.45">
      <c r="B1" t="s">
        <v>168</v>
      </c>
      <c r="C1" t="s">
        <v>7</v>
      </c>
      <c r="D1" t="s">
        <v>169</v>
      </c>
      <c r="E1" t="s">
        <v>8</v>
      </c>
      <c r="F1" t="s">
        <v>9</v>
      </c>
      <c r="G1" t="s">
        <v>10</v>
      </c>
      <c r="H1" t="s">
        <v>140</v>
      </c>
      <c r="I1" t="s">
        <v>141</v>
      </c>
      <c r="J1" t="s">
        <v>11</v>
      </c>
      <c r="K1" t="s">
        <v>72</v>
      </c>
      <c r="L1" t="s">
        <v>73</v>
      </c>
      <c r="M1" t="s">
        <v>74</v>
      </c>
      <c r="N1" t="s">
        <v>142</v>
      </c>
      <c r="O1" t="s">
        <v>143</v>
      </c>
      <c r="P1" t="s">
        <v>75</v>
      </c>
      <c r="Q1" t="s">
        <v>12</v>
      </c>
      <c r="R1" t="s">
        <v>13</v>
      </c>
      <c r="S1" t="s">
        <v>14</v>
      </c>
      <c r="T1" t="s">
        <v>144</v>
      </c>
      <c r="U1" t="s">
        <v>145</v>
      </c>
      <c r="V1" t="s">
        <v>15</v>
      </c>
      <c r="W1" t="s">
        <v>16</v>
      </c>
      <c r="X1" t="s">
        <v>17</v>
      </c>
      <c r="Y1" t="s">
        <v>18</v>
      </c>
      <c r="Z1" t="s">
        <v>146</v>
      </c>
      <c r="AA1" t="s">
        <v>147</v>
      </c>
      <c r="AB1" t="s">
        <v>19</v>
      </c>
      <c r="AC1" t="s">
        <v>20</v>
      </c>
      <c r="AD1" t="s">
        <v>21</v>
      </c>
      <c r="AE1" t="s">
        <v>22</v>
      </c>
      <c r="AF1" t="s">
        <v>148</v>
      </c>
      <c r="AG1" t="s">
        <v>149</v>
      </c>
      <c r="AH1" t="s">
        <v>23</v>
      </c>
      <c r="AI1" t="s">
        <v>76</v>
      </c>
      <c r="AJ1" t="s">
        <v>77</v>
      </c>
      <c r="AK1" t="s">
        <v>78</v>
      </c>
      <c r="AL1" t="s">
        <v>150</v>
      </c>
      <c r="AM1" t="s">
        <v>151</v>
      </c>
      <c r="AN1" t="s">
        <v>79</v>
      </c>
      <c r="AO1" t="s">
        <v>24</v>
      </c>
      <c r="AP1" t="s">
        <v>25</v>
      </c>
      <c r="AQ1" t="s">
        <v>26</v>
      </c>
      <c r="AR1" t="s">
        <v>152</v>
      </c>
      <c r="AS1" t="s">
        <v>153</v>
      </c>
      <c r="AT1" t="s">
        <v>27</v>
      </c>
      <c r="AU1" t="s">
        <v>80</v>
      </c>
      <c r="AV1" t="s">
        <v>81</v>
      </c>
      <c r="AW1" t="s">
        <v>82</v>
      </c>
      <c r="AX1" t="s">
        <v>154</v>
      </c>
      <c r="AY1" t="s">
        <v>155</v>
      </c>
      <c r="AZ1" t="s">
        <v>83</v>
      </c>
      <c r="BA1" t="s">
        <v>28</v>
      </c>
      <c r="BB1" t="s">
        <v>29</v>
      </c>
      <c r="BC1" t="s">
        <v>30</v>
      </c>
      <c r="BD1" t="s">
        <v>156</v>
      </c>
      <c r="BE1" t="s">
        <v>157</v>
      </c>
      <c r="BF1" t="s">
        <v>31</v>
      </c>
      <c r="BG1" t="s">
        <v>32</v>
      </c>
      <c r="BH1" t="s">
        <v>33</v>
      </c>
      <c r="BI1" t="s">
        <v>34</v>
      </c>
      <c r="BJ1" t="s">
        <v>158</v>
      </c>
      <c r="BK1" t="s">
        <v>159</v>
      </c>
      <c r="BL1" t="s">
        <v>35</v>
      </c>
      <c r="BM1" t="s">
        <v>36</v>
      </c>
      <c r="BN1" t="s">
        <v>37</v>
      </c>
      <c r="BO1" t="s">
        <v>38</v>
      </c>
      <c r="BP1" t="s">
        <v>160</v>
      </c>
      <c r="BQ1" t="s">
        <v>161</v>
      </c>
      <c r="BR1" t="s">
        <v>39</v>
      </c>
      <c r="BS1" t="s">
        <v>84</v>
      </c>
      <c r="BT1" t="s">
        <v>85</v>
      </c>
      <c r="BU1" t="s">
        <v>86</v>
      </c>
      <c r="BV1" t="s">
        <v>162</v>
      </c>
      <c r="BW1" t="s">
        <v>163</v>
      </c>
      <c r="BX1" t="s">
        <v>87</v>
      </c>
    </row>
    <row r="2" spans="1:76" x14ac:dyDescent="0.45">
      <c r="A2">
        <v>1</v>
      </c>
      <c r="B2">
        <v>1000</v>
      </c>
      <c r="C2">
        <v>200</v>
      </c>
      <c r="D2">
        <v>1</v>
      </c>
      <c r="E2">
        <v>0.17480421161384499</v>
      </c>
      <c r="F2">
        <v>1.8543184905242101</v>
      </c>
      <c r="G2">
        <v>0.17974137399204099</v>
      </c>
      <c r="H2">
        <v>0.19824864562613501</v>
      </c>
      <c r="I2">
        <v>0.19292778484724801</v>
      </c>
      <c r="J2">
        <v>0.26400015248305703</v>
      </c>
      <c r="K2">
        <v>0.25055798230047999</v>
      </c>
      <c r="L2">
        <v>1.08884743742234</v>
      </c>
      <c r="M2">
        <v>0.25939188844241201</v>
      </c>
      <c r="N2">
        <v>0.30476951178344802</v>
      </c>
      <c r="O2">
        <v>0.23661003050007201</v>
      </c>
      <c r="P2">
        <v>0.35535908204822603</v>
      </c>
      <c r="Q2">
        <v>8.4903332796077494E-2</v>
      </c>
      <c r="R2">
        <v>1.35175732279657</v>
      </c>
      <c r="S2">
        <v>6.3133495453199004E-2</v>
      </c>
      <c r="T2">
        <v>-1.89698244389742E-2</v>
      </c>
      <c r="U2">
        <v>8.4820860166960402E-2</v>
      </c>
      <c r="V2">
        <v>-6.1007330395689501E-2</v>
      </c>
      <c r="W2">
        <v>0.24382792614941801</v>
      </c>
      <c r="X2">
        <v>1.93337417884037</v>
      </c>
      <c r="Y2">
        <v>0.27999880567214902</v>
      </c>
      <c r="Z2">
        <v>0.34243459828063999</v>
      </c>
      <c r="AA2">
        <v>0.25432132865964602</v>
      </c>
      <c r="AB2">
        <v>0.522504555412448</v>
      </c>
      <c r="AC2">
        <v>0.30772324055746098</v>
      </c>
      <c r="AD2">
        <v>2.4712108614368402</v>
      </c>
      <c r="AE2">
        <v>0.25805982640692798</v>
      </c>
      <c r="AF2">
        <v>0.28532904745120502</v>
      </c>
      <c r="AG2">
        <v>0.22908264476988699</v>
      </c>
      <c r="AH2">
        <v>0.53865061460390795</v>
      </c>
      <c r="AI2">
        <v>-1.5156783379039101E-2</v>
      </c>
      <c r="AJ2">
        <v>2.9063619139989001</v>
      </c>
      <c r="AK2">
        <v>3.0444460610178602E-2</v>
      </c>
      <c r="AL2">
        <v>0.15745783644399899</v>
      </c>
      <c r="AM2">
        <v>0.21535361330379901</v>
      </c>
      <c r="AN2">
        <v>-9.2296581164237806E-2</v>
      </c>
      <c r="AO2">
        <v>5.7424546345527201</v>
      </c>
      <c r="AP2">
        <v>5.8812819542166199</v>
      </c>
      <c r="AQ2">
        <v>5.6154252630745898</v>
      </c>
      <c r="AR2">
        <v>6.4360631361565197</v>
      </c>
      <c r="AS2">
        <v>6.0165601742742796</v>
      </c>
      <c r="AT2">
        <v>7.3315714495310802</v>
      </c>
      <c r="AU2">
        <v>8.2476560382210096</v>
      </c>
      <c r="AV2">
        <v>8.4690735679172295</v>
      </c>
      <c r="AW2">
        <v>8.1838981924936594</v>
      </c>
      <c r="AX2">
        <v>7.9350331102629399</v>
      </c>
      <c r="AY2">
        <v>7.9138020666440498</v>
      </c>
      <c r="AZ2">
        <v>7.9786780531532902</v>
      </c>
      <c r="BA2">
        <v>6.8746891439693201</v>
      </c>
      <c r="BB2">
        <v>7.1143551552390099</v>
      </c>
      <c r="BC2">
        <v>6.8332296072676302</v>
      </c>
      <c r="BD2">
        <v>6.88978807081563</v>
      </c>
      <c r="BE2">
        <v>6.7652517871677302</v>
      </c>
      <c r="BF2">
        <v>7.1918813637767398</v>
      </c>
      <c r="BG2">
        <v>6.8242387239995397</v>
      </c>
      <c r="BH2">
        <v>6.9738845247867802</v>
      </c>
      <c r="BI2">
        <v>6.7040471445594898</v>
      </c>
      <c r="BJ2">
        <v>7.4545113878479796</v>
      </c>
      <c r="BK2">
        <v>7.0334413407956697</v>
      </c>
      <c r="BL2">
        <v>8.5902342371578193</v>
      </c>
      <c r="BM2">
        <v>8.8776978406844407</v>
      </c>
      <c r="BN2">
        <v>8.6961136666069603</v>
      </c>
      <c r="BO2">
        <v>8.5835828111184007</v>
      </c>
      <c r="BP2">
        <v>9.8951305590186003</v>
      </c>
      <c r="BQ2">
        <v>9.0152855582528897</v>
      </c>
      <c r="BR2">
        <v>11.2497787068195</v>
      </c>
      <c r="BS2">
        <v>14.2031171093316</v>
      </c>
      <c r="BT2">
        <v>13.0959009230137</v>
      </c>
      <c r="BU2">
        <v>13.354036823942501</v>
      </c>
      <c r="BV2">
        <v>15.521180485802301</v>
      </c>
      <c r="BW2">
        <v>13.517926745113201</v>
      </c>
      <c r="BX2">
        <v>17.512815857832301</v>
      </c>
    </row>
    <row r="3" spans="1:76" x14ac:dyDescent="0.45">
      <c r="A3">
        <v>2</v>
      </c>
      <c r="B3">
        <v>1000</v>
      </c>
      <c r="C3">
        <v>200</v>
      </c>
      <c r="D3">
        <v>2</v>
      </c>
      <c r="E3">
        <v>1.4540283848044</v>
      </c>
      <c r="F3">
        <v>2.2659725744038499</v>
      </c>
      <c r="G3">
        <v>0.45100517894404901</v>
      </c>
      <c r="H3">
        <v>2.2749703702866801</v>
      </c>
      <c r="I3">
        <v>1.60745447549051</v>
      </c>
      <c r="J3">
        <v>4.61798591146903</v>
      </c>
      <c r="K3">
        <v>-3.95486917479642</v>
      </c>
      <c r="L3">
        <v>-2.3807337935863502</v>
      </c>
      <c r="M3">
        <v>-1.5296734942738801</v>
      </c>
      <c r="N3">
        <v>-3.4135012366877699</v>
      </c>
      <c r="O3">
        <v>-3.0434578011812898</v>
      </c>
      <c r="P3">
        <v>-1.71991433757909</v>
      </c>
      <c r="Q3">
        <v>-2.09725207141777</v>
      </c>
      <c r="R3">
        <v>-0.68062534717689405</v>
      </c>
      <c r="S3">
        <v>-0.83170906047884696</v>
      </c>
      <c r="T3">
        <v>-1.56755900693983</v>
      </c>
      <c r="U3">
        <v>-1.4476563277286101</v>
      </c>
      <c r="V3">
        <v>0.36336797856768899</v>
      </c>
      <c r="W3">
        <v>1.01000235663951</v>
      </c>
      <c r="X3">
        <v>1.9876912477993101</v>
      </c>
      <c r="Y3">
        <v>0.23798571429322199</v>
      </c>
      <c r="Z3">
        <v>2.02670144973243</v>
      </c>
      <c r="AA3">
        <v>1.2367665627926101</v>
      </c>
      <c r="AB3">
        <v>4.7255258256111601</v>
      </c>
      <c r="AC3">
        <v>4.7435854621359699</v>
      </c>
      <c r="AD3">
        <v>4.9783152689832297</v>
      </c>
      <c r="AE3">
        <v>1.5397590283414699</v>
      </c>
      <c r="AF3">
        <v>5.9305208605501702</v>
      </c>
      <c r="AG3">
        <v>4.5349683314345697</v>
      </c>
      <c r="AH3">
        <v>9.4746975570542098</v>
      </c>
      <c r="AI3">
        <v>8.9713514676416892</v>
      </c>
      <c r="AJ3">
        <v>8.6626568704984592</v>
      </c>
      <c r="AK3">
        <v>3.1865120023178002</v>
      </c>
      <c r="AL3">
        <v>9.78670174213865</v>
      </c>
      <c r="AM3">
        <v>7.9312686279421598</v>
      </c>
      <c r="AN3">
        <v>12.2905548424564</v>
      </c>
      <c r="AO3">
        <v>5.8161453557337799</v>
      </c>
      <c r="AP3">
        <v>6.3764729164300498</v>
      </c>
      <c r="AQ3">
        <v>5.3769305724777103</v>
      </c>
      <c r="AR3">
        <v>6.4665160667358901</v>
      </c>
      <c r="AS3">
        <v>6.0719219456016296</v>
      </c>
      <c r="AT3">
        <v>11.371308155351899</v>
      </c>
      <c r="AU3">
        <v>9.1252649095906104</v>
      </c>
      <c r="AV3">
        <v>9.0588249417503608</v>
      </c>
      <c r="AW3">
        <v>8.7674380716211004</v>
      </c>
      <c r="AX3">
        <v>9.0949711208136605</v>
      </c>
      <c r="AY3">
        <v>8.6205041286644004</v>
      </c>
      <c r="AZ3">
        <v>10.121648926543701</v>
      </c>
      <c r="BA3">
        <v>7.1615327346583397</v>
      </c>
      <c r="BB3">
        <v>6.8268764186449298</v>
      </c>
      <c r="BC3">
        <v>6.9577803959123798</v>
      </c>
      <c r="BD3">
        <v>7.1335726851715204</v>
      </c>
      <c r="BE3">
        <v>6.7887945443702096</v>
      </c>
      <c r="BF3">
        <v>10.3939415025496</v>
      </c>
      <c r="BG3">
        <v>6.7295777402061203</v>
      </c>
      <c r="BH3">
        <v>7.2140724268500502</v>
      </c>
      <c r="BI3">
        <v>6.4557308368927702</v>
      </c>
      <c r="BJ3">
        <v>7.4476921875108903</v>
      </c>
      <c r="BK3">
        <v>6.9152939067178796</v>
      </c>
      <c r="BL3">
        <v>13.781690927474701</v>
      </c>
      <c r="BM3">
        <v>9.6963520889326595</v>
      </c>
      <c r="BN3">
        <v>9.8538420923901597</v>
      </c>
      <c r="BO3">
        <v>8.1056576291802394</v>
      </c>
      <c r="BP3">
        <v>10.9245039320093</v>
      </c>
      <c r="BQ3">
        <v>9.7628272924858006</v>
      </c>
      <c r="BR3">
        <v>17.877093656180701</v>
      </c>
      <c r="BS3">
        <v>16.324571410754601</v>
      </c>
      <c r="BT3">
        <v>16.6742413306829</v>
      </c>
      <c r="BU3">
        <v>12.700007782269401</v>
      </c>
      <c r="BV3">
        <v>17.0313276180533</v>
      </c>
      <c r="BW3">
        <v>15.780876061177199</v>
      </c>
      <c r="BX3">
        <v>21.7385940944901</v>
      </c>
    </row>
    <row r="4" spans="1:76" x14ac:dyDescent="0.45">
      <c r="A4">
        <v>3</v>
      </c>
      <c r="B4">
        <v>1000</v>
      </c>
      <c r="C4">
        <v>500</v>
      </c>
      <c r="D4">
        <v>1</v>
      </c>
      <c r="E4">
        <v>0.14367845472775501</v>
      </c>
      <c r="F4">
        <v>0.955824229839211</v>
      </c>
      <c r="G4">
        <v>0.154220682548113</v>
      </c>
      <c r="H4">
        <v>2.9476545024106598E-2</v>
      </c>
      <c r="I4">
        <v>5.1185302844132301E-2</v>
      </c>
      <c r="J4">
        <v>-4.9784970765866597E-2</v>
      </c>
      <c r="K4">
        <v>0.16513831241952601</v>
      </c>
      <c r="L4">
        <v>0.47223522226307701</v>
      </c>
      <c r="M4">
        <v>0.16393431077139201</v>
      </c>
      <c r="N4">
        <v>3.1665359565328899E-2</v>
      </c>
      <c r="O4">
        <v>4.1583752048932603E-2</v>
      </c>
      <c r="P4">
        <v>1.09658056609785E-2</v>
      </c>
      <c r="Q4">
        <v>8.5997570589904995E-2</v>
      </c>
      <c r="R4">
        <v>0.63926648578057899</v>
      </c>
      <c r="S4">
        <v>8.1114300000029602E-2</v>
      </c>
      <c r="T4">
        <v>3.4745270878637799E-3</v>
      </c>
      <c r="U4">
        <v>3.5855767414373602E-2</v>
      </c>
      <c r="V4">
        <v>-3.9711297047260202E-2</v>
      </c>
      <c r="W4">
        <v>0.21003507820393699</v>
      </c>
      <c r="X4">
        <v>0.941399048821141</v>
      </c>
      <c r="Y4">
        <v>0.197723569007421</v>
      </c>
      <c r="Z4">
        <v>8.3903214595320505E-2</v>
      </c>
      <c r="AA4">
        <v>9.5452593875775094E-2</v>
      </c>
      <c r="AB4">
        <v>4.4776406176616501E-4</v>
      </c>
      <c r="AC4">
        <v>0.24661129750369101</v>
      </c>
      <c r="AD4">
        <v>1.3414801746307901</v>
      </c>
      <c r="AE4">
        <v>0.24614858686861599</v>
      </c>
      <c r="AF4">
        <v>0.169551439249604</v>
      </c>
      <c r="AG4">
        <v>0.209390271720126</v>
      </c>
      <c r="AH4">
        <v>1.9622151336117E-2</v>
      </c>
      <c r="AI4">
        <v>-6.0543763849610202E-2</v>
      </c>
      <c r="AJ4">
        <v>1.51928529932127</v>
      </c>
      <c r="AK4">
        <v>-2.7711429608757498E-2</v>
      </c>
      <c r="AL4">
        <v>-9.2952758467889807E-2</v>
      </c>
      <c r="AM4">
        <v>-0.12541354028962101</v>
      </c>
      <c r="AN4">
        <v>-0.29664121048085201</v>
      </c>
      <c r="AO4">
        <v>3.6826929013991898</v>
      </c>
      <c r="AP4">
        <v>3.6739029445254201</v>
      </c>
      <c r="AQ4">
        <v>3.60844032832411</v>
      </c>
      <c r="AR4">
        <v>4.0621994761322702</v>
      </c>
      <c r="AS4">
        <v>3.9084078718397399</v>
      </c>
      <c r="AT4">
        <v>4.5263008716192097</v>
      </c>
      <c r="AU4">
        <v>4.86551686570599</v>
      </c>
      <c r="AV4">
        <v>5.2457540841288601</v>
      </c>
      <c r="AW4">
        <v>4.8490494179583798</v>
      </c>
      <c r="AX4">
        <v>4.7049576751846498</v>
      </c>
      <c r="AY4">
        <v>4.7599960466416302</v>
      </c>
      <c r="AZ4">
        <v>4.7567041188589103</v>
      </c>
      <c r="BA4">
        <v>4.3504822420884004</v>
      </c>
      <c r="BB4">
        <v>4.6860234345099903</v>
      </c>
      <c r="BC4">
        <v>4.3278502837689601</v>
      </c>
      <c r="BD4">
        <v>4.36421597121047</v>
      </c>
      <c r="BE4">
        <v>4.3261690220128903</v>
      </c>
      <c r="BF4">
        <v>4.4702961010271496</v>
      </c>
      <c r="BG4">
        <v>4.4959595633076104</v>
      </c>
      <c r="BH4">
        <v>4.6501480279707703</v>
      </c>
      <c r="BI4">
        <v>4.4449790354177301</v>
      </c>
      <c r="BJ4">
        <v>4.7870885958529001</v>
      </c>
      <c r="BK4">
        <v>4.6235128620107897</v>
      </c>
      <c r="BL4">
        <v>4.97846980103823</v>
      </c>
      <c r="BM4">
        <v>5.6413576909803202</v>
      </c>
      <c r="BN4">
        <v>5.4680437810479097</v>
      </c>
      <c r="BO4">
        <v>5.56005505685832</v>
      </c>
      <c r="BP4">
        <v>6.1743706202817501</v>
      </c>
      <c r="BQ4">
        <v>5.7733104144966703</v>
      </c>
      <c r="BR4">
        <v>7.11225643386011</v>
      </c>
      <c r="BS4">
        <v>8.2929503192114709</v>
      </c>
      <c r="BT4">
        <v>7.6894831477075698</v>
      </c>
      <c r="BU4">
        <v>8.0284400770060707</v>
      </c>
      <c r="BV4">
        <v>9.0551260544180003</v>
      </c>
      <c r="BW4">
        <v>8.2876894154928102</v>
      </c>
      <c r="BX4">
        <v>10.923003330073399</v>
      </c>
    </row>
    <row r="5" spans="1:76" x14ac:dyDescent="0.45">
      <c r="A5">
        <v>4</v>
      </c>
      <c r="B5">
        <v>1000</v>
      </c>
      <c r="C5">
        <v>500</v>
      </c>
      <c r="D5">
        <v>2</v>
      </c>
      <c r="E5">
        <v>1.9327792177696901</v>
      </c>
      <c r="F5">
        <v>2.4512830865551698</v>
      </c>
      <c r="G5">
        <v>0.49723926832950499</v>
      </c>
      <c r="H5">
        <v>2.7145883189435098</v>
      </c>
      <c r="I5">
        <v>2.5634925158391599</v>
      </c>
      <c r="J5">
        <v>5.9248319272177303</v>
      </c>
      <c r="K5">
        <v>-3.95510237641379</v>
      </c>
      <c r="L5">
        <v>-2.8648151492279101</v>
      </c>
      <c r="M5">
        <v>-2.1486064887013501</v>
      </c>
      <c r="N5">
        <v>-3.16182685295724</v>
      </c>
      <c r="O5">
        <v>-2.7922581480320599</v>
      </c>
      <c r="P5">
        <v>-1.5388587728905501</v>
      </c>
      <c r="Q5">
        <v>-2.08233202602668</v>
      </c>
      <c r="R5">
        <v>-1.0968057491002601</v>
      </c>
      <c r="S5">
        <v>-1.3203959237282901</v>
      </c>
      <c r="T5">
        <v>-1.25281549128613</v>
      </c>
      <c r="U5">
        <v>-1.10081520958738</v>
      </c>
      <c r="V5">
        <v>0.71361467957365599</v>
      </c>
      <c r="W5">
        <v>1.0578834446763801</v>
      </c>
      <c r="X5">
        <v>1.73488085500343</v>
      </c>
      <c r="Y5">
        <v>0.18670798746836001</v>
      </c>
      <c r="Z5">
        <v>1.94087610754089</v>
      </c>
      <c r="AA5">
        <v>1.7608757381021201</v>
      </c>
      <c r="AB5">
        <v>5.2862594302975001</v>
      </c>
      <c r="AC5">
        <v>5.3036011987505098</v>
      </c>
      <c r="AD5">
        <v>5.4802700397937896</v>
      </c>
      <c r="AE5">
        <v>1.9935328304081601</v>
      </c>
      <c r="AF5">
        <v>6.1564142901169499</v>
      </c>
      <c r="AG5">
        <v>5.6504798055130001</v>
      </c>
      <c r="AH5">
        <v>11.260677515581699</v>
      </c>
      <c r="AI5">
        <v>10.1175210943273</v>
      </c>
      <c r="AJ5">
        <v>9.5987065149350101</v>
      </c>
      <c r="AK5">
        <v>3.8076668375939602</v>
      </c>
      <c r="AL5">
        <v>10.6427799152803</v>
      </c>
      <c r="AM5">
        <v>9.8518971183424409</v>
      </c>
      <c r="AN5">
        <v>15.8095272617996</v>
      </c>
      <c r="AO5">
        <v>4.0337983930432504</v>
      </c>
      <c r="AP5">
        <v>4.5493798427601604</v>
      </c>
      <c r="AQ5">
        <v>3.4006503112147399</v>
      </c>
      <c r="AR5">
        <v>4.5573426577371601</v>
      </c>
      <c r="AS5">
        <v>4.5675336240253799</v>
      </c>
      <c r="AT5">
        <v>10.411394188378299</v>
      </c>
      <c r="AU5">
        <v>6.3368326633882504</v>
      </c>
      <c r="AV5">
        <v>5.9621785241901097</v>
      </c>
      <c r="AW5">
        <v>5.5750561469991</v>
      </c>
      <c r="AX5">
        <v>5.81110807227107</v>
      </c>
      <c r="AY5">
        <v>5.52372882168972</v>
      </c>
      <c r="AZ5">
        <v>5.64209735783973</v>
      </c>
      <c r="BA5">
        <v>4.7886508995495998</v>
      </c>
      <c r="BB5">
        <v>4.6029674359490604</v>
      </c>
      <c r="BC5">
        <v>4.6316690880586702</v>
      </c>
      <c r="BD5">
        <v>4.4597270819400103</v>
      </c>
      <c r="BE5">
        <v>4.3153294813701901</v>
      </c>
      <c r="BF5">
        <v>6.0961112019174504</v>
      </c>
      <c r="BG5">
        <v>4.47648877164551</v>
      </c>
      <c r="BH5">
        <v>4.8597799758928604</v>
      </c>
      <c r="BI5">
        <v>4.27174284322383</v>
      </c>
      <c r="BJ5">
        <v>4.9409538436846097</v>
      </c>
      <c r="BK5">
        <v>4.8343260015163203</v>
      </c>
      <c r="BL5">
        <v>11.775879548043701</v>
      </c>
      <c r="BM5">
        <v>7.4769281145920097</v>
      </c>
      <c r="BN5">
        <v>7.7632942652575903</v>
      </c>
      <c r="BO5">
        <v>5.3060045798988504</v>
      </c>
      <c r="BP5">
        <v>8.2911561490483408</v>
      </c>
      <c r="BQ5">
        <v>8.0101455960068595</v>
      </c>
      <c r="BR5">
        <v>17.985183769444902</v>
      </c>
      <c r="BS5">
        <v>13.2307946850934</v>
      </c>
      <c r="BT5">
        <v>12.997001531868399</v>
      </c>
      <c r="BU5">
        <v>8.0643429817873606</v>
      </c>
      <c r="BV5">
        <v>13.6521079092263</v>
      </c>
      <c r="BW5">
        <v>13.170352711907499</v>
      </c>
      <c r="BX5">
        <v>22.692619631956799</v>
      </c>
    </row>
    <row r="6" spans="1:76" x14ac:dyDescent="0.45">
      <c r="A6">
        <v>5</v>
      </c>
      <c r="B6">
        <v>1000</v>
      </c>
      <c r="C6">
        <v>1000</v>
      </c>
      <c r="D6">
        <v>1</v>
      </c>
      <c r="E6">
        <v>6.50551147531786E-3</v>
      </c>
      <c r="F6">
        <v>0.47509310349759698</v>
      </c>
      <c r="G6">
        <v>2.2479470655985899E-2</v>
      </c>
      <c r="H6">
        <v>1.3764453982084E-2</v>
      </c>
      <c r="I6">
        <v>1.9532410964400199E-2</v>
      </c>
      <c r="J6">
        <v>-1.1649209491501699E-2</v>
      </c>
      <c r="K6">
        <v>2.1125729563578902E-2</v>
      </c>
      <c r="L6">
        <v>0.230555735240006</v>
      </c>
      <c r="M6">
        <v>2.69103136902764E-2</v>
      </c>
      <c r="N6">
        <v>7.8268415430294197E-2</v>
      </c>
      <c r="O6">
        <v>5.4089396845931503E-2</v>
      </c>
      <c r="P6">
        <v>4.2792354707575697E-2</v>
      </c>
      <c r="Q6">
        <v>3.4075986512881698E-2</v>
      </c>
      <c r="R6">
        <v>0.30384514237301402</v>
      </c>
      <c r="S6">
        <v>6.2989605420643399E-2</v>
      </c>
      <c r="T6">
        <v>4.46056230330747E-2</v>
      </c>
      <c r="U6">
        <v>1.70371746779097E-3</v>
      </c>
      <c r="V6">
        <v>5.0562580333490803E-4</v>
      </c>
      <c r="W6">
        <v>7.0910514777587294E-2</v>
      </c>
      <c r="X6">
        <v>0.47917056342962799</v>
      </c>
      <c r="Y6">
        <v>6.1157963406225598E-2</v>
      </c>
      <c r="Z6">
        <v>6.9442169455603803E-2</v>
      </c>
      <c r="AA6">
        <v>9.9946817157608295E-2</v>
      </c>
      <c r="AB6">
        <v>6.42702352490616E-2</v>
      </c>
      <c r="AC6">
        <v>4.2403822499830199E-2</v>
      </c>
      <c r="AD6">
        <v>0.67122986503300397</v>
      </c>
      <c r="AE6">
        <v>5.1693623234644499E-2</v>
      </c>
      <c r="AF6">
        <v>3.9547968593465703E-2</v>
      </c>
      <c r="AG6">
        <v>4.57586558372753E-2</v>
      </c>
      <c r="AH6">
        <v>2.7462365738788502E-2</v>
      </c>
      <c r="AI6">
        <v>-0.13725937851137501</v>
      </c>
      <c r="AJ6">
        <v>0.75081659930810196</v>
      </c>
      <c r="AK6">
        <v>-0.14758788450774901</v>
      </c>
      <c r="AL6">
        <v>-0.18982563092614099</v>
      </c>
      <c r="AM6">
        <v>-0.10374485524568799</v>
      </c>
      <c r="AN6">
        <v>-0.31102541148847801</v>
      </c>
      <c r="AO6">
        <v>2.6621119448191601</v>
      </c>
      <c r="AP6">
        <v>2.63239263406488</v>
      </c>
      <c r="AQ6">
        <v>2.6220994097124199</v>
      </c>
      <c r="AR6">
        <v>2.9062851578052</v>
      </c>
      <c r="AS6">
        <v>2.8794753353764002</v>
      </c>
      <c r="AT6">
        <v>3.0980672368758002</v>
      </c>
      <c r="AU6">
        <v>3.5706786350183002</v>
      </c>
      <c r="AV6">
        <v>3.9340104434426602</v>
      </c>
      <c r="AW6">
        <v>3.58137707215301</v>
      </c>
      <c r="AX6">
        <v>3.4288719714319198</v>
      </c>
      <c r="AY6">
        <v>3.46631760729331</v>
      </c>
      <c r="AZ6">
        <v>3.4657679568586</v>
      </c>
      <c r="BA6">
        <v>3.04801111556199</v>
      </c>
      <c r="BB6">
        <v>3.2699536997168801</v>
      </c>
      <c r="BC6">
        <v>3.0528769445292401</v>
      </c>
      <c r="BD6">
        <v>3.03743782798368</v>
      </c>
      <c r="BE6">
        <v>3.0141659467565698</v>
      </c>
      <c r="BF6">
        <v>3.0933617117794601</v>
      </c>
      <c r="BG6">
        <v>3.0575653543079699</v>
      </c>
      <c r="BH6">
        <v>3.1754415746197902</v>
      </c>
      <c r="BI6">
        <v>3.0545563221561798</v>
      </c>
      <c r="BJ6">
        <v>3.2327023750603998</v>
      </c>
      <c r="BK6">
        <v>3.2593917289875698</v>
      </c>
      <c r="BL6">
        <v>3.3545629582961598</v>
      </c>
      <c r="BM6">
        <v>4.1368918295125603</v>
      </c>
      <c r="BN6">
        <v>3.9562323117651301</v>
      </c>
      <c r="BO6">
        <v>4.0922813724402296</v>
      </c>
      <c r="BP6">
        <v>4.4511719804594696</v>
      </c>
      <c r="BQ6">
        <v>4.2977893096465998</v>
      </c>
      <c r="BR6">
        <v>4.5964072415637602</v>
      </c>
      <c r="BS6">
        <v>6.1628839309968502</v>
      </c>
      <c r="BT6">
        <v>5.6983535739439999</v>
      </c>
      <c r="BU6">
        <v>6.0418440502219397</v>
      </c>
      <c r="BV6">
        <v>6.52167135752814</v>
      </c>
      <c r="BW6">
        <v>6.2571745433361201</v>
      </c>
      <c r="BX6">
        <v>7.0930286835712497</v>
      </c>
    </row>
    <row r="7" spans="1:76" x14ac:dyDescent="0.45">
      <c r="A7">
        <v>6</v>
      </c>
      <c r="B7">
        <v>1000</v>
      </c>
      <c r="C7">
        <v>1000</v>
      </c>
      <c r="D7">
        <v>2</v>
      </c>
      <c r="E7">
        <v>2.03679522198486</v>
      </c>
      <c r="F7">
        <v>2.3708205525346902</v>
      </c>
      <c r="G7">
        <v>0.479714291608349</v>
      </c>
      <c r="H7">
        <v>2.8016388668496601</v>
      </c>
      <c r="I7">
        <v>3.0887656679172699</v>
      </c>
      <c r="J7">
        <v>6.5099207659416098</v>
      </c>
      <c r="K7">
        <v>-4.0604686211722001</v>
      </c>
      <c r="L7">
        <v>-3.1946709366575798</v>
      </c>
      <c r="M7">
        <v>-2.6574696337696002</v>
      </c>
      <c r="N7">
        <v>-3.1713258290493802</v>
      </c>
      <c r="O7">
        <v>-2.7140690092842998</v>
      </c>
      <c r="P7">
        <v>-1.3707790563362201</v>
      </c>
      <c r="Q7">
        <v>-2.2080901167836902</v>
      </c>
      <c r="R7">
        <v>-1.4510861663419601</v>
      </c>
      <c r="S7">
        <v>-1.7661616996352001</v>
      </c>
      <c r="T7">
        <v>-1.3143451773099599</v>
      </c>
      <c r="U7">
        <v>-0.95745980123072605</v>
      </c>
      <c r="V7">
        <v>1.0848144539979501</v>
      </c>
      <c r="W7">
        <v>1.0033818481722301</v>
      </c>
      <c r="X7">
        <v>1.5158185532014199</v>
      </c>
      <c r="Y7">
        <v>3.8223287729533002E-3</v>
      </c>
      <c r="Z7">
        <v>1.8785696683037001</v>
      </c>
      <c r="AA7">
        <v>2.1120082586510902</v>
      </c>
      <c r="AB7">
        <v>5.5184922507038197</v>
      </c>
      <c r="AC7">
        <v>5.4384491593199398</v>
      </c>
      <c r="AD7">
        <v>5.4480481173336202</v>
      </c>
      <c r="AE7">
        <v>2.3150599239075902</v>
      </c>
      <c r="AF7">
        <v>6.2425945570730397</v>
      </c>
      <c r="AG7">
        <v>6.4302097534388496</v>
      </c>
      <c r="AH7">
        <v>12.1467842508884</v>
      </c>
      <c r="AI7">
        <v>10.5654305499133</v>
      </c>
      <c r="AJ7">
        <v>9.8370185167350801</v>
      </c>
      <c r="AK7">
        <v>4.5055076762374799</v>
      </c>
      <c r="AL7">
        <v>10.844718939825601</v>
      </c>
      <c r="AM7">
        <v>11.112730217269901</v>
      </c>
      <c r="AN7">
        <v>17.288013850345902</v>
      </c>
      <c r="AO7">
        <v>3.3021716034520501</v>
      </c>
      <c r="AP7">
        <v>3.6777789640584899</v>
      </c>
      <c r="AQ7">
        <v>2.5489922015182098</v>
      </c>
      <c r="AR7">
        <v>3.83677881980514</v>
      </c>
      <c r="AS7">
        <v>4.15416049221135</v>
      </c>
      <c r="AT7">
        <v>10.2758419881556</v>
      </c>
      <c r="AU7">
        <v>5.4545262223488598</v>
      </c>
      <c r="AV7">
        <v>4.9731406727798504</v>
      </c>
      <c r="AW7">
        <v>4.67467718987134</v>
      </c>
      <c r="AX7">
        <v>4.7826057961170898</v>
      </c>
      <c r="AY7">
        <v>4.4186755250987302</v>
      </c>
      <c r="AZ7">
        <v>4.71253401061107</v>
      </c>
      <c r="BA7">
        <v>3.7405472990917898</v>
      </c>
      <c r="BB7">
        <v>3.4560194179731298</v>
      </c>
      <c r="BC7">
        <v>3.67971663226262</v>
      </c>
      <c r="BD7">
        <v>3.28131482353117</v>
      </c>
      <c r="BE7">
        <v>3.1061581380627401</v>
      </c>
      <c r="BF7">
        <v>6.4230334441484196</v>
      </c>
      <c r="BG7">
        <v>3.1796176969071799</v>
      </c>
      <c r="BH7">
        <v>3.4912779639560401</v>
      </c>
      <c r="BI7">
        <v>3.0316207951478402</v>
      </c>
      <c r="BJ7">
        <v>3.6176301597701301</v>
      </c>
      <c r="BK7">
        <v>3.7600079743701098</v>
      </c>
      <c r="BL7">
        <v>10.995043113991899</v>
      </c>
      <c r="BM7">
        <v>6.5512610626088899</v>
      </c>
      <c r="BN7">
        <v>6.6617461002552103</v>
      </c>
      <c r="BO7">
        <v>4.1916081333015498</v>
      </c>
      <c r="BP7">
        <v>7.3349469608996598</v>
      </c>
      <c r="BQ7">
        <v>7.5459109628876204</v>
      </c>
      <c r="BR7">
        <v>17.858808974936299</v>
      </c>
      <c r="BS7">
        <v>12.3375073132941</v>
      </c>
      <c r="BT7">
        <v>11.6429059383787</v>
      </c>
      <c r="BU7">
        <v>6.8223251313676201</v>
      </c>
      <c r="BV7">
        <v>12.4031378927977</v>
      </c>
      <c r="BW7">
        <v>12.9250020450456</v>
      </c>
      <c r="BX7">
        <v>22.6944193724797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20"/>
  <sheetViews>
    <sheetView zoomScaleNormal="100" workbookViewId="0">
      <selection activeCell="AA7" sqref="AA7"/>
    </sheetView>
  </sheetViews>
  <sheetFormatPr defaultColWidth="9.33203125" defaultRowHeight="14.25" x14ac:dyDescent="0.45"/>
  <cols>
    <col min="1" max="1" width="8" style="1" bestFit="1" customWidth="1"/>
    <col min="2" max="2" width="11.1328125" style="1" bestFit="1" customWidth="1"/>
    <col min="3" max="3" width="5.86328125" style="1" bestFit="1" customWidth="1"/>
    <col min="4" max="4" width="6.1328125" style="1" bestFit="1" customWidth="1"/>
    <col min="5" max="5" width="7.53125" style="1" bestFit="1" customWidth="1"/>
    <col min="6" max="6" width="8" style="1" bestFit="1" customWidth="1"/>
    <col min="7" max="7" width="7.6640625" style="1" bestFit="1" customWidth="1"/>
    <col min="8" max="8" width="5.1328125" style="1" bestFit="1" customWidth="1"/>
    <col min="9" max="9" width="2.86328125" style="1" customWidth="1"/>
    <col min="10" max="10" width="5.86328125" style="1" bestFit="1" customWidth="1"/>
    <col min="11" max="11" width="6.1328125" style="1" bestFit="1" customWidth="1"/>
    <col min="12" max="12" width="7.53125" style="1" bestFit="1" customWidth="1"/>
    <col min="13" max="13" width="8" style="1" bestFit="1" customWidth="1"/>
    <col min="14" max="14" width="7.6640625" style="1" bestFit="1" customWidth="1"/>
    <col min="15" max="15" width="5.1328125" style="1" bestFit="1" customWidth="1"/>
    <col min="16" max="17" width="9.33203125" style="1"/>
    <col min="18" max="18" width="10.33203125" style="1" bestFit="1" customWidth="1"/>
    <col min="19" max="19" width="6" style="1" bestFit="1" customWidth="1"/>
    <col min="20" max="20" width="7.53125" style="1" bestFit="1" customWidth="1"/>
    <col min="21" max="21" width="7" style="1" bestFit="1" customWidth="1"/>
    <col min="22" max="22" width="8.53125" style="1" bestFit="1" customWidth="1"/>
    <col min="23" max="23" width="7" style="1" bestFit="1" customWidth="1"/>
    <col min="24" max="24" width="8.53125" style="1" bestFit="1" customWidth="1"/>
    <col min="25" max="25" width="2.86328125" style="1" customWidth="1"/>
    <col min="26" max="26" width="6" style="1" bestFit="1" customWidth="1"/>
    <col min="27" max="27" width="7.53125" style="1" bestFit="1" customWidth="1"/>
    <col min="28" max="28" width="7" style="1" bestFit="1" customWidth="1"/>
    <col min="29" max="29" width="8.53125" style="1" bestFit="1" customWidth="1"/>
    <col min="30" max="30" width="7" style="1" bestFit="1" customWidth="1"/>
    <col min="31" max="31" width="8.53125" style="1" bestFit="1" customWidth="1"/>
    <col min="32" max="16384" width="9.33203125" style="1"/>
  </cols>
  <sheetData>
    <row r="1" spans="1:31" x14ac:dyDescent="0.45">
      <c r="C1" s="16" t="s">
        <v>61</v>
      </c>
      <c r="D1" s="16"/>
      <c r="E1" s="16"/>
      <c r="F1" s="16"/>
      <c r="G1" s="16"/>
      <c r="H1" s="9"/>
      <c r="J1" s="16" t="s">
        <v>71</v>
      </c>
      <c r="K1" s="16"/>
      <c r="L1" s="16"/>
      <c r="M1" s="16"/>
      <c r="N1" s="16"/>
      <c r="O1" s="9"/>
      <c r="S1" s="16" t="s">
        <v>61</v>
      </c>
      <c r="T1" s="16"/>
      <c r="U1" s="16"/>
      <c r="V1" s="16"/>
      <c r="W1" s="16"/>
      <c r="X1" s="11"/>
      <c r="Z1" s="16" t="s">
        <v>71</v>
      </c>
      <c r="AA1" s="16"/>
      <c r="AB1" s="16"/>
      <c r="AC1" s="16"/>
      <c r="AD1" s="16"/>
      <c r="AE1" s="11"/>
    </row>
    <row r="2" spans="1:31" x14ac:dyDescent="0.45">
      <c r="C2" s="8" t="s">
        <v>0</v>
      </c>
      <c r="D2" s="8" t="s">
        <v>1</v>
      </c>
      <c r="E2" s="9" t="s">
        <v>90</v>
      </c>
      <c r="F2" s="8" t="s">
        <v>49</v>
      </c>
      <c r="G2" s="8" t="s">
        <v>48</v>
      </c>
      <c r="H2" s="9" t="s">
        <v>91</v>
      </c>
      <c r="J2" s="8" t="s">
        <v>0</v>
      </c>
      <c r="K2" s="8" t="s">
        <v>1</v>
      </c>
      <c r="L2" s="9" t="s">
        <v>90</v>
      </c>
      <c r="M2" s="8" t="s">
        <v>49</v>
      </c>
      <c r="N2" s="8" t="s">
        <v>48</v>
      </c>
      <c r="O2" s="9" t="s">
        <v>91</v>
      </c>
      <c r="S2" s="11" t="s">
        <v>208</v>
      </c>
      <c r="T2" s="11" t="s">
        <v>209</v>
      </c>
      <c r="U2" s="11" t="s">
        <v>210</v>
      </c>
      <c r="V2" s="11" t="s">
        <v>211</v>
      </c>
      <c r="W2" s="11" t="s">
        <v>212</v>
      </c>
      <c r="X2" s="11" t="s">
        <v>213</v>
      </c>
      <c r="Z2" s="11" t="s">
        <v>208</v>
      </c>
      <c r="AA2" s="11" t="s">
        <v>209</v>
      </c>
      <c r="AB2" s="11" t="s">
        <v>210</v>
      </c>
      <c r="AC2" s="11" t="s">
        <v>211</v>
      </c>
      <c r="AD2" s="11" t="s">
        <v>212</v>
      </c>
      <c r="AE2" s="11" t="s">
        <v>213</v>
      </c>
    </row>
    <row r="3" spans="1:31" x14ac:dyDescent="0.45">
      <c r="B3" s="1" t="s">
        <v>6</v>
      </c>
      <c r="C3" s="8">
        <v>200</v>
      </c>
      <c r="D3" s="8">
        <v>200</v>
      </c>
      <c r="E3" s="9">
        <v>200</v>
      </c>
      <c r="F3" s="9">
        <v>200</v>
      </c>
      <c r="G3" s="9">
        <v>200</v>
      </c>
      <c r="H3" s="9">
        <v>200</v>
      </c>
      <c r="J3" s="8">
        <v>200</v>
      </c>
      <c r="K3" s="8">
        <v>200</v>
      </c>
      <c r="L3" s="11">
        <v>200</v>
      </c>
      <c r="M3" s="8">
        <v>200</v>
      </c>
      <c r="N3" s="8">
        <v>200</v>
      </c>
      <c r="O3" s="9">
        <v>200</v>
      </c>
      <c r="S3" s="16" t="s">
        <v>218</v>
      </c>
      <c r="T3" s="16"/>
      <c r="U3" s="16"/>
      <c r="V3" s="16"/>
      <c r="W3" s="16"/>
      <c r="X3" s="16"/>
      <c r="Z3" s="16" t="s">
        <v>218</v>
      </c>
      <c r="AA3" s="16"/>
      <c r="AB3" s="16"/>
      <c r="AC3" s="16"/>
      <c r="AD3" s="16"/>
      <c r="AE3" s="16"/>
    </row>
    <row r="4" spans="1:31" x14ac:dyDescent="0.45">
      <c r="C4" s="8"/>
      <c r="D4" s="8"/>
      <c r="E4" s="9"/>
      <c r="F4" s="8"/>
      <c r="G4" s="8"/>
      <c r="H4" s="9"/>
      <c r="J4" s="8"/>
      <c r="K4" s="8"/>
      <c r="L4" s="9"/>
      <c r="M4" s="8"/>
      <c r="N4" s="8"/>
      <c r="O4" s="9"/>
    </row>
    <row r="5" spans="1:31" x14ac:dyDescent="0.45">
      <c r="A5" s="2" t="s">
        <v>58</v>
      </c>
      <c r="B5" s="1" t="s">
        <v>3</v>
      </c>
      <c r="C5" s="12">
        <f>'Table-n=200-corr'!C5</f>
        <v>0.17480421161384499</v>
      </c>
      <c r="D5" s="12">
        <f>'Table-n=200-corr'!D5</f>
        <v>5.7424546345527201</v>
      </c>
      <c r="E5" s="12">
        <f>'Table-n=200-corr'!E5</f>
        <v>0.91095855058177333</v>
      </c>
      <c r="F5" s="12">
        <f>'Table-n=200-corr'!F5</f>
        <v>0.93799999999999994</v>
      </c>
      <c r="G5" s="12">
        <f>'Table-n=200-corr'!G5</f>
        <v>21.281051826842628</v>
      </c>
      <c r="H5" s="12">
        <f>'Table-n=200-corr'!I5</f>
        <v>1.2056723134771641</v>
      </c>
      <c r="I5" s="12"/>
      <c r="J5" s="12">
        <f>'Table-n=200-miss'!C5</f>
        <v>1.4540283848044</v>
      </c>
      <c r="K5" s="12">
        <f>'Table-n=200-miss'!D5</f>
        <v>5.8161453557337799</v>
      </c>
      <c r="L5" s="12">
        <f>'Table-n=200-miss'!E5</f>
        <v>0.91752550067499938</v>
      </c>
      <c r="M5" s="12">
        <f>'Table-n=200-miss'!F5</f>
        <v>0.92400000000000004</v>
      </c>
      <c r="N5" s="12">
        <f>'Table-n=200-miss'!G5</f>
        <v>20.782171145020001</v>
      </c>
      <c r="O5" s="12">
        <f>'Table-n=200-miss'!I5</f>
        <v>1.2527864746560964</v>
      </c>
      <c r="P5" s="5"/>
      <c r="Q5" s="5"/>
      <c r="R5" s="1" t="s">
        <v>3</v>
      </c>
      <c r="S5" s="7">
        <f>100*'Table-n=200-corr'!K5/SQRT(C$3)</f>
        <v>12.628280198981397</v>
      </c>
      <c r="T5" s="7">
        <f>100*SQRT('Table-n=200-corr'!L5/D$3)</f>
        <v>3.3564727322386219</v>
      </c>
      <c r="U5" s="7">
        <f>100*'Table-n=200-corr'!M5/SQRT(E$3)</f>
        <v>7.0866678805385401</v>
      </c>
      <c r="V5" s="7">
        <f>100*SQRT('Table-n=200-corr'!N5/F$3)</f>
        <v>1.6023854817824221</v>
      </c>
      <c r="W5" s="7">
        <f>100*'Table-n=200-corr'!O5/SQRT(G$3)</f>
        <v>7.9398966634633803</v>
      </c>
      <c r="X5" s="7">
        <f>100*SQRT('Table-n=200-corr'!P5/H$3)</f>
        <v>2.2067259154348124</v>
      </c>
      <c r="Y5" s="12"/>
      <c r="Z5" s="7">
        <f>100*'Table-n=200-miss'!K5/SQRT(J$3)</f>
        <v>13.087884889230738</v>
      </c>
      <c r="AA5" s="7">
        <f>100*SQRT('Table-n=200-miss'!L5/K$3)</f>
        <v>3.7866728606194049</v>
      </c>
      <c r="AB5" s="7">
        <f>100*'Table-n=200-miss'!M5/SQRT(L$3)</f>
        <v>7.420084437051738</v>
      </c>
      <c r="AC5" s="7">
        <f>100*SQRT('Table-n=200-miss'!N5/M$3)</f>
        <v>1.859401103954534</v>
      </c>
      <c r="AD5" s="7">
        <f>100*'Table-n=200-miss'!O5/SQRT(N$3)</f>
        <v>7.6985175928809406</v>
      </c>
      <c r="AE5" s="7">
        <f>100*SQRT('Table-n=200-miss'!P5/O$3)</f>
        <v>2.2803155654159908</v>
      </c>
    </row>
    <row r="6" spans="1:31" x14ac:dyDescent="0.45">
      <c r="B6" s="1" t="s">
        <v>5</v>
      </c>
      <c r="C6" s="12">
        <f>'Table-n=200-corr'!C6</f>
        <v>1.8543184905242101</v>
      </c>
      <c r="D6" s="12">
        <f>'Table-n=200-corr'!D6</f>
        <v>5.8812819542166199</v>
      </c>
      <c r="E6" s="12">
        <f>'Table-n=200-corr'!E6</f>
        <v>0.95553691900827931</v>
      </c>
      <c r="F6" s="12">
        <f>'Table-n=200-corr'!F6</f>
        <v>0.94199999999999995</v>
      </c>
      <c r="G6" s="12">
        <f>'Table-n=200-corr'!G6</f>
        <v>23.259223791104109</v>
      </c>
      <c r="H6" s="12">
        <f>'Table-n=200-corr'!I6</f>
        <v>1.0093110598499186</v>
      </c>
      <c r="I6" s="12"/>
      <c r="J6" s="12">
        <f>'Table-n=200-miss'!C6</f>
        <v>2.2659725744038499</v>
      </c>
      <c r="K6" s="12">
        <f>'Table-n=200-miss'!D6</f>
        <v>6.3764729164300498</v>
      </c>
      <c r="L6" s="12">
        <f>'Table-n=200-miss'!E6</f>
        <v>1.1028302718041141</v>
      </c>
      <c r="M6" s="12">
        <f>'Table-n=200-miss'!F6</f>
        <v>0.95199999999999996</v>
      </c>
      <c r="N6" s="12">
        <f>'Table-n=200-miss'!G6</f>
        <v>24.983979639291295</v>
      </c>
      <c r="O6" s="12">
        <f>'Table-n=200-miss'!I6</f>
        <v>0.86683343716146022</v>
      </c>
      <c r="P6" s="5"/>
      <c r="Q6" s="5"/>
      <c r="R6" s="1" t="s">
        <v>5</v>
      </c>
      <c r="S6" s="7">
        <f>100*'Table-n=200-corr'!K6/SQRT(C$3)</f>
        <v>11.006105168550615</v>
      </c>
      <c r="T6" s="7">
        <f>100*SQRT('Table-n=200-corr'!L6/D$3)</f>
        <v>2.8419917405509292</v>
      </c>
      <c r="U6" s="7">
        <f>100*'Table-n=200-corr'!M6/SQRT(E$3)</f>
        <v>6.0019437144126631</v>
      </c>
      <c r="V6" s="7">
        <f>100*SQRT('Table-n=200-corr'!N6/F$3)</f>
        <v>1.3464303778986142</v>
      </c>
      <c r="W6" s="7">
        <f>100*'Table-n=200-corr'!O6/SQRT(G$3)</f>
        <v>6.7062633397094205</v>
      </c>
      <c r="X6" s="7">
        <f>100*SQRT('Table-n=200-corr'!P6/H$3)</f>
        <v>1.7660007811062499</v>
      </c>
      <c r="Y6" s="12"/>
      <c r="Z6" s="7">
        <f>100*'Table-n=200-miss'!K6/SQRT(J$3)</f>
        <v>11.457958587586427</v>
      </c>
      <c r="AA6" s="7">
        <f>100*SQRT('Table-n=200-miss'!L6/K$3)</f>
        <v>3.2064788177229944</v>
      </c>
      <c r="AB6" s="7">
        <f>100*'Table-n=200-miss'!M6/SQRT(L$3)</f>
        <v>6.5941759351727427</v>
      </c>
      <c r="AC6" s="7">
        <f>100*SQRT('Table-n=200-miss'!N6/M$3)</f>
        <v>1.6187539779478768</v>
      </c>
      <c r="AD6" s="7">
        <f>100*'Table-n=200-miss'!O6/SQRT(N$3)</f>
        <v>6.4412295104159378</v>
      </c>
      <c r="AE6" s="7">
        <f>100*SQRT('Table-n=200-miss'!P6/O$3)</f>
        <v>1.8304961440333409</v>
      </c>
    </row>
    <row r="7" spans="1:31" x14ac:dyDescent="0.45">
      <c r="B7" s="1" t="s">
        <v>4</v>
      </c>
      <c r="C7" s="12">
        <f>'Table-n=200-corr'!C7</f>
        <v>0.17974137399204099</v>
      </c>
      <c r="D7" s="12">
        <f>'Table-n=200-corr'!D7</f>
        <v>5.6154252630745898</v>
      </c>
      <c r="E7" s="12">
        <f>'Table-n=200-corr'!E7</f>
        <v>0.87110152439407362</v>
      </c>
      <c r="F7" s="12">
        <f>'Table-n=200-corr'!F7</f>
        <v>0.93100000000000005</v>
      </c>
      <c r="G7" s="12">
        <f>'Table-n=200-corr'!G7</f>
        <v>20.836742985892691</v>
      </c>
      <c r="H7" s="12">
        <f>'Table-n=200-corr'!I7</f>
        <v>1.2576384222229542</v>
      </c>
      <c r="I7" s="12"/>
      <c r="J7" s="12">
        <f>'Table-n=200-miss'!C7</f>
        <v>0.45100517894404901</v>
      </c>
      <c r="K7" s="12">
        <f>'Table-n=200-miss'!D7</f>
        <v>5.3769305724777103</v>
      </c>
      <c r="L7" s="12">
        <f>'Table-n=200-miss'!E7</f>
        <v>0.78418132867158641</v>
      </c>
      <c r="M7" s="12">
        <f>'Table-n=200-miss'!F7</f>
        <v>0.95499999999999996</v>
      </c>
      <c r="N7" s="12">
        <f>'Table-n=200-miss'!G7</f>
        <v>22.561914177811122</v>
      </c>
      <c r="O7" s="12">
        <f>'Table-n=200-miss'!I7</f>
        <v>1.062935725912808</v>
      </c>
      <c r="P7" s="5"/>
      <c r="Q7" s="5"/>
      <c r="R7" s="1" t="s">
        <v>4</v>
      </c>
      <c r="S7" s="7">
        <f>100*'Table-n=200-corr'!K7/SQRT(C$3)</f>
        <v>12.463875425935203</v>
      </c>
      <c r="T7" s="7">
        <f>100*SQRT('Table-n=200-corr'!L7/D$3)</f>
        <v>3.3129815711034292</v>
      </c>
      <c r="U7" s="7">
        <f>100*'Table-n=200-corr'!M7/SQRT(E$3)</f>
        <v>6.8807028154317216</v>
      </c>
      <c r="V7" s="7">
        <f>100*SQRT('Table-n=200-corr'!N7/F$3)</f>
        <v>1.5782842702670374</v>
      </c>
      <c r="W7" s="7">
        <f>100*'Table-n=200-corr'!O7/SQRT(G$3)</f>
        <v>7.70607580844929</v>
      </c>
      <c r="X7" s="7">
        <f>100*SQRT('Table-n=200-corr'!P7/H$3)</f>
        <v>2.1419166177280666</v>
      </c>
      <c r="Y7" s="12"/>
      <c r="Z7" s="7">
        <f>100*'Table-n=200-miss'!K7/SQRT(J$3)</f>
        <v>18.026307600576363</v>
      </c>
      <c r="AA7" s="7">
        <f>100*SQRT('Table-n=200-miss'!L7/K$3)</f>
        <v>5.482184457557981</v>
      </c>
      <c r="AB7" s="7">
        <f>100*'Table-n=200-miss'!M7/SQRT(L$3)</f>
        <v>9.2001667945142103</v>
      </c>
      <c r="AC7" s="7">
        <f>100*SQRT('Table-n=200-miss'!N7/M$3)</f>
        <v>2.4176985791423937</v>
      </c>
      <c r="AD7" s="7">
        <f>100*'Table-n=200-miss'!O7/SQRT(N$3)</f>
        <v>9.8873292612976549</v>
      </c>
      <c r="AE7" s="7">
        <f>100*SQRT('Table-n=200-miss'!P7/O$3)</f>
        <v>3.3437482885265379</v>
      </c>
    </row>
    <row r="8" spans="1:31" x14ac:dyDescent="0.45">
      <c r="B8" s="1" t="s">
        <v>88</v>
      </c>
      <c r="C8" s="12">
        <f>'Table-n=200-corr'!C8</f>
        <v>0.19824864562613501</v>
      </c>
      <c r="D8" s="12">
        <f>'Table-n=200-corr'!D8</f>
        <v>6.4360631361565197</v>
      </c>
      <c r="E8" s="12">
        <f>'Table-n=200-corr'!E8</f>
        <v>1.1443109724427492</v>
      </c>
      <c r="F8" s="12">
        <f>'Table-n=200-corr'!F8</f>
        <v>0.91700000000000004</v>
      </c>
      <c r="G8" s="12">
        <f>'Table-n=200-corr'!G8</f>
        <v>22.163330394961601</v>
      </c>
      <c r="H8" s="12">
        <f>'Table-n=200-corr'!I8</f>
        <v>1.1115920332324982</v>
      </c>
      <c r="I8" s="12"/>
      <c r="J8" s="12">
        <f>'Table-n=200-miss'!C8</f>
        <v>2.2749703702866801</v>
      </c>
      <c r="K8" s="12">
        <f>'Table-n=200-miss'!D8</f>
        <v>6.4665160667358901</v>
      </c>
      <c r="L8" s="12">
        <f>'Table-n=200-miss'!E8</f>
        <v>1.134196654069543</v>
      </c>
      <c r="M8" s="12">
        <f>'Table-n=200-miss'!F8</f>
        <v>0.89800000000000002</v>
      </c>
      <c r="N8" s="12">
        <f>'Table-n=200-miss'!G8</f>
        <v>21.340059325583642</v>
      </c>
      <c r="O8" s="12">
        <f>'Table-n=200-miss'!I8</f>
        <v>1.1881400766493295</v>
      </c>
      <c r="P8" s="5"/>
      <c r="Q8" s="5"/>
      <c r="R8" s="1" t="s">
        <v>88</v>
      </c>
      <c r="S8" s="7">
        <f>100*'Table-n=200-corr'!K8/SQRT(C$3)</f>
        <v>13.197095545927121</v>
      </c>
      <c r="T8" s="7">
        <f>100*SQRT('Table-n=200-corr'!L8/D$3)</f>
        <v>3.5005891843890651</v>
      </c>
      <c r="U8" s="7">
        <f>100*'Table-n=200-corr'!M8/SQRT(E$3)</f>
        <v>7.5766262570782779</v>
      </c>
      <c r="V8" s="7">
        <f>100*SQRT('Table-n=200-corr'!N8/F$3)</f>
        <v>1.667231349334652</v>
      </c>
      <c r="W8" s="7">
        <f>100*'Table-n=200-corr'!O8/SQRT(G$3)</f>
        <v>8.5416857372328323</v>
      </c>
      <c r="X8" s="7">
        <f>100*SQRT('Table-n=200-corr'!P8/H$3)</f>
        <v>2.3722313002623396</v>
      </c>
      <c r="Y8" s="12"/>
      <c r="Z8" s="7">
        <f>100*'Table-n=200-miss'!K8/SQRT(J$3)</f>
        <v>14.037274602416138</v>
      </c>
      <c r="AA8" s="7">
        <f>100*SQRT('Table-n=200-miss'!L8/K$3)</f>
        <v>4.075917840347846</v>
      </c>
      <c r="AB8" s="7">
        <f>100*'Table-n=200-miss'!M8/SQRT(L$3)</f>
        <v>8.0984388259887243</v>
      </c>
      <c r="AC8" s="7">
        <f>100*SQRT('Table-n=200-miss'!N8/M$3)</f>
        <v>2.013380270692001</v>
      </c>
      <c r="AD8" s="7">
        <f>100*'Table-n=200-miss'!O8/SQRT(N$3)</f>
        <v>8.1613696491420953</v>
      </c>
      <c r="AE8" s="7">
        <f>100*SQRT('Table-n=200-miss'!P8/O$3)</f>
        <v>2.4671703251391057</v>
      </c>
    </row>
    <row r="9" spans="1:31" x14ac:dyDescent="0.45">
      <c r="B9" s="1" t="s">
        <v>89</v>
      </c>
      <c r="C9" s="12">
        <f>'Table-n=200-corr'!C9</f>
        <v>0.19292778484724801</v>
      </c>
      <c r="D9" s="12">
        <f>'Table-n=200-corr'!D9</f>
        <v>6.0165601742742796</v>
      </c>
      <c r="E9" s="12">
        <f>'Table-n=200-corr'!E9</f>
        <v>1</v>
      </c>
      <c r="F9" s="12">
        <f>'Table-n=200-corr'!F9</f>
        <v>0.94299999999999995</v>
      </c>
      <c r="G9" s="12">
        <f>'Table-n=200-corr'!G9</f>
        <v>23.367256910451783</v>
      </c>
      <c r="H9" s="12">
        <f>'Table-n=200-corr'!I9</f>
        <v>1</v>
      </c>
      <c r="I9" s="12"/>
      <c r="J9" s="12">
        <f>'Table-n=200-miss'!C9</f>
        <v>1.60745447549051</v>
      </c>
      <c r="K9" s="12">
        <f>'Table-n=200-miss'!D9</f>
        <v>6.0719219456016296</v>
      </c>
      <c r="L9" s="12">
        <f>'Table-n=200-miss'!E9</f>
        <v>1</v>
      </c>
      <c r="M9" s="12">
        <f>'Table-n=200-miss'!F9</f>
        <v>0.93899999999999995</v>
      </c>
      <c r="N9" s="12">
        <f>'Table-n=200-miss'!G9</f>
        <v>23.261056972621134</v>
      </c>
      <c r="O9" s="12">
        <f>'Table-n=200-miss'!I9</f>
        <v>1</v>
      </c>
      <c r="P9" s="5"/>
      <c r="Q9" s="5"/>
      <c r="R9" s="1" t="s">
        <v>89</v>
      </c>
      <c r="S9" s="7">
        <f>100*'Table-n=200-corr'!K9/SQRT(C$3)</f>
        <v>12.857596227010085</v>
      </c>
      <c r="T9" s="7">
        <f>100*SQRT('Table-n=200-corr'!L9/D$3)</f>
        <v>3.3920251013510283</v>
      </c>
      <c r="U9" s="7">
        <f>100*'Table-n=200-corr'!M9/SQRT(E$3)</f>
        <v>7.056062759754596</v>
      </c>
      <c r="V9" s="7">
        <f>100*SQRT('Table-n=200-corr'!N9/F$3)</f>
        <v>1.6171630538343775</v>
      </c>
      <c r="W9" s="7">
        <f>100*'Table-n=200-corr'!O9/SQRT(G$3)</f>
        <v>7.7886651901184258</v>
      </c>
      <c r="X9" s="7">
        <f>100*SQRT('Table-n=200-corr'!P9/H$3)</f>
        <v>2.1538671200182407</v>
      </c>
      <c r="Y9" s="12"/>
      <c r="Z9" s="7">
        <f>100*'Table-n=200-miss'!K9/SQRT(J$3)</f>
        <v>13.361784786555939</v>
      </c>
      <c r="AA9" s="7">
        <f>100*SQRT('Table-n=200-miss'!L9/K$3)</f>
        <v>3.8532427370180948</v>
      </c>
      <c r="AB9" s="7">
        <f>100*'Table-n=200-miss'!M9/SQRT(L$3)</f>
        <v>7.3928621580649629</v>
      </c>
      <c r="AC9" s="7">
        <f>100*SQRT('Table-n=200-miss'!N9/M$3)</f>
        <v>1.8603556223334401</v>
      </c>
      <c r="AD9" s="7">
        <f>100*'Table-n=200-miss'!O9/SQRT(N$3)</f>
        <v>7.6111930919738997</v>
      </c>
      <c r="AE9" s="7">
        <f>100*SQRT('Table-n=200-miss'!P9/O$3)</f>
        <v>2.2846768222777372</v>
      </c>
    </row>
    <row r="10" spans="1:31" s="3" customFormat="1" x14ac:dyDescent="0.45">
      <c r="B10" s="3" t="s">
        <v>2</v>
      </c>
      <c r="C10" s="14">
        <f>'Table-n=200-corr'!C10</f>
        <v>0.26400015248305703</v>
      </c>
      <c r="D10" s="14">
        <f>'Table-n=200-corr'!D10</f>
        <v>7.3315714495310802</v>
      </c>
      <c r="E10" s="14">
        <f>'Table-n=200-corr'!E10</f>
        <v>1.4849013886621827</v>
      </c>
      <c r="F10" s="14">
        <f>'Table-n=200-corr'!F10</f>
        <v>0.92900000000000005</v>
      </c>
      <c r="G10" s="14">
        <f>'Table-n=200-corr'!G10</f>
        <v>24.42186491589635</v>
      </c>
      <c r="H10" s="14">
        <f>'Table-n=200-corr'!I10</f>
        <v>0.91549888018785408</v>
      </c>
      <c r="I10" s="14"/>
      <c r="J10" s="14">
        <f>'Table-n=200-miss'!C10</f>
        <v>4.61798591146903</v>
      </c>
      <c r="K10" s="14">
        <f>'Table-n=200-miss'!D10</f>
        <v>11.371308155351899</v>
      </c>
      <c r="L10" s="14">
        <f>'Table-n=200-miss'!E10</f>
        <v>3.5072643227620901</v>
      </c>
      <c r="M10" s="14">
        <f>'Table-n=200-miss'!F10</f>
        <v>0.89800000000000002</v>
      </c>
      <c r="N10" s="14">
        <f>'Table-n=200-miss'!G10</f>
        <v>26.730128999554363</v>
      </c>
      <c r="O10" s="14">
        <f>'Table-n=200-miss'!I10</f>
        <v>0.75728051184984568</v>
      </c>
      <c r="P10" s="13"/>
      <c r="Q10" s="13"/>
      <c r="R10" s="3" t="s">
        <v>2</v>
      </c>
      <c r="S10" s="7">
        <f>100*'Table-n=200-corr'!K10/SQRT(C$3)</f>
        <v>13.162026174973716</v>
      </c>
      <c r="T10" s="7">
        <f>100*SQRT('Table-n=200-corr'!L10/D$3)</f>
        <v>3.4926320189479165</v>
      </c>
      <c r="U10" s="7">
        <f>100*'Table-n=200-corr'!M10/SQRT(E$3)</f>
        <v>7.6063274227092421</v>
      </c>
      <c r="V10" s="7">
        <f>100*SQRT('Table-n=200-corr'!N10/F$3)</f>
        <v>1.6468912234355357</v>
      </c>
      <c r="W10" s="7">
        <f>100*'Table-n=200-corr'!O10/SQRT(G$3)</f>
        <v>8.5360375495628613</v>
      </c>
      <c r="X10" s="7">
        <f>100*SQRT('Table-n=200-corr'!P10/H$3)</f>
        <v>2.4129353411597982</v>
      </c>
      <c r="Y10" s="14"/>
      <c r="Z10" s="7">
        <f>100*'Table-n=200-miss'!K10/SQRT(J$3)</f>
        <v>14.89714595060668</v>
      </c>
      <c r="AA10" s="7">
        <f>100*SQRT('Table-n=200-miss'!L10/K$3)</f>
        <v>4.135067887010532</v>
      </c>
      <c r="AB10" s="7">
        <f>100*'Table-n=200-miss'!M10/SQRT(L$3)</f>
        <v>9.7562817807328308</v>
      </c>
      <c r="AC10" s="7">
        <f>100*SQRT('Table-n=200-miss'!N10/M$3)</f>
        <v>2.4961702701869521</v>
      </c>
      <c r="AD10" s="7">
        <f>100*'Table-n=200-miss'!O10/SQRT(N$3)</f>
        <v>7.8452553573124151</v>
      </c>
      <c r="AE10" s="7">
        <f>100*SQRT('Table-n=200-miss'!P10/O$3)</f>
        <v>2.2890657806908585</v>
      </c>
    </row>
    <row r="11" spans="1:31" s="4" customFormat="1" x14ac:dyDescent="0.45"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5"/>
      <c r="Q11" s="6"/>
      <c r="S11" s="16"/>
      <c r="T11" s="16"/>
      <c r="U11" s="16"/>
      <c r="V11" s="16"/>
      <c r="W11" s="16"/>
      <c r="X11" s="16"/>
      <c r="Y11" s="7"/>
      <c r="Z11" s="16"/>
      <c r="AA11" s="16"/>
      <c r="AB11" s="16"/>
      <c r="AC11" s="16"/>
      <c r="AD11" s="16"/>
      <c r="AE11" s="16"/>
    </row>
    <row r="12" spans="1:31" x14ac:dyDescent="0.45">
      <c r="A12" s="2" t="s">
        <v>206</v>
      </c>
      <c r="B12" s="1" t="s">
        <v>3</v>
      </c>
      <c r="C12" s="12">
        <f>'Table-n=200-corr'!C12</f>
        <v>0.25055798230047999</v>
      </c>
      <c r="D12" s="12">
        <f>'Table-n=200-corr'!D12</f>
        <v>8.2476560382210096</v>
      </c>
      <c r="E12" s="12">
        <f>'Table-n=200-corr'!E12</f>
        <v>1.0861522690140604</v>
      </c>
      <c r="F12" s="12">
        <f>'Table-n=200-corr'!F12</f>
        <v>0.94799999999999995</v>
      </c>
      <c r="G12" s="12">
        <f>'Table-n=200-corr'!G12</f>
        <v>31.089666019168675</v>
      </c>
      <c r="H12" s="12">
        <f>'Table-n=200-corr'!I12</f>
        <v>0.99028954374818057</v>
      </c>
      <c r="I12" s="12"/>
      <c r="J12" s="12">
        <f>'Table-n=200-miss'!C12</f>
        <v>-3.95486917479642</v>
      </c>
      <c r="K12" s="12">
        <f>'Table-n=200-miss'!D12</f>
        <v>9.1252649095906104</v>
      </c>
      <c r="L12" s="12">
        <f>'Table-n=200-miss'!E12</f>
        <v>1.1205355350617272</v>
      </c>
      <c r="M12" s="12">
        <f>'Table-n=200-miss'!F12</f>
        <v>0.91700000000000004</v>
      </c>
      <c r="N12" s="12">
        <f>'Table-n=200-miss'!G12</f>
        <v>31.738040414532431</v>
      </c>
      <c r="O12" s="12">
        <f>'Table-n=200-miss'!I12</f>
        <v>1.0042723416399575</v>
      </c>
      <c r="P12" s="5"/>
      <c r="Q12" s="5"/>
      <c r="S12" s="15"/>
      <c r="T12" s="15"/>
      <c r="U12" s="15"/>
      <c r="V12" s="15"/>
      <c r="W12" s="15"/>
      <c r="X12" s="15"/>
      <c r="Y12" s="12"/>
      <c r="Z12" s="15"/>
      <c r="AA12" s="15"/>
      <c r="AB12" s="15"/>
      <c r="AC12" s="15"/>
      <c r="AD12" s="15"/>
      <c r="AE12" s="15"/>
    </row>
    <row r="13" spans="1:31" x14ac:dyDescent="0.45">
      <c r="B13" s="1" t="s">
        <v>5</v>
      </c>
      <c r="C13" s="12">
        <f>'Table-n=200-corr'!C13</f>
        <v>1.08884743742234</v>
      </c>
      <c r="D13" s="12">
        <f>'Table-n=200-corr'!D13</f>
        <v>8.4690735679172295</v>
      </c>
      <c r="E13" s="12">
        <f>'Table-n=200-corr'!E13</f>
        <v>1.1452530134355448</v>
      </c>
      <c r="F13" s="12">
        <f>'Table-n=200-corr'!F13</f>
        <v>0.95299999999999996</v>
      </c>
      <c r="G13" s="12">
        <f>'Table-n=200-corr'!G13</f>
        <v>33.422270110934001</v>
      </c>
      <c r="H13" s="12">
        <f>'Table-n=200-corr'!I13</f>
        <v>0.85688475692863864</v>
      </c>
      <c r="I13" s="12"/>
      <c r="J13" s="12">
        <f>'Table-n=200-miss'!C13</f>
        <v>-2.3807337935863502</v>
      </c>
      <c r="K13" s="12">
        <f>'Table-n=200-miss'!D13</f>
        <v>9.0588249417503608</v>
      </c>
      <c r="L13" s="12">
        <f>'Table-n=200-miss'!E13</f>
        <v>1.1042779642671172</v>
      </c>
      <c r="M13" s="12">
        <f>'Table-n=200-miss'!F13</f>
        <v>0.95099999999999996</v>
      </c>
      <c r="N13" s="12">
        <f>'Table-n=200-miss'!G13</f>
        <v>36.198902513571149</v>
      </c>
      <c r="O13" s="12">
        <f>'Table-n=200-miss'!I13</f>
        <v>0.77200642072103054</v>
      </c>
      <c r="P13" s="5"/>
      <c r="Q13" s="5"/>
      <c r="S13" s="15"/>
      <c r="T13" s="15"/>
      <c r="U13" s="15"/>
      <c r="V13" s="15"/>
      <c r="W13" s="15"/>
      <c r="X13" s="15"/>
      <c r="Y13" s="12"/>
      <c r="Z13" s="15"/>
      <c r="AA13" s="15"/>
      <c r="AB13" s="15"/>
      <c r="AC13" s="15"/>
      <c r="AD13" s="15"/>
      <c r="AE13" s="15"/>
    </row>
    <row r="14" spans="1:31" x14ac:dyDescent="0.45">
      <c r="B14" s="1" t="s">
        <v>4</v>
      </c>
      <c r="C14" s="12">
        <f>'Table-n=200-corr'!C14</f>
        <v>0.25939188844241201</v>
      </c>
      <c r="D14" s="12">
        <f>'Table-n=200-corr'!D14</f>
        <v>8.1838981924936594</v>
      </c>
      <c r="E14" s="12">
        <f>'Table-n=200-corr'!E14</f>
        <v>1.0694243502277292</v>
      </c>
      <c r="F14" s="12">
        <f>'Table-n=200-corr'!F14</f>
        <v>0.94899999999999995</v>
      </c>
      <c r="G14" s="12">
        <f>'Table-n=200-corr'!G14</f>
        <v>30.976454524254457</v>
      </c>
      <c r="H14" s="12">
        <f>'Table-n=200-corr'!I14</f>
        <v>0.99754131176793515</v>
      </c>
      <c r="I14" s="12"/>
      <c r="J14" s="12">
        <f>'Table-n=200-miss'!C14</f>
        <v>-1.5296734942738801</v>
      </c>
      <c r="K14" s="12">
        <f>'Table-n=200-miss'!D14</f>
        <v>8.7674380716211004</v>
      </c>
      <c r="L14" s="12">
        <f>'Table-n=200-miss'!E14</f>
        <v>1.0343799303480461</v>
      </c>
      <c r="M14" s="12">
        <f>'Table-n=200-miss'!F14</f>
        <v>0.98199999999999998</v>
      </c>
      <c r="N14" s="12">
        <f>'Table-n=200-miss'!G14</f>
        <v>42.611881125659274</v>
      </c>
      <c r="O14" s="12">
        <f>'Table-n=200-miss'!I14</f>
        <v>0.55712199696382247</v>
      </c>
      <c r="P14" s="5"/>
      <c r="Q14" s="5"/>
      <c r="S14" s="15"/>
      <c r="T14" s="15"/>
      <c r="U14" s="15"/>
      <c r="V14" s="15"/>
      <c r="W14" s="15"/>
      <c r="X14" s="15"/>
      <c r="Y14" s="12"/>
      <c r="Z14" s="15"/>
      <c r="AA14" s="15"/>
      <c r="AB14" s="15"/>
      <c r="AC14" s="15"/>
      <c r="AD14" s="15"/>
      <c r="AE14" s="15"/>
    </row>
    <row r="15" spans="1:31" x14ac:dyDescent="0.45">
      <c r="B15" s="1" t="s">
        <v>88</v>
      </c>
      <c r="C15" s="12">
        <f>'Table-n=200-corr'!C15</f>
        <v>0.30476951178344802</v>
      </c>
      <c r="D15" s="12">
        <f>'Table-n=200-corr'!D15</f>
        <v>7.9350331102629399</v>
      </c>
      <c r="E15" s="12">
        <f>'Table-n=200-corr'!E15</f>
        <v>1.0053727709188343</v>
      </c>
      <c r="F15" s="12">
        <f>'Table-n=200-corr'!F15</f>
        <v>0.93600000000000005</v>
      </c>
      <c r="G15" s="12">
        <f>'Table-n=200-corr'!G15</f>
        <v>29.918503828558631</v>
      </c>
      <c r="H15" s="12">
        <f>'Table-n=200-corr'!I15</f>
        <v>1.069336925744437</v>
      </c>
      <c r="I15" s="12"/>
      <c r="J15" s="12">
        <f>'Table-n=200-miss'!C15</f>
        <v>-3.4135012366877699</v>
      </c>
      <c r="K15" s="12">
        <f>'Table-n=200-miss'!D15</f>
        <v>9.0949711208136605</v>
      </c>
      <c r="L15" s="12">
        <f>'Table-n=200-miss'!E15</f>
        <v>1.1131080418551782</v>
      </c>
      <c r="M15" s="12">
        <f>'Table-n=200-miss'!F15</f>
        <v>0.90500000000000003</v>
      </c>
      <c r="N15" s="12">
        <f>'Table-n=200-miss'!G15</f>
        <v>31.2169406636906</v>
      </c>
      <c r="O15" s="12">
        <f>'Table-n=200-miss'!I15</f>
        <v>1.0380805212959461</v>
      </c>
      <c r="P15" s="5"/>
      <c r="Q15" s="5"/>
      <c r="S15" s="15"/>
      <c r="T15" s="15"/>
      <c r="U15" s="15"/>
      <c r="V15" s="15"/>
      <c r="W15" s="15"/>
      <c r="X15" s="15"/>
      <c r="Y15" s="12"/>
      <c r="Z15" s="15"/>
      <c r="AA15" s="15"/>
      <c r="AB15" s="15"/>
      <c r="AC15" s="15"/>
      <c r="AD15" s="15"/>
      <c r="AE15" s="15"/>
    </row>
    <row r="16" spans="1:31" x14ac:dyDescent="0.45">
      <c r="B16" s="1" t="s">
        <v>89</v>
      </c>
      <c r="C16" s="12">
        <f>'Table-n=200-corr'!C16</f>
        <v>0.23661003050007201</v>
      </c>
      <c r="D16" s="12">
        <f>'Table-n=200-corr'!D16</f>
        <v>7.9138020666440498</v>
      </c>
      <c r="E16" s="12">
        <f>'Table-n=200-corr'!E16</f>
        <v>1</v>
      </c>
      <c r="F16" s="12">
        <f>'Table-n=200-corr'!F16</f>
        <v>0.95699999999999996</v>
      </c>
      <c r="G16" s="12">
        <f>'Table-n=200-corr'!G16</f>
        <v>30.93835036617395</v>
      </c>
      <c r="H16" s="12">
        <f>'Table-n=200-corr'!I16</f>
        <v>1</v>
      </c>
      <c r="I16" s="12"/>
      <c r="J16" s="12">
        <f>'Table-n=200-miss'!C16</f>
        <v>-3.0434578011812898</v>
      </c>
      <c r="K16" s="12">
        <f>'Table-n=200-miss'!D16</f>
        <v>8.6205041286644004</v>
      </c>
      <c r="L16" s="12">
        <f>'Table-n=200-miss'!E16</f>
        <v>1</v>
      </c>
      <c r="M16" s="12">
        <f>'Table-n=200-miss'!F16</f>
        <v>0.94499999999999995</v>
      </c>
      <c r="N16" s="12">
        <f>'Table-n=200-miss'!G16</f>
        <v>31.805766030703964</v>
      </c>
      <c r="O16" s="12">
        <f>'Table-n=200-miss'!I16</f>
        <v>1</v>
      </c>
      <c r="P16" s="5"/>
      <c r="Q16" s="5"/>
      <c r="S16" s="15"/>
      <c r="T16" s="15"/>
      <c r="U16" s="15"/>
      <c r="V16" s="15"/>
      <c r="W16" s="15"/>
      <c r="X16" s="15"/>
      <c r="Y16" s="12"/>
      <c r="Z16" s="15"/>
      <c r="AA16" s="15"/>
      <c r="AB16" s="15"/>
      <c r="AC16" s="15"/>
      <c r="AD16" s="15"/>
      <c r="AE16" s="15"/>
    </row>
    <row r="17" spans="1:31" s="3" customFormat="1" x14ac:dyDescent="0.45">
      <c r="B17" s="3" t="s">
        <v>2</v>
      </c>
      <c r="C17" s="14">
        <f>'Table-n=200-corr'!C17</f>
        <v>0.35535908204822603</v>
      </c>
      <c r="D17" s="14">
        <f>'Table-n=200-corr'!D17</f>
        <v>7.9786780531532902</v>
      </c>
      <c r="E17" s="14">
        <f>'Table-n=200-corr'!E17</f>
        <v>1.016462859961174</v>
      </c>
      <c r="F17" s="14">
        <f>'Table-n=200-corr'!F17</f>
        <v>0.94499999999999995</v>
      </c>
      <c r="G17" s="14">
        <f>'Table-n=200-corr'!G17</f>
        <v>30.031299625821973</v>
      </c>
      <c r="H17" s="14">
        <f>'Table-n=200-corr'!I17</f>
        <v>1.0613192776278539</v>
      </c>
      <c r="I17" s="14"/>
      <c r="J17" s="14">
        <f>'Table-n=200-miss'!C17</f>
        <v>-1.71991433757909</v>
      </c>
      <c r="K17" s="14">
        <f>'Table-n=200-miss'!D17</f>
        <v>10.121648926543701</v>
      </c>
      <c r="L17" s="14">
        <f>'Table-n=200-miss'!E17</f>
        <v>1.3785966243310803</v>
      </c>
      <c r="M17" s="14">
        <f>'Table-n=200-miss'!F17</f>
        <v>0.93300000000000005</v>
      </c>
      <c r="N17" s="14">
        <f>'Table-n=200-miss'!G17</f>
        <v>33.080918535908495</v>
      </c>
      <c r="O17" s="14">
        <f>'Table-n=200-miss'!I17</f>
        <v>0.92439289783117007</v>
      </c>
      <c r="P17" s="13"/>
      <c r="Q17" s="13"/>
      <c r="S17" s="15"/>
      <c r="T17" s="15"/>
      <c r="U17" s="15"/>
      <c r="V17" s="15"/>
      <c r="W17" s="15"/>
      <c r="X17" s="15"/>
      <c r="Y17" s="14"/>
      <c r="Z17" s="15"/>
      <c r="AA17" s="15"/>
      <c r="AB17" s="15"/>
      <c r="AC17" s="15"/>
      <c r="AD17" s="15"/>
      <c r="AE17" s="15"/>
    </row>
    <row r="18" spans="1:31" s="4" customFormat="1" x14ac:dyDescent="0.45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5"/>
      <c r="Q18" s="6"/>
      <c r="Y18" s="7"/>
    </row>
    <row r="19" spans="1:31" x14ac:dyDescent="0.45">
      <c r="A19" s="2" t="s">
        <v>59</v>
      </c>
      <c r="B19" s="1" t="s">
        <v>3</v>
      </c>
      <c r="C19" s="12">
        <f>'Table-n=200-corr'!C19</f>
        <v>8.4903332796077494E-2</v>
      </c>
      <c r="D19" s="12">
        <f>'Table-n=200-corr'!D19</f>
        <v>6.8746891439693201</v>
      </c>
      <c r="E19" s="12">
        <f>'Table-n=200-corr'!E19</f>
        <v>1.0326144572289171</v>
      </c>
      <c r="F19" s="12">
        <f>'Table-n=200-corr'!F19</f>
        <v>0.95399999999999996</v>
      </c>
      <c r="G19" s="12">
        <f>'Table-n=200-corr'!G19</f>
        <v>27.550883875946838</v>
      </c>
      <c r="H19" s="12">
        <f>'Table-n=200-corr'!I19</f>
        <v>1.0284658543671084</v>
      </c>
      <c r="I19" s="12"/>
      <c r="J19" s="12">
        <f>'Table-n=200-miss'!C19</f>
        <v>-2.09725207141777</v>
      </c>
      <c r="K19" s="12">
        <f>'Table-n=200-miss'!D19</f>
        <v>7.1615327346583397</v>
      </c>
      <c r="L19" s="12">
        <f>'Table-n=200-miss'!E19</f>
        <v>1.1128243805852724</v>
      </c>
      <c r="M19" s="12">
        <f>'Table-n=200-miss'!F19</f>
        <v>0.94</v>
      </c>
      <c r="N19" s="12">
        <f>'Table-n=200-miss'!G19</f>
        <v>27.229291901944716</v>
      </c>
      <c r="O19" s="12">
        <f>'Table-n=200-miss'!I19</f>
        <v>1.0558572119155634</v>
      </c>
      <c r="P19" s="5"/>
      <c r="Q19" s="5"/>
      <c r="Y19" s="12"/>
    </row>
    <row r="20" spans="1:31" x14ac:dyDescent="0.45">
      <c r="B20" s="1" t="s">
        <v>5</v>
      </c>
      <c r="C20" s="12">
        <f>'Table-n=200-corr'!C20</f>
        <v>1.35175732279657</v>
      </c>
      <c r="D20" s="12">
        <f>'Table-n=200-corr'!D20</f>
        <v>7.1143551552390099</v>
      </c>
      <c r="E20" s="12">
        <f>'Table-n=200-corr'!E20</f>
        <v>1.1058676509760115</v>
      </c>
      <c r="F20" s="12">
        <f>'Table-n=200-corr'!F20</f>
        <v>0.96399999999999997</v>
      </c>
      <c r="G20" s="12">
        <f>'Table-n=200-corr'!G20</f>
        <v>29.909170585232832</v>
      </c>
      <c r="H20" s="12">
        <f>'Table-n=200-corr'!I20</f>
        <v>0.87267434867022897</v>
      </c>
      <c r="I20" s="12"/>
      <c r="J20" s="12">
        <f>'Table-n=200-miss'!C20</f>
        <v>-0.68062534717689405</v>
      </c>
      <c r="K20" s="12">
        <f>'Table-n=200-miss'!D20</f>
        <v>6.8268764186449298</v>
      </c>
      <c r="L20" s="12">
        <f>'Table-n=200-miss'!E20</f>
        <v>1.011250505382127</v>
      </c>
      <c r="M20" s="12">
        <f>'Table-n=200-miss'!F20</f>
        <v>0.96</v>
      </c>
      <c r="N20" s="12">
        <f>'Table-n=200-miss'!G20</f>
        <v>30.443626962631914</v>
      </c>
      <c r="O20" s="12">
        <f>'Table-n=200-miss'!I20</f>
        <v>0.84466617401319266</v>
      </c>
      <c r="P20" s="5"/>
      <c r="Q20" s="5"/>
      <c r="Y20" s="12"/>
    </row>
    <row r="21" spans="1:31" x14ac:dyDescent="0.45">
      <c r="B21" s="1" t="s">
        <v>4</v>
      </c>
      <c r="C21" s="12">
        <f>'Table-n=200-corr'!C21</f>
        <v>6.3133495453199004E-2</v>
      </c>
      <c r="D21" s="12">
        <f>'Table-n=200-corr'!D21</f>
        <v>6.8332296072676302</v>
      </c>
      <c r="E21" s="12">
        <f>'Table-n=200-corr'!E21</f>
        <v>1.0201971325478494</v>
      </c>
      <c r="F21" s="12">
        <f>'Table-n=200-corr'!F21</f>
        <v>0.95099999999999996</v>
      </c>
      <c r="G21" s="12">
        <f>'Table-n=200-corr'!G21</f>
        <v>27.299077989234007</v>
      </c>
      <c r="H21" s="12">
        <f>'Table-n=200-corr'!I21</f>
        <v>1.0475264350683513</v>
      </c>
      <c r="I21" s="12"/>
      <c r="J21" s="12">
        <f>'Table-n=200-miss'!C21</f>
        <v>-0.83170906047884696</v>
      </c>
      <c r="K21" s="12">
        <f>'Table-n=200-miss'!D21</f>
        <v>6.9577803959123798</v>
      </c>
      <c r="L21" s="12">
        <f>'Table-n=200-miss'!E21</f>
        <v>1.0504033633949319</v>
      </c>
      <c r="M21" s="12">
        <f>'Table-n=200-miss'!F21</f>
        <v>0.97699999999999998</v>
      </c>
      <c r="N21" s="12">
        <f>'Table-n=200-miss'!G21</f>
        <v>33.693221661521328</v>
      </c>
      <c r="O21" s="12">
        <f>'Table-n=200-miss'!I21</f>
        <v>0.68959294186638642</v>
      </c>
      <c r="P21" s="5"/>
      <c r="Q21" s="5"/>
      <c r="Y21" s="12"/>
    </row>
    <row r="22" spans="1:31" x14ac:dyDescent="0.45">
      <c r="B22" s="1" t="s">
        <v>88</v>
      </c>
      <c r="C22" s="12">
        <f>'Table-n=200-corr'!C22</f>
        <v>-1.89698244389742E-2</v>
      </c>
      <c r="D22" s="12">
        <f>'Table-n=200-corr'!D22</f>
        <v>6.88978807081563</v>
      </c>
      <c r="E22" s="12">
        <f>'Table-n=200-corr'!E22</f>
        <v>1.0371553147250998</v>
      </c>
      <c r="F22" s="12">
        <f>'Table-n=200-corr'!F22</f>
        <v>0.95399999999999996</v>
      </c>
      <c r="G22" s="12">
        <f>'Table-n=200-corr'!G22</f>
        <v>27.145802827957866</v>
      </c>
      <c r="H22" s="12">
        <f>'Table-n=200-corr'!I22</f>
        <v>1.0593892688195323</v>
      </c>
      <c r="I22" s="12"/>
      <c r="J22" s="12">
        <f>'Table-n=200-miss'!C22</f>
        <v>-1.56755900693983</v>
      </c>
      <c r="K22" s="12">
        <f>'Table-n=200-miss'!D22</f>
        <v>7.1335726851715204</v>
      </c>
      <c r="L22" s="12">
        <f>'Table-n=200-miss'!E22</f>
        <v>1.1041519672745264</v>
      </c>
      <c r="M22" s="12">
        <f>'Table-n=200-miss'!F22</f>
        <v>0.93600000000000005</v>
      </c>
      <c r="N22" s="12">
        <f>'Table-n=200-miss'!G22</f>
        <v>27.392793799920408</v>
      </c>
      <c r="O22" s="12">
        <f>'Table-n=200-miss'!I22</f>
        <v>1.0432904435031409</v>
      </c>
      <c r="P22" s="5"/>
      <c r="Q22" s="5"/>
      <c r="Y22" s="12"/>
    </row>
    <row r="23" spans="1:31" x14ac:dyDescent="0.45">
      <c r="B23" s="1" t="s">
        <v>89</v>
      </c>
      <c r="C23" s="12">
        <f>'Table-n=200-corr'!C23</f>
        <v>8.4820860166960402E-2</v>
      </c>
      <c r="D23" s="12">
        <f>'Table-n=200-corr'!D23</f>
        <v>6.7652517871677302</v>
      </c>
      <c r="E23" s="12">
        <f>'Table-n=200-corr'!E23</f>
        <v>1</v>
      </c>
      <c r="F23" s="12">
        <f>'Table-n=200-corr'!F23</f>
        <v>0.95699999999999996</v>
      </c>
      <c r="G23" s="12">
        <f>'Table-n=200-corr'!G23</f>
        <v>27.940262048324897</v>
      </c>
      <c r="H23" s="12">
        <f>'Table-n=200-corr'!I23</f>
        <v>1</v>
      </c>
      <c r="I23" s="12"/>
      <c r="J23" s="12">
        <f>'Table-n=200-miss'!C23</f>
        <v>-1.4476563277286101</v>
      </c>
      <c r="K23" s="12">
        <f>'Table-n=200-miss'!D23</f>
        <v>6.7887945443702096</v>
      </c>
      <c r="L23" s="12">
        <f>'Table-n=200-miss'!E23</f>
        <v>1</v>
      </c>
      <c r="M23" s="12">
        <f>'Table-n=200-miss'!F23</f>
        <v>0.95</v>
      </c>
      <c r="N23" s="12">
        <f>'Table-n=200-miss'!G23</f>
        <v>27.979435169271753</v>
      </c>
      <c r="O23" s="12">
        <f>'Table-n=200-miss'!I23</f>
        <v>1</v>
      </c>
      <c r="P23" s="5"/>
      <c r="Q23" s="5"/>
      <c r="Y23" s="12"/>
    </row>
    <row r="24" spans="1:31" s="3" customFormat="1" x14ac:dyDescent="0.45">
      <c r="B24" s="3" t="s">
        <v>2</v>
      </c>
      <c r="C24" s="14">
        <f>'Table-n=200-corr'!C24</f>
        <v>-6.1007330395689501E-2</v>
      </c>
      <c r="D24" s="14">
        <f>'Table-n=200-corr'!D24</f>
        <v>7.1918813637767398</v>
      </c>
      <c r="E24" s="14">
        <f>'Table-n=200-corr'!E24</f>
        <v>1.1301005859252662</v>
      </c>
      <c r="F24" s="14">
        <f>'Table-n=200-corr'!F24</f>
        <v>0.94599999999999995</v>
      </c>
      <c r="G24" s="14">
        <f>'Table-n=200-corr'!G24</f>
        <v>27.74733171137224</v>
      </c>
      <c r="H24" s="14">
        <f>'Table-n=200-corr'!I24</f>
        <v>1.0139545720790586</v>
      </c>
      <c r="I24" s="14"/>
      <c r="J24" s="14">
        <f>'Table-n=200-miss'!C24</f>
        <v>0.36336797856768899</v>
      </c>
      <c r="K24" s="14">
        <f>'Table-n=200-miss'!D24</f>
        <v>10.3939415025496</v>
      </c>
      <c r="L24" s="14">
        <f>'Table-n=200-miss'!E24</f>
        <v>2.3440949848725716</v>
      </c>
      <c r="M24" s="14">
        <f>'Table-n=200-miss'!F24</f>
        <v>0.94399999999999995</v>
      </c>
      <c r="N24" s="14">
        <f>'Table-n=200-miss'!G24</f>
        <v>30.84047896495747</v>
      </c>
      <c r="O24" s="14">
        <f>'Table-n=200-miss'!I24</f>
        <v>0.82306788717403567</v>
      </c>
      <c r="P24" s="13"/>
      <c r="Q24" s="13"/>
      <c r="Y24" s="14"/>
    </row>
    <row r="25" spans="1:31" s="4" customFormat="1" x14ac:dyDescent="0.45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5"/>
      <c r="Q25" s="6"/>
      <c r="Y25" s="7"/>
    </row>
    <row r="26" spans="1:31" x14ac:dyDescent="0.45">
      <c r="A26" s="2" t="s">
        <v>60</v>
      </c>
      <c r="B26" s="1" t="s">
        <v>3</v>
      </c>
      <c r="C26" s="12">
        <f>'Table-n=200-corr'!C26</f>
        <v>0.24382792614941801</v>
      </c>
      <c r="D26" s="12">
        <f>'Table-n=200-corr'!D26</f>
        <v>6.8242387239995397</v>
      </c>
      <c r="E26" s="12">
        <f>'Table-n=200-corr'!E26</f>
        <v>0.94139672276430819</v>
      </c>
      <c r="F26" s="12">
        <f>'Table-n=200-corr'!F26</f>
        <v>0.94799999999999995</v>
      </c>
      <c r="G26" s="12">
        <f>'Table-n=200-corr'!G26</f>
        <v>27.637789754752237</v>
      </c>
      <c r="H26" s="12">
        <f>'Table-n=200-corr'!I26</f>
        <v>1.133967616333871</v>
      </c>
      <c r="I26" s="12"/>
      <c r="J26" s="12">
        <f>'Table-n=200-miss'!C26</f>
        <v>1.01000235663951</v>
      </c>
      <c r="K26" s="12">
        <f>'Table-n=200-miss'!D26</f>
        <v>6.7295777402061203</v>
      </c>
      <c r="L26" s="12">
        <f>'Table-n=200-miss'!E26</f>
        <v>0.94700951679583234</v>
      </c>
      <c r="M26" s="12">
        <f>'Table-n=200-miss'!F26</f>
        <v>0.95499999999999996</v>
      </c>
      <c r="N26" s="12">
        <f>'Table-n=200-miss'!G26</f>
        <v>27.091504741308988</v>
      </c>
      <c r="O26" s="12">
        <f>'Table-n=200-miss'!I26</f>
        <v>1.1541993899151273</v>
      </c>
      <c r="P26" s="5"/>
      <c r="Q26"/>
      <c r="R26"/>
      <c r="S26"/>
      <c r="T26"/>
      <c r="Y26" s="12"/>
    </row>
    <row r="27" spans="1:31" x14ac:dyDescent="0.45">
      <c r="B27" s="1" t="s">
        <v>5</v>
      </c>
      <c r="C27" s="12">
        <f>'Table-n=200-corr'!C27</f>
        <v>1.93337417884037</v>
      </c>
      <c r="D27" s="12">
        <f>'Table-n=200-corr'!D27</f>
        <v>6.9738845247867802</v>
      </c>
      <c r="E27" s="12">
        <f>'Table-n=200-corr'!E27</f>
        <v>0.98313637390559849</v>
      </c>
      <c r="F27" s="12">
        <f>'Table-n=200-corr'!F27</f>
        <v>0.95299999999999996</v>
      </c>
      <c r="G27" s="12">
        <f>'Table-n=200-corr'!G27</f>
        <v>29.341626889079752</v>
      </c>
      <c r="H27" s="12">
        <f>'Table-n=200-corr'!I27</f>
        <v>1.0060947649129528</v>
      </c>
      <c r="I27" s="12"/>
      <c r="J27" s="12">
        <f>'Table-n=200-miss'!C27</f>
        <v>1.9876912477993101</v>
      </c>
      <c r="K27" s="12">
        <f>'Table-n=200-miss'!D27</f>
        <v>7.2140724268500502</v>
      </c>
      <c r="L27" s="12">
        <f>'Table-n=200-miss'!E27</f>
        <v>1.0882776516435728</v>
      </c>
      <c r="M27" s="12">
        <f>'Table-n=200-miss'!F27</f>
        <v>0.95499999999999996</v>
      </c>
      <c r="N27" s="12">
        <f>'Table-n=200-miss'!G27</f>
        <v>29.932996114623613</v>
      </c>
      <c r="O27" s="12">
        <f>'Table-n=200-miss'!I27</f>
        <v>0.9454677447090265</v>
      </c>
      <c r="P27" s="5"/>
      <c r="Q27" s="5"/>
      <c r="Y27" s="12"/>
    </row>
    <row r="28" spans="1:31" x14ac:dyDescent="0.45">
      <c r="B28" s="1" t="s">
        <v>4</v>
      </c>
      <c r="C28" s="12">
        <f>'Table-n=200-corr'!C28</f>
        <v>0.27999880567214902</v>
      </c>
      <c r="D28" s="12">
        <f>'Table-n=200-corr'!D28</f>
        <v>6.7040471445594898</v>
      </c>
      <c r="E28" s="12">
        <f>'Table-n=200-corr'!E28</f>
        <v>0.90852813272642319</v>
      </c>
      <c r="F28" s="12">
        <f>'Table-n=200-corr'!F28</f>
        <v>0.94799999999999995</v>
      </c>
      <c r="G28" s="12">
        <f>'Table-n=200-corr'!G28</f>
        <v>27.198014939758362</v>
      </c>
      <c r="H28" s="12">
        <f>'Table-n=200-corr'!I28</f>
        <v>1.1709351784903907</v>
      </c>
      <c r="I28" s="12"/>
      <c r="J28" s="12">
        <f>'Table-n=200-miss'!C28</f>
        <v>0.23798571429322199</v>
      </c>
      <c r="K28" s="12">
        <f>'Table-n=200-miss'!D28</f>
        <v>6.4557308368927702</v>
      </c>
      <c r="L28" s="12">
        <f>'Table-n=200-miss'!E28</f>
        <v>0.87150431948851181</v>
      </c>
      <c r="M28" s="12">
        <f>'Table-n=200-miss'!F28</f>
        <v>0.97299999999999998</v>
      </c>
      <c r="N28" s="12">
        <f>'Table-n=200-miss'!G28</f>
        <v>28.752945058009608</v>
      </c>
      <c r="O28" s="12">
        <f>'Table-n=200-miss'!I28</f>
        <v>1.0246662381456255</v>
      </c>
      <c r="P28" s="5"/>
      <c r="Q28" s="5"/>
      <c r="Y28" s="12"/>
    </row>
    <row r="29" spans="1:31" x14ac:dyDescent="0.45">
      <c r="B29" s="1" t="s">
        <v>88</v>
      </c>
      <c r="C29" s="12">
        <f>'Table-n=200-corr'!C29</f>
        <v>0.34243459828063999</v>
      </c>
      <c r="D29" s="12">
        <f>'Table-n=200-corr'!D29</f>
        <v>7.4545113878479796</v>
      </c>
      <c r="E29" s="12">
        <f>'Table-n=200-corr'!E29</f>
        <v>1.1233177606202642</v>
      </c>
      <c r="F29" s="12">
        <f>'Table-n=200-corr'!F29</f>
        <v>0.93400000000000005</v>
      </c>
      <c r="G29" s="12">
        <f>'Table-n=200-corr'!G29</f>
        <v>28.764427117408054</v>
      </c>
      <c r="H29" s="12">
        <f>'Table-n=200-corr'!I29</f>
        <v>1.0468773701454384</v>
      </c>
      <c r="I29" s="12"/>
      <c r="J29" s="12">
        <f>'Table-n=200-miss'!C29</f>
        <v>2.02670144973243</v>
      </c>
      <c r="K29" s="12">
        <f>'Table-n=200-miss'!D29</f>
        <v>7.4476921875108903</v>
      </c>
      <c r="L29" s="12">
        <f>'Table-n=200-miss'!E29</f>
        <v>1.159904283907804</v>
      </c>
      <c r="M29" s="12">
        <f>'Table-n=200-miss'!F29</f>
        <v>0.93500000000000005</v>
      </c>
      <c r="N29" s="12">
        <f>'Table-n=200-miss'!G29</f>
        <v>28.017415873086787</v>
      </c>
      <c r="O29" s="12">
        <f>'Table-n=200-miss'!I29</f>
        <v>1.0791726807853592</v>
      </c>
      <c r="P29" s="5"/>
      <c r="Q29" s="5"/>
      <c r="Y29" s="12"/>
    </row>
    <row r="30" spans="1:31" x14ac:dyDescent="0.45">
      <c r="B30" s="1" t="s">
        <v>89</v>
      </c>
      <c r="C30" s="12">
        <f>'Table-n=200-corr'!C30</f>
        <v>0.25432132865964602</v>
      </c>
      <c r="D30" s="12">
        <f>'Table-n=200-corr'!D30</f>
        <v>7.0334413407956697</v>
      </c>
      <c r="E30" s="12">
        <f>'Table-n=200-corr'!E30</f>
        <v>1</v>
      </c>
      <c r="F30" s="12">
        <f>'Table-n=200-corr'!F30</f>
        <v>0.96</v>
      </c>
      <c r="G30" s="12">
        <f>'Table-n=200-corr'!G30</f>
        <v>29.430906220616453</v>
      </c>
      <c r="H30" s="12">
        <f>'Table-n=200-corr'!I30</f>
        <v>1</v>
      </c>
      <c r="I30" s="12"/>
      <c r="J30" s="12">
        <f>'Table-n=200-miss'!C30</f>
        <v>1.2367665627926101</v>
      </c>
      <c r="K30" s="12">
        <f>'Table-n=200-miss'!D30</f>
        <v>6.9152939067178796</v>
      </c>
      <c r="L30" s="12">
        <f>'Table-n=200-miss'!E30</f>
        <v>1</v>
      </c>
      <c r="M30" s="12">
        <f>'Table-n=200-miss'!F30</f>
        <v>0.95699999999999996</v>
      </c>
      <c r="N30" s="12">
        <f>'Table-n=200-miss'!G30</f>
        <v>29.105398368541181</v>
      </c>
      <c r="O30" s="12">
        <f>'Table-n=200-miss'!I30</f>
        <v>1</v>
      </c>
      <c r="P30" s="5"/>
      <c r="Q30" s="5"/>
      <c r="Y30" s="12"/>
    </row>
    <row r="31" spans="1:31" s="3" customFormat="1" x14ac:dyDescent="0.45">
      <c r="B31" s="3" t="s">
        <v>2</v>
      </c>
      <c r="C31" s="14">
        <f>'Table-n=200-corr'!C31</f>
        <v>0.522504555412448</v>
      </c>
      <c r="D31" s="14">
        <f>'Table-n=200-corr'!D31</f>
        <v>8.5902342371578193</v>
      </c>
      <c r="E31" s="14">
        <f>'Table-n=200-corr'!E31</f>
        <v>1.4916752123727162</v>
      </c>
      <c r="F31" s="14">
        <f>'Table-n=200-corr'!F31</f>
        <v>0.94199999999999995</v>
      </c>
      <c r="G31" s="14">
        <f>'Table-n=200-corr'!G31</f>
        <v>30.422356997581272</v>
      </c>
      <c r="H31" s="14">
        <f>'Table-n=200-corr'!I31</f>
        <v>0.93588298815163862</v>
      </c>
      <c r="I31" s="14"/>
      <c r="J31" s="14">
        <f>'Table-n=200-miss'!C31</f>
        <v>4.7255258256111601</v>
      </c>
      <c r="K31" s="14">
        <f>'Table-n=200-miss'!D31</f>
        <v>13.781690927474701</v>
      </c>
      <c r="L31" s="14">
        <f>'Table-n=200-miss'!E31</f>
        <v>3.9717666660622077</v>
      </c>
      <c r="M31" s="14">
        <f>'Table-n=200-miss'!F31</f>
        <v>0.92600000000000005</v>
      </c>
      <c r="N31" s="14">
        <f>'Table-n=200-miss'!G31</f>
        <v>34.673863520398001</v>
      </c>
      <c r="O31" s="14">
        <f>'Table-n=200-miss'!I31</f>
        <v>0.70459997742372238</v>
      </c>
      <c r="P31" s="13"/>
      <c r="Q31" s="13"/>
      <c r="Y31" s="14"/>
    </row>
    <row r="32" spans="1:31" x14ac:dyDescent="0.45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5"/>
      <c r="Y32" s="7"/>
    </row>
    <row r="33" spans="1:25" x14ac:dyDescent="0.45">
      <c r="A33" s="2" t="s">
        <v>62</v>
      </c>
      <c r="B33" s="1" t="s">
        <v>3</v>
      </c>
      <c r="C33" s="12">
        <f>'Table-n=200-corr'!C33</f>
        <v>0.30772324055746098</v>
      </c>
      <c r="D33" s="12">
        <f>'Table-n=200-corr'!D33</f>
        <v>8.8776978406844407</v>
      </c>
      <c r="E33" s="12">
        <f>'Table-n=200-corr'!E33</f>
        <v>0.9697097086808526</v>
      </c>
      <c r="F33" s="12">
        <f>'Table-n=200-corr'!F33</f>
        <v>0.92300000000000004</v>
      </c>
      <c r="G33" s="12">
        <f>'Table-n=200-corr'!G33</f>
        <v>32.575816335942271</v>
      </c>
      <c r="H33" s="12">
        <f>'Table-n=200-corr'!I33</f>
        <v>1.1855622418811353</v>
      </c>
      <c r="I33" s="12"/>
      <c r="J33" s="12">
        <f>'Table-n=200-miss'!C33</f>
        <v>4.7435854621359699</v>
      </c>
      <c r="K33" s="12">
        <f>'Table-n=200-miss'!D33</f>
        <v>9.6963520889326595</v>
      </c>
      <c r="L33" s="12">
        <f>'Table-n=200-miss'!E33</f>
        <v>0.98642833958753651</v>
      </c>
      <c r="M33" s="12">
        <f>'Table-n=200-miss'!F33</f>
        <v>0.89300000000000002</v>
      </c>
      <c r="N33" s="12">
        <f>'Table-n=200-miss'!G33</f>
        <v>31.417938908326025</v>
      </c>
      <c r="O33" s="12">
        <f>'Table-n=200-miss'!I33</f>
        <v>1.2413708097221337</v>
      </c>
      <c r="P33" s="5"/>
      <c r="Y33" s="12"/>
    </row>
    <row r="34" spans="1:25" x14ac:dyDescent="0.45">
      <c r="B34" s="1" t="s">
        <v>5</v>
      </c>
      <c r="C34" s="12">
        <f>'Table-n=200-corr'!C34</f>
        <v>2.4712108614368402</v>
      </c>
      <c r="D34" s="12">
        <f>'Table-n=200-corr'!D34</f>
        <v>8.6961136666069603</v>
      </c>
      <c r="E34" s="12">
        <f>'Table-n=200-corr'!E34</f>
        <v>0.93044657271733555</v>
      </c>
      <c r="F34" s="12">
        <f>'Table-n=200-corr'!F34</f>
        <v>0.94099999999999995</v>
      </c>
      <c r="G34" s="12">
        <f>'Table-n=200-corr'!G34</f>
        <v>33.286279560241937</v>
      </c>
      <c r="H34" s="12">
        <f>'Table-n=200-corr'!I34</f>
        <v>1.135493002260638</v>
      </c>
      <c r="I34" s="12"/>
      <c r="J34" s="12">
        <f>'Table-n=200-miss'!C34</f>
        <v>4.9783152689832297</v>
      </c>
      <c r="K34" s="12">
        <f>'Table-n=200-miss'!D34</f>
        <v>9.8538420923901597</v>
      </c>
      <c r="L34" s="12">
        <f>'Table-n=200-miss'!E34</f>
        <v>1.0187320832025355</v>
      </c>
      <c r="M34" s="12">
        <f>'Table-n=200-miss'!F34</f>
        <v>0.92700000000000005</v>
      </c>
      <c r="N34" s="12">
        <f>'Table-n=200-miss'!G34</f>
        <v>35.877113169478989</v>
      </c>
      <c r="O34" s="12">
        <f>'Table-n=200-miss'!I34</f>
        <v>0.95196707855949025</v>
      </c>
      <c r="P34" s="5"/>
      <c r="Y34" s="12"/>
    </row>
    <row r="35" spans="1:25" x14ac:dyDescent="0.45">
      <c r="B35" s="1" t="s">
        <v>4</v>
      </c>
      <c r="C35" s="12">
        <f>'Table-n=200-corr'!C35</f>
        <v>0.25805982640692798</v>
      </c>
      <c r="D35" s="12">
        <f>'Table-n=200-corr'!D35</f>
        <v>8.5835828111184007</v>
      </c>
      <c r="E35" s="12">
        <f>'Table-n=200-corr'!E35</f>
        <v>0.90652174852059819</v>
      </c>
      <c r="F35" s="12">
        <f>'Table-n=200-corr'!F35</f>
        <v>0.92600000000000005</v>
      </c>
      <c r="G35" s="12">
        <f>'Table-n=200-corr'!G35</f>
        <v>31.697416414528522</v>
      </c>
      <c r="H35" s="12">
        <f>'Table-n=200-corr'!I35</f>
        <v>1.2521813878893777</v>
      </c>
      <c r="I35" s="12"/>
      <c r="J35" s="12">
        <f>'Table-n=200-miss'!C35</f>
        <v>1.5397590283414699</v>
      </c>
      <c r="K35" s="12">
        <f>'Table-n=200-miss'!D35</f>
        <v>8.1056576291802394</v>
      </c>
      <c r="L35" s="12">
        <f>'Table-n=200-miss'!E35</f>
        <v>0.68932701428025356</v>
      </c>
      <c r="M35" s="12">
        <f>'Table-n=200-miss'!F35</f>
        <v>0.95</v>
      </c>
      <c r="N35" s="12">
        <f>'Table-n=200-miss'!G35</f>
        <v>35.042438642215828</v>
      </c>
      <c r="O35" s="12">
        <f>'Table-n=200-miss'!I35</f>
        <v>0.99785690642496538</v>
      </c>
      <c r="P35" s="5"/>
      <c r="Y35" s="12"/>
    </row>
    <row r="36" spans="1:25" x14ac:dyDescent="0.45">
      <c r="B36" s="1" t="s">
        <v>88</v>
      </c>
      <c r="C36" s="12">
        <f>'Table-n=200-corr'!C36</f>
        <v>0.28532904745120502</v>
      </c>
      <c r="D36" s="12">
        <f>'Table-n=200-corr'!D36</f>
        <v>9.8951305590186003</v>
      </c>
      <c r="E36" s="12">
        <f>'Table-n=200-corr'!E36</f>
        <v>1.2047143473648143</v>
      </c>
      <c r="F36" s="12">
        <f>'Table-n=200-corr'!F36</f>
        <v>0.91600000000000004</v>
      </c>
      <c r="G36" s="12">
        <f>'Table-n=200-corr'!G36</f>
        <v>34.887603946895219</v>
      </c>
      <c r="H36" s="12">
        <f>'Table-n=200-corr'!I36</f>
        <v>1.033648045776977</v>
      </c>
      <c r="I36" s="12"/>
      <c r="J36" s="12">
        <f>'Table-n=200-miss'!C36</f>
        <v>5.9305208605501702</v>
      </c>
      <c r="K36" s="12">
        <f>'Table-n=200-miss'!D36</f>
        <v>10.9245039320093</v>
      </c>
      <c r="L36" s="12">
        <f>'Table-n=200-miss'!E36</f>
        <v>1.2521381203659812</v>
      </c>
      <c r="M36" s="12">
        <f>'Table-n=200-miss'!F36</f>
        <v>0.87</v>
      </c>
      <c r="N36" s="12">
        <f>'Table-n=200-miss'!G36</f>
        <v>32.983005412550789</v>
      </c>
      <c r="O36" s="12">
        <f>'Table-n=200-miss'!I36</f>
        <v>1.1263580275805765</v>
      </c>
      <c r="P36" s="5"/>
      <c r="Y36" s="12"/>
    </row>
    <row r="37" spans="1:25" x14ac:dyDescent="0.45">
      <c r="B37" s="1" t="s">
        <v>89</v>
      </c>
      <c r="C37" s="12">
        <f>'Table-n=200-corr'!C37</f>
        <v>0.22908264476988699</v>
      </c>
      <c r="D37" s="12">
        <f>'Table-n=200-corr'!D37</f>
        <v>9.0152855582528897</v>
      </c>
      <c r="E37" s="12">
        <f>'Table-n=200-corr'!E37</f>
        <v>1</v>
      </c>
      <c r="F37" s="12">
        <f>'Table-n=200-corr'!F37</f>
        <v>0.94699999999999995</v>
      </c>
      <c r="G37" s="12">
        <f>'Table-n=200-corr'!G37</f>
        <v>35.469697726029395</v>
      </c>
      <c r="H37" s="12">
        <f>'Table-n=200-corr'!I37</f>
        <v>1</v>
      </c>
      <c r="I37" s="12"/>
      <c r="J37" s="12">
        <f>'Table-n=200-miss'!C37</f>
        <v>4.5349683314345697</v>
      </c>
      <c r="K37" s="12">
        <f>'Table-n=200-miss'!D37</f>
        <v>9.7628272924858006</v>
      </c>
      <c r="L37" s="12">
        <f>'Table-n=200-miss'!E37</f>
        <v>1</v>
      </c>
      <c r="M37" s="12">
        <f>'Table-n=200-miss'!F37</f>
        <v>0.92900000000000005</v>
      </c>
      <c r="N37" s="12">
        <f>'Table-n=200-miss'!G37</f>
        <v>35.004868889992252</v>
      </c>
      <c r="O37" s="12">
        <f>'Table-n=200-miss'!I37</f>
        <v>1</v>
      </c>
      <c r="P37" s="5"/>
      <c r="Y37" s="12"/>
    </row>
    <row r="38" spans="1:25" s="3" customFormat="1" x14ac:dyDescent="0.45">
      <c r="B38" s="3" t="s">
        <v>2</v>
      </c>
      <c r="C38" s="14">
        <f>'Table-n=200-corr'!C38</f>
        <v>0.53865061460390795</v>
      </c>
      <c r="D38" s="14">
        <f>'Table-n=200-corr'!D38</f>
        <v>11.2497787068195</v>
      </c>
      <c r="E38" s="14">
        <f>'Table-n=200-corr'!E38</f>
        <v>1.5571447437998691</v>
      </c>
      <c r="F38" s="14">
        <f>'Table-n=200-corr'!F38</f>
        <v>0.92400000000000004</v>
      </c>
      <c r="G38" s="14">
        <f>'Table-n=200-corr'!G38</f>
        <v>38.328128671172408</v>
      </c>
      <c r="H38" s="14">
        <f>'Table-n=200-corr'!I38</f>
        <v>0.85640608258476747</v>
      </c>
      <c r="I38" s="14"/>
      <c r="J38" s="14">
        <f>'Table-n=200-miss'!C38</f>
        <v>9.4746975570542098</v>
      </c>
      <c r="K38" s="14">
        <f>'Table-n=200-miss'!D38</f>
        <v>17.877093656180701</v>
      </c>
      <c r="L38" s="14">
        <f>'Table-n=200-miss'!E38</f>
        <v>3.3530699812944498</v>
      </c>
      <c r="M38" s="14">
        <f>'Table-n=200-miss'!F38</f>
        <v>0.85</v>
      </c>
      <c r="N38" s="14">
        <f>'Table-n=200-miss'!G38</f>
        <v>39.963991672693084</v>
      </c>
      <c r="O38" s="14">
        <f>'Table-n=200-miss'!I38</f>
        <v>0.76721872015834447</v>
      </c>
      <c r="P38" s="13"/>
      <c r="Q38" s="13"/>
      <c r="Y38" s="14"/>
    </row>
    <row r="39" spans="1:25" x14ac:dyDescent="0.45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5"/>
      <c r="Y39" s="7"/>
    </row>
    <row r="40" spans="1:25" x14ac:dyDescent="0.45">
      <c r="A40" s="2" t="s">
        <v>207</v>
      </c>
      <c r="B40" s="1" t="s">
        <v>3</v>
      </c>
      <c r="C40" s="12">
        <f>'Table-n=200-corr'!C40</f>
        <v>-1.5156783379039101E-2</v>
      </c>
      <c r="D40" s="12">
        <f>'Table-n=200-corr'!D40</f>
        <v>14.2031171093316</v>
      </c>
      <c r="E40" s="12">
        <f>'Table-n=200-corr'!E40</f>
        <v>1.1039442929706909</v>
      </c>
      <c r="F40" s="12">
        <f>'Table-n=200-corr'!F40</f>
        <v>0.85399999999999998</v>
      </c>
      <c r="G40" s="12">
        <f>'Table-n=200-corr'!G40</f>
        <v>41.676669735607945</v>
      </c>
      <c r="H40" s="12">
        <f>'Table-n=200-corr'!I40</f>
        <v>1.1345586229470606</v>
      </c>
      <c r="I40" s="12"/>
      <c r="J40" s="12">
        <f>'Table-n=200-miss'!C40</f>
        <v>8.9713514676416892</v>
      </c>
      <c r="K40" s="12">
        <f>'Table-n=200-miss'!D40</f>
        <v>16.324571410754601</v>
      </c>
      <c r="L40" s="12">
        <f>'Table-n=200-miss'!E40</f>
        <v>1.0700925931750966</v>
      </c>
      <c r="M40" s="12">
        <f>'Table-n=200-miss'!F40</f>
        <v>0.78700000000000003</v>
      </c>
      <c r="N40" s="12">
        <f>'Table-n=200-miss'!G40</f>
        <v>40.409492408244631</v>
      </c>
      <c r="O40" s="12">
        <f>'Table-n=200-miss'!I40</f>
        <v>1.1422021302995142</v>
      </c>
      <c r="P40" s="5"/>
      <c r="Y40" s="12"/>
    </row>
    <row r="41" spans="1:25" x14ac:dyDescent="0.45">
      <c r="B41" s="1" t="s">
        <v>5</v>
      </c>
      <c r="C41" s="12">
        <f>'Table-n=200-corr'!C41</f>
        <v>2.9063619139989001</v>
      </c>
      <c r="D41" s="12">
        <f>'Table-n=200-corr'!D41</f>
        <v>13.0959009230137</v>
      </c>
      <c r="E41" s="12">
        <f>'Table-n=200-corr'!E41</f>
        <v>0.93853524035726199</v>
      </c>
      <c r="F41" s="12">
        <f>'Table-n=200-corr'!F41</f>
        <v>0.88200000000000001</v>
      </c>
      <c r="G41" s="12">
        <f>'Table-n=200-corr'!G41</f>
        <v>41.673662636137017</v>
      </c>
      <c r="H41" s="12">
        <f>'Table-n=200-corr'!I41</f>
        <v>1.1347223644332305</v>
      </c>
      <c r="I41" s="12"/>
      <c r="J41" s="12">
        <f>'Table-n=200-miss'!C41</f>
        <v>8.6626568704984592</v>
      </c>
      <c r="K41" s="12">
        <f>'Table-n=200-miss'!D41</f>
        <v>16.6742413306829</v>
      </c>
      <c r="L41" s="12">
        <f>'Table-n=200-miss'!E41</f>
        <v>1.1164260145548361</v>
      </c>
      <c r="M41" s="12">
        <f>'Table-n=200-miss'!F41</f>
        <v>0.85299999999999998</v>
      </c>
      <c r="N41" s="12">
        <f>'Table-n=200-miss'!G41</f>
        <v>46.673306461630077</v>
      </c>
      <c r="O41" s="12">
        <f>'Table-n=200-miss'!I41</f>
        <v>0.85619486560459701</v>
      </c>
      <c r="P41" s="5"/>
      <c r="Y41" s="12"/>
    </row>
    <row r="42" spans="1:25" x14ac:dyDescent="0.45">
      <c r="B42" s="1" t="s">
        <v>4</v>
      </c>
      <c r="C42" s="12">
        <f>'Table-n=200-corr'!C42</f>
        <v>3.0444460610178602E-2</v>
      </c>
      <c r="D42" s="12">
        <f>'Table-n=200-corr'!D42</f>
        <v>13.354036823942501</v>
      </c>
      <c r="E42" s="12">
        <f>'Table-n=200-corr'!E42</f>
        <v>0.97589919931298563</v>
      </c>
      <c r="F42" s="12">
        <f>'Table-n=200-corr'!F42</f>
        <v>0.86799999999999999</v>
      </c>
      <c r="G42" s="12">
        <f>'Table-n=200-corr'!G42</f>
        <v>40.754360585319361</v>
      </c>
      <c r="H42" s="12">
        <f>'Table-n=200-corr'!I42</f>
        <v>1.1864919348130538</v>
      </c>
      <c r="I42" s="12"/>
      <c r="J42" s="12">
        <f>'Table-n=200-miss'!C42</f>
        <v>3.1865120023178002</v>
      </c>
      <c r="K42" s="12">
        <f>'Table-n=200-miss'!D42</f>
        <v>12.700007782269401</v>
      </c>
      <c r="L42" s="12">
        <f>'Table-n=200-miss'!E42</f>
        <v>0.64765803244194176</v>
      </c>
      <c r="M42" s="12">
        <f>'Table-n=200-miss'!F42</f>
        <v>0.92600000000000005</v>
      </c>
      <c r="N42" s="12">
        <f>'Table-n=200-miss'!G42</f>
        <v>51.3709461318997</v>
      </c>
      <c r="O42" s="12">
        <f>'Table-n=200-miss'!I42</f>
        <v>0.70676433733733213</v>
      </c>
      <c r="P42" s="5"/>
      <c r="Y42" s="12"/>
    </row>
    <row r="43" spans="1:25" x14ac:dyDescent="0.45">
      <c r="B43" s="1" t="s">
        <v>88</v>
      </c>
      <c r="C43" s="12">
        <f>'Table-n=200-corr'!C43</f>
        <v>0.15745783644399899</v>
      </c>
      <c r="D43" s="12">
        <f>'Table-n=200-corr'!D43</f>
        <v>15.521180485802301</v>
      </c>
      <c r="E43" s="12">
        <f>'Table-n=200-corr'!E43</f>
        <v>1.3183457421126843</v>
      </c>
      <c r="F43" s="12">
        <f>'Table-n=200-corr'!F43</f>
        <v>0.81499999999999995</v>
      </c>
      <c r="G43" s="12">
        <f>'Table-n=200-corr'!G43</f>
        <v>42.257695514814174</v>
      </c>
      <c r="H43" s="12">
        <f>'Table-n=200-corr'!I43</f>
        <v>1.1035736918919634</v>
      </c>
      <c r="I43" s="12"/>
      <c r="J43" s="12">
        <f>'Table-n=200-miss'!C43</f>
        <v>9.78670174213865</v>
      </c>
      <c r="K43" s="12">
        <f>'Table-n=200-miss'!D43</f>
        <v>17.0313276180533</v>
      </c>
      <c r="L43" s="12">
        <f>'Table-n=200-miss'!E43</f>
        <v>1.1647555496380515</v>
      </c>
      <c r="M43" s="12">
        <f>'Table-n=200-miss'!F43</f>
        <v>0.76</v>
      </c>
      <c r="N43" s="12">
        <f>'Table-n=200-miss'!G43</f>
        <v>39.928892621196468</v>
      </c>
      <c r="O43" s="12">
        <f>'Table-n=200-miss'!I43</f>
        <v>1.169863590729507</v>
      </c>
      <c r="P43" s="5"/>
      <c r="Y43" s="12"/>
    </row>
    <row r="44" spans="1:25" x14ac:dyDescent="0.45">
      <c r="B44" s="1" t="s">
        <v>89</v>
      </c>
      <c r="C44" s="12">
        <f>'Table-n=200-corr'!C44</f>
        <v>0.21535361330379901</v>
      </c>
      <c r="D44" s="12">
        <f>'Table-n=200-corr'!D44</f>
        <v>13.517926745113201</v>
      </c>
      <c r="E44" s="12">
        <f>'Table-n=200-corr'!E44</f>
        <v>1</v>
      </c>
      <c r="F44" s="12">
        <f>'Table-n=200-corr'!F44</f>
        <v>0.88800000000000001</v>
      </c>
      <c r="G44" s="12">
        <f>'Table-n=200-corr'!G44</f>
        <v>44.392180625733658</v>
      </c>
      <c r="H44" s="12">
        <f>'Table-n=200-corr'!I44</f>
        <v>1</v>
      </c>
      <c r="I44" s="12"/>
      <c r="J44" s="12">
        <f>'Table-n=200-miss'!C44</f>
        <v>7.9312686279421598</v>
      </c>
      <c r="K44" s="12">
        <f>'Table-n=200-miss'!D44</f>
        <v>15.780876061177199</v>
      </c>
      <c r="L44" s="12">
        <f>'Table-n=200-miss'!E44</f>
        <v>1</v>
      </c>
      <c r="M44" s="12">
        <f>'Table-n=200-miss'!F44</f>
        <v>0.84199999999999997</v>
      </c>
      <c r="N44" s="12">
        <f>'Table-n=200-miss'!G44</f>
        <v>43.187183117463661</v>
      </c>
      <c r="O44" s="12">
        <f>'Table-n=200-miss'!I44</f>
        <v>1</v>
      </c>
      <c r="P44" s="5"/>
      <c r="Y44" s="12"/>
    </row>
    <row r="45" spans="1:25" s="3" customFormat="1" x14ac:dyDescent="0.45">
      <c r="B45" s="3" t="s">
        <v>2</v>
      </c>
      <c r="C45" s="14">
        <f>'Table-n=200-corr'!C45</f>
        <v>-9.2296581164237806E-2</v>
      </c>
      <c r="D45" s="14">
        <f>'Table-n=200-corr'!D45</f>
        <v>17.512815857832301</v>
      </c>
      <c r="E45" s="14">
        <f>'Table-n=200-corr'!E45</f>
        <v>1.6783857561697251</v>
      </c>
      <c r="F45" s="14">
        <f>'Table-n=200-corr'!F45</f>
        <v>0.81299999999999994</v>
      </c>
      <c r="G45" s="14">
        <f>'Table-n=200-corr'!G45</f>
        <v>44.439262219244064</v>
      </c>
      <c r="H45" s="14">
        <f>'Table-n=200-corr'!I45</f>
        <v>0.99788220368015312</v>
      </c>
      <c r="I45" s="14"/>
      <c r="J45" s="14">
        <f>'Table-n=200-miss'!C45</f>
        <v>12.2905548424564</v>
      </c>
      <c r="K45" s="14">
        <f>'Table-n=200-miss'!D45</f>
        <v>21.7385940944901</v>
      </c>
      <c r="L45" s="14">
        <f>'Table-n=200-miss'!E45</f>
        <v>1.8975825974294043</v>
      </c>
      <c r="M45" s="14">
        <f>'Table-n=200-miss'!F45</f>
        <v>0.69099999999999995</v>
      </c>
      <c r="N45" s="14">
        <f>'Table-n=200-miss'!G45</f>
        <v>38.759077816326901</v>
      </c>
      <c r="O45" s="14">
        <f>'Table-n=200-miss'!I45</f>
        <v>1.2415462009477465</v>
      </c>
      <c r="P45" s="13"/>
      <c r="Q45" s="13"/>
      <c r="Y45" s="14"/>
    </row>
    <row r="46" spans="1:25" x14ac:dyDescent="0.45">
      <c r="G46" s="7"/>
      <c r="H46" s="7"/>
      <c r="O46" s="7"/>
    </row>
    <row r="47" spans="1:25" x14ac:dyDescent="0.45">
      <c r="G47" s="7"/>
      <c r="H47" s="7"/>
      <c r="O47" s="7"/>
    </row>
    <row r="48" spans="1:25" x14ac:dyDescent="0.45">
      <c r="G48" s="7"/>
      <c r="H48" s="7"/>
      <c r="O48" s="7"/>
    </row>
    <row r="49" spans="7:15" x14ac:dyDescent="0.45">
      <c r="G49" s="7"/>
      <c r="H49" s="7"/>
      <c r="O49" s="7"/>
    </row>
    <row r="50" spans="7:15" x14ac:dyDescent="0.45">
      <c r="G50" s="7"/>
      <c r="H50" s="7"/>
      <c r="O50" s="7"/>
    </row>
    <row r="51" spans="7:15" x14ac:dyDescent="0.45">
      <c r="G51" s="7"/>
      <c r="H51" s="7"/>
      <c r="O51" s="7"/>
    </row>
    <row r="52" spans="7:15" x14ac:dyDescent="0.45">
      <c r="G52" s="7"/>
      <c r="H52" s="7"/>
      <c r="O52" s="7"/>
    </row>
    <row r="53" spans="7:15" x14ac:dyDescent="0.45">
      <c r="G53" s="7"/>
      <c r="H53" s="7"/>
      <c r="O53" s="7"/>
    </row>
    <row r="54" spans="7:15" x14ac:dyDescent="0.45">
      <c r="G54" s="7"/>
      <c r="H54" s="7"/>
      <c r="O54" s="7"/>
    </row>
    <row r="55" spans="7:15" x14ac:dyDescent="0.45">
      <c r="G55" s="7"/>
      <c r="H55" s="7"/>
      <c r="O55" s="7"/>
    </row>
    <row r="56" spans="7:15" x14ac:dyDescent="0.45">
      <c r="G56" s="7"/>
      <c r="H56" s="7"/>
      <c r="O56" s="7"/>
    </row>
    <row r="57" spans="7:15" x14ac:dyDescent="0.45">
      <c r="G57" s="7"/>
      <c r="H57" s="7"/>
      <c r="O57" s="7"/>
    </row>
    <row r="58" spans="7:15" x14ac:dyDescent="0.45">
      <c r="G58" s="7"/>
      <c r="H58" s="7"/>
      <c r="O58" s="7"/>
    </row>
    <row r="59" spans="7:15" x14ac:dyDescent="0.45">
      <c r="G59" s="7"/>
      <c r="H59" s="7"/>
      <c r="O59" s="7"/>
    </row>
    <row r="60" spans="7:15" x14ac:dyDescent="0.45">
      <c r="G60" s="7"/>
      <c r="H60" s="7"/>
      <c r="O60" s="7"/>
    </row>
    <row r="61" spans="7:15" x14ac:dyDescent="0.45">
      <c r="G61" s="7"/>
      <c r="H61" s="7"/>
      <c r="O61" s="7"/>
    </row>
    <row r="62" spans="7:15" x14ac:dyDescent="0.45">
      <c r="G62" s="7"/>
      <c r="H62" s="7"/>
      <c r="O62" s="7"/>
    </row>
    <row r="63" spans="7:15" x14ac:dyDescent="0.45">
      <c r="G63" s="7"/>
      <c r="H63" s="7"/>
      <c r="O63" s="7"/>
    </row>
    <row r="64" spans="7:15" x14ac:dyDescent="0.45">
      <c r="G64" s="7"/>
      <c r="H64" s="7"/>
      <c r="O64" s="7"/>
    </row>
    <row r="65" spans="7:15" x14ac:dyDescent="0.45">
      <c r="G65" s="7"/>
      <c r="H65" s="7"/>
      <c r="O65" s="7"/>
    </row>
    <row r="66" spans="7:15" x14ac:dyDescent="0.45">
      <c r="G66" s="7"/>
      <c r="H66" s="7"/>
      <c r="O66" s="7"/>
    </row>
    <row r="67" spans="7:15" x14ac:dyDescent="0.45">
      <c r="G67" s="7"/>
      <c r="H67" s="7"/>
      <c r="O67" s="7"/>
    </row>
    <row r="68" spans="7:15" x14ac:dyDescent="0.45">
      <c r="G68" s="7"/>
      <c r="H68" s="7"/>
      <c r="O68" s="7"/>
    </row>
    <row r="69" spans="7:15" x14ac:dyDescent="0.45">
      <c r="G69" s="7"/>
      <c r="H69" s="7"/>
      <c r="O69" s="7"/>
    </row>
    <row r="70" spans="7:15" x14ac:dyDescent="0.45">
      <c r="G70" s="7"/>
      <c r="H70" s="7"/>
      <c r="O70" s="7"/>
    </row>
    <row r="71" spans="7:15" x14ac:dyDescent="0.45">
      <c r="G71" s="7"/>
      <c r="H71" s="7"/>
      <c r="O71" s="7"/>
    </row>
    <row r="72" spans="7:15" x14ac:dyDescent="0.45">
      <c r="G72" s="7"/>
      <c r="H72" s="7"/>
      <c r="O72" s="7"/>
    </row>
    <row r="73" spans="7:15" x14ac:dyDescent="0.45">
      <c r="G73" s="7"/>
      <c r="H73" s="7"/>
      <c r="O73" s="7"/>
    </row>
    <row r="74" spans="7:15" x14ac:dyDescent="0.45">
      <c r="G74" s="7"/>
      <c r="H74" s="7"/>
      <c r="O74" s="7"/>
    </row>
    <row r="75" spans="7:15" x14ac:dyDescent="0.45">
      <c r="G75" s="7"/>
      <c r="H75" s="7"/>
      <c r="O75" s="7"/>
    </row>
    <row r="76" spans="7:15" x14ac:dyDescent="0.45">
      <c r="G76" s="7"/>
      <c r="H76" s="7"/>
      <c r="O76" s="7"/>
    </row>
    <row r="77" spans="7:15" x14ac:dyDescent="0.45">
      <c r="G77" s="7"/>
      <c r="H77" s="7"/>
      <c r="O77" s="7"/>
    </row>
    <row r="78" spans="7:15" x14ac:dyDescent="0.45">
      <c r="G78" s="7"/>
      <c r="H78" s="7"/>
      <c r="O78" s="7"/>
    </row>
    <row r="79" spans="7:15" x14ac:dyDescent="0.45">
      <c r="G79" s="7"/>
      <c r="H79" s="7"/>
      <c r="O79" s="7"/>
    </row>
    <row r="80" spans="7:15" x14ac:dyDescent="0.45">
      <c r="G80" s="7"/>
      <c r="H80" s="7"/>
      <c r="O80" s="7"/>
    </row>
    <row r="81" spans="7:15" x14ac:dyDescent="0.45">
      <c r="G81" s="7"/>
      <c r="H81" s="7"/>
      <c r="O81" s="7"/>
    </row>
    <row r="82" spans="7:15" x14ac:dyDescent="0.45">
      <c r="G82" s="7"/>
      <c r="H82" s="7"/>
      <c r="O82" s="7"/>
    </row>
    <row r="83" spans="7:15" x14ac:dyDescent="0.45">
      <c r="G83" s="7"/>
      <c r="H83" s="7"/>
      <c r="O83" s="7"/>
    </row>
    <row r="84" spans="7:15" x14ac:dyDescent="0.45">
      <c r="G84" s="7"/>
      <c r="H84" s="7"/>
      <c r="O84" s="7"/>
    </row>
    <row r="85" spans="7:15" x14ac:dyDescent="0.45">
      <c r="G85" s="7"/>
      <c r="H85" s="7"/>
      <c r="O85" s="7"/>
    </row>
    <row r="86" spans="7:15" x14ac:dyDescent="0.45">
      <c r="G86" s="7"/>
      <c r="H86" s="7"/>
      <c r="O86" s="7"/>
    </row>
    <row r="87" spans="7:15" x14ac:dyDescent="0.45">
      <c r="G87" s="7"/>
      <c r="H87" s="7"/>
      <c r="O87" s="7"/>
    </row>
    <row r="88" spans="7:15" x14ac:dyDescent="0.45">
      <c r="G88" s="7"/>
      <c r="H88" s="7"/>
      <c r="O88" s="7"/>
    </row>
    <row r="89" spans="7:15" x14ac:dyDescent="0.45">
      <c r="G89" s="7"/>
      <c r="H89" s="7"/>
      <c r="O89" s="7"/>
    </row>
    <row r="90" spans="7:15" x14ac:dyDescent="0.45">
      <c r="G90" s="7"/>
      <c r="H90" s="7"/>
      <c r="O90" s="7"/>
    </row>
    <row r="91" spans="7:15" x14ac:dyDescent="0.45">
      <c r="G91" s="7"/>
      <c r="H91" s="7"/>
      <c r="O91" s="7"/>
    </row>
    <row r="92" spans="7:15" x14ac:dyDescent="0.45">
      <c r="G92" s="7"/>
      <c r="H92" s="7"/>
      <c r="O92" s="7"/>
    </row>
    <row r="93" spans="7:15" x14ac:dyDescent="0.45">
      <c r="G93" s="7"/>
      <c r="H93" s="7"/>
      <c r="O93" s="7"/>
    </row>
    <row r="94" spans="7:15" x14ac:dyDescent="0.45">
      <c r="G94" s="7"/>
      <c r="H94" s="7"/>
      <c r="O94" s="7"/>
    </row>
    <row r="95" spans="7:15" x14ac:dyDescent="0.45">
      <c r="G95" s="7"/>
      <c r="H95" s="7"/>
      <c r="O95" s="7"/>
    </row>
    <row r="96" spans="7:15" x14ac:dyDescent="0.45">
      <c r="G96" s="7"/>
      <c r="H96" s="7"/>
      <c r="O96" s="7"/>
    </row>
    <row r="97" spans="7:15" x14ac:dyDescent="0.45">
      <c r="G97" s="7"/>
      <c r="H97" s="7"/>
      <c r="O97" s="7"/>
    </row>
    <row r="98" spans="7:15" x14ac:dyDescent="0.45">
      <c r="G98" s="7"/>
      <c r="H98" s="7"/>
      <c r="O98" s="7"/>
    </row>
    <row r="99" spans="7:15" x14ac:dyDescent="0.45">
      <c r="G99" s="7"/>
      <c r="H99" s="7"/>
      <c r="O99" s="7"/>
    </row>
    <row r="100" spans="7:15" x14ac:dyDescent="0.45">
      <c r="G100" s="7"/>
      <c r="H100" s="7"/>
      <c r="O100" s="7"/>
    </row>
    <row r="101" spans="7:15" x14ac:dyDescent="0.45">
      <c r="G101" s="7"/>
      <c r="H101" s="7"/>
      <c r="O101" s="7"/>
    </row>
    <row r="102" spans="7:15" x14ac:dyDescent="0.45">
      <c r="G102" s="7"/>
      <c r="H102" s="7"/>
      <c r="O102" s="7"/>
    </row>
    <row r="103" spans="7:15" x14ac:dyDescent="0.45">
      <c r="G103" s="7"/>
      <c r="H103" s="7"/>
      <c r="O103" s="7"/>
    </row>
    <row r="104" spans="7:15" x14ac:dyDescent="0.45">
      <c r="G104" s="7"/>
      <c r="H104" s="7"/>
      <c r="O104" s="7"/>
    </row>
    <row r="105" spans="7:15" x14ac:dyDescent="0.45">
      <c r="G105" s="7"/>
      <c r="H105" s="7"/>
      <c r="O105" s="7"/>
    </row>
    <row r="106" spans="7:15" x14ac:dyDescent="0.45">
      <c r="G106" s="7"/>
      <c r="H106" s="7"/>
      <c r="O106" s="7"/>
    </row>
    <row r="107" spans="7:15" x14ac:dyDescent="0.45">
      <c r="G107" s="7"/>
      <c r="H107" s="7"/>
      <c r="O107" s="7"/>
    </row>
    <row r="108" spans="7:15" x14ac:dyDescent="0.45">
      <c r="G108" s="7"/>
      <c r="H108" s="7"/>
      <c r="O108" s="7"/>
    </row>
    <row r="109" spans="7:15" x14ac:dyDescent="0.45">
      <c r="G109" s="7"/>
      <c r="H109" s="7"/>
      <c r="O109" s="7"/>
    </row>
    <row r="110" spans="7:15" x14ac:dyDescent="0.45">
      <c r="G110" s="7"/>
      <c r="H110" s="7"/>
      <c r="O110" s="7"/>
    </row>
    <row r="111" spans="7:15" x14ac:dyDescent="0.45">
      <c r="G111" s="7"/>
      <c r="H111" s="7"/>
      <c r="O111" s="7"/>
    </row>
    <row r="112" spans="7:15" x14ac:dyDescent="0.45">
      <c r="G112" s="7"/>
      <c r="H112" s="7"/>
      <c r="O112" s="7"/>
    </row>
    <row r="113" spans="7:15" x14ac:dyDescent="0.45">
      <c r="G113" s="7"/>
      <c r="H113" s="7"/>
      <c r="O113" s="7"/>
    </row>
    <row r="114" spans="7:15" x14ac:dyDescent="0.45">
      <c r="G114" s="7"/>
      <c r="H114" s="7"/>
      <c r="O114" s="7"/>
    </row>
    <row r="115" spans="7:15" x14ac:dyDescent="0.45">
      <c r="G115" s="7"/>
      <c r="H115" s="7"/>
      <c r="O115" s="7"/>
    </row>
    <row r="116" spans="7:15" x14ac:dyDescent="0.45">
      <c r="G116" s="7"/>
      <c r="H116" s="7"/>
      <c r="O116" s="7"/>
    </row>
    <row r="117" spans="7:15" x14ac:dyDescent="0.45">
      <c r="G117" s="7"/>
      <c r="H117" s="7"/>
      <c r="O117" s="7"/>
    </row>
    <row r="118" spans="7:15" x14ac:dyDescent="0.45">
      <c r="G118" s="7"/>
      <c r="H118" s="7"/>
      <c r="O118" s="7"/>
    </row>
    <row r="119" spans="7:15" x14ac:dyDescent="0.45">
      <c r="G119" s="7"/>
      <c r="H119" s="7"/>
      <c r="O119" s="7"/>
    </row>
    <row r="120" spans="7:15" x14ac:dyDescent="0.45">
      <c r="G120" s="7"/>
      <c r="H120" s="7"/>
      <c r="O120" s="7"/>
    </row>
  </sheetData>
  <mergeCells count="8">
    <mergeCell ref="S11:X11"/>
    <mergeCell ref="Z11:AE11"/>
    <mergeCell ref="C1:G1"/>
    <mergeCell ref="J1:N1"/>
    <mergeCell ref="S1:W1"/>
    <mergeCell ref="Z1:AD1"/>
    <mergeCell ref="S3:X3"/>
    <mergeCell ref="Z3:AE3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20"/>
  <sheetViews>
    <sheetView topLeftCell="C1" workbookViewId="0">
      <selection activeCell="AA5" sqref="AA5"/>
    </sheetView>
  </sheetViews>
  <sheetFormatPr defaultColWidth="9.33203125" defaultRowHeight="14.25" x14ac:dyDescent="0.45"/>
  <cols>
    <col min="1" max="1" width="8" style="1" bestFit="1" customWidth="1"/>
    <col min="2" max="2" width="11.1328125" style="1" bestFit="1" customWidth="1"/>
    <col min="3" max="3" width="5.86328125" style="1" bestFit="1" customWidth="1"/>
    <col min="4" max="4" width="6.1328125" style="1" bestFit="1" customWidth="1"/>
    <col min="5" max="5" width="7.53125" style="1" bestFit="1" customWidth="1"/>
    <col min="6" max="6" width="8" style="1" bestFit="1" customWidth="1"/>
    <col min="7" max="7" width="7.6640625" style="1" bestFit="1" customWidth="1"/>
    <col min="8" max="8" width="5.1328125" style="1" bestFit="1" customWidth="1"/>
    <col min="9" max="9" width="2.86328125" style="1" customWidth="1"/>
    <col min="10" max="10" width="5.86328125" style="1" bestFit="1" customWidth="1"/>
    <col min="11" max="11" width="6.1328125" style="1" bestFit="1" customWidth="1"/>
    <col min="12" max="12" width="7.53125" style="1" bestFit="1" customWidth="1"/>
    <col min="13" max="13" width="8" style="1" bestFit="1" customWidth="1"/>
    <col min="14" max="14" width="7.6640625" style="1" bestFit="1" customWidth="1"/>
    <col min="15" max="15" width="5.1328125" style="1" bestFit="1" customWidth="1"/>
    <col min="16" max="18" width="9.33203125" style="1"/>
    <col min="19" max="19" width="6" style="1" bestFit="1" customWidth="1"/>
    <col min="20" max="20" width="7.53125" style="1" bestFit="1" customWidth="1"/>
    <col min="21" max="21" width="7" style="1" bestFit="1" customWidth="1"/>
    <col min="22" max="22" width="8.53125" style="1" bestFit="1" customWidth="1"/>
    <col min="23" max="23" width="7" style="1" bestFit="1" customWidth="1"/>
    <col min="24" max="24" width="8.53125" style="1" bestFit="1" customWidth="1"/>
    <col min="25" max="25" width="2.86328125" style="1" customWidth="1"/>
    <col min="26" max="26" width="6" style="1" bestFit="1" customWidth="1"/>
    <col min="27" max="27" width="7.53125" style="1" bestFit="1" customWidth="1"/>
    <col min="28" max="28" width="7" style="1" bestFit="1" customWidth="1"/>
    <col min="29" max="29" width="8.53125" style="1" bestFit="1" customWidth="1"/>
    <col min="30" max="30" width="7" style="1" bestFit="1" customWidth="1"/>
    <col min="31" max="31" width="8.53125" style="1" bestFit="1" customWidth="1"/>
    <col min="32" max="16384" width="9.33203125" style="1"/>
  </cols>
  <sheetData>
    <row r="1" spans="1:31" x14ac:dyDescent="0.45">
      <c r="C1" s="16" t="s">
        <v>61</v>
      </c>
      <c r="D1" s="16"/>
      <c r="E1" s="16"/>
      <c r="F1" s="16"/>
      <c r="G1" s="16"/>
      <c r="H1" s="11"/>
      <c r="J1" s="16" t="s">
        <v>71</v>
      </c>
      <c r="K1" s="16"/>
      <c r="L1" s="16"/>
      <c r="M1" s="16"/>
      <c r="N1" s="16"/>
      <c r="O1" s="11"/>
      <c r="S1" s="16" t="s">
        <v>61</v>
      </c>
      <c r="T1" s="16"/>
      <c r="U1" s="16"/>
      <c r="V1" s="16"/>
      <c r="W1" s="16"/>
      <c r="X1" s="11"/>
      <c r="Z1" s="16" t="s">
        <v>71</v>
      </c>
      <c r="AA1" s="16"/>
      <c r="AB1" s="16"/>
      <c r="AC1" s="16"/>
      <c r="AD1" s="16"/>
      <c r="AE1" s="11"/>
    </row>
    <row r="2" spans="1:31" x14ac:dyDescent="0.45">
      <c r="C2" s="11" t="s">
        <v>0</v>
      </c>
      <c r="D2" s="11" t="s">
        <v>1</v>
      </c>
      <c r="E2" s="11" t="s">
        <v>167</v>
      </c>
      <c r="F2" s="11" t="s">
        <v>49</v>
      </c>
      <c r="G2" s="11" t="s">
        <v>48</v>
      </c>
      <c r="H2" s="11" t="s">
        <v>91</v>
      </c>
      <c r="J2" s="11" t="s">
        <v>0</v>
      </c>
      <c r="K2" s="11" t="s">
        <v>1</v>
      </c>
      <c r="L2" s="11" t="s">
        <v>167</v>
      </c>
      <c r="M2" s="11" t="s">
        <v>49</v>
      </c>
      <c r="N2" s="11" t="s">
        <v>48</v>
      </c>
      <c r="O2" s="11" t="s">
        <v>91</v>
      </c>
      <c r="S2" s="11" t="s">
        <v>208</v>
      </c>
      <c r="T2" s="11" t="s">
        <v>209</v>
      </c>
      <c r="U2" s="11" t="s">
        <v>210</v>
      </c>
      <c r="V2" s="11" t="s">
        <v>211</v>
      </c>
      <c r="W2" s="11" t="s">
        <v>212</v>
      </c>
      <c r="X2" s="11" t="s">
        <v>213</v>
      </c>
      <c r="Z2" s="11" t="s">
        <v>208</v>
      </c>
      <c r="AA2" s="11" t="s">
        <v>209</v>
      </c>
      <c r="AB2" s="11" t="s">
        <v>210</v>
      </c>
      <c r="AC2" s="11" t="s">
        <v>211</v>
      </c>
      <c r="AD2" s="11" t="s">
        <v>212</v>
      </c>
      <c r="AE2" s="11" t="s">
        <v>213</v>
      </c>
    </row>
    <row r="3" spans="1:31" x14ac:dyDescent="0.45">
      <c r="B3" s="1" t="s">
        <v>6</v>
      </c>
      <c r="C3" s="11">
        <v>500</v>
      </c>
      <c r="D3" s="11">
        <v>500</v>
      </c>
      <c r="E3" s="11">
        <v>500</v>
      </c>
      <c r="F3" s="11">
        <v>500</v>
      </c>
      <c r="G3" s="11">
        <v>500</v>
      </c>
      <c r="H3" s="11">
        <v>500</v>
      </c>
      <c r="J3" s="11">
        <v>500</v>
      </c>
      <c r="K3" s="11">
        <v>500</v>
      </c>
      <c r="L3" s="11">
        <v>500</v>
      </c>
      <c r="M3" s="11">
        <v>500</v>
      </c>
      <c r="N3" s="11">
        <v>500</v>
      </c>
      <c r="O3" s="11">
        <v>500</v>
      </c>
      <c r="S3" s="16" t="s">
        <v>218</v>
      </c>
      <c r="T3" s="16"/>
      <c r="U3" s="16"/>
      <c r="V3" s="16"/>
      <c r="W3" s="16"/>
      <c r="X3" s="16"/>
      <c r="Z3" s="16" t="s">
        <v>218</v>
      </c>
      <c r="AA3" s="16"/>
      <c r="AB3" s="16"/>
      <c r="AC3" s="16"/>
      <c r="AD3" s="16"/>
      <c r="AE3" s="16"/>
    </row>
    <row r="4" spans="1:31" x14ac:dyDescent="0.45">
      <c r="C4" s="11"/>
      <c r="D4" s="11"/>
      <c r="E4" s="11"/>
      <c r="F4" s="11"/>
      <c r="G4" s="11"/>
      <c r="H4" s="11"/>
      <c r="J4" s="11"/>
      <c r="K4" s="11"/>
      <c r="L4" s="11"/>
      <c r="M4" s="11"/>
      <c r="N4" s="11"/>
      <c r="O4" s="11"/>
    </row>
    <row r="5" spans="1:31" x14ac:dyDescent="0.45">
      <c r="A5" s="2" t="s">
        <v>58</v>
      </c>
      <c r="B5" s="1" t="s">
        <v>3</v>
      </c>
      <c r="C5" s="12">
        <f>'Table-n=500-corr'!C5</f>
        <v>0.14367845472775501</v>
      </c>
      <c r="D5" s="12">
        <f>'Table-n=500-corr'!D5</f>
        <v>3.6826929013991898</v>
      </c>
      <c r="E5" s="12">
        <f>'Table-n=500-corr'!E5</f>
        <v>0.8878329333340671</v>
      </c>
      <c r="F5" s="12">
        <f>'Table-n=500-corr'!F5</f>
        <v>0.94499999999999995</v>
      </c>
      <c r="G5" s="12">
        <f>'Table-n=500-corr'!G5</f>
        <v>14.071278385551711</v>
      </c>
      <c r="H5" s="12">
        <f>'Table-n=500-corr'!I5</f>
        <v>1.2185916648436605</v>
      </c>
      <c r="I5" s="12"/>
      <c r="J5" s="12">
        <f>'Table-n=500-miss'!C5</f>
        <v>1.9327792177696901</v>
      </c>
      <c r="K5" s="12">
        <f>'Table-n=500-miss'!D5</f>
        <v>4.0337983930432504</v>
      </c>
      <c r="L5" s="12">
        <f>'Table-n=500-miss'!E5</f>
        <v>0.7799466032965745</v>
      </c>
      <c r="M5" s="12">
        <f>'Table-n=500-miss'!F5</f>
        <v>0.92100000000000004</v>
      </c>
      <c r="N5" s="12">
        <f>'Table-n=500-miss'!G5</f>
        <v>13.7569183931538</v>
      </c>
      <c r="O5" s="12">
        <f>'Table-n=500-miss'!I5</f>
        <v>1.3607965653694212</v>
      </c>
      <c r="P5" s="5"/>
      <c r="Q5" s="5"/>
      <c r="R5" s="1" t="s">
        <v>3</v>
      </c>
      <c r="S5" s="7">
        <f>100*'Table-n=500-corr'!K5/SQRT(C$3)</f>
        <v>8.8685842769233361</v>
      </c>
      <c r="T5" s="7">
        <f>100*SQRT('Table-n=500-corr'!L5/(D$3))</f>
        <v>2.0730669015793821</v>
      </c>
      <c r="U5" s="7">
        <f>100*'Table-n=500-corr'!M5/SQRT(E$3)</f>
        <v>4.9105415736882412</v>
      </c>
      <c r="V5" s="7">
        <f>100*SQRT('Table-n=500-corr'!N5/(F$3))</f>
        <v>0.94040534667404352</v>
      </c>
      <c r="W5" s="7">
        <f>100*'Table-n=500-corr'!O5/SQRT(G$3)</f>
        <v>5.5959680687025877</v>
      </c>
      <c r="X5" s="7">
        <f>100*SQRT('Table-n=500-corr'!P5/(H$3))</f>
        <v>1.4082465723553501</v>
      </c>
      <c r="Y5" s="12"/>
      <c r="Z5" s="7">
        <f>100*'Table-n=500-miss'!K5/SQRT(J$3)</f>
        <v>9.7756778282565673</v>
      </c>
      <c r="AA5" s="7">
        <f>100*SQRT('Table-n=500-miss'!L5/K$3)</f>
        <v>2.4903166011664499</v>
      </c>
      <c r="AB5" s="7">
        <f>100*'Table-n=500-miss'!M5/SQRT(L$3)</f>
        <v>5.7680955428034668</v>
      </c>
      <c r="AC5" s="7">
        <f>100*SQRT('Table-n=500-miss'!N5/M$3)</f>
        <v>1.2388794108045398</v>
      </c>
      <c r="AD5" s="7">
        <f>100*'Table-n=500-miss'!O5/SQRT(N$3)</f>
        <v>5.6228632627484965</v>
      </c>
      <c r="AE5" s="7">
        <f>100*SQRT('Table-n=500-miss'!P5/O$3)</f>
        <v>1.461910841644086</v>
      </c>
    </row>
    <row r="6" spans="1:31" x14ac:dyDescent="0.45">
      <c r="B6" s="1" t="s">
        <v>5</v>
      </c>
      <c r="C6" s="12">
        <f>'Table-n=500-corr'!C6</f>
        <v>0.955824229839211</v>
      </c>
      <c r="D6" s="12">
        <f>'Table-n=500-corr'!D6</f>
        <v>3.6739029445254201</v>
      </c>
      <c r="E6" s="12">
        <f>'Table-n=500-corr'!E6</f>
        <v>0.88359978113662296</v>
      </c>
      <c r="F6" s="12">
        <f>'Table-n=500-corr'!F6</f>
        <v>0.96699999999999997</v>
      </c>
      <c r="G6" s="12">
        <f>'Table-n=500-corr'!G6</f>
        <v>15.512624774843047</v>
      </c>
      <c r="H6" s="12">
        <f>'Table-n=500-corr'!I6</f>
        <v>1.0026624207406138</v>
      </c>
      <c r="I6" s="12"/>
      <c r="J6" s="12">
        <f>'Table-n=500-miss'!C6</f>
        <v>2.4512830865551698</v>
      </c>
      <c r="K6" s="12">
        <f>'Table-n=500-miss'!D6</f>
        <v>4.5493798427601604</v>
      </c>
      <c r="L6" s="12">
        <f>'Table-n=500-miss'!E6</f>
        <v>0.99206674480430246</v>
      </c>
      <c r="M6" s="12">
        <f>'Table-n=500-miss'!F6</f>
        <v>0.94699999999999995</v>
      </c>
      <c r="N6" s="12">
        <f>'Table-n=500-miss'!G6</f>
        <v>17.72654738751104</v>
      </c>
      <c r="O6" s="12">
        <f>'Table-n=500-miss'!I6</f>
        <v>0.81957219222874877</v>
      </c>
      <c r="P6" s="5"/>
      <c r="Q6" s="5"/>
      <c r="R6" s="1" t="s">
        <v>5</v>
      </c>
      <c r="S6" s="7">
        <f>100*'Table-n=500-corr'!K6/SQRT(C$3)</f>
        <v>8.1575076707079734</v>
      </c>
      <c r="T6" s="7">
        <f>100*SQRT('Table-n=500-corr'!L6/(D$3))</f>
        <v>1.7669527944156513</v>
      </c>
      <c r="U6" s="7">
        <f>100*'Table-n=500-corr'!M6/SQRT(E$3)</f>
        <v>4.6523076743593217</v>
      </c>
      <c r="V6" s="7">
        <f>100*SQRT('Table-n=500-corr'!N6/(F$3))</f>
        <v>0.8368322067552072</v>
      </c>
      <c r="W6" s="7">
        <f>100*'Table-n=500-corr'!O6/SQRT(G$3)</f>
        <v>4.9615585775302051</v>
      </c>
      <c r="X6" s="7">
        <f>100*SQRT('Table-n=500-corr'!P6/(H$3))</f>
        <v>1.1326903202784659</v>
      </c>
      <c r="Y6" s="12"/>
      <c r="Z6" s="7">
        <f>100*'Table-n=500-miss'!K6/SQRT(J$3)</f>
        <v>8.6483391198682469</v>
      </c>
      <c r="AA6" s="7">
        <f>100*SQRT('Table-n=500-miss'!L6/K$3)</f>
        <v>2.1317456354877331</v>
      </c>
      <c r="AB6" s="7">
        <f>100*'Table-n=500-miss'!M6/SQRT(L$3)</f>
        <v>5.0611836817879849</v>
      </c>
      <c r="AC6" s="7">
        <f>100*SQRT('Table-n=500-miss'!N6/M$3)</f>
        <v>1.0687277603589194</v>
      </c>
      <c r="AD6" s="7">
        <f>100*'Table-n=500-miss'!O6/SQRT(N$3)</f>
        <v>4.9898380523519883</v>
      </c>
      <c r="AE6" s="7">
        <f>100*SQRT('Table-n=500-miss'!P6/O$3)</f>
        <v>1.2235781566684165</v>
      </c>
    </row>
    <row r="7" spans="1:31" x14ac:dyDescent="0.45">
      <c r="B7" s="1" t="s">
        <v>4</v>
      </c>
      <c r="C7" s="12">
        <f>'Table-n=500-corr'!C7</f>
        <v>0.154220682548113</v>
      </c>
      <c r="D7" s="12">
        <f>'Table-n=500-corr'!D7</f>
        <v>3.60844032832411</v>
      </c>
      <c r="E7" s="12">
        <f>'Table-n=500-corr'!E7</f>
        <v>0.85239186674939738</v>
      </c>
      <c r="F7" s="12">
        <f>'Table-n=500-corr'!F7</f>
        <v>0.94399999999999995</v>
      </c>
      <c r="G7" s="12">
        <f>'Table-n=500-corr'!G7</f>
        <v>13.823632773400549</v>
      </c>
      <c r="H7" s="12">
        <f>'Table-n=500-corr'!I7</f>
        <v>1.2626440519470359</v>
      </c>
      <c r="I7" s="12"/>
      <c r="J7" s="12">
        <f>'Table-n=500-miss'!C7</f>
        <v>0.49723926832950499</v>
      </c>
      <c r="K7" s="12">
        <f>'Table-n=500-miss'!D7</f>
        <v>3.4006503112147399</v>
      </c>
      <c r="L7" s="12">
        <f>'Table-n=500-miss'!E7</f>
        <v>0.55431986845292203</v>
      </c>
      <c r="M7" s="12">
        <f>'Table-n=500-miss'!F7</f>
        <v>0.96099999999999997</v>
      </c>
      <c r="N7" s="12">
        <f>'Table-n=500-miss'!G7</f>
        <v>15.035505716819905</v>
      </c>
      <c r="O7" s="12">
        <f>'Table-n=500-miss'!I7</f>
        <v>1.1391986097512266</v>
      </c>
      <c r="P7" s="5"/>
      <c r="Q7" s="5"/>
      <c r="R7" s="1" t="s">
        <v>4</v>
      </c>
      <c r="S7" s="7">
        <f>100*'Table-n=500-corr'!K7/SQRT(C$3)</f>
        <v>8.8382299898394123</v>
      </c>
      <c r="T7" s="7">
        <f>100*SQRT('Table-n=500-corr'!L7/(D$3))</f>
        <v>2.0635003100141271</v>
      </c>
      <c r="U7" s="7">
        <f>100*'Table-n=500-corr'!M7/SQRT(E$3)</f>
        <v>4.8449071341678014</v>
      </c>
      <c r="V7" s="7">
        <f>100*SQRT('Table-n=500-corr'!N7/(F$3))</f>
        <v>0.93630872420945332</v>
      </c>
      <c r="W7" s="7">
        <f>100*'Table-n=500-corr'!O7/SQRT(G$3)</f>
        <v>5.5294264837016396</v>
      </c>
      <c r="X7" s="7">
        <f>100*SQRT('Table-n=500-corr'!P7/(H$3))</f>
        <v>1.3893830022694937</v>
      </c>
      <c r="Y7" s="12"/>
      <c r="Z7" s="7">
        <f>100*'Table-n=500-miss'!K7/SQRT(J$3)</f>
        <v>13.464506413925212</v>
      </c>
      <c r="AA7" s="7">
        <f>100*SQRT('Table-n=500-miss'!L7/K$3)</f>
        <v>3.7176921304223267</v>
      </c>
      <c r="AB7" s="7">
        <f>100*'Table-n=500-miss'!M7/SQRT(L$3)</f>
        <v>6.9279118236854478</v>
      </c>
      <c r="AC7" s="7">
        <f>100*SQRT('Table-n=500-miss'!N7/M$3)</f>
        <v>1.6310481633082268</v>
      </c>
      <c r="AD7" s="7">
        <f>100*'Table-n=500-miss'!O7/SQRT(N$3)</f>
        <v>7.3216979545353018</v>
      </c>
      <c r="AE7" s="7">
        <f>100*SQRT('Table-n=500-miss'!P7/O$3)</f>
        <v>2.2304470912341903</v>
      </c>
    </row>
    <row r="8" spans="1:31" x14ac:dyDescent="0.45">
      <c r="B8" s="1" t="s">
        <v>88</v>
      </c>
      <c r="C8" s="12">
        <f>'Table-n=500-corr'!C8</f>
        <v>2.9476545024106598E-2</v>
      </c>
      <c r="D8" s="12">
        <f>'Table-n=500-corr'!D8</f>
        <v>4.0621994761322702</v>
      </c>
      <c r="E8" s="12">
        <f>'Table-n=500-corr'!E8</f>
        <v>1.0802461645365402</v>
      </c>
      <c r="F8" s="12">
        <f>'Table-n=500-corr'!F8</f>
        <v>0.93300000000000005</v>
      </c>
      <c r="G8" s="12">
        <f>'Table-n=500-corr'!G8</f>
        <v>14.989543930317328</v>
      </c>
      <c r="H8" s="12">
        <f>'Table-n=500-corr'!I8</f>
        <v>1.0738620012063786</v>
      </c>
      <c r="I8" s="12"/>
      <c r="J8" s="12">
        <f>'Table-n=500-miss'!C8</f>
        <v>2.7145883189435098</v>
      </c>
      <c r="K8" s="12">
        <f>'Table-n=500-miss'!D8</f>
        <v>4.5573426577371601</v>
      </c>
      <c r="L8" s="12">
        <f>'Table-n=500-miss'!E8</f>
        <v>0.99554262838014851</v>
      </c>
      <c r="M8" s="12">
        <f>'Table-n=500-miss'!F8</f>
        <v>0.874</v>
      </c>
      <c r="N8" s="12">
        <f>'Table-n=500-miss'!G8</f>
        <v>13.951648592188519</v>
      </c>
      <c r="O8" s="12">
        <f>'Table-n=500-miss'!I8</f>
        <v>1.3230750162102316</v>
      </c>
      <c r="P8" s="5"/>
      <c r="Q8" s="5"/>
      <c r="R8" s="1" t="s">
        <v>88</v>
      </c>
      <c r="S8" s="7">
        <f>100*'Table-n=500-corr'!K8/SQRT(C$3)</f>
        <v>9.2174592422247308</v>
      </c>
      <c r="T8" s="7">
        <f>100*SQRT('Table-n=500-corr'!L8/(D$3))</f>
        <v>2.149963383467937</v>
      </c>
      <c r="U8" s="7">
        <f>100*'Table-n=500-corr'!M8/SQRT(E$3)</f>
        <v>5.1192978076007867</v>
      </c>
      <c r="V8" s="7">
        <f>100*SQRT('Table-n=500-corr'!N8/(F$3))</f>
        <v>0.97892934021679212</v>
      </c>
      <c r="W8" s="7">
        <f>100*'Table-n=500-corr'!O8/SQRT(G$3)</f>
        <v>5.8458026472080853</v>
      </c>
      <c r="X8" s="7">
        <f>100*SQRT('Table-n=500-corr'!P8/(H$3))</f>
        <v>1.4697120619381947</v>
      </c>
      <c r="Y8" s="12"/>
      <c r="Z8" s="7">
        <f>100*'Table-n=500-miss'!K8/SQRT(J$3)</f>
        <v>10.276949285718107</v>
      </c>
      <c r="AA8" s="7">
        <f>100*SQRT('Table-n=500-miss'!L8/K$3)</f>
        <v>2.6282500817460921</v>
      </c>
      <c r="AB8" s="7">
        <f>100*'Table-n=500-miss'!M8/SQRT(L$3)</f>
        <v>6.0488219029269077</v>
      </c>
      <c r="AC8" s="7">
        <f>100*SQRT('Table-n=500-miss'!N8/M$3)</f>
        <v>1.3175902969351163</v>
      </c>
      <c r="AD8" s="7">
        <f>100*'Table-n=500-miss'!O8/SQRT(N$3)</f>
        <v>5.7432679752636489</v>
      </c>
      <c r="AE8" s="7">
        <f>100*SQRT('Table-n=500-miss'!P8/O$3)</f>
        <v>1.5231261221275341</v>
      </c>
    </row>
    <row r="9" spans="1:31" x14ac:dyDescent="0.45">
      <c r="B9" s="1" t="s">
        <v>89</v>
      </c>
      <c r="C9" s="12">
        <f>'Table-n=500-corr'!C9</f>
        <v>5.1185302844132301E-2</v>
      </c>
      <c r="D9" s="12">
        <f>'Table-n=500-corr'!D9</f>
        <v>3.9084078718397399</v>
      </c>
      <c r="E9" s="12">
        <f>'Table-n=500-corr'!E9</f>
        <v>1</v>
      </c>
      <c r="F9" s="12">
        <f>'Table-n=500-corr'!F9</f>
        <v>0.95</v>
      </c>
      <c r="G9" s="12">
        <f>'Table-n=500-corr'!G9</f>
        <v>15.533261614956809</v>
      </c>
      <c r="H9" s="12">
        <f>'Table-n=500-corr'!I9</f>
        <v>1</v>
      </c>
      <c r="I9" s="12"/>
      <c r="J9" s="12">
        <f>'Table-n=500-miss'!C9</f>
        <v>2.5634925158391599</v>
      </c>
      <c r="K9" s="12">
        <f>'Table-n=500-miss'!D9</f>
        <v>4.5675336240253799</v>
      </c>
      <c r="L9" s="12">
        <f>'Table-n=500-miss'!E9</f>
        <v>1</v>
      </c>
      <c r="M9" s="12">
        <f>'Table-n=500-miss'!F9</f>
        <v>0.92700000000000005</v>
      </c>
      <c r="N9" s="12">
        <f>'Table-n=500-miss'!G9</f>
        <v>16.047883512435181</v>
      </c>
      <c r="O9" s="12">
        <f>'Table-n=500-miss'!I9</f>
        <v>1</v>
      </c>
      <c r="P9" s="5"/>
      <c r="Q9" s="5"/>
      <c r="R9" s="1" t="s">
        <v>89</v>
      </c>
      <c r="S9" s="7">
        <f>100*'Table-n=500-corr'!K9/SQRT(C$3)</f>
        <v>9.1792852439882626</v>
      </c>
      <c r="T9" s="7">
        <f>100*SQRT('Table-n=500-corr'!L9/(D$3))</f>
        <v>2.1090386990197505</v>
      </c>
      <c r="U9" s="7">
        <f>100*'Table-n=500-corr'!M9/SQRT(E$3)</f>
        <v>4.9704260650057286</v>
      </c>
      <c r="V9" s="7">
        <f>100*SQRT('Table-n=500-corr'!N9/(F$3))</f>
        <v>0.9765608809818126</v>
      </c>
      <c r="W9" s="7">
        <f>100*'Table-n=500-corr'!O9/SQRT(G$3)</f>
        <v>5.6156192596415284</v>
      </c>
      <c r="X9" s="7">
        <f>100*SQRT('Table-n=500-corr'!P9/(H$3))</f>
        <v>1.3814108265283698</v>
      </c>
      <c r="Y9" s="12"/>
      <c r="Z9" s="7">
        <f>100*'Table-n=500-miss'!K9/SQRT(J$3)</f>
        <v>10.142330615869898</v>
      </c>
      <c r="AA9" s="7">
        <f>100*SQRT('Table-n=500-miss'!L9/K$3)</f>
        <v>2.5600878183396016</v>
      </c>
      <c r="AB9" s="7">
        <f>100*'Table-n=500-miss'!M9/SQRT(L$3)</f>
        <v>5.8402549379076856</v>
      </c>
      <c r="AC9" s="7">
        <f>100*SQRT('Table-n=500-miss'!N9/M$3)</f>
        <v>1.2463560932661715</v>
      </c>
      <c r="AD9" s="7">
        <f>100*'Table-n=500-miss'!O9/SQRT(N$3)</f>
        <v>5.617872935753037</v>
      </c>
      <c r="AE9" s="7">
        <f>100*SQRT('Table-n=500-miss'!P9/O$3)</f>
        <v>1.4909114817492286</v>
      </c>
    </row>
    <row r="10" spans="1:31" s="3" customFormat="1" x14ac:dyDescent="0.45">
      <c r="B10" s="3" t="s">
        <v>2</v>
      </c>
      <c r="C10" s="14">
        <f>'Table-n=500-corr'!C10</f>
        <v>-4.9784970765866597E-2</v>
      </c>
      <c r="D10" s="14">
        <f>'Table-n=500-corr'!D10</f>
        <v>4.5263008716192097</v>
      </c>
      <c r="E10" s="14">
        <f>'Table-n=500-corr'!E10</f>
        <v>1.3411800331762351</v>
      </c>
      <c r="F10" s="14">
        <f>'Table-n=500-corr'!F10</f>
        <v>0.94199999999999995</v>
      </c>
      <c r="G10" s="14">
        <f>'Table-n=500-corr'!G10</f>
        <v>16.46288141061132</v>
      </c>
      <c r="H10" s="14">
        <f>'Table-n=500-corr'!I10</f>
        <v>0.89025334476612727</v>
      </c>
      <c r="I10" s="14"/>
      <c r="J10" s="14">
        <f>'Table-n=500-miss'!C10</f>
        <v>5.9248319272177303</v>
      </c>
      <c r="K10" s="14">
        <f>'Table-n=500-miss'!D10</f>
        <v>10.411394188378299</v>
      </c>
      <c r="L10" s="14">
        <f>'Table-n=500-miss'!E10</f>
        <v>5.1958221047713335</v>
      </c>
      <c r="M10" s="14">
        <f>'Table-n=500-miss'!F10</f>
        <v>0.86299999999999999</v>
      </c>
      <c r="N10" s="14">
        <f>'Table-n=500-miss'!G10</f>
        <v>20.501984420442604</v>
      </c>
      <c r="O10" s="14">
        <f>'Table-n=500-miss'!I10</f>
        <v>0.61269414220566454</v>
      </c>
      <c r="P10" s="13"/>
      <c r="Q10" s="13"/>
      <c r="R10" s="3" t="s">
        <v>2</v>
      </c>
      <c r="S10" s="7">
        <f>100*'Table-n=500-corr'!K10/SQRT(C$3)</f>
        <v>9.1931684174862855</v>
      </c>
      <c r="T10" s="7">
        <f>100*SQRT('Table-n=500-corr'!L10/(D$3))</f>
        <v>2.1712514361320752</v>
      </c>
      <c r="U10" s="7">
        <f>100*'Table-n=500-corr'!M10/SQRT(E$3)</f>
        <v>5.1173897987133419</v>
      </c>
      <c r="V10" s="7">
        <f>100*SQRT('Table-n=500-corr'!N10/(F$3))</f>
        <v>0.958471484058253</v>
      </c>
      <c r="W10" s="7">
        <f>100*'Table-n=500-corr'!O10/SQRT(G$3)</f>
        <v>5.9569152567297348</v>
      </c>
      <c r="X10" s="7">
        <f>100*SQRT('Table-n=500-corr'!P10/(H$3))</f>
        <v>1.5468629641071379</v>
      </c>
      <c r="Y10" s="14"/>
      <c r="Z10" s="7">
        <f>100*'Table-n=500-miss'!K10/SQRT(J$3)</f>
        <v>12.071630046849297</v>
      </c>
      <c r="AA10" s="7">
        <f>100*SQRT('Table-n=500-miss'!L10/K$3)</f>
        <v>3.0351987129802951</v>
      </c>
      <c r="AB10" s="7">
        <f>100*'Table-n=500-miss'!M10/SQRT(L$3)</f>
        <v>8.4591492877624184</v>
      </c>
      <c r="AC10" s="7">
        <f>100*SQRT('Table-n=500-miss'!N10/M$3)</f>
        <v>2.067659175477627</v>
      </c>
      <c r="AD10" s="7">
        <f>100*'Table-n=500-miss'!O10/SQRT(N$3)</f>
        <v>5.5584657463492375</v>
      </c>
      <c r="AE10" s="7">
        <f>100*SQRT('Table-n=500-miss'!P10/O$3)</f>
        <v>1.4534326871420362</v>
      </c>
    </row>
    <row r="11" spans="1:31" s="4" customFormat="1" x14ac:dyDescent="0.45"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5"/>
      <c r="Q11" s="6"/>
      <c r="S11" s="16"/>
      <c r="T11" s="16"/>
      <c r="U11" s="16"/>
      <c r="V11" s="16"/>
      <c r="W11" s="16"/>
      <c r="X11" s="16"/>
      <c r="Y11" s="7"/>
      <c r="Z11" s="16"/>
      <c r="AA11" s="16"/>
      <c r="AB11" s="16"/>
      <c r="AC11" s="16"/>
      <c r="AD11" s="16"/>
      <c r="AE11" s="16"/>
    </row>
    <row r="12" spans="1:31" x14ac:dyDescent="0.45">
      <c r="A12" s="2" t="s">
        <v>206</v>
      </c>
      <c r="B12" s="1" t="s">
        <v>3</v>
      </c>
      <c r="C12" s="12">
        <f>'Table-n=500-corr'!C12</f>
        <v>0.16513831241952601</v>
      </c>
      <c r="D12" s="12">
        <f>'Table-n=500-corr'!D12</f>
        <v>4.86551686570599</v>
      </c>
      <c r="E12" s="12">
        <f>'Table-n=500-corr'!E12</f>
        <v>1.0448279470715407</v>
      </c>
      <c r="F12" s="12">
        <f>'Table-n=500-corr'!F12</f>
        <v>0.95499999999999996</v>
      </c>
      <c r="G12" s="12">
        <f>'Table-n=500-corr'!G12</f>
        <v>19.421105068432038</v>
      </c>
      <c r="H12" s="12">
        <f>'Table-n=500-corr'!I12</f>
        <v>0.98623563767212918</v>
      </c>
      <c r="I12" s="12"/>
      <c r="J12" s="12">
        <f>'Table-n=500-miss'!C12</f>
        <v>-3.95510237641379</v>
      </c>
      <c r="K12" s="12">
        <f>'Table-n=500-miss'!D12</f>
        <v>6.3368326633882504</v>
      </c>
      <c r="L12" s="12">
        <f>'Table-n=500-miss'!E12</f>
        <v>1.3160723921217075</v>
      </c>
      <c r="M12" s="12">
        <f>'Table-n=500-miss'!F12</f>
        <v>0.871</v>
      </c>
      <c r="N12" s="12">
        <f>'Table-n=500-miss'!G12</f>
        <v>19.79632087603224</v>
      </c>
      <c r="O12" s="12">
        <f>'Table-n=500-miss'!I12</f>
        <v>0.99189981343622979</v>
      </c>
      <c r="P12" s="5"/>
      <c r="Q12" s="5"/>
      <c r="S12" s="15"/>
      <c r="T12" s="15"/>
      <c r="U12" s="15"/>
      <c r="V12" s="15"/>
      <c r="W12" s="15"/>
      <c r="X12" s="15"/>
      <c r="Y12" s="12"/>
      <c r="Z12" s="15"/>
      <c r="AA12" s="15"/>
      <c r="AB12" s="15"/>
      <c r="AC12" s="15"/>
      <c r="AD12" s="15"/>
      <c r="AE12" s="15"/>
    </row>
    <row r="13" spans="1:31" x14ac:dyDescent="0.45">
      <c r="B13" s="1" t="s">
        <v>5</v>
      </c>
      <c r="C13" s="12">
        <f>'Table-n=500-corr'!C13</f>
        <v>0.47223522226307701</v>
      </c>
      <c r="D13" s="12">
        <f>'Table-n=500-corr'!D13</f>
        <v>5.2457540841288601</v>
      </c>
      <c r="E13" s="12">
        <f>'Table-n=500-corr'!E13</f>
        <v>1.2145144066699674</v>
      </c>
      <c r="F13" s="12">
        <f>'Table-n=500-corr'!F13</f>
        <v>0.96</v>
      </c>
      <c r="G13" s="12">
        <f>'Table-n=500-corr'!G13</f>
        <v>21.438509100541648</v>
      </c>
      <c r="H13" s="12">
        <f>'Table-n=500-corr'!I13</f>
        <v>0.80935565877287763</v>
      </c>
      <c r="I13" s="12"/>
      <c r="J13" s="12">
        <f>'Table-n=500-miss'!C13</f>
        <v>-2.8648151492279101</v>
      </c>
      <c r="K13" s="12">
        <f>'Table-n=500-miss'!D13</f>
        <v>5.9621785241901097</v>
      </c>
      <c r="L13" s="12">
        <f>'Table-n=500-miss'!E13</f>
        <v>1.1650518472978049</v>
      </c>
      <c r="M13" s="12">
        <f>'Table-n=500-miss'!F13</f>
        <v>0.94099999999999995</v>
      </c>
      <c r="N13" s="12">
        <f>'Table-n=500-miss'!G13</f>
        <v>22.812596307464649</v>
      </c>
      <c r="O13" s="12">
        <f>'Table-n=500-miss'!I13</f>
        <v>0.74694280339601749</v>
      </c>
      <c r="P13" s="5"/>
      <c r="Q13" s="5"/>
      <c r="S13" s="15"/>
      <c r="T13" s="15"/>
      <c r="U13" s="15"/>
      <c r="V13" s="15"/>
      <c r="W13" s="15"/>
      <c r="X13" s="15"/>
      <c r="Y13" s="12"/>
      <c r="Z13" s="15"/>
      <c r="AA13" s="15"/>
      <c r="AB13" s="15"/>
      <c r="AC13" s="15"/>
      <c r="AD13" s="15"/>
      <c r="AE13" s="15"/>
    </row>
    <row r="14" spans="1:31" x14ac:dyDescent="0.45">
      <c r="B14" s="1" t="s">
        <v>4</v>
      </c>
      <c r="C14" s="12">
        <f>'Table-n=500-corr'!C14</f>
        <v>0.16393431077139201</v>
      </c>
      <c r="D14" s="12">
        <f>'Table-n=500-corr'!D14</f>
        <v>4.8490494179583798</v>
      </c>
      <c r="E14" s="12">
        <f>'Table-n=500-corr'!E14</f>
        <v>1.0377674297000512</v>
      </c>
      <c r="F14" s="12">
        <f>'Table-n=500-corr'!F14</f>
        <v>0.95199999999999996</v>
      </c>
      <c r="G14" s="12">
        <f>'Table-n=500-corr'!G14</f>
        <v>19.426134132782156</v>
      </c>
      <c r="H14" s="12">
        <f>'Table-n=500-corr'!I14</f>
        <v>0.98572506768976287</v>
      </c>
      <c r="I14" s="12"/>
      <c r="J14" s="12">
        <f>'Table-n=500-miss'!C14</f>
        <v>-2.1486064887013501</v>
      </c>
      <c r="K14" s="12">
        <f>'Table-n=500-miss'!D14</f>
        <v>5.5750561469991</v>
      </c>
      <c r="L14" s="12">
        <f>'Table-n=500-miss'!E14</f>
        <v>1.018670647172073</v>
      </c>
      <c r="M14" s="12">
        <f>'Table-n=500-miss'!F14</f>
        <v>0.98899999999999999</v>
      </c>
      <c r="N14" s="12">
        <f>'Table-n=500-miss'!G14</f>
        <v>29.850586755571502</v>
      </c>
      <c r="O14" s="12">
        <f>'Table-n=500-miss'!I14</f>
        <v>0.43624557358442095</v>
      </c>
      <c r="P14" s="5"/>
      <c r="Q14" s="5"/>
      <c r="S14" s="15"/>
      <c r="T14" s="15"/>
      <c r="U14" s="15"/>
      <c r="V14" s="15"/>
      <c r="W14" s="15"/>
      <c r="X14" s="15"/>
      <c r="Y14" s="12"/>
      <c r="Z14" s="15"/>
      <c r="AA14" s="15"/>
      <c r="AB14" s="15"/>
      <c r="AC14" s="15"/>
      <c r="AD14" s="15"/>
      <c r="AE14" s="15"/>
    </row>
    <row r="15" spans="1:31" x14ac:dyDescent="0.45">
      <c r="B15" s="1" t="s">
        <v>88</v>
      </c>
      <c r="C15" s="12">
        <f>'Table-n=500-corr'!C15</f>
        <v>3.1665359565328899E-2</v>
      </c>
      <c r="D15" s="12">
        <f>'Table-n=500-corr'!D15</f>
        <v>4.7049576751846498</v>
      </c>
      <c r="E15" s="12">
        <f>'Table-n=500-corr'!E15</f>
        <v>0.9770083104971744</v>
      </c>
      <c r="F15" s="12">
        <f>'Table-n=500-corr'!F15</f>
        <v>0.95599999999999996</v>
      </c>
      <c r="G15" s="12">
        <f>'Table-n=500-corr'!G15</f>
        <v>18.788646162806579</v>
      </c>
      <c r="H15" s="12">
        <f>'Table-n=500-corr'!I15</f>
        <v>1.0537500106860838</v>
      </c>
      <c r="I15" s="12"/>
      <c r="J15" s="12">
        <f>'Table-n=500-miss'!C15</f>
        <v>-3.16182685295724</v>
      </c>
      <c r="K15" s="12">
        <f>'Table-n=500-miss'!D15</f>
        <v>5.81110807227107</v>
      </c>
      <c r="L15" s="12">
        <f>'Table-n=500-miss'!E15</f>
        <v>1.1067593655210823</v>
      </c>
      <c r="M15" s="12">
        <f>'Table-n=500-miss'!F15</f>
        <v>0.89400000000000002</v>
      </c>
      <c r="N15" s="12">
        <f>'Table-n=500-miss'!G15</f>
        <v>19.390955163390792</v>
      </c>
      <c r="O15" s="12">
        <f>'Table-n=500-miss'!I15</f>
        <v>1.0338043934209828</v>
      </c>
      <c r="P15" s="5"/>
      <c r="Q15" s="5"/>
      <c r="S15" s="15"/>
      <c r="T15" s="15"/>
      <c r="U15" s="15"/>
      <c r="V15" s="15"/>
      <c r="W15" s="15"/>
      <c r="X15" s="15"/>
      <c r="Y15" s="12"/>
      <c r="Z15" s="15"/>
      <c r="AA15" s="15"/>
      <c r="AB15" s="15"/>
      <c r="AC15" s="15"/>
      <c r="AD15" s="15"/>
      <c r="AE15" s="15"/>
    </row>
    <row r="16" spans="1:31" x14ac:dyDescent="0.45">
      <c r="B16" s="1" t="s">
        <v>89</v>
      </c>
      <c r="C16" s="12">
        <f>'Table-n=500-corr'!C16</f>
        <v>4.1583752048932603E-2</v>
      </c>
      <c r="D16" s="12">
        <f>'Table-n=500-corr'!D16</f>
        <v>4.7599960466416302</v>
      </c>
      <c r="E16" s="12">
        <f>'Table-n=500-corr'!E16</f>
        <v>1</v>
      </c>
      <c r="F16" s="12">
        <f>'Table-n=500-corr'!F16</f>
        <v>0.95899999999999996</v>
      </c>
      <c r="G16" s="12">
        <f>'Table-n=500-corr'!G16</f>
        <v>19.286982377432697</v>
      </c>
      <c r="H16" s="12">
        <f>'Table-n=500-corr'!I16</f>
        <v>1</v>
      </c>
      <c r="I16" s="12"/>
      <c r="J16" s="12">
        <f>'Table-n=500-miss'!C16</f>
        <v>-2.7922581480320599</v>
      </c>
      <c r="K16" s="12">
        <f>'Table-n=500-miss'!D16</f>
        <v>5.52372882168972</v>
      </c>
      <c r="L16" s="12">
        <f>'Table-n=500-miss'!E16</f>
        <v>1</v>
      </c>
      <c r="M16" s="12">
        <f>'Table-n=500-miss'!F16</f>
        <v>0.91900000000000004</v>
      </c>
      <c r="N16" s="12">
        <f>'Table-n=500-miss'!G16</f>
        <v>19.715980906861081</v>
      </c>
      <c r="O16" s="12">
        <f>'Table-n=500-miss'!I16</f>
        <v>1</v>
      </c>
      <c r="P16" s="5"/>
      <c r="Q16" s="5"/>
      <c r="S16" s="15"/>
      <c r="T16" s="15"/>
      <c r="U16" s="15"/>
      <c r="V16" s="15"/>
      <c r="W16" s="15"/>
      <c r="X16" s="15"/>
      <c r="Y16" s="12"/>
      <c r="Z16" s="15"/>
      <c r="AA16" s="15"/>
      <c r="AB16" s="15"/>
      <c r="AC16" s="15"/>
      <c r="AD16" s="15"/>
      <c r="AE16" s="15"/>
    </row>
    <row r="17" spans="1:31" s="3" customFormat="1" x14ac:dyDescent="0.45">
      <c r="B17" s="3" t="s">
        <v>2</v>
      </c>
      <c r="C17" s="14">
        <f>'Table-n=500-corr'!C17</f>
        <v>1.09658056609785E-2</v>
      </c>
      <c r="D17" s="14">
        <f>'Table-n=500-corr'!D17</f>
        <v>4.7567041188589103</v>
      </c>
      <c r="E17" s="14">
        <f>'Table-n=500-corr'!E17</f>
        <v>0.99861731420303435</v>
      </c>
      <c r="F17" s="14">
        <f>'Table-n=500-corr'!F17</f>
        <v>0.96</v>
      </c>
      <c r="G17" s="14">
        <f>'Table-n=500-corr'!G17</f>
        <v>18.904810183435767</v>
      </c>
      <c r="H17" s="14">
        <f>'Table-n=500-corr'!I17</f>
        <v>1.0408398827069298</v>
      </c>
      <c r="I17" s="14"/>
      <c r="J17" s="14">
        <f>'Table-n=500-miss'!C17</f>
        <v>-1.5388587728905501</v>
      </c>
      <c r="K17" s="14">
        <f>'Table-n=500-miss'!D17</f>
        <v>5.64209735783973</v>
      </c>
      <c r="L17" s="14">
        <f>'Table-n=500-miss'!E17</f>
        <v>1.0433174059041421</v>
      </c>
      <c r="M17" s="14">
        <f>'Table-n=500-miss'!F17</f>
        <v>0.93600000000000005</v>
      </c>
      <c r="N17" s="14">
        <f>'Table-n=500-miss'!G17</f>
        <v>20.280965886314799</v>
      </c>
      <c r="O17" s="14">
        <f>'Table-n=500-miss'!I17</f>
        <v>0.94506027602445886</v>
      </c>
      <c r="P17" s="13"/>
      <c r="Q17" s="13"/>
      <c r="S17" s="15"/>
      <c r="T17" s="15"/>
      <c r="U17" s="15"/>
      <c r="V17" s="15"/>
      <c r="W17" s="15"/>
      <c r="X17" s="15"/>
      <c r="Y17" s="14"/>
      <c r="Z17" s="15"/>
      <c r="AA17" s="15"/>
      <c r="AB17" s="15"/>
      <c r="AC17" s="15"/>
      <c r="AD17" s="15"/>
      <c r="AE17" s="15"/>
    </row>
    <row r="18" spans="1:31" s="4" customFormat="1" x14ac:dyDescent="0.45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5"/>
      <c r="Q18" s="6"/>
      <c r="Y18" s="7"/>
    </row>
    <row r="19" spans="1:31" x14ac:dyDescent="0.45">
      <c r="A19" s="2" t="s">
        <v>59</v>
      </c>
      <c r="B19" s="1" t="s">
        <v>3</v>
      </c>
      <c r="C19" s="12">
        <f>'Table-n=500-corr'!C19</f>
        <v>8.5997570589904995E-2</v>
      </c>
      <c r="D19" s="12">
        <f>'Table-n=500-corr'!D19</f>
        <v>4.3504822420884004</v>
      </c>
      <c r="E19" s="12">
        <f>'Table-n=500-corr'!E19</f>
        <v>1.0112716542150098</v>
      </c>
      <c r="F19" s="12">
        <f>'Table-n=500-corr'!F19</f>
        <v>0.95399999999999996</v>
      </c>
      <c r="G19" s="12">
        <f>'Table-n=500-corr'!G19</f>
        <v>17.20875339569497</v>
      </c>
      <c r="H19" s="12">
        <f>'Table-n=500-corr'!I19</f>
        <v>1.0348956693452351</v>
      </c>
      <c r="I19" s="12"/>
      <c r="J19" s="12">
        <f>'Table-n=500-miss'!C19</f>
        <v>-2.08233202602668</v>
      </c>
      <c r="K19" s="12">
        <f>'Table-n=500-miss'!D19</f>
        <v>4.7886508995495998</v>
      </c>
      <c r="L19" s="12">
        <f>'Table-n=500-miss'!E19</f>
        <v>1.231397972646735</v>
      </c>
      <c r="M19" s="12">
        <f>'Table-n=500-miss'!F19</f>
        <v>0.92900000000000005</v>
      </c>
      <c r="N19" s="12">
        <f>'Table-n=500-miss'!G19</f>
        <v>17.010201330929235</v>
      </c>
      <c r="O19" s="12">
        <f>'Table-n=500-miss'!I19</f>
        <v>1.0677423707677358</v>
      </c>
      <c r="P19" s="5"/>
      <c r="Q19" s="5"/>
      <c r="Y19" s="12"/>
    </row>
    <row r="20" spans="1:31" x14ac:dyDescent="0.45">
      <c r="B20" s="1" t="s">
        <v>5</v>
      </c>
      <c r="C20" s="12">
        <f>'Table-n=500-corr'!C20</f>
        <v>0.63926648578057899</v>
      </c>
      <c r="D20" s="12">
        <f>'Table-n=500-corr'!D20</f>
        <v>4.6860234345099903</v>
      </c>
      <c r="E20" s="12">
        <f>'Table-n=500-corr'!E20</f>
        <v>1.1732807518048936</v>
      </c>
      <c r="F20" s="12">
        <f>'Table-n=500-corr'!F20</f>
        <v>0.96699999999999997</v>
      </c>
      <c r="G20" s="12">
        <f>'Table-n=500-corr'!G20</f>
        <v>19.319612655306898</v>
      </c>
      <c r="H20" s="12">
        <f>'Table-n=500-corr'!I20</f>
        <v>0.82110474548219969</v>
      </c>
      <c r="I20" s="12"/>
      <c r="J20" s="12">
        <f>'Table-n=500-miss'!C20</f>
        <v>-1.0968057491002601</v>
      </c>
      <c r="K20" s="12">
        <f>'Table-n=500-miss'!D20</f>
        <v>4.6029674359490604</v>
      </c>
      <c r="L20" s="12">
        <f>'Table-n=500-miss'!E20</f>
        <v>1.137752724897819</v>
      </c>
      <c r="M20" s="12">
        <f>'Table-n=500-miss'!F20</f>
        <v>0.96799999999999997</v>
      </c>
      <c r="N20" s="12">
        <f>'Table-n=500-miss'!G20</f>
        <v>19.551091690262073</v>
      </c>
      <c r="O20" s="12">
        <f>'Table-n=500-miss'!I20</f>
        <v>0.80824562016293222</v>
      </c>
      <c r="P20" s="5"/>
      <c r="Q20" s="5"/>
      <c r="Y20" s="12"/>
    </row>
    <row r="21" spans="1:31" x14ac:dyDescent="0.45">
      <c r="B21" s="1" t="s">
        <v>4</v>
      </c>
      <c r="C21" s="12">
        <f>'Table-n=500-corr'!C21</f>
        <v>8.1114300000029602E-2</v>
      </c>
      <c r="D21" s="12">
        <f>'Table-n=500-corr'!D21</f>
        <v>4.3278502837689601</v>
      </c>
      <c r="E21" s="12">
        <f>'Table-n=500-corr'!E21</f>
        <v>1.000777403027264</v>
      </c>
      <c r="F21" s="12">
        <f>'Table-n=500-corr'!F21</f>
        <v>0.95699999999999996</v>
      </c>
      <c r="G21" s="12">
        <f>'Table-n=500-corr'!G21</f>
        <v>17.178791325960791</v>
      </c>
      <c r="H21" s="12">
        <f>'Table-n=500-corr'!I21</f>
        <v>1.0385088056017411</v>
      </c>
      <c r="I21" s="12"/>
      <c r="J21" s="12">
        <f>'Table-n=500-miss'!C21</f>
        <v>-1.3203959237282901</v>
      </c>
      <c r="K21" s="12">
        <f>'Table-n=500-miss'!D21</f>
        <v>4.6316690880586702</v>
      </c>
      <c r="L21" s="12">
        <f>'Table-n=500-miss'!E21</f>
        <v>1.151985801336356</v>
      </c>
      <c r="M21" s="12">
        <f>'Table-n=500-miss'!F21</f>
        <v>0.98399999999999999</v>
      </c>
      <c r="N21" s="12">
        <f>'Table-n=500-miss'!G21</f>
        <v>22.912481809789117</v>
      </c>
      <c r="O21" s="12">
        <f>'Table-n=500-miss'!I21</f>
        <v>0.58849275211195817</v>
      </c>
      <c r="P21" s="5"/>
      <c r="Q21" s="5"/>
      <c r="Y21" s="12"/>
    </row>
    <row r="22" spans="1:31" x14ac:dyDescent="0.45">
      <c r="B22" s="1" t="s">
        <v>88</v>
      </c>
      <c r="C22" s="12">
        <f>'Table-n=500-corr'!C22</f>
        <v>3.4745270878637799E-3</v>
      </c>
      <c r="D22" s="12">
        <f>'Table-n=500-corr'!D22</f>
        <v>4.36421597121047</v>
      </c>
      <c r="E22" s="12">
        <f>'Table-n=500-corr'!E22</f>
        <v>1.0176665557700084</v>
      </c>
      <c r="F22" s="12">
        <f>'Table-n=500-corr'!F22</f>
        <v>0.95599999999999996</v>
      </c>
      <c r="G22" s="12">
        <f>'Table-n=500-corr'!G22</f>
        <v>17.064562921225789</v>
      </c>
      <c r="H22" s="12">
        <f>'Table-n=500-corr'!I22</f>
        <v>1.0524586786554868</v>
      </c>
      <c r="I22" s="12"/>
      <c r="J22" s="12">
        <f>'Table-n=500-miss'!C22</f>
        <v>-1.25281549128613</v>
      </c>
      <c r="K22" s="12">
        <f>'Table-n=500-miss'!D22</f>
        <v>4.4597270819400103</v>
      </c>
      <c r="L22" s="12">
        <f>'Table-n=500-miss'!E22</f>
        <v>1.0680427692753798</v>
      </c>
      <c r="M22" s="12">
        <f>'Table-n=500-miss'!F22</f>
        <v>0.94499999999999995</v>
      </c>
      <c r="N22" s="12">
        <f>'Table-n=500-miss'!G22</f>
        <v>16.993755194894288</v>
      </c>
      <c r="O22" s="12">
        <f>'Table-n=500-miss'!I22</f>
        <v>1.0698100401274082</v>
      </c>
      <c r="P22" s="5"/>
      <c r="Q22" s="5"/>
      <c r="Y22" s="12"/>
    </row>
    <row r="23" spans="1:31" x14ac:dyDescent="0.45">
      <c r="B23" s="1" t="s">
        <v>89</v>
      </c>
      <c r="C23" s="12">
        <f>'Table-n=500-corr'!C23</f>
        <v>3.5855767414373602E-2</v>
      </c>
      <c r="D23" s="12">
        <f>'Table-n=500-corr'!D23</f>
        <v>4.3261690220128903</v>
      </c>
      <c r="E23" s="12">
        <f>'Table-n=500-corr'!E23</f>
        <v>1</v>
      </c>
      <c r="F23" s="12">
        <f>'Table-n=500-corr'!F23</f>
        <v>0.96899999999999997</v>
      </c>
      <c r="G23" s="12">
        <f>'Table-n=500-corr'!G23</f>
        <v>17.506434205726013</v>
      </c>
      <c r="H23" s="12">
        <f>'Table-n=500-corr'!I23</f>
        <v>1</v>
      </c>
      <c r="I23" s="12"/>
      <c r="J23" s="12">
        <f>'Table-n=500-miss'!C23</f>
        <v>-1.10081520958738</v>
      </c>
      <c r="K23" s="12">
        <f>'Table-n=500-miss'!D23</f>
        <v>4.3153294813701901</v>
      </c>
      <c r="L23" s="12">
        <f>'Table-n=500-miss'!E23</f>
        <v>1</v>
      </c>
      <c r="M23" s="12">
        <f>'Table-n=500-miss'!F23</f>
        <v>0.95299999999999996</v>
      </c>
      <c r="N23" s="12">
        <f>'Table-n=500-miss'!G23</f>
        <v>17.576916613559114</v>
      </c>
      <c r="O23" s="12">
        <f>'Table-n=500-miss'!I23</f>
        <v>1</v>
      </c>
      <c r="P23" s="5"/>
      <c r="Q23" s="5"/>
      <c r="Y23" s="12"/>
    </row>
    <row r="24" spans="1:31" s="3" customFormat="1" x14ac:dyDescent="0.45">
      <c r="B24" s="3" t="s">
        <v>2</v>
      </c>
      <c r="C24" s="14">
        <f>'Table-n=500-corr'!C24</f>
        <v>-3.9711297047260202E-2</v>
      </c>
      <c r="D24" s="14">
        <f>'Table-n=500-corr'!D24</f>
        <v>4.4702961010271496</v>
      </c>
      <c r="E24" s="14">
        <f>'Table-n=500-corr'!E24</f>
        <v>1.0677402513468965</v>
      </c>
      <c r="F24" s="14">
        <f>'Table-n=500-corr'!F24</f>
        <v>0.95399999999999996</v>
      </c>
      <c r="G24" s="14">
        <f>'Table-n=500-corr'!G24</f>
        <v>17.457847943419772</v>
      </c>
      <c r="H24" s="14">
        <f>'Table-n=500-corr'!I24</f>
        <v>1.0055738681811095</v>
      </c>
      <c r="I24" s="14"/>
      <c r="J24" s="14">
        <f>'Table-n=500-miss'!C24</f>
        <v>0.71361467957365599</v>
      </c>
      <c r="K24" s="14">
        <f>'Table-n=500-miss'!D24</f>
        <v>6.0961112019174504</v>
      </c>
      <c r="L24" s="14">
        <f>'Table-n=500-miss'!E24</f>
        <v>1.9956199667465286</v>
      </c>
      <c r="M24" s="14">
        <f>'Table-n=500-miss'!F24</f>
        <v>0.95599999999999996</v>
      </c>
      <c r="N24" s="14">
        <f>'Table-n=500-miss'!G24</f>
        <v>20.075907805874017</v>
      </c>
      <c r="O24" s="14">
        <f>'Table-n=500-miss'!I24</f>
        <v>0.76654031277077528</v>
      </c>
      <c r="P24" s="13"/>
      <c r="Q24" s="13"/>
      <c r="Y24" s="14"/>
    </row>
    <row r="25" spans="1:31" s="4" customFormat="1" x14ac:dyDescent="0.45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5"/>
      <c r="Q25" s="6"/>
      <c r="Y25" s="7"/>
    </row>
    <row r="26" spans="1:31" x14ac:dyDescent="0.45">
      <c r="A26" s="2" t="s">
        <v>60</v>
      </c>
      <c r="B26" s="1" t="s">
        <v>3</v>
      </c>
      <c r="C26" s="12">
        <f>'Table-n=500-corr'!C26</f>
        <v>0.21003507820393699</v>
      </c>
      <c r="D26" s="12">
        <f>'Table-n=500-corr'!D26</f>
        <v>4.4959595633076104</v>
      </c>
      <c r="E26" s="12">
        <f>'Table-n=500-corr'!E26</f>
        <v>0.94558517099132278</v>
      </c>
      <c r="F26" s="12">
        <f>'Table-n=500-corr'!F26</f>
        <v>0.94299999999999995</v>
      </c>
      <c r="G26" s="12">
        <f>'Table-n=500-corr'!G26</f>
        <v>17.588081019264081</v>
      </c>
      <c r="H26" s="12">
        <f>'Table-n=500-corr'!I26</f>
        <v>1.1339463510797503</v>
      </c>
      <c r="I26" s="12"/>
      <c r="J26" s="12">
        <f>'Table-n=500-miss'!C26</f>
        <v>1.0578834446763801</v>
      </c>
      <c r="K26" s="12">
        <f>'Table-n=500-miss'!D26</f>
        <v>4.47648877164551</v>
      </c>
      <c r="L26" s="12">
        <f>'Table-n=500-miss'!E26</f>
        <v>0.85743879979580617</v>
      </c>
      <c r="M26" s="12">
        <f>'Table-n=500-miss'!F26</f>
        <v>0.93799999999999994</v>
      </c>
      <c r="N26" s="12">
        <f>'Table-n=500-miss'!G26</f>
        <v>17.160701031432868</v>
      </c>
      <c r="O26" s="12">
        <f>'Table-n=500-miss'!I26</f>
        <v>1.2078132125939947</v>
      </c>
      <c r="P26" s="5"/>
      <c r="Q26"/>
      <c r="R26"/>
      <c r="S26"/>
      <c r="T26"/>
      <c r="Y26" s="12"/>
    </row>
    <row r="27" spans="1:31" x14ac:dyDescent="0.45">
      <c r="B27" s="1" t="s">
        <v>5</v>
      </c>
      <c r="C27" s="12">
        <f>'Table-n=500-corr'!C27</f>
        <v>0.941399048821141</v>
      </c>
      <c r="D27" s="12">
        <f>'Table-n=500-corr'!D27</f>
        <v>4.6501480279707703</v>
      </c>
      <c r="E27" s="12">
        <f>'Table-n=500-corr'!E27</f>
        <v>1.0115548012018001</v>
      </c>
      <c r="F27" s="12">
        <f>'Table-n=500-corr'!F27</f>
        <v>0.96199999999999997</v>
      </c>
      <c r="G27" s="12">
        <f>'Table-n=500-corr'!G27</f>
        <v>19.151358652896285</v>
      </c>
      <c r="H27" s="12">
        <f>'Table-n=500-corr'!I27</f>
        <v>0.9563794679183828</v>
      </c>
      <c r="I27" s="12"/>
      <c r="J27" s="12">
        <f>'Table-n=500-miss'!C27</f>
        <v>1.73488085500343</v>
      </c>
      <c r="K27" s="12">
        <f>'Table-n=500-miss'!D27</f>
        <v>4.8597799758928604</v>
      </c>
      <c r="L27" s="12">
        <f>'Table-n=500-miss'!E27</f>
        <v>1.0105582392422632</v>
      </c>
      <c r="M27" s="12">
        <f>'Table-n=500-miss'!F27</f>
        <v>0.95499999999999996</v>
      </c>
      <c r="N27" s="12">
        <f>'Table-n=500-miss'!G27</f>
        <v>19.81262487337986</v>
      </c>
      <c r="O27" s="12">
        <f>'Table-n=500-miss'!I27</f>
        <v>0.9061201600168044</v>
      </c>
      <c r="P27" s="5"/>
      <c r="Q27" s="5"/>
      <c r="Y27" s="12"/>
    </row>
    <row r="28" spans="1:31" x14ac:dyDescent="0.45">
      <c r="B28" s="1" t="s">
        <v>4</v>
      </c>
      <c r="C28" s="12">
        <f>'Table-n=500-corr'!C28</f>
        <v>0.197723569007421</v>
      </c>
      <c r="D28" s="12">
        <f>'Table-n=500-corr'!D28</f>
        <v>4.4449790354177301</v>
      </c>
      <c r="E28" s="12">
        <f>'Table-n=500-corr'!E28</f>
        <v>0.92426241680314003</v>
      </c>
      <c r="F28" s="12">
        <f>'Table-n=500-corr'!F28</f>
        <v>0.94</v>
      </c>
      <c r="G28" s="12">
        <f>'Table-n=500-corr'!G28</f>
        <v>17.423409427615837</v>
      </c>
      <c r="H28" s="12">
        <f>'Table-n=500-corr'!I28</f>
        <v>1.1554818781841318</v>
      </c>
      <c r="I28" s="12"/>
      <c r="J28" s="12">
        <f>'Table-n=500-miss'!C28</f>
        <v>0.18670798746836001</v>
      </c>
      <c r="K28" s="12">
        <f>'Table-n=500-miss'!D28</f>
        <v>4.27174284322383</v>
      </c>
      <c r="L28" s="12">
        <f>'Table-n=500-miss'!E28</f>
        <v>0.78079735561934549</v>
      </c>
      <c r="M28" s="12">
        <f>'Table-n=500-miss'!F28</f>
        <v>0.96</v>
      </c>
      <c r="N28" s="12">
        <f>'Table-n=500-miss'!G28</f>
        <v>18.112805769268959</v>
      </c>
      <c r="O28" s="12">
        <f>'Table-n=500-miss'!I28</f>
        <v>1.0841724484121509</v>
      </c>
      <c r="P28" s="5"/>
      <c r="Q28" s="5"/>
      <c r="Y28" s="12"/>
    </row>
    <row r="29" spans="1:31" x14ac:dyDescent="0.45">
      <c r="B29" s="1" t="s">
        <v>88</v>
      </c>
      <c r="C29" s="12">
        <f>'Table-n=500-corr'!C29</f>
        <v>8.3903214595320505E-2</v>
      </c>
      <c r="D29" s="12">
        <f>'Table-n=500-corr'!D29</f>
        <v>4.7870885958529001</v>
      </c>
      <c r="E29" s="12">
        <f>'Table-n=500-corr'!E29</f>
        <v>1.0720098851712654</v>
      </c>
      <c r="F29" s="12">
        <f>'Table-n=500-corr'!F29</f>
        <v>0.93700000000000006</v>
      </c>
      <c r="G29" s="12">
        <f>'Table-n=500-corr'!G29</f>
        <v>18.422813625253401</v>
      </c>
      <c r="H29" s="12">
        <f>'Table-n=500-corr'!I29</f>
        <v>1.0335167171325879</v>
      </c>
      <c r="I29" s="12"/>
      <c r="J29" s="12">
        <f>'Table-n=500-miss'!C29</f>
        <v>1.94087610754089</v>
      </c>
      <c r="K29" s="12">
        <f>'Table-n=500-miss'!D29</f>
        <v>4.9409538436846097</v>
      </c>
      <c r="L29" s="12">
        <f>'Table-n=500-miss'!E29</f>
        <v>1.0445992907633903</v>
      </c>
      <c r="M29" s="12">
        <f>'Table-n=500-miss'!F29</f>
        <v>0.92500000000000004</v>
      </c>
      <c r="N29" s="12">
        <f>'Table-n=500-miss'!G29</f>
        <v>17.555514228104652</v>
      </c>
      <c r="O29" s="12">
        <f>'Table-n=500-miss'!I29</f>
        <v>1.1540980741978413</v>
      </c>
      <c r="P29" s="5"/>
      <c r="Q29" s="5"/>
      <c r="Y29" s="12"/>
    </row>
    <row r="30" spans="1:31" x14ac:dyDescent="0.45">
      <c r="B30" s="1" t="s">
        <v>89</v>
      </c>
      <c r="C30" s="12">
        <f>'Table-n=500-corr'!C30</f>
        <v>9.5452593875775094E-2</v>
      </c>
      <c r="D30" s="12">
        <f>'Table-n=500-corr'!D30</f>
        <v>4.6235128620107897</v>
      </c>
      <c r="E30" s="12">
        <f>'Table-n=500-corr'!E30</f>
        <v>1</v>
      </c>
      <c r="F30" s="12">
        <f>'Table-n=500-corr'!F30</f>
        <v>0.95299999999999996</v>
      </c>
      <c r="G30" s="12">
        <f>'Table-n=500-corr'!G30</f>
        <v>18.729005252263921</v>
      </c>
      <c r="H30" s="12">
        <f>'Table-n=500-corr'!I30</f>
        <v>1</v>
      </c>
      <c r="I30" s="12"/>
      <c r="J30" s="12">
        <f>'Table-n=500-miss'!C30</f>
        <v>1.7608757381021201</v>
      </c>
      <c r="K30" s="12">
        <f>'Table-n=500-miss'!D30</f>
        <v>4.8343260015163203</v>
      </c>
      <c r="L30" s="12">
        <f>'Table-n=500-miss'!E30</f>
        <v>1</v>
      </c>
      <c r="M30" s="12">
        <f>'Table-n=500-miss'!F30</f>
        <v>0.94699999999999995</v>
      </c>
      <c r="N30" s="12">
        <f>'Table-n=500-miss'!G30</f>
        <v>18.859705782109138</v>
      </c>
      <c r="O30" s="12">
        <f>'Table-n=500-miss'!I30</f>
        <v>1</v>
      </c>
      <c r="P30" s="5"/>
      <c r="Q30" s="5"/>
      <c r="Y30" s="12"/>
    </row>
    <row r="31" spans="1:31" s="3" customFormat="1" x14ac:dyDescent="0.45">
      <c r="B31" s="3" t="s">
        <v>2</v>
      </c>
      <c r="C31" s="14">
        <f>'Table-n=500-corr'!C31</f>
        <v>4.4776406176616501E-4</v>
      </c>
      <c r="D31" s="14">
        <f>'Table-n=500-corr'!D31</f>
        <v>4.97846980103823</v>
      </c>
      <c r="E31" s="14">
        <f>'Table-n=500-corr'!E31</f>
        <v>1.1594382239171388</v>
      </c>
      <c r="F31" s="14">
        <f>'Table-n=500-corr'!F31</f>
        <v>0.94599999999999995</v>
      </c>
      <c r="G31" s="14">
        <f>'Table-n=500-corr'!G31</f>
        <v>19.363955256317624</v>
      </c>
      <c r="H31" s="14">
        <f>'Table-n=500-corr'!I31</f>
        <v>0.93549459358325338</v>
      </c>
      <c r="I31" s="14"/>
      <c r="J31" s="14">
        <f>'Table-n=500-miss'!C31</f>
        <v>5.2862594302975001</v>
      </c>
      <c r="K31" s="14">
        <f>'Table-n=500-miss'!D31</f>
        <v>11.775879548043701</v>
      </c>
      <c r="L31" s="14">
        <f>'Table-n=500-miss'!E31</f>
        <v>5.933553223506685</v>
      </c>
      <c r="M31" s="14">
        <f>'Table-n=500-miss'!F31</f>
        <v>0.89800000000000002</v>
      </c>
      <c r="N31" s="14">
        <f>'Table-n=500-miss'!G31</f>
        <v>24.860964623075201</v>
      </c>
      <c r="O31" s="14">
        <f>'Table-n=500-miss'!I31</f>
        <v>0.5754848240904652</v>
      </c>
      <c r="P31" s="13"/>
      <c r="Q31" s="13"/>
      <c r="Y31" s="14"/>
    </row>
    <row r="32" spans="1:31" x14ac:dyDescent="0.45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5"/>
      <c r="Y32" s="7"/>
    </row>
    <row r="33" spans="1:25" x14ac:dyDescent="0.45">
      <c r="A33" s="2" t="s">
        <v>62</v>
      </c>
      <c r="B33" s="1" t="s">
        <v>3</v>
      </c>
      <c r="C33" s="12">
        <f>'Table-n=500-corr'!C33</f>
        <v>0.24661129750369101</v>
      </c>
      <c r="D33" s="12">
        <f>'Table-n=500-corr'!D33</f>
        <v>5.6413576909803202</v>
      </c>
      <c r="E33" s="12">
        <f>'Table-n=500-corr'!E33</f>
        <v>0.95481109382306117</v>
      </c>
      <c r="F33" s="12">
        <f>'Table-n=500-corr'!F33</f>
        <v>0.94</v>
      </c>
      <c r="G33" s="12">
        <f>'Table-n=500-corr'!G33</f>
        <v>21.650816780161001</v>
      </c>
      <c r="H33" s="12">
        <f>'Table-n=500-corr'!I33</f>
        <v>1.1510732126340995</v>
      </c>
      <c r="I33" s="12"/>
      <c r="J33" s="12">
        <f>'Table-n=500-miss'!C33</f>
        <v>5.3036011987505098</v>
      </c>
      <c r="K33" s="12">
        <f>'Table-n=500-miss'!D33</f>
        <v>7.4769281145920097</v>
      </c>
      <c r="L33" s="12">
        <f>'Table-n=500-miss'!E33</f>
        <v>0.87129573925657922</v>
      </c>
      <c r="M33" s="12">
        <f>'Table-n=500-miss'!F33</f>
        <v>0.82799999999999996</v>
      </c>
      <c r="N33" s="12">
        <f>'Table-n=500-miss'!G33</f>
        <v>20.763631465970278</v>
      </c>
      <c r="O33" s="12">
        <f>'Table-n=500-miss'!I33</f>
        <v>1.325143561627389</v>
      </c>
      <c r="P33" s="5"/>
      <c r="Y33" s="12"/>
    </row>
    <row r="34" spans="1:25" x14ac:dyDescent="0.45">
      <c r="B34" s="1" t="s">
        <v>5</v>
      </c>
      <c r="C34" s="12">
        <f>'Table-n=500-corr'!C34</f>
        <v>1.3414801746307901</v>
      </c>
      <c r="D34" s="12">
        <f>'Table-n=500-corr'!D34</f>
        <v>5.4680437810479097</v>
      </c>
      <c r="E34" s="12">
        <f>'Table-n=500-corr'!E34</f>
        <v>0.89704483207490282</v>
      </c>
      <c r="F34" s="12">
        <f>'Table-n=500-corr'!F34</f>
        <v>0.94699999999999995</v>
      </c>
      <c r="G34" s="12">
        <f>'Table-n=500-corr'!G34</f>
        <v>22.060792958500979</v>
      </c>
      <c r="H34" s="12">
        <f>'Table-n=500-corr'!I34</f>
        <v>1.1086878275912384</v>
      </c>
      <c r="I34" s="12"/>
      <c r="J34" s="12">
        <f>'Table-n=500-miss'!C34</f>
        <v>5.4802700397937896</v>
      </c>
      <c r="K34" s="12">
        <f>'Table-n=500-miss'!D34</f>
        <v>7.7632942652575903</v>
      </c>
      <c r="L34" s="12">
        <f>'Table-n=500-miss'!E34</f>
        <v>0.93931504043095493</v>
      </c>
      <c r="M34" s="12">
        <f>'Table-n=500-miss'!F34</f>
        <v>0.89100000000000001</v>
      </c>
      <c r="N34" s="12">
        <f>'Table-n=500-miss'!G34</f>
        <v>24.829491528063855</v>
      </c>
      <c r="O34" s="12">
        <f>'Table-n=500-miss'!I34</f>
        <v>0.9266887760683149</v>
      </c>
      <c r="P34" s="5"/>
      <c r="Y34" s="12"/>
    </row>
    <row r="35" spans="1:25" x14ac:dyDescent="0.45">
      <c r="B35" s="1" t="s">
        <v>4</v>
      </c>
      <c r="C35" s="12">
        <f>'Table-n=500-corr'!C35</f>
        <v>0.24614858686861599</v>
      </c>
      <c r="D35" s="12">
        <f>'Table-n=500-corr'!D35</f>
        <v>5.56005505685832</v>
      </c>
      <c r="E35" s="12">
        <f>'Table-n=500-corr'!E35</f>
        <v>0.92748814308920879</v>
      </c>
      <c r="F35" s="12">
        <f>'Table-n=500-corr'!F35</f>
        <v>0.94099999999999995</v>
      </c>
      <c r="G35" s="12">
        <f>'Table-n=500-corr'!G35</f>
        <v>21.229438169293729</v>
      </c>
      <c r="H35" s="12">
        <f>'Table-n=500-corr'!I35</f>
        <v>1.1972215215927806</v>
      </c>
      <c r="I35" s="12"/>
      <c r="J35" s="12">
        <f>'Table-n=500-miss'!C35</f>
        <v>1.9935328304081601</v>
      </c>
      <c r="K35" s="12">
        <f>'Table-n=500-miss'!D35</f>
        <v>5.3060045798988504</v>
      </c>
      <c r="L35" s="12">
        <f>'Table-n=500-miss'!E35</f>
        <v>0.43878767556716169</v>
      </c>
      <c r="M35" s="12">
        <f>'Table-n=500-miss'!F35</f>
        <v>0.96199999999999997</v>
      </c>
      <c r="N35" s="12">
        <f>'Table-n=500-miss'!G35</f>
        <v>24.124355045346288</v>
      </c>
      <c r="O35" s="12">
        <f>'Table-n=500-miss'!I35</f>
        <v>0.98165330210435919</v>
      </c>
      <c r="P35" s="5"/>
      <c r="Y35" s="12"/>
    </row>
    <row r="36" spans="1:25" x14ac:dyDescent="0.45">
      <c r="B36" s="1" t="s">
        <v>88</v>
      </c>
      <c r="C36" s="12">
        <f>'Table-n=500-corr'!C36</f>
        <v>0.169551439249604</v>
      </c>
      <c r="D36" s="12">
        <f>'Table-n=500-corr'!D36</f>
        <v>6.1743706202817501</v>
      </c>
      <c r="E36" s="12">
        <f>'Table-n=500-corr'!E36</f>
        <v>1.1437617577915578</v>
      </c>
      <c r="F36" s="12">
        <f>'Table-n=500-corr'!F36</f>
        <v>0.93300000000000005</v>
      </c>
      <c r="G36" s="12">
        <f>'Table-n=500-corr'!G36</f>
        <v>23.192650476953126</v>
      </c>
      <c r="H36" s="12">
        <f>'Table-n=500-corr'!I36</f>
        <v>1.0031150605263612</v>
      </c>
      <c r="I36" s="12"/>
      <c r="J36" s="12">
        <f>'Table-n=500-miss'!C36</f>
        <v>6.1564142901169499</v>
      </c>
      <c r="K36" s="12">
        <f>'Table-n=500-miss'!D36</f>
        <v>8.2911561490483408</v>
      </c>
      <c r="L36" s="12">
        <f>'Table-n=500-miss'!E36</f>
        <v>1.0713943914278963</v>
      </c>
      <c r="M36" s="12">
        <f>'Table-n=500-miss'!F36</f>
        <v>0.79200000000000004</v>
      </c>
      <c r="N36" s="12">
        <f>'Table-n=500-miss'!G36</f>
        <v>21.339517302100521</v>
      </c>
      <c r="O36" s="12">
        <f>'Table-n=500-miss'!I36</f>
        <v>1.2545858118772857</v>
      </c>
      <c r="P36" s="5"/>
      <c r="Y36" s="12"/>
    </row>
    <row r="37" spans="1:25" x14ac:dyDescent="0.45">
      <c r="B37" s="1" t="s">
        <v>89</v>
      </c>
      <c r="C37" s="12">
        <f>'Table-n=500-corr'!C37</f>
        <v>0.209390271720126</v>
      </c>
      <c r="D37" s="12">
        <f>'Table-n=500-corr'!D37</f>
        <v>5.7733104144966703</v>
      </c>
      <c r="E37" s="12">
        <f>'Table-n=500-corr'!E37</f>
        <v>1</v>
      </c>
      <c r="F37" s="12">
        <f>'Table-n=500-corr'!F37</f>
        <v>0.95</v>
      </c>
      <c r="G37" s="12">
        <f>'Table-n=500-corr'!G37</f>
        <v>23.228745644153509</v>
      </c>
      <c r="H37" s="12">
        <f>'Table-n=500-corr'!I37</f>
        <v>1</v>
      </c>
      <c r="I37" s="12"/>
      <c r="J37" s="12">
        <f>'Table-n=500-miss'!C37</f>
        <v>5.6504798055130001</v>
      </c>
      <c r="K37" s="12">
        <f>'Table-n=500-miss'!D37</f>
        <v>8.0101455960068595</v>
      </c>
      <c r="L37" s="12">
        <f>'Table-n=500-miss'!E37</f>
        <v>1</v>
      </c>
      <c r="M37" s="12">
        <f>'Table-n=500-miss'!F37</f>
        <v>0.86699999999999999</v>
      </c>
      <c r="N37" s="12">
        <f>'Table-n=500-miss'!G37</f>
        <v>23.902029462702654</v>
      </c>
      <c r="O37" s="12">
        <f>'Table-n=500-miss'!I37</f>
        <v>1</v>
      </c>
      <c r="P37" s="5"/>
      <c r="Y37" s="12"/>
    </row>
    <row r="38" spans="1:25" s="3" customFormat="1" x14ac:dyDescent="0.45">
      <c r="B38" s="3" t="s">
        <v>2</v>
      </c>
      <c r="C38" s="14">
        <f>'Table-n=500-corr'!C38</f>
        <v>1.9622151336117E-2</v>
      </c>
      <c r="D38" s="14">
        <f>'Table-n=500-corr'!D38</f>
        <v>7.11225643386011</v>
      </c>
      <c r="E38" s="14">
        <f>'Table-n=500-corr'!E38</f>
        <v>1.5176268300814182</v>
      </c>
      <c r="F38" s="14">
        <f>'Table-n=500-corr'!F38</f>
        <v>0.94</v>
      </c>
      <c r="G38" s="14">
        <f>'Table-n=500-corr'!G38</f>
        <v>25.053934634267613</v>
      </c>
      <c r="H38" s="14">
        <f>'Table-n=500-corr'!I38</f>
        <v>0.85960639333013966</v>
      </c>
      <c r="I38" s="14"/>
      <c r="J38" s="14">
        <f>'Table-n=500-miss'!C38</f>
        <v>11.260677515581699</v>
      </c>
      <c r="K38" s="14">
        <f>'Table-n=500-miss'!D38</f>
        <v>17.985183769444902</v>
      </c>
      <c r="L38" s="14">
        <f>'Table-n=500-miss'!E38</f>
        <v>5.0413742555012542</v>
      </c>
      <c r="M38" s="14">
        <f>'Table-n=500-miss'!F38</f>
        <v>0.78100000000000003</v>
      </c>
      <c r="N38" s="14">
        <f>'Table-n=500-miss'!G38</f>
        <v>30.866200712864021</v>
      </c>
      <c r="O38" s="14">
        <f>'Table-n=500-miss'!I38</f>
        <v>0.59965740760317432</v>
      </c>
      <c r="P38" s="13"/>
      <c r="Q38" s="13"/>
      <c r="Y38" s="14"/>
    </row>
    <row r="39" spans="1:25" x14ac:dyDescent="0.45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5"/>
      <c r="Y39" s="7"/>
    </row>
    <row r="40" spans="1:25" x14ac:dyDescent="0.45">
      <c r="A40" s="2" t="s">
        <v>207</v>
      </c>
      <c r="B40" s="1" t="s">
        <v>3</v>
      </c>
      <c r="C40" s="12">
        <f>'Table-n=500-corr'!C40</f>
        <v>-6.0543763849610202E-2</v>
      </c>
      <c r="D40" s="12">
        <f>'Table-n=500-corr'!D40</f>
        <v>8.2929503192114709</v>
      </c>
      <c r="E40" s="12">
        <f>'Table-n=500-corr'!E40</f>
        <v>1.001269973626447</v>
      </c>
      <c r="F40" s="12">
        <f>'Table-n=500-corr'!F40</f>
        <v>0.93400000000000005</v>
      </c>
      <c r="G40" s="12">
        <f>'Table-n=500-corr'!G40</f>
        <v>30.809341500127623</v>
      </c>
      <c r="H40" s="12">
        <f>'Table-n=500-corr'!I40</f>
        <v>1.0562977875748456</v>
      </c>
      <c r="I40" s="12"/>
      <c r="J40" s="12">
        <f>'Table-n=500-miss'!C40</f>
        <v>10.1175210943273</v>
      </c>
      <c r="K40" s="12">
        <f>'Table-n=500-miss'!D40</f>
        <v>13.2307946850934</v>
      </c>
      <c r="L40" s="12">
        <f>'Table-n=500-miss'!E40</f>
        <v>1.0091995508423737</v>
      </c>
      <c r="M40" s="12">
        <f>'Table-n=500-miss'!F40</f>
        <v>0.76</v>
      </c>
      <c r="N40" s="12">
        <f>'Table-n=500-miss'!G40</f>
        <v>30.578945999346779</v>
      </c>
      <c r="O40" s="12">
        <f>'Table-n=500-miss'!I40</f>
        <v>1.2109566495261055</v>
      </c>
      <c r="P40" s="5"/>
      <c r="Y40" s="12"/>
    </row>
    <row r="41" spans="1:25" x14ac:dyDescent="0.45">
      <c r="B41" s="1" t="s">
        <v>5</v>
      </c>
      <c r="C41" s="12">
        <f>'Table-n=500-corr'!C41</f>
        <v>1.51928529932127</v>
      </c>
      <c r="D41" s="12">
        <f>'Table-n=500-corr'!D41</f>
        <v>7.6894831477075698</v>
      </c>
      <c r="E41" s="12">
        <f>'Table-n=500-corr'!E41</f>
        <v>0.86084976302830685</v>
      </c>
      <c r="F41" s="12">
        <f>'Table-n=500-corr'!F41</f>
        <v>0.95</v>
      </c>
      <c r="G41" s="12">
        <f>'Table-n=500-corr'!G41</f>
        <v>29.762589915609116</v>
      </c>
      <c r="H41" s="12">
        <f>'Table-n=500-corr'!I41</f>
        <v>1.1319044345279909</v>
      </c>
      <c r="I41" s="12"/>
      <c r="J41" s="12">
        <f>'Table-n=500-miss'!C41</f>
        <v>9.5987065149350101</v>
      </c>
      <c r="K41" s="12">
        <f>'Table-n=500-miss'!D41</f>
        <v>12.997001531868399</v>
      </c>
      <c r="L41" s="12">
        <f>'Table-n=500-miss'!E41</f>
        <v>0.97384878902450023</v>
      </c>
      <c r="M41" s="12">
        <f>'Table-n=500-miss'!F41</f>
        <v>0.875</v>
      </c>
      <c r="N41" s="12">
        <f>'Table-n=500-miss'!G41</f>
        <v>37.154858408857052</v>
      </c>
      <c r="O41" s="12">
        <f>'Table-n=500-miss'!I41</f>
        <v>0.82024274745334247</v>
      </c>
      <c r="P41" s="5"/>
      <c r="Y41" s="12"/>
    </row>
    <row r="42" spans="1:25" x14ac:dyDescent="0.45">
      <c r="B42" s="1" t="s">
        <v>4</v>
      </c>
      <c r="C42" s="12">
        <f>'Table-n=500-corr'!C42</f>
        <v>-2.7711429608757498E-2</v>
      </c>
      <c r="D42" s="12">
        <f>'Table-n=500-corr'!D42</f>
        <v>8.0284400770060707</v>
      </c>
      <c r="E42" s="12">
        <f>'Table-n=500-corr'!E42</f>
        <v>0.93841600398755942</v>
      </c>
      <c r="F42" s="12">
        <f>'Table-n=500-corr'!F42</f>
        <v>0.93600000000000005</v>
      </c>
      <c r="G42" s="12">
        <f>'Table-n=500-corr'!G42</f>
        <v>29.977494901815934</v>
      </c>
      <c r="H42" s="12">
        <f>'Table-n=500-corr'!I42</f>
        <v>1.1157336379932832</v>
      </c>
      <c r="I42" s="12"/>
      <c r="J42" s="12">
        <f>'Table-n=500-miss'!C42</f>
        <v>3.8076668375939602</v>
      </c>
      <c r="K42" s="12">
        <f>'Table-n=500-miss'!D42</f>
        <v>8.0643429817873606</v>
      </c>
      <c r="L42" s="12">
        <f>'Table-n=500-miss'!E42</f>
        <v>0.37492393711376143</v>
      </c>
      <c r="M42" s="12">
        <f>'Table-n=500-miss'!F42</f>
        <v>0.95799999999999996</v>
      </c>
      <c r="N42" s="12">
        <f>'Table-n=500-miss'!G42</f>
        <v>40.113928596188835</v>
      </c>
      <c r="O42" s="12">
        <f>'Table-n=500-miss'!I42</f>
        <v>0.70369299219177095</v>
      </c>
      <c r="P42" s="5"/>
      <c r="Y42" s="12"/>
    </row>
    <row r="43" spans="1:25" x14ac:dyDescent="0.45">
      <c r="B43" s="1" t="s">
        <v>88</v>
      </c>
      <c r="C43" s="12">
        <f>'Table-n=500-corr'!C43</f>
        <v>-9.2952758467889807E-2</v>
      </c>
      <c r="D43" s="12">
        <f>'Table-n=500-corr'!D43</f>
        <v>9.0551260544180003</v>
      </c>
      <c r="E43" s="12">
        <f>'Table-n=500-corr'!E43</f>
        <v>1.1937738632780117</v>
      </c>
      <c r="F43" s="12">
        <f>'Table-n=500-corr'!F43</f>
        <v>0.92600000000000005</v>
      </c>
      <c r="G43" s="12">
        <f>'Table-n=500-corr'!G43</f>
        <v>32.130950704338041</v>
      </c>
      <c r="H43" s="12">
        <f>'Table-n=500-corr'!I43</f>
        <v>0.97118966156885023</v>
      </c>
      <c r="I43" s="12"/>
      <c r="J43" s="12">
        <f>'Table-n=500-miss'!C43</f>
        <v>10.6427799152803</v>
      </c>
      <c r="K43" s="12">
        <f>'Table-n=500-miss'!D43</f>
        <v>13.6521079092263</v>
      </c>
      <c r="L43" s="12">
        <f>'Table-n=500-miss'!E43</f>
        <v>1.0744955298316379</v>
      </c>
      <c r="M43" s="12">
        <f>'Table-n=500-miss'!F43</f>
        <v>0.71699999999999997</v>
      </c>
      <c r="N43" s="12">
        <f>'Table-n=500-miss'!G43</f>
        <v>30.059361932667862</v>
      </c>
      <c r="O43" s="12">
        <f>'Table-n=500-miss'!I43</f>
        <v>1.2531818752567119</v>
      </c>
      <c r="P43" s="5"/>
      <c r="Y43" s="12"/>
    </row>
    <row r="44" spans="1:25" x14ac:dyDescent="0.45">
      <c r="B44" s="1" t="s">
        <v>89</v>
      </c>
      <c r="C44" s="12">
        <f>'Table-n=500-corr'!C44</f>
        <v>-0.12541354028962101</v>
      </c>
      <c r="D44" s="12">
        <f>'Table-n=500-corr'!D44</f>
        <v>8.2876894154928102</v>
      </c>
      <c r="E44" s="12">
        <f>'Table-n=500-corr'!E44</f>
        <v>1</v>
      </c>
      <c r="F44" s="12">
        <f>'Table-n=500-corr'!F44</f>
        <v>0.94899999999999995</v>
      </c>
      <c r="G44" s="12">
        <f>'Table-n=500-corr'!G44</f>
        <v>31.664716287784568</v>
      </c>
      <c r="H44" s="12">
        <f>'Table-n=500-corr'!I44</f>
        <v>1</v>
      </c>
      <c r="I44" s="12"/>
      <c r="J44" s="12">
        <f>'Table-n=500-miss'!C44</f>
        <v>9.8518971183424409</v>
      </c>
      <c r="K44" s="12">
        <f>'Table-n=500-miss'!D44</f>
        <v>13.170352711907499</v>
      </c>
      <c r="L44" s="12">
        <f>'Table-n=500-miss'!E44</f>
        <v>1</v>
      </c>
      <c r="M44" s="12">
        <f>'Table-n=500-miss'!F44</f>
        <v>0.82299999999999995</v>
      </c>
      <c r="N44" s="12">
        <f>'Table-n=500-miss'!G44</f>
        <v>33.650134942199621</v>
      </c>
      <c r="O44" s="12">
        <f>'Table-n=500-miss'!I44</f>
        <v>1</v>
      </c>
      <c r="P44" s="5"/>
      <c r="Y44" s="12"/>
    </row>
    <row r="45" spans="1:25" s="3" customFormat="1" x14ac:dyDescent="0.45">
      <c r="B45" s="3" t="s">
        <v>2</v>
      </c>
      <c r="C45" s="14">
        <f>'Table-n=500-corr'!C45</f>
        <v>-0.29664121048085201</v>
      </c>
      <c r="D45" s="14">
        <f>'Table-n=500-corr'!D45</f>
        <v>10.923003330073399</v>
      </c>
      <c r="E45" s="14">
        <f>'Table-n=500-corr'!E45</f>
        <v>1.7370695101706277</v>
      </c>
      <c r="F45" s="14">
        <f>'Table-n=500-corr'!F45</f>
        <v>0.91900000000000004</v>
      </c>
      <c r="G45" s="14">
        <f>'Table-n=500-corr'!G45</f>
        <v>34.928637659044263</v>
      </c>
      <c r="H45" s="14">
        <f>'Table-n=500-corr'!I45</f>
        <v>0.82184119846361547</v>
      </c>
      <c r="I45" s="14"/>
      <c r="J45" s="14">
        <f>'Table-n=500-miss'!C45</f>
        <v>15.8095272617996</v>
      </c>
      <c r="K45" s="14">
        <f>'Table-n=500-miss'!D45</f>
        <v>22.692619631956799</v>
      </c>
      <c r="L45" s="14">
        <f>'Table-n=500-miss'!E45</f>
        <v>2.9687556644624089</v>
      </c>
      <c r="M45" s="14">
        <f>'Table-n=500-miss'!F45</f>
        <v>0.66300000000000003</v>
      </c>
      <c r="N45" s="14">
        <f>'Table-n=500-miss'!G45</f>
        <v>34.752863936587246</v>
      </c>
      <c r="O45" s="14">
        <f>'Table-n=500-miss'!I45</f>
        <v>0.93754564379483685</v>
      </c>
      <c r="P45" s="13"/>
      <c r="Q45" s="13"/>
      <c r="Y45" s="14"/>
    </row>
    <row r="46" spans="1:25" x14ac:dyDescent="0.45">
      <c r="G46" s="7"/>
      <c r="H46" s="7"/>
      <c r="O46" s="7"/>
    </row>
    <row r="47" spans="1:25" x14ac:dyDescent="0.45">
      <c r="G47" s="7"/>
      <c r="H47" s="7"/>
      <c r="O47" s="7"/>
    </row>
    <row r="48" spans="1:25" x14ac:dyDescent="0.45">
      <c r="G48" s="7"/>
      <c r="H48" s="7"/>
      <c r="O48" s="7"/>
    </row>
    <row r="49" spans="7:15" x14ac:dyDescent="0.45">
      <c r="G49" s="7"/>
      <c r="H49" s="7"/>
      <c r="O49" s="7"/>
    </row>
    <row r="50" spans="7:15" x14ac:dyDescent="0.45">
      <c r="G50" s="7"/>
      <c r="H50" s="7"/>
      <c r="O50" s="7"/>
    </row>
    <row r="51" spans="7:15" x14ac:dyDescent="0.45">
      <c r="G51" s="7"/>
      <c r="H51" s="7"/>
      <c r="O51" s="7"/>
    </row>
    <row r="52" spans="7:15" x14ac:dyDescent="0.45">
      <c r="G52" s="7"/>
      <c r="H52" s="7"/>
      <c r="O52" s="7"/>
    </row>
    <row r="53" spans="7:15" x14ac:dyDescent="0.45">
      <c r="G53" s="7"/>
      <c r="H53" s="7"/>
      <c r="O53" s="7"/>
    </row>
    <row r="54" spans="7:15" x14ac:dyDescent="0.45">
      <c r="G54" s="7"/>
      <c r="H54" s="7"/>
      <c r="O54" s="7"/>
    </row>
    <row r="55" spans="7:15" x14ac:dyDescent="0.45">
      <c r="G55" s="7"/>
      <c r="H55" s="7"/>
      <c r="O55" s="7"/>
    </row>
    <row r="56" spans="7:15" x14ac:dyDescent="0.45">
      <c r="G56" s="7"/>
      <c r="H56" s="7"/>
      <c r="O56" s="7"/>
    </row>
    <row r="57" spans="7:15" x14ac:dyDescent="0.45">
      <c r="G57" s="7"/>
      <c r="H57" s="7"/>
      <c r="O57" s="7"/>
    </row>
    <row r="58" spans="7:15" x14ac:dyDescent="0.45">
      <c r="G58" s="7"/>
      <c r="H58" s="7"/>
      <c r="O58" s="7"/>
    </row>
    <row r="59" spans="7:15" x14ac:dyDescent="0.45">
      <c r="G59" s="7"/>
      <c r="H59" s="7"/>
      <c r="O59" s="7"/>
    </row>
    <row r="60" spans="7:15" x14ac:dyDescent="0.45">
      <c r="G60" s="7"/>
      <c r="H60" s="7"/>
      <c r="O60" s="7"/>
    </row>
    <row r="61" spans="7:15" x14ac:dyDescent="0.45">
      <c r="G61" s="7"/>
      <c r="H61" s="7"/>
      <c r="O61" s="7"/>
    </row>
    <row r="62" spans="7:15" x14ac:dyDescent="0.45">
      <c r="G62" s="7"/>
      <c r="H62" s="7"/>
      <c r="O62" s="7"/>
    </row>
    <row r="63" spans="7:15" x14ac:dyDescent="0.45">
      <c r="G63" s="7"/>
      <c r="H63" s="7"/>
      <c r="O63" s="7"/>
    </row>
    <row r="64" spans="7:15" x14ac:dyDescent="0.45">
      <c r="G64" s="7"/>
      <c r="H64" s="7"/>
      <c r="O64" s="7"/>
    </row>
    <row r="65" spans="7:15" x14ac:dyDescent="0.45">
      <c r="G65" s="7"/>
      <c r="H65" s="7"/>
      <c r="O65" s="7"/>
    </row>
    <row r="66" spans="7:15" x14ac:dyDescent="0.45">
      <c r="G66" s="7"/>
      <c r="H66" s="7"/>
      <c r="O66" s="7"/>
    </row>
    <row r="67" spans="7:15" x14ac:dyDescent="0.45">
      <c r="G67" s="7"/>
      <c r="H67" s="7"/>
      <c r="O67" s="7"/>
    </row>
    <row r="68" spans="7:15" x14ac:dyDescent="0.45">
      <c r="G68" s="7"/>
      <c r="H68" s="7"/>
      <c r="O68" s="7"/>
    </row>
    <row r="69" spans="7:15" x14ac:dyDescent="0.45">
      <c r="G69" s="7"/>
      <c r="H69" s="7"/>
      <c r="O69" s="7"/>
    </row>
    <row r="70" spans="7:15" x14ac:dyDescent="0.45">
      <c r="G70" s="7"/>
      <c r="H70" s="7"/>
      <c r="O70" s="7"/>
    </row>
    <row r="71" spans="7:15" x14ac:dyDescent="0.45">
      <c r="G71" s="7"/>
      <c r="H71" s="7"/>
      <c r="O71" s="7"/>
    </row>
    <row r="72" spans="7:15" x14ac:dyDescent="0.45">
      <c r="G72" s="7"/>
      <c r="H72" s="7"/>
      <c r="O72" s="7"/>
    </row>
    <row r="73" spans="7:15" x14ac:dyDescent="0.45">
      <c r="G73" s="7"/>
      <c r="H73" s="7"/>
      <c r="O73" s="7"/>
    </row>
    <row r="74" spans="7:15" x14ac:dyDescent="0.45">
      <c r="G74" s="7"/>
      <c r="H74" s="7"/>
      <c r="O74" s="7"/>
    </row>
    <row r="75" spans="7:15" x14ac:dyDescent="0.45">
      <c r="G75" s="7"/>
      <c r="H75" s="7"/>
      <c r="O75" s="7"/>
    </row>
    <row r="76" spans="7:15" x14ac:dyDescent="0.45">
      <c r="G76" s="7"/>
      <c r="H76" s="7"/>
      <c r="O76" s="7"/>
    </row>
    <row r="77" spans="7:15" x14ac:dyDescent="0.45">
      <c r="G77" s="7"/>
      <c r="H77" s="7"/>
      <c r="O77" s="7"/>
    </row>
    <row r="78" spans="7:15" x14ac:dyDescent="0.45">
      <c r="G78" s="7"/>
      <c r="H78" s="7"/>
      <c r="O78" s="7"/>
    </row>
    <row r="79" spans="7:15" x14ac:dyDescent="0.45">
      <c r="G79" s="7"/>
      <c r="H79" s="7"/>
      <c r="O79" s="7"/>
    </row>
    <row r="80" spans="7:15" x14ac:dyDescent="0.45">
      <c r="G80" s="7"/>
      <c r="H80" s="7"/>
      <c r="O80" s="7"/>
    </row>
    <row r="81" spans="7:15" x14ac:dyDescent="0.45">
      <c r="G81" s="7"/>
      <c r="H81" s="7"/>
      <c r="O81" s="7"/>
    </row>
    <row r="82" spans="7:15" x14ac:dyDescent="0.45">
      <c r="G82" s="7"/>
      <c r="H82" s="7"/>
      <c r="O82" s="7"/>
    </row>
    <row r="83" spans="7:15" x14ac:dyDescent="0.45">
      <c r="G83" s="7"/>
      <c r="H83" s="7"/>
      <c r="O83" s="7"/>
    </row>
    <row r="84" spans="7:15" x14ac:dyDescent="0.45">
      <c r="G84" s="7"/>
      <c r="H84" s="7"/>
      <c r="O84" s="7"/>
    </row>
    <row r="85" spans="7:15" x14ac:dyDescent="0.45">
      <c r="G85" s="7"/>
      <c r="H85" s="7"/>
      <c r="O85" s="7"/>
    </row>
    <row r="86" spans="7:15" x14ac:dyDescent="0.45">
      <c r="G86" s="7"/>
      <c r="H86" s="7"/>
      <c r="O86" s="7"/>
    </row>
    <row r="87" spans="7:15" x14ac:dyDescent="0.45">
      <c r="G87" s="7"/>
      <c r="H87" s="7"/>
      <c r="O87" s="7"/>
    </row>
    <row r="88" spans="7:15" x14ac:dyDescent="0.45">
      <c r="G88" s="7"/>
      <c r="H88" s="7"/>
      <c r="O88" s="7"/>
    </row>
    <row r="89" spans="7:15" x14ac:dyDescent="0.45">
      <c r="G89" s="7"/>
      <c r="H89" s="7"/>
      <c r="O89" s="7"/>
    </row>
    <row r="90" spans="7:15" x14ac:dyDescent="0.45">
      <c r="G90" s="7"/>
      <c r="H90" s="7"/>
      <c r="O90" s="7"/>
    </row>
    <row r="91" spans="7:15" x14ac:dyDescent="0.45">
      <c r="G91" s="7"/>
      <c r="H91" s="7"/>
      <c r="O91" s="7"/>
    </row>
    <row r="92" spans="7:15" x14ac:dyDescent="0.45">
      <c r="G92" s="7"/>
      <c r="H92" s="7"/>
      <c r="O92" s="7"/>
    </row>
    <row r="93" spans="7:15" x14ac:dyDescent="0.45">
      <c r="G93" s="7"/>
      <c r="H93" s="7"/>
      <c r="O93" s="7"/>
    </row>
    <row r="94" spans="7:15" x14ac:dyDescent="0.45">
      <c r="G94" s="7"/>
      <c r="H94" s="7"/>
      <c r="O94" s="7"/>
    </row>
    <row r="95" spans="7:15" x14ac:dyDescent="0.45">
      <c r="G95" s="7"/>
      <c r="H95" s="7"/>
      <c r="O95" s="7"/>
    </row>
    <row r="96" spans="7:15" x14ac:dyDescent="0.45">
      <c r="G96" s="7"/>
      <c r="H96" s="7"/>
      <c r="O96" s="7"/>
    </row>
    <row r="97" spans="7:15" x14ac:dyDescent="0.45">
      <c r="G97" s="7"/>
      <c r="H97" s="7"/>
      <c r="O97" s="7"/>
    </row>
    <row r="98" spans="7:15" x14ac:dyDescent="0.45">
      <c r="G98" s="7"/>
      <c r="H98" s="7"/>
      <c r="O98" s="7"/>
    </row>
    <row r="99" spans="7:15" x14ac:dyDescent="0.45">
      <c r="G99" s="7"/>
      <c r="H99" s="7"/>
      <c r="O99" s="7"/>
    </row>
    <row r="100" spans="7:15" x14ac:dyDescent="0.45">
      <c r="G100" s="7"/>
      <c r="H100" s="7"/>
      <c r="O100" s="7"/>
    </row>
    <row r="101" spans="7:15" x14ac:dyDescent="0.45">
      <c r="G101" s="7"/>
      <c r="H101" s="7"/>
      <c r="O101" s="7"/>
    </row>
    <row r="102" spans="7:15" x14ac:dyDescent="0.45">
      <c r="G102" s="7"/>
      <c r="H102" s="7"/>
      <c r="O102" s="7"/>
    </row>
    <row r="103" spans="7:15" x14ac:dyDescent="0.45">
      <c r="G103" s="7"/>
      <c r="H103" s="7"/>
      <c r="O103" s="7"/>
    </row>
    <row r="104" spans="7:15" x14ac:dyDescent="0.45">
      <c r="G104" s="7"/>
      <c r="H104" s="7"/>
      <c r="O104" s="7"/>
    </row>
    <row r="105" spans="7:15" x14ac:dyDescent="0.45">
      <c r="G105" s="7"/>
      <c r="H105" s="7"/>
      <c r="O105" s="7"/>
    </row>
    <row r="106" spans="7:15" x14ac:dyDescent="0.45">
      <c r="G106" s="7"/>
      <c r="H106" s="7"/>
      <c r="O106" s="7"/>
    </row>
    <row r="107" spans="7:15" x14ac:dyDescent="0.45">
      <c r="G107" s="7"/>
      <c r="H107" s="7"/>
      <c r="O107" s="7"/>
    </row>
    <row r="108" spans="7:15" x14ac:dyDescent="0.45">
      <c r="G108" s="7"/>
      <c r="H108" s="7"/>
      <c r="O108" s="7"/>
    </row>
    <row r="109" spans="7:15" x14ac:dyDescent="0.45">
      <c r="G109" s="7"/>
      <c r="H109" s="7"/>
      <c r="O109" s="7"/>
    </row>
    <row r="110" spans="7:15" x14ac:dyDescent="0.45">
      <c r="G110" s="7"/>
      <c r="H110" s="7"/>
      <c r="O110" s="7"/>
    </row>
    <row r="111" spans="7:15" x14ac:dyDescent="0.45">
      <c r="G111" s="7"/>
      <c r="H111" s="7"/>
      <c r="O111" s="7"/>
    </row>
    <row r="112" spans="7:15" x14ac:dyDescent="0.45">
      <c r="G112" s="7"/>
      <c r="H112" s="7"/>
      <c r="O112" s="7"/>
    </row>
    <row r="113" spans="7:15" x14ac:dyDescent="0.45">
      <c r="G113" s="7"/>
      <c r="H113" s="7"/>
      <c r="O113" s="7"/>
    </row>
    <row r="114" spans="7:15" x14ac:dyDescent="0.45">
      <c r="G114" s="7"/>
      <c r="H114" s="7"/>
      <c r="O114" s="7"/>
    </row>
    <row r="115" spans="7:15" x14ac:dyDescent="0.45">
      <c r="G115" s="7"/>
      <c r="H115" s="7"/>
      <c r="O115" s="7"/>
    </row>
    <row r="116" spans="7:15" x14ac:dyDescent="0.45">
      <c r="G116" s="7"/>
      <c r="H116" s="7"/>
      <c r="O116" s="7"/>
    </row>
    <row r="117" spans="7:15" x14ac:dyDescent="0.45">
      <c r="G117" s="7"/>
      <c r="H117" s="7"/>
      <c r="O117" s="7"/>
    </row>
    <row r="118" spans="7:15" x14ac:dyDescent="0.45">
      <c r="G118" s="7"/>
      <c r="H118" s="7"/>
      <c r="O118" s="7"/>
    </row>
    <row r="119" spans="7:15" x14ac:dyDescent="0.45">
      <c r="G119" s="7"/>
      <c r="H119" s="7"/>
      <c r="O119" s="7"/>
    </row>
    <row r="120" spans="7:15" x14ac:dyDescent="0.45">
      <c r="G120" s="7"/>
      <c r="H120" s="7"/>
      <c r="O120" s="7"/>
    </row>
  </sheetData>
  <mergeCells count="8">
    <mergeCell ref="S11:X11"/>
    <mergeCell ref="Z11:AE11"/>
    <mergeCell ref="C1:G1"/>
    <mergeCell ref="J1:N1"/>
    <mergeCell ref="S1:W1"/>
    <mergeCell ref="Z1:AD1"/>
    <mergeCell ref="S3:X3"/>
    <mergeCell ref="Z3:A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20"/>
  <sheetViews>
    <sheetView tabSelected="1" workbookViewId="0">
      <selection activeCell="Z5" sqref="Z5:AE10"/>
    </sheetView>
  </sheetViews>
  <sheetFormatPr defaultColWidth="9.33203125" defaultRowHeight="14.25" x14ac:dyDescent="0.45"/>
  <cols>
    <col min="1" max="1" width="8" style="1" bestFit="1" customWidth="1"/>
    <col min="2" max="2" width="11.1328125" style="1" bestFit="1" customWidth="1"/>
    <col min="3" max="3" width="5.86328125" style="1" bestFit="1" customWidth="1"/>
    <col min="4" max="4" width="6.1328125" style="1" bestFit="1" customWidth="1"/>
    <col min="5" max="5" width="7.53125" style="1" bestFit="1" customWidth="1"/>
    <col min="6" max="6" width="8" style="1" bestFit="1" customWidth="1"/>
    <col min="7" max="7" width="7.6640625" style="1" bestFit="1" customWidth="1"/>
    <col min="8" max="8" width="5.1328125" style="1" bestFit="1" customWidth="1"/>
    <col min="9" max="9" width="2.86328125" style="1" customWidth="1"/>
    <col min="10" max="10" width="5.86328125" style="1" bestFit="1" customWidth="1"/>
    <col min="11" max="11" width="6.1328125" style="1" bestFit="1" customWidth="1"/>
    <col min="12" max="12" width="7.53125" style="1" bestFit="1" customWidth="1"/>
    <col min="13" max="13" width="8" style="1" bestFit="1" customWidth="1"/>
    <col min="14" max="14" width="7.6640625" style="1" bestFit="1" customWidth="1"/>
    <col min="15" max="15" width="5.1328125" style="1" bestFit="1" customWidth="1"/>
    <col min="16" max="18" width="9.33203125" style="1"/>
    <col min="19" max="19" width="6" style="1" bestFit="1" customWidth="1"/>
    <col min="20" max="20" width="7.53125" style="1" bestFit="1" customWidth="1"/>
    <col min="21" max="21" width="7" style="1" bestFit="1" customWidth="1"/>
    <col min="22" max="22" width="8.53125" style="1" bestFit="1" customWidth="1"/>
    <col min="23" max="23" width="7" style="1" bestFit="1" customWidth="1"/>
    <col min="24" max="24" width="8.53125" style="1" bestFit="1" customWidth="1"/>
    <col min="25" max="25" width="2.86328125" style="1" customWidth="1"/>
    <col min="26" max="26" width="6" style="1" bestFit="1" customWidth="1"/>
    <col min="27" max="27" width="7.53125" style="1" bestFit="1" customWidth="1"/>
    <col min="28" max="28" width="7" style="1" bestFit="1" customWidth="1"/>
    <col min="29" max="29" width="8.53125" style="1" bestFit="1" customWidth="1"/>
    <col min="30" max="30" width="7" style="1" bestFit="1" customWidth="1"/>
    <col min="31" max="31" width="8.53125" style="1" bestFit="1" customWidth="1"/>
    <col min="32" max="16384" width="9.33203125" style="1"/>
  </cols>
  <sheetData>
    <row r="1" spans="1:31" x14ac:dyDescent="0.45">
      <c r="C1" s="16" t="s">
        <v>61</v>
      </c>
      <c r="D1" s="16"/>
      <c r="E1" s="16"/>
      <c r="F1" s="16"/>
      <c r="G1" s="16"/>
      <c r="H1" s="11"/>
      <c r="J1" s="16" t="s">
        <v>71</v>
      </c>
      <c r="K1" s="16"/>
      <c r="L1" s="16"/>
      <c r="M1" s="16"/>
      <c r="N1" s="16"/>
      <c r="O1" s="11"/>
      <c r="S1" s="16" t="s">
        <v>61</v>
      </c>
      <c r="T1" s="16"/>
      <c r="U1" s="16"/>
      <c r="V1" s="16"/>
      <c r="W1" s="16"/>
      <c r="X1" s="11"/>
      <c r="Z1" s="16" t="s">
        <v>71</v>
      </c>
      <c r="AA1" s="16"/>
      <c r="AB1" s="16"/>
      <c r="AC1" s="16"/>
      <c r="AD1" s="16"/>
      <c r="AE1" s="11"/>
    </row>
    <row r="2" spans="1:31" x14ac:dyDescent="0.45">
      <c r="C2" s="11" t="s">
        <v>0</v>
      </c>
      <c r="D2" s="11" t="s">
        <v>1</v>
      </c>
      <c r="E2" s="11" t="s">
        <v>90</v>
      </c>
      <c r="F2" s="11" t="s">
        <v>49</v>
      </c>
      <c r="G2" s="11" t="s">
        <v>48</v>
      </c>
      <c r="H2" s="11" t="s">
        <v>91</v>
      </c>
      <c r="J2" s="11" t="s">
        <v>0</v>
      </c>
      <c r="K2" s="11" t="s">
        <v>1</v>
      </c>
      <c r="L2" s="11" t="s">
        <v>90</v>
      </c>
      <c r="M2" s="11" t="s">
        <v>49</v>
      </c>
      <c r="N2" s="11" t="s">
        <v>48</v>
      </c>
      <c r="O2" s="11" t="s">
        <v>91</v>
      </c>
      <c r="S2" s="11" t="s">
        <v>208</v>
      </c>
      <c r="T2" s="11" t="s">
        <v>209</v>
      </c>
      <c r="U2" s="11" t="s">
        <v>210</v>
      </c>
      <c r="V2" s="11" t="s">
        <v>211</v>
      </c>
      <c r="W2" s="11" t="s">
        <v>212</v>
      </c>
      <c r="X2" s="11" t="s">
        <v>213</v>
      </c>
      <c r="Z2" s="11" t="s">
        <v>208</v>
      </c>
      <c r="AA2" s="11" t="s">
        <v>209</v>
      </c>
      <c r="AB2" s="11" t="s">
        <v>210</v>
      </c>
      <c r="AC2" s="11" t="s">
        <v>211</v>
      </c>
      <c r="AD2" s="11" t="s">
        <v>212</v>
      </c>
      <c r="AE2" s="11" t="s">
        <v>213</v>
      </c>
    </row>
    <row r="3" spans="1:31" x14ac:dyDescent="0.45">
      <c r="B3" s="1" t="s">
        <v>6</v>
      </c>
      <c r="C3" s="11">
        <v>1000</v>
      </c>
      <c r="D3" s="11">
        <v>1000</v>
      </c>
      <c r="E3" s="11">
        <v>1000</v>
      </c>
      <c r="F3" s="11">
        <v>1000</v>
      </c>
      <c r="G3" s="11">
        <v>1000</v>
      </c>
      <c r="H3" s="11">
        <v>1000</v>
      </c>
      <c r="J3" s="11">
        <v>1000</v>
      </c>
      <c r="K3" s="11">
        <v>1000</v>
      </c>
      <c r="L3" s="11">
        <v>1000</v>
      </c>
      <c r="M3" s="11">
        <v>1000</v>
      </c>
      <c r="N3" s="11">
        <v>1000</v>
      </c>
      <c r="O3" s="11">
        <v>1000</v>
      </c>
      <c r="S3" s="16" t="s">
        <v>218</v>
      </c>
      <c r="T3" s="16"/>
      <c r="U3" s="16"/>
      <c r="V3" s="16"/>
      <c r="W3" s="16"/>
      <c r="X3" s="16"/>
      <c r="Z3" s="16" t="s">
        <v>218</v>
      </c>
      <c r="AA3" s="16"/>
      <c r="AB3" s="16"/>
      <c r="AC3" s="16"/>
      <c r="AD3" s="16"/>
      <c r="AE3" s="16"/>
    </row>
    <row r="4" spans="1:31" x14ac:dyDescent="0.45">
      <c r="C4" s="11"/>
      <c r="D4" s="11"/>
      <c r="E4" s="11"/>
      <c r="F4" s="11"/>
      <c r="G4" s="11"/>
      <c r="H4" s="11"/>
      <c r="J4" s="11"/>
      <c r="K4" s="11"/>
      <c r="L4" s="11"/>
      <c r="M4" s="11"/>
      <c r="N4" s="11"/>
      <c r="O4" s="11"/>
    </row>
    <row r="5" spans="1:31" x14ac:dyDescent="0.45">
      <c r="A5" s="2" t="s">
        <v>58</v>
      </c>
      <c r="B5" s="1" t="s">
        <v>3</v>
      </c>
      <c r="C5" s="12">
        <f>'Table-n=1000-corr'!C5</f>
        <v>6.50551147531786E-3</v>
      </c>
      <c r="D5" s="12">
        <f>'Table-n=1000-corr'!D5</f>
        <v>2.6621119448191601</v>
      </c>
      <c r="E5" s="12">
        <f>'Table-n=1000-corr'!E5</f>
        <v>0.85472400725017117</v>
      </c>
      <c r="F5" s="12">
        <f>'Table-n=1000-corr'!F5</f>
        <v>0.93899999999999995</v>
      </c>
      <c r="G5" s="12">
        <f>'Table-n=1000-corr'!G5</f>
        <v>10.142202185161947</v>
      </c>
      <c r="H5" s="12">
        <f>'Table-n=1000-corr'!I5</f>
        <v>1.246935991854152</v>
      </c>
      <c r="I5" s="12"/>
      <c r="J5" s="12">
        <f>'Table-n=1000-miss'!C5</f>
        <v>2.03679522198486</v>
      </c>
      <c r="K5" s="12">
        <f>'Table-n=1000-miss'!D5</f>
        <v>3.3021716034520501</v>
      </c>
      <c r="L5" s="12">
        <f>'Table-n=1000-miss'!E5</f>
        <v>0.63187727223943047</v>
      </c>
      <c r="M5" s="12">
        <f>'Table-n=1000-miss'!F5</f>
        <v>0.874</v>
      </c>
      <c r="N5" s="12">
        <f>'Table-n=1000-miss'!G5</f>
        <v>10.046933843740414</v>
      </c>
      <c r="O5" s="12">
        <f>'Table-n=1000-miss'!I5</f>
        <v>1.4717360853977963</v>
      </c>
      <c r="P5" s="5"/>
      <c r="Q5" s="5"/>
      <c r="R5" s="1" t="s">
        <v>3</v>
      </c>
      <c r="S5" s="7">
        <f>100*'Table-n=1000-corr'!K5/SQRT(C$3)</f>
        <v>6.5866021828990036</v>
      </c>
      <c r="T5" s="7">
        <f>100*SQRT('Table-n=1000-corr'!L5/D$3)</f>
        <v>1.4410196035436125</v>
      </c>
      <c r="U5" s="7">
        <f>100*'Table-n=1000-corr'!M5/SQRT(E$3)</f>
        <v>3.6575354085519001</v>
      </c>
      <c r="V5" s="7">
        <f>100*SQRT('Table-n=1000-corr'!N5/F$3)</f>
        <v>0.64053958450401483</v>
      </c>
      <c r="W5" s="7">
        <f>100*'Table-n=1000-corr'!O5/SQRT(G$3)</f>
        <v>4.2667392023259811</v>
      </c>
      <c r="X5" s="7">
        <f>100*SQRT('Table-n=1000-corr'!P5/H$3)</f>
        <v>0.98942931161394432</v>
      </c>
      <c r="Y5" s="12"/>
      <c r="Z5" s="7">
        <f>100*'Table-n=1000-miss'!K5/SQRT(J$3)</f>
        <v>8.2731776126388183</v>
      </c>
      <c r="AA5" s="7">
        <f>100*SQRT('Table-n=1000-miss'!L5/K$3)</f>
        <v>1.9376041034619609</v>
      </c>
      <c r="AB5" s="7">
        <f>100*'Table-n=1000-miss'!M5/SQRT(L$3)</f>
        <v>5.1230104572047894</v>
      </c>
      <c r="AC5" s="7">
        <f>100*SQRT('Table-n=1000-miss'!N5/M$3)</f>
        <v>1.0116249998908093</v>
      </c>
      <c r="AD5" s="7">
        <f>100*'Table-n=1000-miss'!O5/SQRT(N$3)</f>
        <v>4.6318655662438859</v>
      </c>
      <c r="AE5" s="7">
        <f>100*SQRT('Table-n=1000-miss'!P5/O$3)</f>
        <v>1.0836148813688331</v>
      </c>
    </row>
    <row r="6" spans="1:31" x14ac:dyDescent="0.45">
      <c r="B6" s="1" t="s">
        <v>5</v>
      </c>
      <c r="C6" s="12">
        <f>'Table-n=1000-corr'!C6</f>
        <v>0.47509310349759698</v>
      </c>
      <c r="D6" s="12">
        <f>'Table-n=1000-corr'!D6</f>
        <v>2.63239263406488</v>
      </c>
      <c r="E6" s="12">
        <f>'Table-n=1000-corr'!E6</f>
        <v>0.83574657998286928</v>
      </c>
      <c r="F6" s="12">
        <f>'Table-n=1000-corr'!F6</f>
        <v>0.97199999999999998</v>
      </c>
      <c r="G6" s="12">
        <f>'Table-n=1000-corr'!G6</f>
        <v>11.258333515677075</v>
      </c>
      <c r="H6" s="12">
        <f>'Table-n=1000-corr'!I6</f>
        <v>1.0119532945176588</v>
      </c>
      <c r="I6" s="12"/>
      <c r="J6" s="12">
        <f>'Table-n=1000-miss'!C6</f>
        <v>2.3708205525346902</v>
      </c>
      <c r="K6" s="12">
        <f>'Table-n=1000-miss'!D6</f>
        <v>3.6777789640584899</v>
      </c>
      <c r="L6" s="12">
        <f>'Table-n=1000-miss'!E6</f>
        <v>0.78379900287885951</v>
      </c>
      <c r="M6" s="12">
        <f>'Table-n=1000-miss'!F6</f>
        <v>0.93700000000000006</v>
      </c>
      <c r="N6" s="12">
        <f>'Table-n=1000-miss'!G6</f>
        <v>13.391533106391167</v>
      </c>
      <c r="O6" s="12">
        <f>'Table-n=1000-miss'!I6</f>
        <v>0.82839300866945897</v>
      </c>
      <c r="P6" s="5"/>
      <c r="Q6" s="5"/>
      <c r="R6" s="1" t="s">
        <v>5</v>
      </c>
      <c r="S6" s="7">
        <f>100*'Table-n=1000-corr'!K6/SQRT(C$3)</f>
        <v>6.2613103811248898</v>
      </c>
      <c r="T6" s="7">
        <f>100*SQRT('Table-n=1000-corr'!L6/D$3)</f>
        <v>1.2370647739668041</v>
      </c>
      <c r="U6" s="7">
        <f>100*'Table-n=1000-corr'!M6/SQRT(E$3)</f>
        <v>3.6983911891657129</v>
      </c>
      <c r="V6" s="7">
        <f>100*SQRT('Table-n=1000-corr'!N6/F$3)</f>
        <v>0.59072665293347393</v>
      </c>
      <c r="W6" s="7">
        <f>100*'Table-n=1000-corr'!O6/SQRT(G$3)</f>
        <v>3.8243688006856287</v>
      </c>
      <c r="X6" s="7">
        <f>100*SQRT('Table-n=1000-corr'!P6/H$3)</f>
        <v>0.80621575119355426</v>
      </c>
      <c r="Y6" s="12"/>
      <c r="Z6" s="7">
        <f>100*'Table-n=1000-miss'!K6/SQRT(J$3)</f>
        <v>7.1765720932697015</v>
      </c>
      <c r="AA6" s="7">
        <f>100*SQRT('Table-n=1000-miss'!L6/K$3)</f>
        <v>1.6366339231374956</v>
      </c>
      <c r="AB6" s="7">
        <f>100*'Table-n=1000-miss'!M6/SQRT(L$3)</f>
        <v>4.1097959544078417</v>
      </c>
      <c r="AC6" s="7">
        <f>100*SQRT('Table-n=1000-miss'!N6/M$3)</f>
        <v>0.8213355238992528</v>
      </c>
      <c r="AD6" s="7">
        <f>100*'Table-n=1000-miss'!O6/SQRT(N$3)</f>
        <v>4.2270829639100844</v>
      </c>
      <c r="AE6" s="7">
        <f>100*SQRT('Table-n=1000-miss'!P6/O$3)</f>
        <v>0.92759724520350695</v>
      </c>
    </row>
    <row r="7" spans="1:31" x14ac:dyDescent="0.45">
      <c r="B7" s="1" t="s">
        <v>4</v>
      </c>
      <c r="C7" s="12">
        <f>'Table-n=1000-corr'!C7</f>
        <v>2.2479470655985899E-2</v>
      </c>
      <c r="D7" s="12">
        <f>'Table-n=1000-corr'!D7</f>
        <v>2.6220994097124199</v>
      </c>
      <c r="E7" s="12">
        <f>'Table-n=1000-corr'!E7</f>
        <v>0.82922345872193248</v>
      </c>
      <c r="F7" s="12">
        <f>'Table-n=1000-corr'!F7</f>
        <v>0.94</v>
      </c>
      <c r="G7" s="12">
        <f>'Table-n=1000-corr'!G7</f>
        <v>9.975699719873667</v>
      </c>
      <c r="H7" s="12">
        <f>'Table-n=1000-corr'!I7</f>
        <v>1.2889080996216533</v>
      </c>
      <c r="I7" s="12"/>
      <c r="J7" s="12">
        <f>'Table-n=1000-miss'!C7</f>
        <v>0.479714291608349</v>
      </c>
      <c r="K7" s="12">
        <f>'Table-n=1000-miss'!D7</f>
        <v>2.5489922015182098</v>
      </c>
      <c r="L7" s="12">
        <f>'Table-n=1000-miss'!E7</f>
        <v>0.37650476015120421</v>
      </c>
      <c r="M7" s="12">
        <f>'Table-n=1000-miss'!F7</f>
        <v>0.96299999999999997</v>
      </c>
      <c r="N7" s="12">
        <f>'Table-n=1000-miss'!G7</f>
        <v>11.138770708411894</v>
      </c>
      <c r="O7" s="12">
        <f>'Table-n=1000-miss'!I7</f>
        <v>1.1973537960057219</v>
      </c>
      <c r="P7" s="5"/>
      <c r="Q7" s="5"/>
      <c r="R7" s="1" t="s">
        <v>4</v>
      </c>
      <c r="S7" s="7">
        <f>100*'Table-n=1000-corr'!K7/SQRT(C$3)</f>
        <v>6.5666943606892847</v>
      </c>
      <c r="T7" s="7">
        <f>100*SQRT('Table-n=1000-corr'!L7/D$3)</f>
        <v>1.4386279564247735</v>
      </c>
      <c r="U7" s="7">
        <f>100*'Table-n=1000-corr'!M7/SQRT(E$3)</f>
        <v>3.6132380155383657</v>
      </c>
      <c r="V7" s="7">
        <f>100*SQRT('Table-n=1000-corr'!N7/F$3)</f>
        <v>0.63740311912583314</v>
      </c>
      <c r="W7" s="7">
        <f>100*'Table-n=1000-corr'!O7/SQRT(G$3)</f>
        <v>4.2381435764432789</v>
      </c>
      <c r="X7" s="7">
        <f>100*SQRT('Table-n=1000-corr'!P7/H$3)</f>
        <v>0.98452301526353714</v>
      </c>
      <c r="Y7" s="12"/>
      <c r="Z7" s="7">
        <f>100*'Table-n=1000-miss'!K7/SQRT(J$3)</f>
        <v>10.691201780534104</v>
      </c>
      <c r="AA7" s="7">
        <f>100*SQRT('Table-n=1000-miss'!L7/K$3)</f>
        <v>2.7338114647451768</v>
      </c>
      <c r="AB7" s="7">
        <f>100*'Table-n=1000-miss'!M7/SQRT(L$3)</f>
        <v>5.4463499103946331</v>
      </c>
      <c r="AC7" s="7">
        <f>100*SQRT('Table-n=1000-miss'!N7/M$3)</f>
        <v>1.2134710809582896</v>
      </c>
      <c r="AD7" s="7">
        <f>100*'Table-n=1000-miss'!O7/SQRT(N$3)</f>
        <v>5.8949484304794773</v>
      </c>
      <c r="AE7" s="7">
        <f>100*SQRT('Table-n=1000-miss'!P7/O$3)</f>
        <v>1.6273795600910042</v>
      </c>
    </row>
    <row r="8" spans="1:31" x14ac:dyDescent="0.45">
      <c r="B8" s="1" t="s">
        <v>88</v>
      </c>
      <c r="C8" s="12">
        <f>'Table-n=1000-corr'!C8</f>
        <v>1.3764453982084E-2</v>
      </c>
      <c r="D8" s="12">
        <f>'Table-n=1000-corr'!D8</f>
        <v>2.9062851578052</v>
      </c>
      <c r="E8" s="12">
        <f>'Table-n=1000-corr'!E8</f>
        <v>1.0187080130183956</v>
      </c>
      <c r="F8" s="12">
        <f>'Table-n=1000-corr'!F8</f>
        <v>0.93500000000000005</v>
      </c>
      <c r="G8" s="12">
        <f>'Table-n=1000-corr'!G8</f>
        <v>10.904200382497606</v>
      </c>
      <c r="H8" s="12">
        <f>'Table-n=1000-corr'!I8</f>
        <v>1.078750577215023</v>
      </c>
      <c r="I8" s="12"/>
      <c r="J8" s="12">
        <f>'Table-n=1000-miss'!C8</f>
        <v>2.8016388668496601</v>
      </c>
      <c r="K8" s="12">
        <f>'Table-n=1000-miss'!D8</f>
        <v>3.83677881980514</v>
      </c>
      <c r="L8" s="12">
        <f>'Table-n=1000-miss'!E8</f>
        <v>0.8530352654798653</v>
      </c>
      <c r="M8" s="12">
        <f>'Table-n=1000-miss'!F8</f>
        <v>0.79900000000000004</v>
      </c>
      <c r="N8" s="12">
        <f>'Table-n=1000-miss'!G8</f>
        <v>9.9958530823028422</v>
      </c>
      <c r="O8" s="12">
        <f>'Table-n=1000-miss'!I8</f>
        <v>1.4868162361071853</v>
      </c>
      <c r="P8" s="5"/>
      <c r="Q8" s="5"/>
      <c r="R8" s="1" t="s">
        <v>88</v>
      </c>
      <c r="S8" s="7">
        <f>100*'Table-n=1000-corr'!K8/SQRT(C$3)</f>
        <v>6.7947650582688244</v>
      </c>
      <c r="T8" s="7">
        <f>100*SQRT('Table-n=1000-corr'!L8/D$3)</f>
        <v>1.4803094201636056</v>
      </c>
      <c r="U8" s="7">
        <f>100*'Table-n=1000-corr'!M8/SQRT(E$3)</f>
        <v>3.7844618035598665</v>
      </c>
      <c r="V8" s="7">
        <f>100*SQRT('Table-n=1000-corr'!N8/F$3)</f>
        <v>0.66190779517882936</v>
      </c>
      <c r="W8" s="7">
        <f>100*'Table-n=1000-corr'!O8/SQRT(G$3)</f>
        <v>4.4076003850000802</v>
      </c>
      <c r="X8" s="7">
        <f>100*SQRT('Table-n=1000-corr'!P8/H$3)</f>
        <v>1.0188637438526655</v>
      </c>
      <c r="Y8" s="12"/>
      <c r="Z8" s="7">
        <f>100*'Table-n=1000-miss'!K8/SQRT(J$3)</f>
        <v>8.610590754405246</v>
      </c>
      <c r="AA8" s="7">
        <f>100*SQRT('Table-n=1000-miss'!L8/K$3)</f>
        <v>2.0208588925103155</v>
      </c>
      <c r="AB8" s="7">
        <f>100*'Table-n=1000-miss'!M8/SQRT(L$3)</f>
        <v>5.2469227474043594</v>
      </c>
      <c r="AC8" s="7">
        <f>100*SQRT('Table-n=1000-miss'!N8/M$3)</f>
        <v>1.0562281817952881</v>
      </c>
      <c r="AD8" s="7">
        <f>100*'Table-n=1000-miss'!O8/SQRT(N$3)</f>
        <v>4.6387758582599696</v>
      </c>
      <c r="AE8" s="7">
        <f>100*SQRT('Table-n=1000-miss'!P8/O$3)</f>
        <v>1.1041691002306666</v>
      </c>
    </row>
    <row r="9" spans="1:31" x14ac:dyDescent="0.45">
      <c r="B9" s="1" t="s">
        <v>89</v>
      </c>
      <c r="C9" s="12">
        <f>'Table-n=1000-corr'!C9</f>
        <v>1.9532410964400199E-2</v>
      </c>
      <c r="D9" s="12">
        <f>'Table-n=1000-corr'!D9</f>
        <v>2.8794753353764002</v>
      </c>
      <c r="E9" s="12">
        <f>'Table-n=1000-corr'!E9</f>
        <v>1</v>
      </c>
      <c r="F9" s="12">
        <f>'Table-n=1000-corr'!F9</f>
        <v>0.94699999999999995</v>
      </c>
      <c r="G9" s="12">
        <f>'Table-n=1000-corr'!G9</f>
        <v>11.325420721081333</v>
      </c>
      <c r="H9" s="12">
        <f>'Table-n=1000-corr'!I9</f>
        <v>1</v>
      </c>
      <c r="I9" s="12"/>
      <c r="J9" s="12">
        <f>'Table-n=1000-miss'!C9</f>
        <v>3.0887656679172699</v>
      </c>
      <c r="K9" s="12">
        <f>'Table-n=1000-miss'!D9</f>
        <v>4.15416049221135</v>
      </c>
      <c r="L9" s="12">
        <f>'Table-n=1000-miss'!E9</f>
        <v>1</v>
      </c>
      <c r="M9" s="12">
        <f>'Table-n=1000-miss'!F9</f>
        <v>0.875</v>
      </c>
      <c r="N9" s="12">
        <f>'Table-n=1000-miss'!G9</f>
        <v>12.188450889598284</v>
      </c>
      <c r="O9" s="12">
        <f>'Table-n=1000-miss'!I9</f>
        <v>1</v>
      </c>
      <c r="P9" s="5"/>
      <c r="Q9" s="5"/>
      <c r="R9" s="1" t="s">
        <v>89</v>
      </c>
      <c r="S9" s="7">
        <f>100*'Table-n=1000-corr'!K9/SQRT(C$3)</f>
        <v>6.8089747389427249</v>
      </c>
      <c r="T9" s="7">
        <f>100*SQRT('Table-n=1000-corr'!L9/D$3)</f>
        <v>1.4693233770813117</v>
      </c>
      <c r="U9" s="7">
        <f>100*'Table-n=1000-corr'!M9/SQRT(E$3)</f>
        <v>3.7309882190716546</v>
      </c>
      <c r="V9" s="7">
        <f>100*SQRT('Table-n=1000-corr'!N9/F$3)</f>
        <v>0.66264926730765961</v>
      </c>
      <c r="W9" s="7">
        <f>100*'Table-n=1000-corr'!O9/SQRT(G$3)</f>
        <v>4.3311521360788809</v>
      </c>
      <c r="X9" s="7">
        <f>100*SQRT('Table-n=1000-corr'!P9/H$3)</f>
        <v>0.99110515024156998</v>
      </c>
      <c r="Y9" s="12"/>
      <c r="Z9" s="7">
        <f>100*'Table-n=1000-miss'!K9/SQRT(J$3)</f>
        <v>8.8434359114487275</v>
      </c>
      <c r="AA9" s="7">
        <f>100*SQRT('Table-n=1000-miss'!L9/K$3)</f>
        <v>2.0457505972466095</v>
      </c>
      <c r="AB9" s="7">
        <f>100*'Table-n=1000-miss'!M9/SQRT(L$3)</f>
        <v>5.3373345987661329</v>
      </c>
      <c r="AC9" s="7">
        <f>100*SQRT('Table-n=1000-miss'!N9/M$3)</f>
        <v>1.0492205716029208</v>
      </c>
      <c r="AD9" s="7">
        <f>100*'Table-n=1000-miss'!O9/SQRT(N$3)</f>
        <v>4.6864135354284491</v>
      </c>
      <c r="AE9" s="7">
        <f>100*SQRT('Table-n=1000-miss'!P9/O$3)</f>
        <v>1.1260100922883685</v>
      </c>
    </row>
    <row r="10" spans="1:31" s="3" customFormat="1" x14ac:dyDescent="0.45">
      <c r="B10" s="3" t="s">
        <v>2</v>
      </c>
      <c r="C10" s="14">
        <f>'Table-n=1000-corr'!C10</f>
        <v>-1.1649209491501699E-2</v>
      </c>
      <c r="D10" s="14">
        <f>'Table-n=1000-corr'!D10</f>
        <v>3.0980672368758002</v>
      </c>
      <c r="E10" s="14">
        <f>'Table-n=1000-corr'!E10</f>
        <v>1.1575904951546685</v>
      </c>
      <c r="F10" s="14">
        <f>'Table-n=1000-corr'!F10</f>
        <v>0.94199999999999995</v>
      </c>
      <c r="G10" s="14">
        <f>'Table-n=1000-corr'!G10</f>
        <v>11.780532772392679</v>
      </c>
      <c r="H10" s="14">
        <f>'Table-n=1000-corr'!I10</f>
        <v>0.92422736903041991</v>
      </c>
      <c r="I10" s="14"/>
      <c r="J10" s="14">
        <f>'Table-n=1000-miss'!C10</f>
        <v>6.5099207659416098</v>
      </c>
      <c r="K10" s="14">
        <f>'Table-n=1000-miss'!D10</f>
        <v>10.2758419881556</v>
      </c>
      <c r="L10" s="14">
        <f>'Table-n=1000-miss'!E10</f>
        <v>6.1188286681170423</v>
      </c>
      <c r="M10" s="14">
        <f>'Table-n=1000-miss'!F10</f>
        <v>0.75600000000000001</v>
      </c>
      <c r="N10" s="14">
        <f>'Table-n=1000-miss'!G10</f>
        <v>16.716355405442709</v>
      </c>
      <c r="O10" s="14">
        <f>'Table-n=1000-miss'!I10</f>
        <v>0.53163532632340649</v>
      </c>
      <c r="P10" s="13"/>
      <c r="Q10" s="13"/>
      <c r="R10" s="3" t="s">
        <v>2</v>
      </c>
      <c r="S10" s="7">
        <f>100*'Table-n=1000-corr'!K10/SQRT(C$3)</f>
        <v>6.7730652755389791</v>
      </c>
      <c r="T10" s="7">
        <f>100*SQRT('Table-n=1000-corr'!L10/D$3)</f>
        <v>1.4761786712497678</v>
      </c>
      <c r="U10" s="7">
        <f>100*'Table-n=1000-corr'!M10/SQRT(E$3)</f>
        <v>3.808117184754451</v>
      </c>
      <c r="V10" s="7">
        <f>100*SQRT('Table-n=1000-corr'!N10/F$3)</f>
        <v>0.65012611175628066</v>
      </c>
      <c r="W10" s="7">
        <f>100*'Table-n=1000-corr'!O10/SQRT(G$3)</f>
        <v>4.4783978674320881</v>
      </c>
      <c r="X10" s="7">
        <f>100*SQRT('Table-n=1000-corr'!P10/H$3)</f>
        <v>1.0461826333157132</v>
      </c>
      <c r="Y10" s="14"/>
      <c r="Z10" s="7">
        <f>100*'Table-n=1000-miss'!K10/SQRT(J$3)</f>
        <v>11.017447160396754</v>
      </c>
      <c r="AA10" s="7">
        <f>100*SQRT('Table-n=1000-miss'!L10/K$3)</f>
        <v>2.6874003762074476</v>
      </c>
      <c r="AB10" s="7">
        <f>100*'Table-n=1000-miss'!M10/SQRT(L$3)</f>
        <v>8.0536267816392311</v>
      </c>
      <c r="AC10" s="7">
        <f>100*SQRT('Table-n=1000-miss'!N10/M$3)</f>
        <v>1.980252669920225</v>
      </c>
      <c r="AD10" s="7">
        <f>100*'Table-n=1000-miss'!O10/SQRT(N$3)</f>
        <v>4.5207006133876328</v>
      </c>
      <c r="AE10" s="7">
        <f>100*SQRT('Table-n=1000-miss'!P10/O$3)</f>
        <v>1.0792288408291311</v>
      </c>
    </row>
    <row r="11" spans="1:31" s="4" customFormat="1" x14ac:dyDescent="0.45"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5"/>
      <c r="Q11" s="6"/>
      <c r="S11" s="16"/>
      <c r="T11" s="16"/>
      <c r="U11" s="16"/>
      <c r="V11" s="16"/>
      <c r="W11" s="16"/>
      <c r="X11" s="16"/>
      <c r="Y11" s="7"/>
      <c r="Z11" s="16"/>
      <c r="AA11" s="16"/>
      <c r="AB11" s="16"/>
      <c r="AC11" s="16"/>
      <c r="AD11" s="16"/>
      <c r="AE11" s="16"/>
    </row>
    <row r="12" spans="1:31" x14ac:dyDescent="0.45">
      <c r="A12" s="2" t="s">
        <v>206</v>
      </c>
      <c r="B12" s="1" t="s">
        <v>3</v>
      </c>
      <c r="C12" s="12">
        <f>'Table-n=1000-corr'!C12</f>
        <v>2.1125729563578902E-2</v>
      </c>
      <c r="D12" s="12">
        <f>'Table-n=1000-corr'!D12</f>
        <v>3.5706786350183002</v>
      </c>
      <c r="E12" s="12">
        <f>'Table-n=1000-corr'!E12</f>
        <v>1.0611207901538717</v>
      </c>
      <c r="F12" s="12">
        <f>'Table-n=1000-corr'!F12</f>
        <v>0.95299999999999996</v>
      </c>
      <c r="G12" s="12">
        <f>'Table-n=1000-corr'!G12</f>
        <v>13.80561059221097</v>
      </c>
      <c r="H12" s="12">
        <f>'Table-n=1000-corr'!I12</f>
        <v>0.9830800329438113</v>
      </c>
      <c r="I12" s="12"/>
      <c r="J12" s="12">
        <f>'Table-n=1000-miss'!C12</f>
        <v>-4.0604686211722001</v>
      </c>
      <c r="K12" s="12">
        <f>'Table-n=1000-miss'!D12</f>
        <v>5.4545262223488598</v>
      </c>
      <c r="L12" s="12">
        <f>'Table-n=1000-miss'!E12</f>
        <v>1.5238065820907694</v>
      </c>
      <c r="M12" s="12">
        <f>'Table-n=1000-miss'!F12</f>
        <v>0.79</v>
      </c>
      <c r="N12" s="12">
        <f>'Table-n=1000-miss'!G12</f>
        <v>14.06820302776665</v>
      </c>
      <c r="O12" s="12">
        <f>'Table-n=1000-miss'!I12</f>
        <v>0.99041375008019872</v>
      </c>
      <c r="P12" s="5"/>
      <c r="Q12" s="5"/>
      <c r="S12" s="15"/>
      <c r="T12" s="15"/>
      <c r="U12" s="15"/>
      <c r="V12" s="15"/>
      <c r="W12" s="15"/>
      <c r="X12" s="15"/>
      <c r="Y12" s="12"/>
      <c r="Z12" s="15"/>
      <c r="AA12" s="15"/>
      <c r="AB12" s="15"/>
      <c r="AC12" s="15"/>
      <c r="AD12" s="15"/>
      <c r="AE12" s="15"/>
    </row>
    <row r="13" spans="1:31" x14ac:dyDescent="0.45">
      <c r="B13" s="1" t="s">
        <v>5</v>
      </c>
      <c r="C13" s="12">
        <f>'Table-n=1000-corr'!C13</f>
        <v>0.230555735240006</v>
      </c>
      <c r="D13" s="12">
        <f>'Table-n=1000-corr'!D13</f>
        <v>3.9340104434426602</v>
      </c>
      <c r="E13" s="12">
        <f>'Table-n=1000-corr'!E13</f>
        <v>1.2880547117417405</v>
      </c>
      <c r="F13" s="12">
        <f>'Table-n=1000-corr'!F13</f>
        <v>0.95399999999999996</v>
      </c>
      <c r="G13" s="12">
        <f>'Table-n=1000-corr'!G13</f>
        <v>15.492555754789324</v>
      </c>
      <c r="H13" s="12">
        <f>'Table-n=1000-corr'!I13</f>
        <v>0.78064571183626741</v>
      </c>
      <c r="I13" s="12"/>
      <c r="J13" s="12">
        <f>'Table-n=1000-miss'!C13</f>
        <v>-3.1946709366575798</v>
      </c>
      <c r="K13" s="12">
        <f>'Table-n=1000-miss'!D13</f>
        <v>4.9731406727798504</v>
      </c>
      <c r="L13" s="12">
        <f>'Table-n=1000-miss'!E13</f>
        <v>1.2667101935741083</v>
      </c>
      <c r="M13" s="12">
        <f>'Table-n=1000-miss'!F13</f>
        <v>0.91</v>
      </c>
      <c r="N13" s="12">
        <f>'Table-n=1000-miss'!G13</f>
        <v>16.475111025170953</v>
      </c>
      <c r="O13" s="12">
        <f>'Table-n=1000-miss'!I13</f>
        <v>0.72216629599270576</v>
      </c>
      <c r="P13" s="5"/>
      <c r="Q13" s="5"/>
      <c r="S13" s="15"/>
      <c r="T13" s="15"/>
      <c r="U13" s="15"/>
      <c r="V13" s="15"/>
      <c r="W13" s="15"/>
      <c r="X13" s="15"/>
      <c r="Y13" s="12"/>
      <c r="Z13" s="15"/>
      <c r="AA13" s="15"/>
      <c r="AB13" s="15"/>
      <c r="AC13" s="15"/>
      <c r="AD13" s="15"/>
      <c r="AE13" s="15"/>
    </row>
    <row r="14" spans="1:31" x14ac:dyDescent="0.45">
      <c r="B14" s="1" t="s">
        <v>4</v>
      </c>
      <c r="C14" s="12">
        <f>'Table-n=1000-corr'!C14</f>
        <v>2.69103136902764E-2</v>
      </c>
      <c r="D14" s="12">
        <f>'Table-n=1000-corr'!D14</f>
        <v>3.58137707215301</v>
      </c>
      <c r="E14" s="12">
        <f>'Table-n=1000-corr'!E14</f>
        <v>1.067488958287494</v>
      </c>
      <c r="F14" s="12">
        <f>'Table-n=1000-corr'!F14</f>
        <v>0.95299999999999996</v>
      </c>
      <c r="G14" s="12">
        <f>'Table-n=1000-corr'!G14</f>
        <v>13.836366177402217</v>
      </c>
      <c r="H14" s="12">
        <f>'Table-n=1000-corr'!I14</f>
        <v>0.97871449392989129</v>
      </c>
      <c r="I14" s="12"/>
      <c r="J14" s="12">
        <f>'Table-n=1000-miss'!C14</f>
        <v>-2.6574696337696002</v>
      </c>
      <c r="K14" s="12">
        <f>'Table-n=1000-miss'!D14</f>
        <v>4.67467718987134</v>
      </c>
      <c r="L14" s="12">
        <f>'Table-n=1000-miss'!E14</f>
        <v>1.1192291928057154</v>
      </c>
      <c r="M14" s="12">
        <f>'Table-n=1000-miss'!F14</f>
        <v>0.98199999999999998</v>
      </c>
      <c r="N14" s="12">
        <f>'Table-n=1000-miss'!G14</f>
        <v>24.849000364271731</v>
      </c>
      <c r="O14" s="12">
        <f>'Table-n=1000-miss'!I14</f>
        <v>0.31745054045180282</v>
      </c>
      <c r="P14" s="5"/>
      <c r="Q14" s="5"/>
      <c r="S14" s="15"/>
      <c r="T14" s="15"/>
      <c r="U14" s="15"/>
      <c r="V14" s="15"/>
      <c r="W14" s="15"/>
      <c r="X14" s="15"/>
      <c r="Y14" s="12"/>
      <c r="Z14" s="15"/>
      <c r="AA14" s="15"/>
      <c r="AB14" s="15"/>
      <c r="AC14" s="15"/>
      <c r="AD14" s="15"/>
      <c r="AE14" s="15"/>
    </row>
    <row r="15" spans="1:31" x14ac:dyDescent="0.45">
      <c r="B15" s="1" t="s">
        <v>88</v>
      </c>
      <c r="C15" s="12">
        <f>'Table-n=1000-corr'!C15</f>
        <v>7.8268415430294197E-2</v>
      </c>
      <c r="D15" s="12">
        <f>'Table-n=1000-corr'!D15</f>
        <v>3.4288719714319198</v>
      </c>
      <c r="E15" s="12">
        <f>'Table-n=1000-corr'!E15</f>
        <v>0.97851127170469232</v>
      </c>
      <c r="F15" s="12">
        <f>'Table-n=1000-corr'!F15</f>
        <v>0.95399999999999996</v>
      </c>
      <c r="G15" s="12">
        <f>'Table-n=1000-corr'!G15</f>
        <v>13.379479802361532</v>
      </c>
      <c r="H15" s="12">
        <f>'Table-n=1000-corr'!I15</f>
        <v>1.046698634050816</v>
      </c>
      <c r="I15" s="12"/>
      <c r="J15" s="12">
        <f>'Table-n=1000-miss'!C15</f>
        <v>-3.1713258290493802</v>
      </c>
      <c r="K15" s="12">
        <f>'Table-n=1000-miss'!D15</f>
        <v>4.7826057961170898</v>
      </c>
      <c r="L15" s="12">
        <f>'Table-n=1000-miss'!E15</f>
        <v>1.1715071646458737</v>
      </c>
      <c r="M15" s="12">
        <f>'Table-n=1000-miss'!F15</f>
        <v>0.83799999999999997</v>
      </c>
      <c r="N15" s="12">
        <f>'Table-n=1000-miss'!G15</f>
        <v>13.736874474645306</v>
      </c>
      <c r="O15" s="12">
        <f>'Table-n=1000-miss'!I15</f>
        <v>1.0387667891616998</v>
      </c>
      <c r="P15" s="5"/>
      <c r="Q15" s="5"/>
      <c r="S15" s="15"/>
      <c r="T15" s="15"/>
      <c r="U15" s="15"/>
      <c r="V15" s="15"/>
      <c r="W15" s="15"/>
      <c r="X15" s="15"/>
      <c r="Y15" s="12"/>
      <c r="Z15" s="15"/>
      <c r="AA15" s="15"/>
      <c r="AB15" s="15"/>
      <c r="AC15" s="15"/>
      <c r="AD15" s="15"/>
      <c r="AE15" s="15"/>
    </row>
    <row r="16" spans="1:31" x14ac:dyDescent="0.45">
      <c r="B16" s="1" t="s">
        <v>89</v>
      </c>
      <c r="C16" s="12">
        <f>'Table-n=1000-corr'!C16</f>
        <v>5.4089396845931503E-2</v>
      </c>
      <c r="D16" s="12">
        <f>'Table-n=1000-corr'!D16</f>
        <v>3.46631760729331</v>
      </c>
      <c r="E16" s="12">
        <f>'Table-n=1000-corr'!E16</f>
        <v>1</v>
      </c>
      <c r="F16" s="12">
        <f>'Table-n=1000-corr'!F16</f>
        <v>0.95499999999999996</v>
      </c>
      <c r="G16" s="12">
        <f>'Table-n=1000-corr'!G16</f>
        <v>13.688317086785776</v>
      </c>
      <c r="H16" s="12">
        <f>'Table-n=1000-corr'!I16</f>
        <v>1</v>
      </c>
      <c r="I16" s="12"/>
      <c r="J16" s="12">
        <f>'Table-n=1000-miss'!C16</f>
        <v>-2.7140690092842998</v>
      </c>
      <c r="K16" s="12">
        <f>'Table-n=1000-miss'!D16</f>
        <v>4.4186755250987302</v>
      </c>
      <c r="L16" s="12">
        <f>'Table-n=1000-miss'!E16</f>
        <v>1</v>
      </c>
      <c r="M16" s="12">
        <f>'Table-n=1000-miss'!F16</f>
        <v>0.88700000000000001</v>
      </c>
      <c r="N16" s="12">
        <f>'Table-n=1000-miss'!G16</f>
        <v>14.000609991665673</v>
      </c>
      <c r="O16" s="12">
        <f>'Table-n=1000-miss'!I16</f>
        <v>1</v>
      </c>
      <c r="P16" s="5"/>
      <c r="Q16" s="5"/>
      <c r="S16" s="15"/>
      <c r="T16" s="15"/>
      <c r="U16" s="15"/>
      <c r="V16" s="15"/>
      <c r="W16" s="15"/>
      <c r="X16" s="15"/>
      <c r="Y16" s="12"/>
      <c r="Z16" s="15"/>
      <c r="AA16" s="15"/>
      <c r="AB16" s="15"/>
      <c r="AC16" s="15"/>
      <c r="AD16" s="15"/>
      <c r="AE16" s="15"/>
    </row>
    <row r="17" spans="1:31" s="3" customFormat="1" x14ac:dyDescent="0.45">
      <c r="B17" s="3" t="s">
        <v>2</v>
      </c>
      <c r="C17" s="14">
        <f>'Table-n=1000-corr'!C17</f>
        <v>4.2792354707575697E-2</v>
      </c>
      <c r="D17" s="14">
        <f>'Table-n=1000-corr'!D17</f>
        <v>3.4657679568586</v>
      </c>
      <c r="E17" s="14">
        <f>'Table-n=1000-corr'!E17</f>
        <v>0.99968288719141019</v>
      </c>
      <c r="F17" s="14">
        <f>'Table-n=1000-corr'!F17</f>
        <v>0.94599999999999995</v>
      </c>
      <c r="G17" s="14">
        <f>'Table-n=1000-corr'!G17</f>
        <v>13.464724047439553</v>
      </c>
      <c r="H17" s="14">
        <f>'Table-n=1000-corr'!I17</f>
        <v>1.0334874318337799</v>
      </c>
      <c r="I17" s="14"/>
      <c r="J17" s="14">
        <f>'Table-n=1000-miss'!C17</f>
        <v>-1.3707790563362201</v>
      </c>
      <c r="K17" s="14">
        <f>'Table-n=1000-miss'!D17</f>
        <v>4.71253401061107</v>
      </c>
      <c r="L17" s="14">
        <f>'Table-n=1000-miss'!E17</f>
        <v>1.1374302454139742</v>
      </c>
      <c r="M17" s="14">
        <f>'Table-n=1000-miss'!F17</f>
        <v>0.91600000000000004</v>
      </c>
      <c r="N17" s="14">
        <f>'Table-n=1000-miss'!G17</f>
        <v>14.89663081692578</v>
      </c>
      <c r="O17" s="14">
        <f>'Table-n=1000-miss'!I17</f>
        <v>0.88331947592287507</v>
      </c>
      <c r="P17" s="13"/>
      <c r="Q17" s="13"/>
      <c r="S17" s="15"/>
      <c r="T17" s="15"/>
      <c r="U17" s="15"/>
      <c r="V17" s="15"/>
      <c r="W17" s="15"/>
      <c r="X17" s="15"/>
      <c r="Y17" s="14"/>
      <c r="Z17" s="15"/>
      <c r="AA17" s="15"/>
      <c r="AB17" s="15"/>
      <c r="AC17" s="15"/>
      <c r="AD17" s="15"/>
      <c r="AE17" s="15"/>
    </row>
    <row r="18" spans="1:31" s="4" customFormat="1" x14ac:dyDescent="0.45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5"/>
      <c r="Q18" s="6"/>
      <c r="Y18" s="7"/>
    </row>
    <row r="19" spans="1:31" x14ac:dyDescent="0.45">
      <c r="A19" s="2" t="s">
        <v>59</v>
      </c>
      <c r="B19" s="1" t="s">
        <v>3</v>
      </c>
      <c r="C19" s="12">
        <f>'Table-n=1000-corr'!C19</f>
        <v>3.4075986512881698E-2</v>
      </c>
      <c r="D19" s="12">
        <f>'Table-n=1000-corr'!D19</f>
        <v>3.04801111556199</v>
      </c>
      <c r="E19" s="12">
        <f>'Table-n=1000-corr'!E19</f>
        <v>1.0225834861454512</v>
      </c>
      <c r="F19" s="12">
        <f>'Table-n=1000-corr'!F19</f>
        <v>0.94799999999999995</v>
      </c>
      <c r="G19" s="12">
        <f>'Table-n=1000-corr'!G19</f>
        <v>12.125626906205808</v>
      </c>
      <c r="H19" s="12">
        <f>'Table-n=1000-corr'!I19</f>
        <v>1.0476590272092769</v>
      </c>
      <c r="I19" s="12"/>
      <c r="J19" s="12">
        <f>'Table-n=1000-miss'!C19</f>
        <v>-2.2080901167836902</v>
      </c>
      <c r="K19" s="12">
        <f>'Table-n=1000-miss'!D19</f>
        <v>3.7405472990917898</v>
      </c>
      <c r="L19" s="12">
        <f>'Table-n=1000-miss'!E19</f>
        <v>1.450184225483474</v>
      </c>
      <c r="M19" s="12">
        <f>'Table-n=1000-miss'!F19</f>
        <v>0.89100000000000001</v>
      </c>
      <c r="N19" s="12">
        <f>'Table-n=1000-miss'!G19</f>
        <v>12.021652060609183</v>
      </c>
      <c r="O19" s="12">
        <f>'Table-n=1000-miss'!I19</f>
        <v>1.0888258744820818</v>
      </c>
      <c r="P19" s="5"/>
      <c r="Q19" s="5"/>
      <c r="Y19" s="12"/>
    </row>
    <row r="20" spans="1:31" x14ac:dyDescent="0.45">
      <c r="B20" s="1" t="s">
        <v>5</v>
      </c>
      <c r="C20" s="12">
        <f>'Table-n=1000-corr'!C20</f>
        <v>0.30384514237301402</v>
      </c>
      <c r="D20" s="12">
        <f>'Table-n=1000-corr'!D20</f>
        <v>3.2699536997168801</v>
      </c>
      <c r="E20" s="12">
        <f>'Table-n=1000-corr'!E20</f>
        <v>1.1769252728251316</v>
      </c>
      <c r="F20" s="12">
        <f>'Table-n=1000-corr'!F20</f>
        <v>0.96399999999999997</v>
      </c>
      <c r="G20" s="12">
        <f>'Table-n=1000-corr'!G20</f>
        <v>13.95296328769062</v>
      </c>
      <c r="H20" s="12">
        <f>'Table-n=1000-corr'!I20</f>
        <v>0.7912167250119797</v>
      </c>
      <c r="I20" s="12"/>
      <c r="J20" s="12">
        <f>'Table-n=1000-miss'!C20</f>
        <v>-1.4510861663419601</v>
      </c>
      <c r="K20" s="12">
        <f>'Table-n=1000-miss'!D20</f>
        <v>3.4560194179731298</v>
      </c>
      <c r="L20" s="12">
        <f>'Table-n=1000-miss'!E20</f>
        <v>1.2379560400325822</v>
      </c>
      <c r="M20" s="12">
        <f>'Table-n=1000-miss'!F20</f>
        <v>0.96299999999999997</v>
      </c>
      <c r="N20" s="12">
        <f>'Table-n=1000-miss'!G20</f>
        <v>14.160717723038168</v>
      </c>
      <c r="O20" s="12">
        <f>'Table-n=1000-miss'!I20</f>
        <v>0.78472268874076023</v>
      </c>
      <c r="P20" s="5"/>
      <c r="Q20" s="5"/>
      <c r="Y20" s="12"/>
    </row>
    <row r="21" spans="1:31" x14ac:dyDescent="0.45">
      <c r="B21" s="1" t="s">
        <v>4</v>
      </c>
      <c r="C21" s="12">
        <f>'Table-n=1000-corr'!C21</f>
        <v>6.2989605420643399E-2</v>
      </c>
      <c r="D21" s="12">
        <f>'Table-n=1000-corr'!D21</f>
        <v>3.0528769445292401</v>
      </c>
      <c r="E21" s="12">
        <f>'Table-n=1000-corr'!E21</f>
        <v>1.0258509860089797</v>
      </c>
      <c r="F21" s="12">
        <f>'Table-n=1000-corr'!F21</f>
        <v>0.94299999999999995</v>
      </c>
      <c r="G21" s="12">
        <f>'Table-n=1000-corr'!G21</f>
        <v>12.13514400845018</v>
      </c>
      <c r="H21" s="12">
        <f>'Table-n=1000-corr'!I21</f>
        <v>1.0460163984489366</v>
      </c>
      <c r="I21" s="12"/>
      <c r="J21" s="12">
        <f>'Table-n=1000-miss'!C21</f>
        <v>-1.7661616996352001</v>
      </c>
      <c r="K21" s="12">
        <f>'Table-n=1000-miss'!D21</f>
        <v>3.67971663226262</v>
      </c>
      <c r="L21" s="12">
        <f>'Table-n=1000-miss'!E21</f>
        <v>1.4034004996930833</v>
      </c>
      <c r="M21" s="12">
        <f>'Table-n=1000-miss'!F21</f>
        <v>0.97699999999999998</v>
      </c>
      <c r="N21" s="12">
        <f>'Table-n=1000-miss'!G21</f>
        <v>18.53742055310715</v>
      </c>
      <c r="O21" s="12">
        <f>'Table-n=1000-miss'!I21</f>
        <v>0.45791844311733187</v>
      </c>
      <c r="P21" s="5"/>
      <c r="Q21" s="5"/>
      <c r="Y21" s="12"/>
    </row>
    <row r="22" spans="1:31" x14ac:dyDescent="0.45">
      <c r="B22" s="1" t="s">
        <v>88</v>
      </c>
      <c r="C22" s="12">
        <f>'Table-n=1000-corr'!C22</f>
        <v>4.46056230330747E-2</v>
      </c>
      <c r="D22" s="12">
        <f>'Table-n=1000-corr'!D22</f>
        <v>3.03743782798368</v>
      </c>
      <c r="E22" s="12">
        <f>'Table-n=1000-corr'!E22</f>
        <v>1.0155012834926989</v>
      </c>
      <c r="F22" s="12">
        <f>'Table-n=1000-corr'!F22</f>
        <v>0.94899999999999995</v>
      </c>
      <c r="G22" s="12">
        <f>'Table-n=1000-corr'!G22</f>
        <v>12.051440236201472</v>
      </c>
      <c r="H22" s="12">
        <f>'Table-n=1000-corr'!I22</f>
        <v>1.0605971584051688</v>
      </c>
      <c r="I22" s="12"/>
      <c r="J22" s="12">
        <f>'Table-n=1000-miss'!C22</f>
        <v>-1.3143451773099599</v>
      </c>
      <c r="K22" s="12">
        <f>'Table-n=1000-miss'!D22</f>
        <v>3.28131482353117</v>
      </c>
      <c r="L22" s="12">
        <f>'Table-n=1000-miss'!E22</f>
        <v>1.1159601232645564</v>
      </c>
      <c r="M22" s="12">
        <f>'Table-n=1000-miss'!F22</f>
        <v>0.92900000000000005</v>
      </c>
      <c r="N22" s="12">
        <f>'Table-n=1000-miss'!G22</f>
        <v>11.963971013287292</v>
      </c>
      <c r="O22" s="12">
        <f>'Table-n=1000-miss'!I22</f>
        <v>1.0993501417926581</v>
      </c>
      <c r="P22" s="5"/>
      <c r="Q22" s="5"/>
      <c r="Y22" s="12"/>
    </row>
    <row r="23" spans="1:31" x14ac:dyDescent="0.45">
      <c r="B23" s="1" t="s">
        <v>89</v>
      </c>
      <c r="C23" s="12">
        <f>'Table-n=1000-corr'!C23</f>
        <v>1.70371746779097E-3</v>
      </c>
      <c r="D23" s="12">
        <f>'Table-n=1000-corr'!D23</f>
        <v>3.0141659467565698</v>
      </c>
      <c r="E23" s="12">
        <f>'Table-n=1000-corr'!E23</f>
        <v>1</v>
      </c>
      <c r="F23" s="12">
        <f>'Table-n=1000-corr'!F23</f>
        <v>0.95799999999999996</v>
      </c>
      <c r="G23" s="12">
        <f>'Table-n=1000-corr'!G23</f>
        <v>12.411211628785068</v>
      </c>
      <c r="H23" s="12">
        <f>'Table-n=1000-corr'!I23</f>
        <v>1</v>
      </c>
      <c r="I23" s="12"/>
      <c r="J23" s="12">
        <f>'Table-n=1000-miss'!C23</f>
        <v>-0.95745980123072605</v>
      </c>
      <c r="K23" s="12">
        <f>'Table-n=1000-miss'!D23</f>
        <v>3.1061581380627401</v>
      </c>
      <c r="L23" s="12">
        <f>'Table-n=1000-miss'!E23</f>
        <v>1</v>
      </c>
      <c r="M23" s="12">
        <f>'Table-n=1000-miss'!F23</f>
        <v>0.94499999999999995</v>
      </c>
      <c r="N23" s="12">
        <f>'Table-n=1000-miss'!G23</f>
        <v>12.544211579513929</v>
      </c>
      <c r="O23" s="12">
        <f>'Table-n=1000-miss'!I23</f>
        <v>1</v>
      </c>
      <c r="P23" s="5"/>
      <c r="Q23" s="5"/>
      <c r="Y23" s="12"/>
    </row>
    <row r="24" spans="1:31" s="3" customFormat="1" x14ac:dyDescent="0.45">
      <c r="B24" s="3" t="s">
        <v>2</v>
      </c>
      <c r="C24" s="14">
        <f>'Table-n=1000-corr'!C24</f>
        <v>5.0562580333490803E-4</v>
      </c>
      <c r="D24" s="14">
        <f>'Table-n=1000-corr'!D24</f>
        <v>3.0933617117794601</v>
      </c>
      <c r="E24" s="14">
        <f>'Table-n=1000-corr'!E24</f>
        <v>1.0532393914713813</v>
      </c>
      <c r="F24" s="14">
        <f>'Table-n=1000-corr'!F24</f>
        <v>0.95199999999999996</v>
      </c>
      <c r="G24" s="14">
        <f>'Table-n=1000-corr'!G24</f>
        <v>12.315783745089991</v>
      </c>
      <c r="H24" s="14">
        <f>'Table-n=1000-corr'!I24</f>
        <v>1.015556881057879</v>
      </c>
      <c r="I24" s="14"/>
      <c r="J24" s="14">
        <f>'Table-n=1000-miss'!C24</f>
        <v>1.0848144539979501</v>
      </c>
      <c r="K24" s="14">
        <f>'Table-n=1000-miss'!D24</f>
        <v>6.4230334441484196</v>
      </c>
      <c r="L24" s="14">
        <f>'Table-n=1000-miss'!E24</f>
        <v>4.2759561408691047</v>
      </c>
      <c r="M24" s="14">
        <f>'Table-n=1000-miss'!F24</f>
        <v>0.95</v>
      </c>
      <c r="N24" s="14">
        <f>'Table-n=1000-miss'!G24</f>
        <v>15.007585076784718</v>
      </c>
      <c r="O24" s="14">
        <f>'Table-n=1000-miss'!I24</f>
        <v>0.69865876686051354</v>
      </c>
      <c r="P24" s="13"/>
      <c r="Q24" s="13"/>
      <c r="Y24" s="14"/>
    </row>
    <row r="25" spans="1:31" s="4" customFormat="1" x14ac:dyDescent="0.45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5"/>
      <c r="Q25" s="6"/>
      <c r="Y25" s="7"/>
    </row>
    <row r="26" spans="1:31" x14ac:dyDescent="0.45">
      <c r="A26" s="2" t="s">
        <v>60</v>
      </c>
      <c r="B26" s="1" t="s">
        <v>3</v>
      </c>
      <c r="C26" s="12">
        <f>'Table-n=1000-corr'!C26</f>
        <v>7.0910514777587294E-2</v>
      </c>
      <c r="D26" s="12">
        <f>'Table-n=1000-corr'!D26</f>
        <v>3.0575653543079699</v>
      </c>
      <c r="E26" s="12">
        <f>'Table-n=1000-corr'!E26</f>
        <v>0.87999130109666857</v>
      </c>
      <c r="F26" s="12">
        <f>'Table-n=1000-corr'!F26</f>
        <v>0.95299999999999996</v>
      </c>
      <c r="G26" s="12">
        <f>'Table-n=1000-corr'!G26</f>
        <v>12.398969047811315</v>
      </c>
      <c r="H26" s="12">
        <f>'Table-n=1000-corr'!I26</f>
        <v>1.1542206698815825</v>
      </c>
      <c r="I26" s="12"/>
      <c r="J26" s="12">
        <f>'Table-n=1000-miss'!C26</f>
        <v>1.0033818481722301</v>
      </c>
      <c r="K26" s="12">
        <f>'Table-n=1000-miss'!D26</f>
        <v>3.1796176969071799</v>
      </c>
      <c r="L26" s="12">
        <f>'Table-n=1000-miss'!E26</f>
        <v>0.71510905778256151</v>
      </c>
      <c r="M26" s="12">
        <f>'Table-n=1000-miss'!F26</f>
        <v>0.94199999999999995</v>
      </c>
      <c r="N26" s="12">
        <f>'Table-n=1000-miss'!G26</f>
        <v>12.125024596445973</v>
      </c>
      <c r="O26" s="12">
        <f>'Table-n=1000-miss'!I26</f>
        <v>1.2656359973369782</v>
      </c>
      <c r="P26" s="5"/>
      <c r="Q26"/>
      <c r="R26"/>
      <c r="S26"/>
      <c r="T26"/>
      <c r="Y26" s="12"/>
    </row>
    <row r="27" spans="1:31" x14ac:dyDescent="0.45">
      <c r="B27" s="1" t="s">
        <v>5</v>
      </c>
      <c r="C27" s="12">
        <f>'Table-n=1000-corr'!C27</f>
        <v>0.47917056342962799</v>
      </c>
      <c r="D27" s="12">
        <f>'Table-n=1000-corr'!D27</f>
        <v>3.1754415746197902</v>
      </c>
      <c r="E27" s="12">
        <f>'Table-n=1000-corr'!E27</f>
        <v>0.94915061770361564</v>
      </c>
      <c r="F27" s="12">
        <f>'Table-n=1000-corr'!F27</f>
        <v>0.97199999999999998</v>
      </c>
      <c r="G27" s="12">
        <f>'Table-n=1000-corr'!G27</f>
        <v>13.779287033433572</v>
      </c>
      <c r="H27" s="12">
        <f>'Table-n=1000-corr'!I27</f>
        <v>0.93455852890156965</v>
      </c>
      <c r="I27" s="12"/>
      <c r="J27" s="12">
        <f>'Table-n=1000-miss'!C27</f>
        <v>1.5158185532014199</v>
      </c>
      <c r="K27" s="12">
        <f>'Table-n=1000-miss'!D27</f>
        <v>3.4912779639560401</v>
      </c>
      <c r="L27" s="12">
        <f>'Table-n=1000-miss'!E27</f>
        <v>0.86216685432912998</v>
      </c>
      <c r="M27" s="12">
        <f>'Table-n=1000-miss'!F27</f>
        <v>0.95899999999999996</v>
      </c>
      <c r="N27" s="12">
        <f>'Table-n=1000-miss'!G27</f>
        <v>14.369525835073228</v>
      </c>
      <c r="O27" s="12">
        <f>'Table-n=1000-miss'!I27</f>
        <v>0.9011336348092166</v>
      </c>
      <c r="P27" s="5"/>
      <c r="Q27" s="5"/>
      <c r="Y27" s="12"/>
    </row>
    <row r="28" spans="1:31" x14ac:dyDescent="0.45">
      <c r="B28" s="1" t="s">
        <v>4</v>
      </c>
      <c r="C28" s="12">
        <f>'Table-n=1000-corr'!C28</f>
        <v>6.1157963406225598E-2</v>
      </c>
      <c r="D28" s="12">
        <f>'Table-n=1000-corr'!D28</f>
        <v>3.0545563221561798</v>
      </c>
      <c r="E28" s="12">
        <f>'Table-n=1000-corr'!E28</f>
        <v>0.8782601072440539</v>
      </c>
      <c r="F28" s="12">
        <f>'Table-n=1000-corr'!F28</f>
        <v>0.95099999999999996</v>
      </c>
      <c r="G28" s="12">
        <f>'Table-n=1000-corr'!G28</f>
        <v>12.313869221390227</v>
      </c>
      <c r="H28" s="12">
        <f>'Table-n=1000-corr'!I28</f>
        <v>1.1702291858995941</v>
      </c>
      <c r="I28" s="12"/>
      <c r="J28" s="12">
        <f>'Table-n=1000-miss'!C28</f>
        <v>3.8223287729533002E-3</v>
      </c>
      <c r="K28" s="12">
        <f>'Table-n=1000-miss'!D28</f>
        <v>3.0316207951478402</v>
      </c>
      <c r="L28" s="12">
        <f>'Table-n=1000-miss'!E28</f>
        <v>0.65008810982958076</v>
      </c>
      <c r="M28" s="12">
        <f>'Table-n=1000-miss'!F28</f>
        <v>0.96899999999999997</v>
      </c>
      <c r="N28" s="12">
        <f>'Table-n=1000-miss'!G28</f>
        <v>13.147723364164426</v>
      </c>
      <c r="O28" s="12">
        <f>'Table-n=1000-miss'!I28</f>
        <v>1.0763981922707635</v>
      </c>
      <c r="P28" s="5"/>
      <c r="Q28" s="5"/>
      <c r="Y28" s="12"/>
    </row>
    <row r="29" spans="1:31" x14ac:dyDescent="0.45">
      <c r="B29" s="1" t="s">
        <v>88</v>
      </c>
      <c r="C29" s="12">
        <f>'Table-n=1000-corr'!C29</f>
        <v>6.9442169455603803E-2</v>
      </c>
      <c r="D29" s="12">
        <f>'Table-n=1000-corr'!D29</f>
        <v>3.2327023750603998</v>
      </c>
      <c r="E29" s="12">
        <f>'Table-n=1000-corr'!E29</f>
        <v>0.98369015818445071</v>
      </c>
      <c r="F29" s="12">
        <f>'Table-n=1000-corr'!F29</f>
        <v>0.95499999999999996</v>
      </c>
      <c r="G29" s="12">
        <f>'Table-n=1000-corr'!G29</f>
        <v>13.030631551398036</v>
      </c>
      <c r="H29" s="12">
        <f>'Table-n=1000-corr'!I29</f>
        <v>1.0450307483718724</v>
      </c>
      <c r="I29" s="12"/>
      <c r="J29" s="12">
        <f>'Table-n=1000-miss'!C29</f>
        <v>1.8785696683037001</v>
      </c>
      <c r="K29" s="12">
        <f>'Table-n=1000-miss'!D29</f>
        <v>3.6176301597701301</v>
      </c>
      <c r="L29" s="12">
        <f>'Table-n=1000-miss'!E29</f>
        <v>0.92570114171115025</v>
      </c>
      <c r="M29" s="12">
        <f>'Table-n=1000-miss'!F29</f>
        <v>0.90400000000000003</v>
      </c>
      <c r="N29" s="12">
        <f>'Table-n=1000-miss'!G29</f>
        <v>12.308599713857362</v>
      </c>
      <c r="O29" s="12">
        <f>'Table-n=1000-miss'!I29</f>
        <v>1.2281651746290381</v>
      </c>
      <c r="P29" s="5"/>
      <c r="Q29" s="5"/>
      <c r="Y29" s="12"/>
    </row>
    <row r="30" spans="1:31" x14ac:dyDescent="0.45">
      <c r="B30" s="1" t="s">
        <v>89</v>
      </c>
      <c r="C30" s="12">
        <f>'Table-n=1000-corr'!C30</f>
        <v>9.9946817157608295E-2</v>
      </c>
      <c r="D30" s="12">
        <f>'Table-n=1000-corr'!D30</f>
        <v>3.2593917289875698</v>
      </c>
      <c r="E30" s="12">
        <f>'Table-n=1000-corr'!E30</f>
        <v>1</v>
      </c>
      <c r="F30" s="12">
        <f>'Table-n=1000-corr'!F30</f>
        <v>0.95399999999999996</v>
      </c>
      <c r="G30" s="12">
        <f>'Table-n=1000-corr'!G30</f>
        <v>13.320790545567823</v>
      </c>
      <c r="H30" s="12">
        <f>'Table-n=1000-corr'!I30</f>
        <v>1</v>
      </c>
      <c r="I30" s="12"/>
      <c r="J30" s="12">
        <f>'Table-n=1000-miss'!C30</f>
        <v>2.1120082586510902</v>
      </c>
      <c r="K30" s="12">
        <f>'Table-n=1000-miss'!D30</f>
        <v>3.7600079743701098</v>
      </c>
      <c r="L30" s="12">
        <f>'Table-n=1000-miss'!E30</f>
        <v>1</v>
      </c>
      <c r="M30" s="12">
        <f>'Table-n=1000-miss'!F30</f>
        <v>0.93200000000000005</v>
      </c>
      <c r="N30" s="12">
        <f>'Table-n=1000-miss'!G30</f>
        <v>13.640711934420251</v>
      </c>
      <c r="O30" s="12">
        <f>'Table-n=1000-miss'!I30</f>
        <v>1</v>
      </c>
      <c r="P30" s="5"/>
      <c r="Q30" s="5"/>
      <c r="Y30" s="12"/>
    </row>
    <row r="31" spans="1:31" s="3" customFormat="1" x14ac:dyDescent="0.45">
      <c r="B31" s="3" t="s">
        <v>2</v>
      </c>
      <c r="C31" s="14">
        <f>'Table-n=1000-corr'!C31</f>
        <v>6.42702352490616E-2</v>
      </c>
      <c r="D31" s="14">
        <f>'Table-n=1000-corr'!D31</f>
        <v>3.3545629582961598</v>
      </c>
      <c r="E31" s="14">
        <f>'Table-n=1000-corr'!E31</f>
        <v>1.0592507396181445</v>
      </c>
      <c r="F31" s="14">
        <f>'Table-n=1000-corr'!F31</f>
        <v>0.95299999999999996</v>
      </c>
      <c r="G31" s="14">
        <f>'Table-n=1000-corr'!G31</f>
        <v>13.585937324345624</v>
      </c>
      <c r="H31" s="14">
        <f>'Table-n=1000-corr'!I31</f>
        <v>0.96134835089259141</v>
      </c>
      <c r="I31" s="14"/>
      <c r="J31" s="14">
        <f>'Table-n=1000-miss'!C31</f>
        <v>5.5184922507038197</v>
      </c>
      <c r="K31" s="14">
        <f>'Table-n=1000-miss'!D31</f>
        <v>10.995043113991899</v>
      </c>
      <c r="L31" s="14">
        <f>'Table-n=1000-miss'!E31</f>
        <v>8.5509888735426323</v>
      </c>
      <c r="M31" s="14">
        <f>'Table-n=1000-miss'!F31</f>
        <v>0.85799999999999998</v>
      </c>
      <c r="N31" s="14">
        <f>'Table-n=1000-miss'!G31</f>
        <v>19.79608952846808</v>
      </c>
      <c r="O31" s="14">
        <f>'Table-n=1000-miss'!I31</f>
        <v>0.47480497037415781</v>
      </c>
      <c r="P31" s="13"/>
      <c r="Q31" s="13"/>
      <c r="Y31" s="14"/>
    </row>
    <row r="32" spans="1:31" x14ac:dyDescent="0.45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5"/>
      <c r="Y32" s="7"/>
    </row>
    <row r="33" spans="1:25" x14ac:dyDescent="0.45">
      <c r="A33" s="2" t="s">
        <v>62</v>
      </c>
      <c r="B33" s="1" t="s">
        <v>3</v>
      </c>
      <c r="C33" s="12">
        <f>'Table-n=1000-corr'!C33</f>
        <v>4.2403822499830199E-2</v>
      </c>
      <c r="D33" s="12">
        <f>'Table-n=1000-corr'!D33</f>
        <v>4.1368918295125603</v>
      </c>
      <c r="E33" s="12">
        <f>'Table-n=1000-corr'!E33</f>
        <v>0.92652701754095224</v>
      </c>
      <c r="F33" s="12">
        <f>'Table-n=1000-corr'!F33</f>
        <v>0.93600000000000005</v>
      </c>
      <c r="G33" s="12">
        <f>'Table-n=1000-corr'!G33</f>
        <v>15.602407912731978</v>
      </c>
      <c r="H33" s="12">
        <f>'Table-n=1000-corr'!I33</f>
        <v>1.1651007627593779</v>
      </c>
      <c r="I33" s="12"/>
      <c r="J33" s="12">
        <f>'Table-n=1000-miss'!C33</f>
        <v>5.4384491593199398</v>
      </c>
      <c r="K33" s="12">
        <f>'Table-n=1000-miss'!D33</f>
        <v>6.5512610626088899</v>
      </c>
      <c r="L33" s="12">
        <f>'Table-n=1000-miss'!E33</f>
        <v>0.75374849702794189</v>
      </c>
      <c r="M33" s="12">
        <f>'Table-n=1000-miss'!F33</f>
        <v>0.71499999999999997</v>
      </c>
      <c r="N33" s="12">
        <f>'Table-n=1000-miss'!G33</f>
        <v>15.10841564955426</v>
      </c>
      <c r="O33" s="12">
        <f>'Table-n=1000-miss'!I33</f>
        <v>1.4503618300033856</v>
      </c>
      <c r="P33" s="5"/>
      <c r="Y33" s="12"/>
    </row>
    <row r="34" spans="1:25" x14ac:dyDescent="0.45">
      <c r="B34" s="1" t="s">
        <v>5</v>
      </c>
      <c r="C34" s="12">
        <f>'Table-n=1000-corr'!C34</f>
        <v>0.67122986503300397</v>
      </c>
      <c r="D34" s="12">
        <f>'Table-n=1000-corr'!D34</f>
        <v>3.9562323117651301</v>
      </c>
      <c r="E34" s="12">
        <f>'Table-n=1000-corr'!E34</f>
        <v>0.84737047688381328</v>
      </c>
      <c r="F34" s="12">
        <f>'Table-n=1000-corr'!F34</f>
        <v>0.95699999999999996</v>
      </c>
      <c r="G34" s="12">
        <f>'Table-n=1000-corr'!G34</f>
        <v>15.943914000526274</v>
      </c>
      <c r="H34" s="12">
        <f>'Table-n=1000-corr'!I34</f>
        <v>1.1157242083281156</v>
      </c>
      <c r="I34" s="12"/>
      <c r="J34" s="12">
        <f>'Table-n=1000-miss'!C34</f>
        <v>5.4480481173336202</v>
      </c>
      <c r="K34" s="12">
        <f>'Table-n=1000-miss'!D34</f>
        <v>6.6617461002552103</v>
      </c>
      <c r="L34" s="12">
        <f>'Table-n=1000-miss'!E34</f>
        <v>0.77938635784143284</v>
      </c>
      <c r="M34" s="12">
        <f>'Table-n=1000-miss'!F34</f>
        <v>0.85</v>
      </c>
      <c r="N34" s="12">
        <f>'Table-n=1000-miss'!G34</f>
        <v>18.447877052997857</v>
      </c>
      <c r="O34" s="12">
        <f>'Table-n=1000-miss'!I34</f>
        <v>0.97279519996744379</v>
      </c>
      <c r="P34" s="5"/>
      <c r="Y34" s="12"/>
    </row>
    <row r="35" spans="1:25" x14ac:dyDescent="0.45">
      <c r="B35" s="1" t="s">
        <v>4</v>
      </c>
      <c r="C35" s="12">
        <f>'Table-n=1000-corr'!C35</f>
        <v>5.1693623234644499E-2</v>
      </c>
      <c r="D35" s="12">
        <f>'Table-n=1000-corr'!D35</f>
        <v>4.0922813724402296</v>
      </c>
      <c r="E35" s="12">
        <f>'Table-n=1000-corr'!E35</f>
        <v>0.90665222364882136</v>
      </c>
      <c r="F35" s="12">
        <f>'Table-n=1000-corr'!F35</f>
        <v>0.93400000000000005</v>
      </c>
      <c r="G35" s="12">
        <f>'Table-n=1000-corr'!G35</f>
        <v>15.358316622370394</v>
      </c>
      <c r="H35" s="12">
        <f>'Table-n=1000-corr'!I35</f>
        <v>1.2024291865426922</v>
      </c>
      <c r="I35" s="12"/>
      <c r="J35" s="12">
        <f>'Table-n=1000-miss'!C35</f>
        <v>2.3150599239075902</v>
      </c>
      <c r="K35" s="12">
        <f>'Table-n=1000-miss'!D35</f>
        <v>4.1916081333015498</v>
      </c>
      <c r="L35" s="12">
        <f>'Table-n=1000-miss'!E35</f>
        <v>0.30855884186093585</v>
      </c>
      <c r="M35" s="12">
        <f>'Table-n=1000-miss'!F35</f>
        <v>0.95899999999999996</v>
      </c>
      <c r="N35" s="12">
        <f>'Table-n=1000-miss'!G35</f>
        <v>18.146438336676916</v>
      </c>
      <c r="O35" s="12">
        <f>'Table-n=1000-miss'!I35</f>
        <v>1.0053827178776995</v>
      </c>
      <c r="P35" s="5"/>
      <c r="Y35" s="12"/>
    </row>
    <row r="36" spans="1:25" x14ac:dyDescent="0.45">
      <c r="B36" s="1" t="s">
        <v>88</v>
      </c>
      <c r="C36" s="12">
        <f>'Table-n=1000-corr'!C36</f>
        <v>3.9547968593465703E-2</v>
      </c>
      <c r="D36" s="12">
        <f>'Table-n=1000-corr'!D36</f>
        <v>4.4511719804594696</v>
      </c>
      <c r="E36" s="12">
        <f>'Table-n=1000-corr'!E36</f>
        <v>1.0726511592061811</v>
      </c>
      <c r="F36" s="12">
        <f>'Table-n=1000-corr'!F36</f>
        <v>0.93200000000000005</v>
      </c>
      <c r="G36" s="12">
        <f>'Table-n=1000-corr'!G36</f>
        <v>16.732367298450349</v>
      </c>
      <c r="H36" s="12">
        <f>'Table-n=1000-corr'!I36</f>
        <v>1.0130525261303087</v>
      </c>
      <c r="I36" s="12"/>
      <c r="J36" s="12">
        <f>'Table-n=1000-miss'!C36</f>
        <v>6.2425945570730397</v>
      </c>
      <c r="K36" s="12">
        <f>'Table-n=1000-miss'!D36</f>
        <v>7.3349469608996598</v>
      </c>
      <c r="L36" s="12">
        <f>'Table-n=1000-miss'!E36</f>
        <v>0.94486682888157369</v>
      </c>
      <c r="M36" s="12">
        <f>'Table-n=1000-miss'!F36</f>
        <v>0.63100000000000001</v>
      </c>
      <c r="N36" s="12">
        <f>'Table-n=1000-miss'!G36</f>
        <v>15.19316378279705</v>
      </c>
      <c r="O36" s="12">
        <f>'Table-n=1000-miss'!I36</f>
        <v>1.4342265937263692</v>
      </c>
      <c r="P36" s="5"/>
      <c r="Y36" s="12"/>
    </row>
    <row r="37" spans="1:25" x14ac:dyDescent="0.45">
      <c r="B37" s="1" t="s">
        <v>89</v>
      </c>
      <c r="C37" s="12">
        <f>'Table-n=1000-corr'!C37</f>
        <v>4.57586558372753E-2</v>
      </c>
      <c r="D37" s="12">
        <f>'Table-n=1000-corr'!D37</f>
        <v>4.2977893096465998</v>
      </c>
      <c r="E37" s="12">
        <f>'Table-n=1000-corr'!E37</f>
        <v>1</v>
      </c>
      <c r="F37" s="12">
        <f>'Table-n=1000-corr'!F37</f>
        <v>0.94499999999999995</v>
      </c>
      <c r="G37" s="12">
        <f>'Table-n=1000-corr'!G37</f>
        <v>16.841213102457935</v>
      </c>
      <c r="H37" s="12">
        <f>'Table-n=1000-corr'!I37</f>
        <v>1</v>
      </c>
      <c r="I37" s="12"/>
      <c r="J37" s="12">
        <f>'Table-n=1000-miss'!C37</f>
        <v>6.4302097534388496</v>
      </c>
      <c r="K37" s="12">
        <f>'Table-n=1000-miss'!D37</f>
        <v>7.5459109628876204</v>
      </c>
      <c r="L37" s="12">
        <f>'Table-n=1000-miss'!E37</f>
        <v>1</v>
      </c>
      <c r="M37" s="12">
        <f>'Table-n=1000-miss'!F37</f>
        <v>0.75600000000000001</v>
      </c>
      <c r="N37" s="12">
        <f>'Table-n=1000-miss'!G37</f>
        <v>18.195211370915683</v>
      </c>
      <c r="O37" s="12">
        <f>'Table-n=1000-miss'!I37</f>
        <v>1</v>
      </c>
      <c r="P37" s="5"/>
      <c r="Y37" s="12"/>
    </row>
    <row r="38" spans="1:25" s="3" customFormat="1" x14ac:dyDescent="0.45">
      <c r="B38" s="3" t="s">
        <v>2</v>
      </c>
      <c r="C38" s="14">
        <f>'Table-n=1000-corr'!C38</f>
        <v>2.7462365738788502E-2</v>
      </c>
      <c r="D38" s="14">
        <f>'Table-n=1000-corr'!D38</f>
        <v>4.5964072415637602</v>
      </c>
      <c r="E38" s="14">
        <f>'Table-n=1000-corr'!E38</f>
        <v>1.1437912183368024</v>
      </c>
      <c r="F38" s="14">
        <f>'Table-n=1000-corr'!F38</f>
        <v>0.94</v>
      </c>
      <c r="G38" s="14">
        <f>'Table-n=1000-corr'!G38</f>
        <v>17.725568769694867</v>
      </c>
      <c r="H38" s="14">
        <f>'Table-n=1000-corr'!I38</f>
        <v>0.90270611321362149</v>
      </c>
      <c r="I38" s="14"/>
      <c r="J38" s="14">
        <f>'Table-n=1000-miss'!C38</f>
        <v>12.1467842508884</v>
      </c>
      <c r="K38" s="14">
        <f>'Table-n=1000-miss'!D38</f>
        <v>17.858808974936299</v>
      </c>
      <c r="L38" s="14">
        <f>'Table-n=1000-miss'!E38</f>
        <v>5.6012071024944534</v>
      </c>
      <c r="M38" s="14">
        <f>'Table-n=1000-miss'!F38</f>
        <v>0.628</v>
      </c>
      <c r="N38" s="14">
        <f>'Table-n=1000-miss'!G38</f>
        <v>24.845492499518645</v>
      </c>
      <c r="O38" s="14">
        <f>'Table-n=1000-miss'!I38</f>
        <v>0.53631382248568671</v>
      </c>
      <c r="P38" s="13"/>
      <c r="Q38" s="13"/>
      <c r="Y38" s="14"/>
    </row>
    <row r="39" spans="1:25" x14ac:dyDescent="0.45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5"/>
      <c r="Y39" s="7"/>
    </row>
    <row r="40" spans="1:25" x14ac:dyDescent="0.45">
      <c r="A40" s="2" t="s">
        <v>207</v>
      </c>
      <c r="B40" s="1" t="s">
        <v>3</v>
      </c>
      <c r="C40" s="12">
        <f>'Table-n=1000-corr'!C40</f>
        <v>-0.13725937851137501</v>
      </c>
      <c r="D40" s="12">
        <f>'Table-n=1000-corr'!D40</f>
        <v>6.1628839309968502</v>
      </c>
      <c r="E40" s="12">
        <f>'Table-n=1000-corr'!E40</f>
        <v>0.9700886815093086</v>
      </c>
      <c r="F40" s="12">
        <f>'Table-n=1000-corr'!F40</f>
        <v>0.93200000000000005</v>
      </c>
      <c r="G40" s="12">
        <f>'Table-n=1000-corr'!G40</f>
        <v>22.966007909722034</v>
      </c>
      <c r="H40" s="12">
        <f>'Table-n=1000-corr'!I40</f>
        <v>1.0716156673871595</v>
      </c>
      <c r="I40" s="12"/>
      <c r="J40" s="12">
        <f>'Table-n=1000-miss'!C40</f>
        <v>10.5654305499133</v>
      </c>
      <c r="K40" s="12">
        <f>'Table-n=1000-miss'!D40</f>
        <v>12.3375073132941</v>
      </c>
      <c r="L40" s="12">
        <f>'Table-n=1000-miss'!E40</f>
        <v>0.91115781667180684</v>
      </c>
      <c r="M40" s="12">
        <f>'Table-n=1000-miss'!F40</f>
        <v>0.61599999999999999</v>
      </c>
      <c r="N40" s="12">
        <f>'Table-n=1000-miss'!G40</f>
        <v>24.246466301687054</v>
      </c>
      <c r="O40" s="12">
        <f>'Table-n=1000-miss'!I40</f>
        <v>1.2577352650580276</v>
      </c>
      <c r="P40" s="5"/>
      <c r="Y40" s="12"/>
    </row>
    <row r="41" spans="1:25" x14ac:dyDescent="0.45">
      <c r="B41" s="1" t="s">
        <v>5</v>
      </c>
      <c r="C41" s="12">
        <f>'Table-n=1000-corr'!C41</f>
        <v>0.75081659930810196</v>
      </c>
      <c r="D41" s="12">
        <f>'Table-n=1000-corr'!D41</f>
        <v>5.6983535739439999</v>
      </c>
      <c r="E41" s="12">
        <f>'Table-n=1000-corr'!E41</f>
        <v>0.82935839785329235</v>
      </c>
      <c r="F41" s="12">
        <f>'Table-n=1000-corr'!F41</f>
        <v>0.94699999999999995</v>
      </c>
      <c r="G41" s="12">
        <f>'Table-n=1000-corr'!G41</f>
        <v>22.020017744282427</v>
      </c>
      <c r="H41" s="12">
        <f>'Table-n=1000-corr'!I41</f>
        <v>1.1656676540006055</v>
      </c>
      <c r="I41" s="12"/>
      <c r="J41" s="12">
        <f>'Table-n=1000-miss'!C41</f>
        <v>9.8370185167350801</v>
      </c>
      <c r="K41" s="12">
        <f>'Table-n=1000-miss'!D41</f>
        <v>11.6429059383787</v>
      </c>
      <c r="L41" s="12">
        <f>'Table-n=1000-miss'!E41</f>
        <v>0.81144957431461762</v>
      </c>
      <c r="M41" s="12">
        <f>'Table-n=1000-miss'!F41</f>
        <v>0.78</v>
      </c>
      <c r="N41" s="12">
        <f>'Table-n=1000-miss'!G41</f>
        <v>28.922199133844714</v>
      </c>
      <c r="O41" s="12">
        <f>'Table-n=1000-miss'!I41</f>
        <v>0.88394149271410194</v>
      </c>
      <c r="P41" s="5"/>
      <c r="Y41" s="12"/>
    </row>
    <row r="42" spans="1:25" x14ac:dyDescent="0.45">
      <c r="B42" s="1" t="s">
        <v>4</v>
      </c>
      <c r="C42" s="12">
        <f>'Table-n=1000-corr'!C42</f>
        <v>-0.14758788450774901</v>
      </c>
      <c r="D42" s="12">
        <f>'Table-n=1000-corr'!D42</f>
        <v>6.0418440502219397</v>
      </c>
      <c r="E42" s="12">
        <f>'Table-n=1000-corr'!E42</f>
        <v>0.93235753065237048</v>
      </c>
      <c r="F42" s="12">
        <f>'Table-n=1000-corr'!F42</f>
        <v>0.93400000000000005</v>
      </c>
      <c r="G42" s="12">
        <f>'Table-n=1000-corr'!G42</f>
        <v>22.520291209380154</v>
      </c>
      <c r="H42" s="12">
        <f>'Table-n=1000-corr'!I42</f>
        <v>1.1144538028771147</v>
      </c>
      <c r="I42" s="12"/>
      <c r="J42" s="12">
        <f>'Table-n=1000-miss'!C42</f>
        <v>4.5055076762374799</v>
      </c>
      <c r="K42" s="12">
        <f>'Table-n=1000-miss'!D42</f>
        <v>6.8223251313676201</v>
      </c>
      <c r="L42" s="12">
        <f>'Table-n=1000-miss'!E42</f>
        <v>0.27861441642145884</v>
      </c>
      <c r="M42" s="12">
        <f>'Table-n=1000-miss'!F42</f>
        <v>0.96199999999999997</v>
      </c>
      <c r="N42" s="12">
        <f>'Table-n=1000-miss'!G42</f>
        <v>32.72950826453561</v>
      </c>
      <c r="O42" s="12">
        <f>'Table-n=1000-miss'!I42</f>
        <v>0.69025122095994396</v>
      </c>
      <c r="P42" s="5"/>
      <c r="Y42" s="12"/>
    </row>
    <row r="43" spans="1:25" x14ac:dyDescent="0.45">
      <c r="B43" s="1" t="s">
        <v>88</v>
      </c>
      <c r="C43" s="12">
        <f>'Table-n=1000-corr'!C43</f>
        <v>-0.18982563092614099</v>
      </c>
      <c r="D43" s="12">
        <f>'Table-n=1000-corr'!D43</f>
        <v>6.52167135752814</v>
      </c>
      <c r="E43" s="12">
        <f>'Table-n=1000-corr'!E43</f>
        <v>1.0863287671710946</v>
      </c>
      <c r="F43" s="12">
        <f>'Table-n=1000-corr'!F43</f>
        <v>0.93</v>
      </c>
      <c r="G43" s="12">
        <f>'Table-n=1000-corr'!G43</f>
        <v>23.886875568921056</v>
      </c>
      <c r="H43" s="12">
        <f>'Table-n=1000-corr'!I43</f>
        <v>0.9905841624473084</v>
      </c>
      <c r="I43" s="12"/>
      <c r="J43" s="12">
        <f>'Table-n=1000-miss'!C43</f>
        <v>10.844718939825601</v>
      </c>
      <c r="K43" s="12">
        <f>'Table-n=1000-miss'!D43</f>
        <v>12.4031378927977</v>
      </c>
      <c r="L43" s="12">
        <f>'Table-n=1000-miss'!E43</f>
        <v>0.92087758736697845</v>
      </c>
      <c r="M43" s="12">
        <f>'Table-n=1000-miss'!F43</f>
        <v>0.51800000000000002</v>
      </c>
      <c r="N43" s="12">
        <f>'Table-n=1000-miss'!G43</f>
        <v>22.474404562285553</v>
      </c>
      <c r="O43" s="12">
        <f>'Table-n=1000-miss'!I43</f>
        <v>1.4638944210275915</v>
      </c>
      <c r="P43" s="5"/>
      <c r="Y43" s="12"/>
    </row>
    <row r="44" spans="1:25" x14ac:dyDescent="0.45">
      <c r="B44" s="1" t="s">
        <v>89</v>
      </c>
      <c r="C44" s="12">
        <f>'Table-n=1000-corr'!C44</f>
        <v>-0.10374485524568799</v>
      </c>
      <c r="D44" s="12">
        <f>'Table-n=1000-corr'!D44</f>
        <v>6.2571745433361201</v>
      </c>
      <c r="E44" s="12">
        <f>'Table-n=1000-corr'!E44</f>
        <v>1</v>
      </c>
      <c r="F44" s="12">
        <f>'Table-n=1000-corr'!F44</f>
        <v>0.94299999999999995</v>
      </c>
      <c r="G44" s="12">
        <f>'Table-n=1000-corr'!G44</f>
        <v>23.774152124939945</v>
      </c>
      <c r="H44" s="12">
        <f>'Table-n=1000-corr'!I44</f>
        <v>1</v>
      </c>
      <c r="I44" s="12"/>
      <c r="J44" s="12">
        <f>'Table-n=1000-miss'!C44</f>
        <v>11.112730217269901</v>
      </c>
      <c r="K44" s="12">
        <f>'Table-n=1000-miss'!D44</f>
        <v>12.9250020450456</v>
      </c>
      <c r="L44" s="12">
        <f>'Table-n=1000-miss'!E44</f>
        <v>1</v>
      </c>
      <c r="M44" s="12">
        <f>'Table-n=1000-miss'!F44</f>
        <v>0.66700000000000004</v>
      </c>
      <c r="N44" s="12">
        <f>'Table-n=1000-miss'!G44</f>
        <v>27.192120252930248</v>
      </c>
      <c r="O44" s="12">
        <f>'Table-n=1000-miss'!I44</f>
        <v>1</v>
      </c>
      <c r="P44" s="5"/>
      <c r="Y44" s="12"/>
    </row>
    <row r="45" spans="1:25" s="3" customFormat="1" x14ac:dyDescent="0.45">
      <c r="B45" s="3" t="s">
        <v>2</v>
      </c>
      <c r="C45" s="14">
        <f>'Table-n=1000-corr'!C45</f>
        <v>-0.31102541148847801</v>
      </c>
      <c r="D45" s="14">
        <f>'Table-n=1000-corr'!D45</f>
        <v>7.0930286835712497</v>
      </c>
      <c r="E45" s="14">
        <f>'Table-n=1000-corr'!E45</f>
        <v>1.2850111400911024</v>
      </c>
      <c r="F45" s="14">
        <f>'Table-n=1000-corr'!F45</f>
        <v>0.93700000000000006</v>
      </c>
      <c r="G45" s="14">
        <f>'Table-n=1000-corr'!G45</f>
        <v>25.710326456827627</v>
      </c>
      <c r="H45" s="14">
        <f>'Table-n=1000-corr'!I45</f>
        <v>0.85505665673931652</v>
      </c>
      <c r="I45" s="14"/>
      <c r="J45" s="14">
        <f>'Table-n=1000-miss'!C45</f>
        <v>17.288013850345902</v>
      </c>
      <c r="K45" s="14">
        <f>'Table-n=1000-miss'!D45</f>
        <v>22.6944193724797</v>
      </c>
      <c r="L45" s="14">
        <f>'Table-n=1000-miss'!E45</f>
        <v>3.0830240386797172</v>
      </c>
      <c r="M45" s="14">
        <f>'Table-n=1000-miss'!F45</f>
        <v>0.52</v>
      </c>
      <c r="N45" s="14">
        <f>'Table-n=1000-miss'!G45</f>
        <v>30.012002575930754</v>
      </c>
      <c r="O45" s="14">
        <f>'Table-n=1000-miss'!I45</f>
        <v>0.82091122514346171</v>
      </c>
      <c r="P45" s="13"/>
      <c r="Q45" s="13"/>
      <c r="Y45" s="14"/>
    </row>
    <row r="46" spans="1:25" x14ac:dyDescent="0.45">
      <c r="G46" s="7"/>
      <c r="H46" s="7"/>
      <c r="O46" s="7"/>
    </row>
    <row r="47" spans="1:25" x14ac:dyDescent="0.45">
      <c r="G47" s="7"/>
      <c r="H47" s="7"/>
      <c r="O47" s="7"/>
    </row>
    <row r="48" spans="1:25" x14ac:dyDescent="0.45">
      <c r="G48" s="7"/>
      <c r="H48" s="7"/>
      <c r="O48" s="7"/>
    </row>
    <row r="49" spans="7:15" x14ac:dyDescent="0.45">
      <c r="G49" s="7"/>
      <c r="H49" s="7"/>
      <c r="O49" s="7"/>
    </row>
    <row r="50" spans="7:15" x14ac:dyDescent="0.45">
      <c r="G50" s="7"/>
      <c r="H50" s="7"/>
      <c r="O50" s="7"/>
    </row>
    <row r="51" spans="7:15" x14ac:dyDescent="0.45">
      <c r="G51" s="7"/>
      <c r="H51" s="7"/>
      <c r="O51" s="7"/>
    </row>
    <row r="52" spans="7:15" x14ac:dyDescent="0.45">
      <c r="G52" s="7"/>
      <c r="H52" s="7"/>
      <c r="O52" s="7"/>
    </row>
    <row r="53" spans="7:15" x14ac:dyDescent="0.45">
      <c r="G53" s="7"/>
      <c r="H53" s="7"/>
      <c r="O53" s="7"/>
    </row>
    <row r="54" spans="7:15" x14ac:dyDescent="0.45">
      <c r="G54" s="7"/>
      <c r="H54" s="7"/>
      <c r="O54" s="7"/>
    </row>
    <row r="55" spans="7:15" x14ac:dyDescent="0.45">
      <c r="G55" s="7"/>
      <c r="H55" s="7"/>
      <c r="O55" s="7"/>
    </row>
    <row r="56" spans="7:15" x14ac:dyDescent="0.45">
      <c r="G56" s="7"/>
      <c r="H56" s="7"/>
      <c r="O56" s="7"/>
    </row>
    <row r="57" spans="7:15" x14ac:dyDescent="0.45">
      <c r="G57" s="7"/>
      <c r="H57" s="7"/>
      <c r="O57" s="7"/>
    </row>
    <row r="58" spans="7:15" x14ac:dyDescent="0.45">
      <c r="G58" s="7"/>
      <c r="H58" s="7"/>
      <c r="O58" s="7"/>
    </row>
    <row r="59" spans="7:15" x14ac:dyDescent="0.45">
      <c r="G59" s="7"/>
      <c r="H59" s="7"/>
      <c r="O59" s="7"/>
    </row>
    <row r="60" spans="7:15" x14ac:dyDescent="0.45">
      <c r="G60" s="7"/>
      <c r="H60" s="7"/>
      <c r="O60" s="7"/>
    </row>
    <row r="61" spans="7:15" x14ac:dyDescent="0.45">
      <c r="G61" s="7"/>
      <c r="H61" s="7"/>
      <c r="O61" s="7"/>
    </row>
    <row r="62" spans="7:15" x14ac:dyDescent="0.45">
      <c r="G62" s="7"/>
      <c r="H62" s="7"/>
      <c r="O62" s="7"/>
    </row>
    <row r="63" spans="7:15" x14ac:dyDescent="0.45">
      <c r="G63" s="7"/>
      <c r="H63" s="7"/>
      <c r="O63" s="7"/>
    </row>
    <row r="64" spans="7:15" x14ac:dyDescent="0.45">
      <c r="G64" s="7"/>
      <c r="H64" s="7"/>
      <c r="O64" s="7"/>
    </row>
    <row r="65" spans="7:15" x14ac:dyDescent="0.45">
      <c r="G65" s="7"/>
      <c r="H65" s="7"/>
      <c r="O65" s="7"/>
    </row>
    <row r="66" spans="7:15" x14ac:dyDescent="0.45">
      <c r="G66" s="7"/>
      <c r="H66" s="7"/>
      <c r="O66" s="7"/>
    </row>
    <row r="67" spans="7:15" x14ac:dyDescent="0.45">
      <c r="G67" s="7"/>
      <c r="H67" s="7"/>
      <c r="O67" s="7"/>
    </row>
    <row r="68" spans="7:15" x14ac:dyDescent="0.45">
      <c r="G68" s="7"/>
      <c r="H68" s="7"/>
      <c r="O68" s="7"/>
    </row>
    <row r="69" spans="7:15" x14ac:dyDescent="0.45">
      <c r="G69" s="7"/>
      <c r="H69" s="7"/>
      <c r="O69" s="7"/>
    </row>
    <row r="70" spans="7:15" x14ac:dyDescent="0.45">
      <c r="G70" s="7"/>
      <c r="H70" s="7"/>
      <c r="O70" s="7"/>
    </row>
    <row r="71" spans="7:15" x14ac:dyDescent="0.45">
      <c r="G71" s="7"/>
      <c r="H71" s="7"/>
      <c r="O71" s="7"/>
    </row>
    <row r="72" spans="7:15" x14ac:dyDescent="0.45">
      <c r="G72" s="7"/>
      <c r="H72" s="7"/>
      <c r="O72" s="7"/>
    </row>
    <row r="73" spans="7:15" x14ac:dyDescent="0.45">
      <c r="G73" s="7"/>
      <c r="H73" s="7"/>
      <c r="O73" s="7"/>
    </row>
    <row r="74" spans="7:15" x14ac:dyDescent="0.45">
      <c r="G74" s="7"/>
      <c r="H74" s="7"/>
      <c r="O74" s="7"/>
    </row>
    <row r="75" spans="7:15" x14ac:dyDescent="0.45">
      <c r="G75" s="7"/>
      <c r="H75" s="7"/>
      <c r="O75" s="7"/>
    </row>
    <row r="76" spans="7:15" x14ac:dyDescent="0.45">
      <c r="G76" s="7"/>
      <c r="H76" s="7"/>
      <c r="O76" s="7"/>
    </row>
    <row r="77" spans="7:15" x14ac:dyDescent="0.45">
      <c r="G77" s="7"/>
      <c r="H77" s="7"/>
      <c r="O77" s="7"/>
    </row>
    <row r="78" spans="7:15" x14ac:dyDescent="0.45">
      <c r="G78" s="7"/>
      <c r="H78" s="7"/>
      <c r="O78" s="7"/>
    </row>
    <row r="79" spans="7:15" x14ac:dyDescent="0.45">
      <c r="G79" s="7"/>
      <c r="H79" s="7"/>
      <c r="O79" s="7"/>
    </row>
    <row r="80" spans="7:15" x14ac:dyDescent="0.45">
      <c r="G80" s="7"/>
      <c r="H80" s="7"/>
      <c r="O80" s="7"/>
    </row>
    <row r="81" spans="7:15" x14ac:dyDescent="0.45">
      <c r="G81" s="7"/>
      <c r="H81" s="7"/>
      <c r="O81" s="7"/>
    </row>
    <row r="82" spans="7:15" x14ac:dyDescent="0.45">
      <c r="G82" s="7"/>
      <c r="H82" s="7"/>
      <c r="O82" s="7"/>
    </row>
    <row r="83" spans="7:15" x14ac:dyDescent="0.45">
      <c r="G83" s="7"/>
      <c r="H83" s="7"/>
      <c r="O83" s="7"/>
    </row>
    <row r="84" spans="7:15" x14ac:dyDescent="0.45">
      <c r="G84" s="7"/>
      <c r="H84" s="7"/>
      <c r="O84" s="7"/>
    </row>
    <row r="85" spans="7:15" x14ac:dyDescent="0.45">
      <c r="G85" s="7"/>
      <c r="H85" s="7"/>
      <c r="O85" s="7"/>
    </row>
    <row r="86" spans="7:15" x14ac:dyDescent="0.45">
      <c r="G86" s="7"/>
      <c r="H86" s="7"/>
      <c r="O86" s="7"/>
    </row>
    <row r="87" spans="7:15" x14ac:dyDescent="0.45">
      <c r="G87" s="7"/>
      <c r="H87" s="7"/>
      <c r="O87" s="7"/>
    </row>
    <row r="88" spans="7:15" x14ac:dyDescent="0.45">
      <c r="G88" s="7"/>
      <c r="H88" s="7"/>
      <c r="O88" s="7"/>
    </row>
    <row r="89" spans="7:15" x14ac:dyDescent="0.45">
      <c r="G89" s="7"/>
      <c r="H89" s="7"/>
      <c r="O89" s="7"/>
    </row>
    <row r="90" spans="7:15" x14ac:dyDescent="0.45">
      <c r="G90" s="7"/>
      <c r="H90" s="7"/>
      <c r="O90" s="7"/>
    </row>
    <row r="91" spans="7:15" x14ac:dyDescent="0.45">
      <c r="G91" s="7"/>
      <c r="H91" s="7"/>
      <c r="O91" s="7"/>
    </row>
    <row r="92" spans="7:15" x14ac:dyDescent="0.45">
      <c r="G92" s="7"/>
      <c r="H92" s="7"/>
      <c r="O92" s="7"/>
    </row>
    <row r="93" spans="7:15" x14ac:dyDescent="0.45">
      <c r="G93" s="7"/>
      <c r="H93" s="7"/>
      <c r="O93" s="7"/>
    </row>
    <row r="94" spans="7:15" x14ac:dyDescent="0.45">
      <c r="G94" s="7"/>
      <c r="H94" s="7"/>
      <c r="O94" s="7"/>
    </row>
    <row r="95" spans="7:15" x14ac:dyDescent="0.45">
      <c r="G95" s="7"/>
      <c r="H95" s="7"/>
      <c r="O95" s="7"/>
    </row>
    <row r="96" spans="7:15" x14ac:dyDescent="0.45">
      <c r="G96" s="7"/>
      <c r="H96" s="7"/>
      <c r="O96" s="7"/>
    </row>
    <row r="97" spans="7:15" x14ac:dyDescent="0.45">
      <c r="G97" s="7"/>
      <c r="H97" s="7"/>
      <c r="O97" s="7"/>
    </row>
    <row r="98" spans="7:15" x14ac:dyDescent="0.45">
      <c r="G98" s="7"/>
      <c r="H98" s="7"/>
      <c r="O98" s="7"/>
    </row>
    <row r="99" spans="7:15" x14ac:dyDescent="0.45">
      <c r="G99" s="7"/>
      <c r="H99" s="7"/>
      <c r="O99" s="7"/>
    </row>
    <row r="100" spans="7:15" x14ac:dyDescent="0.45">
      <c r="G100" s="7"/>
      <c r="H100" s="7"/>
      <c r="O100" s="7"/>
    </row>
    <row r="101" spans="7:15" x14ac:dyDescent="0.45">
      <c r="G101" s="7"/>
      <c r="H101" s="7"/>
      <c r="O101" s="7"/>
    </row>
    <row r="102" spans="7:15" x14ac:dyDescent="0.45">
      <c r="G102" s="7"/>
      <c r="H102" s="7"/>
      <c r="O102" s="7"/>
    </row>
    <row r="103" spans="7:15" x14ac:dyDescent="0.45">
      <c r="G103" s="7"/>
      <c r="H103" s="7"/>
      <c r="O103" s="7"/>
    </row>
    <row r="104" spans="7:15" x14ac:dyDescent="0.45">
      <c r="G104" s="7"/>
      <c r="H104" s="7"/>
      <c r="O104" s="7"/>
    </row>
    <row r="105" spans="7:15" x14ac:dyDescent="0.45">
      <c r="G105" s="7"/>
      <c r="H105" s="7"/>
      <c r="O105" s="7"/>
    </row>
    <row r="106" spans="7:15" x14ac:dyDescent="0.45">
      <c r="G106" s="7"/>
      <c r="H106" s="7"/>
      <c r="O106" s="7"/>
    </row>
    <row r="107" spans="7:15" x14ac:dyDescent="0.45">
      <c r="G107" s="7"/>
      <c r="H107" s="7"/>
      <c r="O107" s="7"/>
    </row>
    <row r="108" spans="7:15" x14ac:dyDescent="0.45">
      <c r="G108" s="7"/>
      <c r="H108" s="7"/>
      <c r="O108" s="7"/>
    </row>
    <row r="109" spans="7:15" x14ac:dyDescent="0.45">
      <c r="G109" s="7"/>
      <c r="H109" s="7"/>
      <c r="O109" s="7"/>
    </row>
    <row r="110" spans="7:15" x14ac:dyDescent="0.45">
      <c r="G110" s="7"/>
      <c r="H110" s="7"/>
      <c r="O110" s="7"/>
    </row>
    <row r="111" spans="7:15" x14ac:dyDescent="0.45">
      <c r="G111" s="7"/>
      <c r="H111" s="7"/>
      <c r="O111" s="7"/>
    </row>
    <row r="112" spans="7:15" x14ac:dyDescent="0.45">
      <c r="G112" s="7"/>
      <c r="H112" s="7"/>
      <c r="O112" s="7"/>
    </row>
    <row r="113" spans="7:15" x14ac:dyDescent="0.45">
      <c r="G113" s="7"/>
      <c r="H113" s="7"/>
      <c r="O113" s="7"/>
    </row>
    <row r="114" spans="7:15" x14ac:dyDescent="0.45">
      <c r="G114" s="7"/>
      <c r="H114" s="7"/>
      <c r="O114" s="7"/>
    </row>
    <row r="115" spans="7:15" x14ac:dyDescent="0.45">
      <c r="G115" s="7"/>
      <c r="H115" s="7"/>
      <c r="O115" s="7"/>
    </row>
    <row r="116" spans="7:15" x14ac:dyDescent="0.45">
      <c r="G116" s="7"/>
      <c r="H116" s="7"/>
      <c r="O116" s="7"/>
    </row>
    <row r="117" spans="7:15" x14ac:dyDescent="0.45">
      <c r="G117" s="7"/>
      <c r="H117" s="7"/>
      <c r="O117" s="7"/>
    </row>
    <row r="118" spans="7:15" x14ac:dyDescent="0.45">
      <c r="G118" s="7"/>
      <c r="H118" s="7"/>
      <c r="O118" s="7"/>
    </row>
    <row r="119" spans="7:15" x14ac:dyDescent="0.45">
      <c r="G119" s="7"/>
      <c r="H119" s="7"/>
      <c r="O119" s="7"/>
    </row>
    <row r="120" spans="7:15" x14ac:dyDescent="0.45">
      <c r="G120" s="7"/>
      <c r="H120" s="7"/>
      <c r="O120" s="7"/>
    </row>
  </sheetData>
  <mergeCells count="8">
    <mergeCell ref="S11:X11"/>
    <mergeCell ref="Z11:AE11"/>
    <mergeCell ref="C1:G1"/>
    <mergeCell ref="J1:N1"/>
    <mergeCell ref="S1:W1"/>
    <mergeCell ref="Z1:AD1"/>
    <mergeCell ref="S3:X3"/>
    <mergeCell ref="Z3:AE3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20"/>
  <sheetViews>
    <sheetView workbookViewId="0">
      <selection activeCell="O9" sqref="O9"/>
    </sheetView>
  </sheetViews>
  <sheetFormatPr defaultColWidth="9.33203125" defaultRowHeight="14.25" x14ac:dyDescent="0.45"/>
  <cols>
    <col min="1" max="1" width="8" style="1" bestFit="1" customWidth="1"/>
    <col min="2" max="2" width="11.6640625" style="1" bestFit="1" customWidth="1"/>
    <col min="3" max="4" width="6.53125" style="1" bestFit="1" customWidth="1"/>
    <col min="5" max="5" width="6.53125" style="1" customWidth="1"/>
    <col min="6" max="7" width="8.33203125" style="1" bestFit="1" customWidth="1"/>
    <col min="8" max="10" width="8.33203125" style="1" customWidth="1"/>
    <col min="11" max="17" width="9.33203125" style="1"/>
    <col min="18" max="18" width="14" style="1" bestFit="1" customWidth="1"/>
    <col min="19" max="16384" width="9.33203125" style="1"/>
  </cols>
  <sheetData>
    <row r="1" spans="1:18" x14ac:dyDescent="0.45">
      <c r="C1" s="16" t="s">
        <v>61</v>
      </c>
      <c r="D1" s="16"/>
      <c r="E1" s="16"/>
      <c r="F1" s="16"/>
      <c r="G1" s="16"/>
      <c r="H1" s="9"/>
      <c r="I1" s="9"/>
      <c r="J1" s="11"/>
      <c r="R1" s="10" t="s">
        <v>165</v>
      </c>
    </row>
    <row r="2" spans="1:18" x14ac:dyDescent="0.45">
      <c r="C2" s="9" t="s">
        <v>0</v>
      </c>
      <c r="D2" s="9" t="s">
        <v>1</v>
      </c>
      <c r="E2" s="9" t="s">
        <v>90</v>
      </c>
      <c r="F2" s="9" t="s">
        <v>49</v>
      </c>
      <c r="G2" s="9" t="s">
        <v>48</v>
      </c>
      <c r="H2" s="9" t="s">
        <v>164</v>
      </c>
      <c r="I2" s="9" t="s">
        <v>91</v>
      </c>
      <c r="J2" s="11"/>
      <c r="K2" s="11" t="s">
        <v>208</v>
      </c>
      <c r="L2" s="11" t="s">
        <v>209</v>
      </c>
      <c r="M2" s="11" t="s">
        <v>210</v>
      </c>
      <c r="N2" s="11" t="s">
        <v>211</v>
      </c>
      <c r="O2" s="11" t="s">
        <v>212</v>
      </c>
      <c r="P2" s="11" t="s">
        <v>213</v>
      </c>
      <c r="Q2" s="11"/>
      <c r="R2" s="10">
        <v>2</v>
      </c>
    </row>
    <row r="3" spans="1:18" x14ac:dyDescent="0.45">
      <c r="B3" s="1" t="s">
        <v>6</v>
      </c>
      <c r="C3" s="9">
        <v>200</v>
      </c>
      <c r="D3" s="9">
        <v>200</v>
      </c>
      <c r="E3" s="9">
        <v>200</v>
      </c>
      <c r="F3" s="9">
        <v>200</v>
      </c>
      <c r="G3" s="9">
        <v>200</v>
      </c>
      <c r="H3" s="9">
        <v>200</v>
      </c>
      <c r="I3" s="9">
        <v>200</v>
      </c>
      <c r="J3" s="11"/>
      <c r="K3" s="11">
        <v>200</v>
      </c>
      <c r="L3" s="11">
        <v>200</v>
      </c>
      <c r="M3" s="11">
        <v>200</v>
      </c>
      <c r="N3" s="11">
        <v>200</v>
      </c>
      <c r="O3" s="11">
        <v>200</v>
      </c>
      <c r="P3" s="11">
        <v>200</v>
      </c>
    </row>
    <row r="4" spans="1:18" x14ac:dyDescent="0.45">
      <c r="C4" s="9"/>
      <c r="D4" s="9"/>
      <c r="E4" s="9"/>
      <c r="F4" s="9"/>
      <c r="G4" s="9"/>
      <c r="H4" s="9"/>
      <c r="I4" s="9"/>
      <c r="J4" s="11"/>
    </row>
    <row r="5" spans="1:18" x14ac:dyDescent="0.45">
      <c r="A5" s="2" t="s">
        <v>58</v>
      </c>
      <c r="B5" s="1" t="s">
        <v>3</v>
      </c>
      <c r="C5" s="5">
        <f>HLOOKUP("ATE-bias-IPS-exp",Point!$D$1:$DR$96,$R$2,FALSE)</f>
        <v>0.17480421161384499</v>
      </c>
      <c r="D5" s="5">
        <f>HLOOKUP("ATE-RMSE-IPS-exp",Point!$D$1:$DR$96,$R$2,FALSE)</f>
        <v>5.7424546345527201</v>
      </c>
      <c r="E5" s="5">
        <f>(D5/$D$9)^2</f>
        <v>0.91095855058177333</v>
      </c>
      <c r="F5" s="5">
        <f>HLOOKUP("ATE-Empcov-IPS-exp",inference!$D$1:$DR$96,$R$2,FALSE)</f>
        <v>0.93799999999999994</v>
      </c>
      <c r="G5" s="5">
        <f>HLOOKUP("ATE-ASSD-IPS-exp",inference!$D$1:$DR$96,$R$2,FALSE)*2*1.96/SQRT(G$3)</f>
        <v>21.281051826842628</v>
      </c>
      <c r="H5" s="5">
        <f>G5/(2*1.96/SQRT(G$3))</f>
        <v>76.775388048687702</v>
      </c>
      <c r="I5" s="5">
        <f t="shared" ref="I5:I10" si="0">($H$9/H5)^2</f>
        <v>1.2056723134771641</v>
      </c>
      <c r="J5" s="5"/>
      <c r="K5" s="5">
        <f>HLOOKUP("ks-IPS-exp",balance!$D$1:$DR$96,$R$2,FALSE)</f>
        <v>1.7859085126847101</v>
      </c>
      <c r="L5" s="5">
        <f>HLOOKUP("cvm-IPS-exp",balance!$D$1:$DR$96,$R$2,FALSE)</f>
        <v>0.22531818404522799</v>
      </c>
      <c r="M5" s="5">
        <f>HLOOKUP("ks-IPS-exp_1",balance!$D$1:$DR$96,$R$2,FALSE)</f>
        <v>1.00220618286914</v>
      </c>
      <c r="N5" s="5">
        <f>HLOOKUP("cvm-IPS-exp_1",balance!$D$1:$DR$96,$R$2,FALSE)</f>
        <v>5.1352784644541703E-2</v>
      </c>
      <c r="O5" s="5">
        <f>HLOOKUP("ks-IPS-exp_0",balance!$D$1:$DR$96,$R$2,FALSE)</f>
        <v>1.12287095453108</v>
      </c>
      <c r="P5" s="5">
        <f>HLOOKUP("cvm-IPS-exp_0",balance!$D$1:$DR$96,$R$2,FALSE)</f>
        <v>9.7392785317032202E-2</v>
      </c>
    </row>
    <row r="6" spans="1:18" x14ac:dyDescent="0.45">
      <c r="B6" s="1" t="s">
        <v>5</v>
      </c>
      <c r="C6" s="5">
        <f>HLOOKUP("ATE-bias-IPS-ind",Point!$D$1:$DR$96,$R$2,FALSE)</f>
        <v>1.8543184905242101</v>
      </c>
      <c r="D6" s="5">
        <f>HLOOKUP("ATE-RMSE-IPS-ind",Point!$D$1:$DR$96,$R$2,FALSE)</f>
        <v>5.8812819542166199</v>
      </c>
      <c r="E6" s="5">
        <f t="shared" ref="E6:E10" si="1">(D6/$D$9)^2</f>
        <v>0.95553691900827931</v>
      </c>
      <c r="F6" s="5">
        <f>HLOOKUP("ATE-Empcov-IPS-ind",inference!$D$1:$DR$96,$R$2,FALSE)</f>
        <v>0.94199999999999995</v>
      </c>
      <c r="G6" s="5">
        <f>HLOOKUP("ATE-ASSD-IPS-ind",inference!$D$1:$DR$96,$R$2,FALSE)*2*1.96/SQRT(G$3)</f>
        <v>23.259223791104109</v>
      </c>
      <c r="H6" s="5">
        <f t="shared" ref="H6:H9" si="2">G6/(2*1.96/SQRT(G$3))</f>
        <v>83.91201463176121</v>
      </c>
      <c r="I6" s="5">
        <f t="shared" si="0"/>
        <v>1.0093110598499186</v>
      </c>
      <c r="J6" s="5"/>
      <c r="K6" s="5">
        <f>HLOOKUP("ks-IPS-ind",balance!$D$1:$DR$96,$R$2,FALSE)</f>
        <v>1.55649831982689</v>
      </c>
      <c r="L6" s="5">
        <f>HLOOKUP("cvm-IPS-ind",balance!$D$1:$DR$96,$R$2,FALSE)</f>
        <v>0.161538341067194</v>
      </c>
      <c r="M6" s="5">
        <f>HLOOKUP("ks-IPS-ind_1",balance!$D$1:$DR$96,$R$2,FALSE)</f>
        <v>0.84880302015223397</v>
      </c>
      <c r="N6" s="5">
        <f>HLOOKUP("cvm-IPS-ind_1",balance!$D$1:$DR$96,$R$2,FALSE)</f>
        <v>3.6257495250564098E-2</v>
      </c>
      <c r="O6" s="5">
        <f>HLOOKUP("ks-IPS-ind_0",balance!$D$1:$DR$96,$R$2,FALSE)</f>
        <v>0.94840885678625497</v>
      </c>
      <c r="P6" s="5">
        <f>HLOOKUP("cvm-IPS-ind_0",balance!$D$1:$DR$96,$R$2,FALSE)</f>
        <v>6.2375175177357703E-2</v>
      </c>
    </row>
    <row r="7" spans="1:18" x14ac:dyDescent="0.45">
      <c r="B7" s="1" t="s">
        <v>4</v>
      </c>
      <c r="C7" s="5">
        <f>HLOOKUP("ATE-bias-IPS-proj",Point!$D$1:$DR$96,$R$2,FALSE)</f>
        <v>0.17974137399204099</v>
      </c>
      <c r="D7" s="5">
        <f>HLOOKUP("ATE-RMSE-IPS-proj",Point!$D$1:$DR$96,$R$2,FALSE)</f>
        <v>5.6154252630745898</v>
      </c>
      <c r="E7" s="5">
        <f t="shared" si="1"/>
        <v>0.87110152439407362</v>
      </c>
      <c r="F7" s="6">
        <f>HLOOKUP("ATE-Empcov-IPS-proj",inference!$D$1:$DR$96,$R$2,FALSE)</f>
        <v>0.93100000000000005</v>
      </c>
      <c r="G7" s="6">
        <f>HLOOKUP("ATE-ASSD-IPS-proj",inference!$D$1:$DR$96,$R$2,FALSE)*2*1.96/SQRT(G$3)</f>
        <v>20.836742985892691</v>
      </c>
      <c r="H7" s="5">
        <f t="shared" si="2"/>
        <v>75.172460526356915</v>
      </c>
      <c r="I7" s="5">
        <f t="shared" si="0"/>
        <v>1.2576384222229542</v>
      </c>
      <c r="J7" s="5"/>
      <c r="K7" s="5">
        <f>HLOOKUP("ks-IPS-proj",balance!$D$1:$DR$96,$R$2,FALSE)</f>
        <v>1.7626581667086301</v>
      </c>
      <c r="L7" s="5">
        <f>HLOOKUP("cvm-IPS-proj",balance!$D$1:$DR$96,$R$2,FALSE)</f>
        <v>0.219516937809419</v>
      </c>
      <c r="M7" s="5">
        <f>HLOOKUP("ks-IPS-proj_1",balance!$D$1:$DR$96,$R$2,FALSE)</f>
        <v>0.973078324024228</v>
      </c>
      <c r="N7" s="5">
        <f>HLOOKUP("cvm-IPS-proj_1",balance!$D$1:$DR$96,$R$2,FALSE)</f>
        <v>4.9819624755447101E-2</v>
      </c>
      <c r="O7" s="5">
        <f>HLOOKUP("ks-IPS-proj_0",balance!$D$1:$DR$96,$R$2,FALSE)</f>
        <v>1.08980369209842</v>
      </c>
      <c r="P7" s="5">
        <f>HLOOKUP("cvm-IPS-proj_0",balance!$D$1:$DR$96,$R$2,FALSE)</f>
        <v>9.1756135945992801E-2</v>
      </c>
    </row>
    <row r="8" spans="1:18" x14ac:dyDescent="0.45">
      <c r="B8" s="1" t="s">
        <v>88</v>
      </c>
      <c r="C8" s="5">
        <f>HLOOKUP("ATE-bias-CBPS-just",Point!$D$1:$DR$96,$R$2,FALSE)</f>
        <v>0.19824864562613501</v>
      </c>
      <c r="D8" s="5">
        <f>HLOOKUP("ATE-RMSE-CBPS-just",Point!$D$1:$DR$96,$R$2,FALSE)</f>
        <v>6.4360631361565197</v>
      </c>
      <c r="E8" s="5">
        <f t="shared" si="1"/>
        <v>1.1443109724427492</v>
      </c>
      <c r="F8" s="5">
        <f>HLOOKUP("ATE-Empcov-CBPS-just",inference!$D$1:$DR$96,$R$2,FALSE)</f>
        <v>0.91700000000000004</v>
      </c>
      <c r="G8" s="5">
        <f>HLOOKUP("ATE-ASSD-CBPS-just",inference!$D$1:$DR$96,$R$2,FALSE)*2*1.96/SQRT(G$3)</f>
        <v>22.163330394961601</v>
      </c>
      <c r="H8" s="5">
        <f t="shared" si="2"/>
        <v>79.958373550792217</v>
      </c>
      <c r="I8" s="5">
        <f t="shared" si="0"/>
        <v>1.1115920332324982</v>
      </c>
      <c r="J8" s="5"/>
      <c r="K8" s="5">
        <f>HLOOKUP("ks-CBPS-Just",balance!$D$1:$DR$96,$R$2,FALSE)</f>
        <v>1.8663511504983701</v>
      </c>
      <c r="L8" s="5">
        <f>HLOOKUP("cvm-CBPS-Just",balance!$D$1:$DR$96,$R$2,FALSE)</f>
        <v>0.24508249275723401</v>
      </c>
      <c r="M8" s="5">
        <f>HLOOKUP("ks-CBPS-Just_1",balance!$D$1:$DR$96,$R$2,FALSE)</f>
        <v>1.0714967609792201</v>
      </c>
      <c r="N8" s="5">
        <f>HLOOKUP("cvm-CBPS-Just_1",balance!$D$1:$DR$96,$R$2,FALSE)</f>
        <v>5.5593207444084899E-2</v>
      </c>
      <c r="O8" s="5">
        <f>HLOOKUP("ks-CBPS-Just_0",balance!$D$1:$DR$96,$R$2,FALSE)</f>
        <v>1.2079767815123501</v>
      </c>
      <c r="P8" s="5">
        <f>HLOOKUP("cvm-CBPS-Just_0",balance!$D$1:$DR$96,$R$2,FALSE)</f>
        <v>0.112549626838887</v>
      </c>
    </row>
    <row r="9" spans="1:18" x14ac:dyDescent="0.45">
      <c r="B9" s="1" t="s">
        <v>89</v>
      </c>
      <c r="C9" s="5">
        <f>HLOOKUP("ATE-bias-CBPS-over",Point!$D$1:$DR$96,$R$2,FALSE)</f>
        <v>0.19292778484724801</v>
      </c>
      <c r="D9" s="5">
        <f>HLOOKUP("ATE-RMSE-CBPS-over",Point!$D$1:$DR$96,$R$2,FALSE)</f>
        <v>6.0165601742742796</v>
      </c>
      <c r="E9" s="5">
        <f t="shared" si="1"/>
        <v>1</v>
      </c>
      <c r="F9" s="5">
        <f>HLOOKUP("ATE-Empcov-CBPS-over",inference!$D$1:$DR$96,$R$2,FALSE)</f>
        <v>0.94299999999999995</v>
      </c>
      <c r="G9" s="5">
        <f>HLOOKUP("ATE-ASSD-CBPS-over",inference!$D$1:$DR$96,$R$2,FALSE)*2*1.96/SQRT(G$3)</f>
        <v>23.367256910451783</v>
      </c>
      <c r="H9" s="5">
        <f t="shared" si="2"/>
        <v>84.301764383207512</v>
      </c>
      <c r="I9" s="5">
        <f t="shared" si="0"/>
        <v>1</v>
      </c>
      <c r="J9" s="5"/>
      <c r="K9" s="5">
        <f>HLOOKUP("ks-CBPS-over",balance!$D$1:$DR$96,$R$2,FALSE)</f>
        <v>1.81833869637548</v>
      </c>
      <c r="L9" s="5">
        <f>HLOOKUP("cvm-CBPS-over",balance!$D$1:$DR$96,$R$2,FALSE)</f>
        <v>0.23011668576390901</v>
      </c>
      <c r="M9" s="5">
        <f>HLOOKUP("ks-CBPS-over_1",balance!$D$1:$DR$96,$R$2,FALSE)</f>
        <v>0.99787796518006799</v>
      </c>
      <c r="N9" s="5">
        <f>HLOOKUP("cvm-CBPS-over_1",balance!$D$1:$DR$96,$R$2,FALSE)</f>
        <v>5.2304326853738599E-2</v>
      </c>
      <c r="O9" s="5">
        <f>HLOOKUP("ks-CBPS-over_0",balance!$D$1:$DR$96,$R$2,FALSE)</f>
        <v>1.10148359446487</v>
      </c>
      <c r="P9" s="5">
        <f>HLOOKUP("cvm-CBPS-over_0",balance!$D$1:$DR$96,$R$2,FALSE)</f>
        <v>9.2782871413913406E-2</v>
      </c>
    </row>
    <row r="10" spans="1:18" s="3" customFormat="1" x14ac:dyDescent="0.45">
      <c r="B10" s="3" t="s">
        <v>2</v>
      </c>
      <c r="C10" s="5">
        <f>HLOOKUP("ATE-bias-GLM",Point!$D$1:$DR$96,$R$2,FALSE)</f>
        <v>0.26400015248305703</v>
      </c>
      <c r="D10" s="5">
        <f>HLOOKUP("ATE-RMSE-GLM",Point!$D$1:$DR$96,$R$2,FALSE)</f>
        <v>7.3315714495310802</v>
      </c>
      <c r="E10" s="5">
        <f t="shared" si="1"/>
        <v>1.4849013886621827</v>
      </c>
      <c r="F10" s="5">
        <f>HLOOKUP("ATE-Empcov-GLM",inference!$D$1:$DR$96,$R$2,FALSE)</f>
        <v>0.92900000000000005</v>
      </c>
      <c r="G10" s="5">
        <f>HLOOKUP("ATE-ASSD-GLM",inference!$D$1:$DR$96,$R$2,FALSE)*2*1.96/SQRT(G$3)</f>
        <v>24.42186491589635</v>
      </c>
      <c r="H10" s="5">
        <f>G10/(2*1.96/SQRT(G$3))</f>
        <v>88.106460669653799</v>
      </c>
      <c r="I10" s="5">
        <f t="shared" si="0"/>
        <v>0.91549888018785408</v>
      </c>
      <c r="J10" s="5"/>
      <c r="K10" s="5">
        <f>HLOOKUP("ks-GLM",balance!$D$1:$DR$96,$R$2,FALSE)</f>
        <v>1.86139159249575</v>
      </c>
      <c r="L10" s="5">
        <f>HLOOKUP("cvm-GLM",balance!$D$1:$DR$96,$R$2,FALSE)</f>
        <v>0.24396956839560399</v>
      </c>
      <c r="M10" s="5">
        <f>HLOOKUP("ks-GLM_1",balance!$D$1:$DR$96,$R$2,FALSE)</f>
        <v>1.0756971401045801</v>
      </c>
      <c r="N10" s="5">
        <f>HLOOKUP("cvm-GLM_1",balance!$D$1:$DR$96,$R$2,FALSE)</f>
        <v>5.42450140365799E-2</v>
      </c>
      <c r="O10" s="5">
        <f>HLOOKUP("ks-GLM_0",balance!$D$1:$DR$96,$R$2,FALSE)</f>
        <v>1.2071780071517799</v>
      </c>
      <c r="P10" s="5">
        <f>HLOOKUP("cvm-GLM_0",balance!$D$1:$DR$96,$R$2,FALSE)</f>
        <v>0.11644513921235899</v>
      </c>
    </row>
    <row r="11" spans="1:18" s="4" customFormat="1" x14ac:dyDescent="0.45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8" x14ac:dyDescent="0.45">
      <c r="A12" s="2" t="s">
        <v>206</v>
      </c>
      <c r="B12" s="1" t="s">
        <v>3</v>
      </c>
      <c r="C12" s="5">
        <f>HLOOKUP("QTE-0.10-bias-IPS-exp",Point!$D$1:$DR$96,$R$2,FALSE)</f>
        <v>0.25055798230047999</v>
      </c>
      <c r="D12" s="5">
        <f>HLOOKUP("QTE-0.10-RMSE-IPS-exp",Point!$D$1:$DR$96,$R$2,FALSE)</f>
        <v>8.2476560382210096</v>
      </c>
      <c r="E12" s="5">
        <f t="shared" ref="E12:E15" si="3">(D12/$D$16)^2</f>
        <v>1.0861522690140604</v>
      </c>
      <c r="F12" s="5">
        <f>HLOOKUP("QTE-0.1-Empcov-IPS-exp",inference!$D$1:$DR$96,$R$2,FALSE)</f>
        <v>0.94799999999999995</v>
      </c>
      <c r="G12" s="5">
        <f>HLOOKUP("QTE-0.1-ASSD-IPS-exp",inference!$D$1:$DR$96,$R$2,FALSE)*2*1.96/SQRT(G$3)</f>
        <v>31.089666019168675</v>
      </c>
      <c r="H12" s="5">
        <f>G12/(2*1.96/SQRT(G$3))</f>
        <v>112.16180442336301</v>
      </c>
      <c r="I12" s="5">
        <f t="shared" ref="I12:I17" si="4">($H$16/H12)^2</f>
        <v>0.99028954374818057</v>
      </c>
      <c r="J12" s="5"/>
      <c r="K12" s="5"/>
      <c r="L12" s="5"/>
      <c r="M12" s="5"/>
      <c r="N12" s="5"/>
    </row>
    <row r="13" spans="1:18" x14ac:dyDescent="0.45">
      <c r="B13" s="1" t="s">
        <v>5</v>
      </c>
      <c r="C13" s="5">
        <f>HLOOKUP("QTE-0.10-bias-IPS-ind",Point!$D$1:$DR$96,$R$2,FALSE)</f>
        <v>1.08884743742234</v>
      </c>
      <c r="D13" s="5">
        <f>HLOOKUP("QTE-0.10-RMSE-IPS-ind",Point!$D$1:$DR$96,$R$2,FALSE)</f>
        <v>8.4690735679172295</v>
      </c>
      <c r="E13" s="5">
        <f t="shared" si="3"/>
        <v>1.1452530134355448</v>
      </c>
      <c r="F13" s="5">
        <f>HLOOKUP("QTE-0.1-Empcov-IPS-ind",inference!$D$1:$DR$96,$R$2,FALSE)</f>
        <v>0.95299999999999996</v>
      </c>
      <c r="G13" s="5">
        <f>HLOOKUP("QTE-0.1-ASSD-IPS-ind",inference!$D$1:$DR$96,$R$2,FALSE)*2*1.96/SQRT(G$3)</f>
        <v>33.422270110934001</v>
      </c>
      <c r="H13" s="5">
        <f t="shared" ref="H13:H16" si="5">G13/(2*1.96/SQRT(G$3))</f>
        <v>120.57711141882602</v>
      </c>
      <c r="I13" s="5">
        <f t="shared" si="4"/>
        <v>0.85688475692863864</v>
      </c>
      <c r="J13" s="5"/>
      <c r="K13" s="5"/>
      <c r="L13" s="5"/>
      <c r="M13" s="5"/>
      <c r="N13" s="5"/>
    </row>
    <row r="14" spans="1:18" x14ac:dyDescent="0.45">
      <c r="B14" s="1" t="s">
        <v>4</v>
      </c>
      <c r="C14" s="5">
        <f>HLOOKUP("QTE-0.10-bias-IPS-proj",Point!$D$1:$DR$96,$R$2,FALSE)</f>
        <v>0.25939188844241201</v>
      </c>
      <c r="D14" s="5">
        <f>HLOOKUP("QTE-0.10-RMSE-IPS-proj",Point!$D$1:$DR$96,$R$2,FALSE)</f>
        <v>8.1838981924936594</v>
      </c>
      <c r="E14" s="5">
        <f t="shared" si="3"/>
        <v>1.0694243502277292</v>
      </c>
      <c r="F14" s="6">
        <f>HLOOKUP("QTE-0.1-Empcov-IPS-proj",inference!$D$1:$DR$96,$R$2,FALSE)</f>
        <v>0.94899999999999995</v>
      </c>
      <c r="G14" s="6">
        <f>HLOOKUP("QTE-0.1-ASSD-IPS-proj",inference!$D$1:$DR$96,$R$2,FALSE)*2*1.96/SQRT(G$3)</f>
        <v>30.976454524254457</v>
      </c>
      <c r="H14" s="5">
        <f t="shared" si="5"/>
        <v>111.75337271029102</v>
      </c>
      <c r="I14" s="5">
        <f t="shared" si="4"/>
        <v>0.99754131176793515</v>
      </c>
      <c r="J14" s="5"/>
      <c r="K14" s="5"/>
      <c r="L14" s="5"/>
      <c r="M14" s="5"/>
      <c r="N14" s="5"/>
    </row>
    <row r="15" spans="1:18" x14ac:dyDescent="0.45">
      <c r="B15" s="1" t="s">
        <v>88</v>
      </c>
      <c r="C15" s="5">
        <f>HLOOKUP("QTE-0.10-bias-CBPS-just",Point!$D$1:$DR$96,$R$2,FALSE)</f>
        <v>0.30476951178344802</v>
      </c>
      <c r="D15" s="5">
        <f>HLOOKUP("QTE-0.10-RMSE-CBPS-just",Point!$D$1:$DR$96,$R$2,FALSE)</f>
        <v>7.9350331102629399</v>
      </c>
      <c r="E15" s="5">
        <f t="shared" si="3"/>
        <v>1.0053727709188343</v>
      </c>
      <c r="F15" s="5">
        <f>HLOOKUP("QTE-0.1-Empcov-CBPS-just",inference!$D$1:$DR$96,$R$2,FALSE)</f>
        <v>0.93600000000000005</v>
      </c>
      <c r="G15" s="5">
        <f>HLOOKUP("QTE-0.1-ASSD-CBPS-just",inference!$D$1:$DR$96,$R$2,FALSE)*2*1.96/SQRT(G$3)</f>
        <v>29.918503828558631</v>
      </c>
      <c r="H15" s="5">
        <f t="shared" si="5"/>
        <v>107.93661704147702</v>
      </c>
      <c r="I15" s="5">
        <f t="shared" si="4"/>
        <v>1.069336925744437</v>
      </c>
      <c r="J15" s="5"/>
      <c r="K15" s="5"/>
      <c r="L15" s="5"/>
      <c r="M15" s="5"/>
      <c r="N15" s="5"/>
    </row>
    <row r="16" spans="1:18" x14ac:dyDescent="0.45">
      <c r="B16" s="1" t="s">
        <v>89</v>
      </c>
      <c r="C16" s="5">
        <f>HLOOKUP("QTE-0.10-bias-CBPS-over",Point!$D$1:$DR$96,$R$2,FALSE)</f>
        <v>0.23661003050007201</v>
      </c>
      <c r="D16" s="5">
        <f>HLOOKUP("QTE-0.10-RMSE-CBPS-over",Point!$D$1:$DR$96,$R$2,FALSE)</f>
        <v>7.9138020666440498</v>
      </c>
      <c r="E16" s="5">
        <f>(D16/$D$16)^2</f>
        <v>1</v>
      </c>
      <c r="F16" s="5">
        <f>HLOOKUP("QTE-0.1-Empcov-CBPS-over",inference!$D$1:$DR$96,$R$2,FALSE)</f>
        <v>0.95699999999999996</v>
      </c>
      <c r="G16" s="5">
        <f>HLOOKUP("QTE-0.1-ASSD-CBPS-over",inference!$D$1:$DR$96,$R$2,FALSE)*2*1.96/SQRT(G$3)</f>
        <v>30.93835036617395</v>
      </c>
      <c r="H16" s="5">
        <f t="shared" si="5"/>
        <v>111.615904809423</v>
      </c>
      <c r="I16" s="5">
        <f>($H$16/H16)^2</f>
        <v>1</v>
      </c>
      <c r="J16" s="5"/>
      <c r="K16" s="5"/>
      <c r="L16" s="5"/>
      <c r="M16" s="5"/>
      <c r="N16" s="5"/>
    </row>
    <row r="17" spans="1:17" s="3" customFormat="1" x14ac:dyDescent="0.45">
      <c r="B17" s="3" t="s">
        <v>2</v>
      </c>
      <c r="C17" s="5">
        <f>HLOOKUP("QTE-0.10-bias-GLM",Point!$D$1:$DR$96,$R$2,FALSE)</f>
        <v>0.35535908204822603</v>
      </c>
      <c r="D17" s="5">
        <f>HLOOKUP("QTE-0.10-RMSE-GLM",Point!$D$1:$DR$96,$R$2,FALSE)</f>
        <v>7.9786780531532902</v>
      </c>
      <c r="E17" s="5">
        <f>(D17/$D$16)^2</f>
        <v>1.016462859961174</v>
      </c>
      <c r="F17" s="5">
        <f>HLOOKUP("QTE-0.1-Empcov-GLM",inference!$D$1:$DR$96,$R$2,FALSE)</f>
        <v>0.94499999999999995</v>
      </c>
      <c r="G17" s="5">
        <f>HLOOKUP("QTE-0.1-ASSD-GLM",inference!$D$1:$DR$96,$R$2,FALSE)*2*1.96/SQRT(G$3)</f>
        <v>30.031299625821973</v>
      </c>
      <c r="H17" s="5">
        <f>G17/(2*1.96/SQRT(G$3))</f>
        <v>108.34354904726402</v>
      </c>
      <c r="I17" s="5">
        <f t="shared" si="4"/>
        <v>1.0613192776278539</v>
      </c>
      <c r="J17" s="5"/>
      <c r="K17" s="5"/>
      <c r="L17" s="5"/>
      <c r="M17" s="5"/>
      <c r="N17" s="5"/>
    </row>
    <row r="18" spans="1:17" s="4" customFormat="1" x14ac:dyDescent="0.45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7" x14ac:dyDescent="0.45">
      <c r="A19" s="2" t="s">
        <v>59</v>
      </c>
      <c r="B19" s="1" t="s">
        <v>3</v>
      </c>
      <c r="C19" s="5">
        <f>HLOOKUP("QTE-0.25-bias-IPS-exp",Point!$D$1:$DR$96,$R$2,FALSE)</f>
        <v>8.4903332796077494E-2</v>
      </c>
      <c r="D19" s="5">
        <f>HLOOKUP("QTE-0.25-RMSE-IPS-exp",Point!$D$1:$DR$96,$R$2,FALSE)</f>
        <v>6.8746891439693201</v>
      </c>
      <c r="E19" s="5">
        <f>(D19/$D$23)^2</f>
        <v>1.0326144572289171</v>
      </c>
      <c r="F19" s="5">
        <f>HLOOKUP("QTE-0.25-Empcov-IPS-exp",inference!$D$1:$DR$96,$R$2,FALSE)</f>
        <v>0.95399999999999996</v>
      </c>
      <c r="G19" s="5">
        <f>HLOOKUP("QTE-0.25-ASSD-IPS-exp",inference!$D$1:$DR$96,$R$2,FALSE)*2*1.96/SQRT(G$3)</f>
        <v>27.550883875946838</v>
      </c>
      <c r="H19" s="5">
        <f>G19/(2*1.96/SQRT(G$3))</f>
        <v>99.394983756964919</v>
      </c>
      <c r="I19" s="5">
        <f>($H$23/H19)^2</f>
        <v>1.0284658543671084</v>
      </c>
      <c r="J19" s="5"/>
      <c r="K19" s="5"/>
      <c r="L19" s="5"/>
      <c r="M19" s="5"/>
      <c r="N19" s="5"/>
    </row>
    <row r="20" spans="1:17" x14ac:dyDescent="0.45">
      <c r="B20" s="1" t="s">
        <v>5</v>
      </c>
      <c r="C20" s="5">
        <f>HLOOKUP("QTE-0.25-bias-IPS-ind",Point!$D$1:$DR$96,$R$2,FALSE)</f>
        <v>1.35175732279657</v>
      </c>
      <c r="D20" s="5">
        <f>HLOOKUP("QTE-0.25-RMSE-IPS-ind",Point!$D$1:$DR$96,$R$2,FALSE)</f>
        <v>7.1143551552390099</v>
      </c>
      <c r="E20" s="5">
        <f t="shared" ref="E20:E24" si="6">(D20/$D$23)^2</f>
        <v>1.1058676509760115</v>
      </c>
      <c r="F20" s="5">
        <f>HLOOKUP("QTE-0.25-Empcov-IPS-ind",inference!$D$1:$DR$96,$R$2,FALSE)</f>
        <v>0.96399999999999997</v>
      </c>
      <c r="G20" s="5">
        <f>HLOOKUP("QTE-0.25-ASSD-IPS-ind",inference!$D$1:$DR$96,$R$2,FALSE)*2*1.96/SQRT(G$3)</f>
        <v>29.909170585232832</v>
      </c>
      <c r="H20" s="5">
        <f t="shared" ref="H20:H23" si="7">G20/(2*1.96/SQRT(G$3))</f>
        <v>107.90294561471102</v>
      </c>
      <c r="I20" s="5">
        <f t="shared" ref="I20:I24" si="8">($H$23/H20)^2</f>
        <v>0.87267434867022897</v>
      </c>
      <c r="J20" s="5"/>
      <c r="K20" s="5"/>
      <c r="L20" s="5"/>
      <c r="M20" s="5"/>
      <c r="N20" s="5"/>
    </row>
    <row r="21" spans="1:17" x14ac:dyDescent="0.45">
      <c r="B21" s="1" t="s">
        <v>4</v>
      </c>
      <c r="C21" s="5">
        <f>HLOOKUP("QTE-0.25-bias-IPS-proj",Point!$D$1:$DR$96,$R$2,FALSE)</f>
        <v>6.3133495453199004E-2</v>
      </c>
      <c r="D21" s="5">
        <f>HLOOKUP("QTE-0.25-RMSE-IPS-proj",Point!$D$1:$DR$96,$R$2,FALSE)</f>
        <v>6.8332296072676302</v>
      </c>
      <c r="E21" s="5">
        <f t="shared" si="6"/>
        <v>1.0201971325478494</v>
      </c>
      <c r="F21" s="6">
        <f>HLOOKUP("QTE-0.25-Empcov-IPS-proj",inference!$D$1:$DR$96,$R$2,FALSE)</f>
        <v>0.95099999999999996</v>
      </c>
      <c r="G21" s="6">
        <f>HLOOKUP("QTE-0.25-ASSD-IPS-proj",inference!$D$1:$DR$96,$R$2,FALSE)*2*1.96/SQRT(G$3)</f>
        <v>27.299077989234007</v>
      </c>
      <c r="H21" s="5">
        <f t="shared" si="7"/>
        <v>98.48654676697852</v>
      </c>
      <c r="I21" s="5">
        <f t="shared" si="8"/>
        <v>1.0475264350683513</v>
      </c>
      <c r="J21" s="5"/>
      <c r="K21" s="5"/>
      <c r="L21" s="5"/>
      <c r="M21" s="5"/>
      <c r="N21" s="5"/>
    </row>
    <row r="22" spans="1:17" x14ac:dyDescent="0.45">
      <c r="B22" s="1" t="s">
        <v>88</v>
      </c>
      <c r="C22" s="5">
        <f>HLOOKUP("QTE-0.25-bias-CBPS-just",Point!$D$1:$DR$96,$R$2,FALSE)</f>
        <v>-1.89698244389742E-2</v>
      </c>
      <c r="D22" s="5">
        <f>HLOOKUP("QTE-0.25-RMSE-CBPS-just",Point!$D$1:$DR$96,$R$2,FALSE)</f>
        <v>6.88978807081563</v>
      </c>
      <c r="E22" s="5">
        <f t="shared" si="6"/>
        <v>1.0371553147250998</v>
      </c>
      <c r="F22" s="5">
        <f>HLOOKUP("QTE-0.25-Empcov-CBPS-just",inference!$D$1:$DR$96,$R$2,FALSE)</f>
        <v>0.95399999999999996</v>
      </c>
      <c r="G22" s="5">
        <f>HLOOKUP("QTE-0.25-ASSD-CBPS-just",inference!$D$1:$DR$96,$R$2,FALSE)*2*1.96/SQRT(G$3)</f>
        <v>27.145802827957866</v>
      </c>
      <c r="H22" s="5">
        <f t="shared" si="7"/>
        <v>97.933577859193718</v>
      </c>
      <c r="I22" s="5">
        <f t="shared" si="8"/>
        <v>1.0593892688195323</v>
      </c>
      <c r="J22" s="5"/>
      <c r="K22" s="5"/>
      <c r="L22" s="5"/>
      <c r="M22" s="5"/>
      <c r="N22" s="5"/>
    </row>
    <row r="23" spans="1:17" x14ac:dyDescent="0.45">
      <c r="B23" s="1" t="s">
        <v>89</v>
      </c>
      <c r="C23" s="5">
        <f>HLOOKUP("QTE-0.25-bias-CBPS-over",Point!$D$1:$DR$96,$R$2,FALSE)</f>
        <v>8.4820860166960402E-2</v>
      </c>
      <c r="D23" s="5">
        <f>HLOOKUP("QTE-0.25-RMSE-CBPS-over",Point!$D$1:$DR$96,$R$2,FALSE)</f>
        <v>6.7652517871677302</v>
      </c>
      <c r="E23" s="5">
        <f>(D23/$D$23)^2</f>
        <v>1</v>
      </c>
      <c r="F23" s="5">
        <f>HLOOKUP("QTE-0.25-Empcov-CBPS-over",inference!$D$1:$DR$96,$R$2,FALSE)</f>
        <v>0.95699999999999996</v>
      </c>
      <c r="G23" s="5">
        <f>HLOOKUP("QTE-0.25-ASSD-CBPS-over",inference!$D$1:$DR$96,$R$2,FALSE)*2*1.96/SQRT(G$3)</f>
        <v>27.940262048324897</v>
      </c>
      <c r="H23" s="5">
        <f t="shared" si="7"/>
        <v>100.79973858418201</v>
      </c>
      <c r="I23" s="5">
        <f t="shared" si="8"/>
        <v>1</v>
      </c>
      <c r="J23" s="5"/>
      <c r="K23" s="5"/>
      <c r="L23" s="5"/>
      <c r="M23" s="5"/>
      <c r="N23" s="5"/>
    </row>
    <row r="24" spans="1:17" s="3" customFormat="1" x14ac:dyDescent="0.45">
      <c r="B24" s="3" t="s">
        <v>2</v>
      </c>
      <c r="C24" s="5">
        <f>HLOOKUP("QTE-0.25-bias-GLM",Point!$D$1:$DR$96,$R$2,FALSE)</f>
        <v>-6.1007330395689501E-2</v>
      </c>
      <c r="D24" s="5">
        <f>HLOOKUP("QTE-0.25-RMSE-GLM",Point!$D$1:$DR$96,$R$2,FALSE)</f>
        <v>7.1918813637767398</v>
      </c>
      <c r="E24" s="5">
        <f t="shared" si="6"/>
        <v>1.1301005859252662</v>
      </c>
      <c r="F24" s="5">
        <f>HLOOKUP("QTE-0.25-Empcov-GLM",inference!$D$1:$DR$96,$R$2,FALSE)</f>
        <v>0.94599999999999995</v>
      </c>
      <c r="G24" s="5">
        <f>HLOOKUP("QTE-0.25-ASSD-GLM",inference!$D$1:$DR$96,$R$2,FALSE)*2*1.96/SQRT(G$3)</f>
        <v>27.74733171137224</v>
      </c>
      <c r="H24" s="5">
        <f>G24/(2*1.96/SQRT(G$3))</f>
        <v>100.103706188489</v>
      </c>
      <c r="I24" s="5">
        <f t="shared" si="8"/>
        <v>1.0139545720790586</v>
      </c>
      <c r="J24" s="5"/>
      <c r="K24" s="5"/>
      <c r="L24" s="5"/>
      <c r="M24" s="5"/>
      <c r="N24" s="5"/>
    </row>
    <row r="25" spans="1:17" s="4" customFormat="1" x14ac:dyDescent="0.45"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7" x14ac:dyDescent="0.45">
      <c r="A26" s="2" t="s">
        <v>60</v>
      </c>
      <c r="B26" s="1" t="s">
        <v>3</v>
      </c>
      <c r="C26" s="5">
        <f>HLOOKUP("QTE-0.5-bias-IPS-exp",Point!$D$1:$DR$96,$R$2,FALSE)</f>
        <v>0.24382792614941801</v>
      </c>
      <c r="D26" s="5">
        <f>HLOOKUP("QTE-0.5-RMSE-IPS-exp",Point!$D$1:$DR$96,$R$2,FALSE)</f>
        <v>6.8242387239995397</v>
      </c>
      <c r="E26" s="5">
        <f>(D26/$D$30)^2</f>
        <v>0.94139672276430819</v>
      </c>
      <c r="F26" s="5">
        <f>HLOOKUP("QTE-0.5-Empcov-IPS-exp",inference!$D$1:$DR$96,$R$2,FALSE)</f>
        <v>0.94799999999999995</v>
      </c>
      <c r="G26" s="5">
        <f>HLOOKUP("QTE-0.5-ASSD-IPS-exp",inference!$D$1:$DR$96,$R$2,FALSE)*2*1.96/SQRT(G$3)</f>
        <v>27.637789754752237</v>
      </c>
      <c r="H26" s="5">
        <f>G26/(2*1.96/SQRT(G$3))</f>
        <v>99.7085130234357</v>
      </c>
      <c r="I26" s="5">
        <f>($H$30/H26)^2</f>
        <v>1.133967616333871</v>
      </c>
      <c r="J26" s="5"/>
      <c r="K26"/>
      <c r="L26"/>
      <c r="M26"/>
      <c r="N26"/>
      <c r="O26"/>
      <c r="P26"/>
      <c r="Q26"/>
    </row>
    <row r="27" spans="1:17" x14ac:dyDescent="0.45">
      <c r="B27" s="1" t="s">
        <v>5</v>
      </c>
      <c r="C27" s="5">
        <f>HLOOKUP("QTE-0.5-bias-IPS-ind",Point!$D$1:$DR$96,$R$2,FALSE)</f>
        <v>1.93337417884037</v>
      </c>
      <c r="D27" s="5">
        <f>HLOOKUP("QTE-0.5-RMSE-IPS-ind",Point!$D$1:$DR$96,$R$2,FALSE)</f>
        <v>6.9738845247867802</v>
      </c>
      <c r="E27" s="5">
        <f t="shared" ref="E27:E31" si="9">(D27/$D$30)^2</f>
        <v>0.98313637390559849</v>
      </c>
      <c r="F27" s="5">
        <f>HLOOKUP("QTE-0.5-Empcov-IPS-ind",inference!$D$1:$DR$96,$R$2,FALSE)</f>
        <v>0.95299999999999996</v>
      </c>
      <c r="G27" s="5">
        <f>HLOOKUP("QTE-0.5-ASSD-IPS-ind",inference!$D$1:$DR$96,$R$2,FALSE)*2*1.96/SQRT(G$3)</f>
        <v>29.341626889079752</v>
      </c>
      <c r="H27" s="5">
        <f t="shared" ref="H27:H30" si="10">G27/(2*1.96/SQRT(G$3))</f>
        <v>105.85542522609101</v>
      </c>
      <c r="I27" s="5">
        <f t="shared" ref="I27:I31" si="11">($H$30/H27)^2</f>
        <v>1.0060947649129528</v>
      </c>
      <c r="J27" s="5"/>
      <c r="K27" s="5"/>
      <c r="L27" s="5"/>
      <c r="M27" s="5"/>
      <c r="N27" s="5"/>
    </row>
    <row r="28" spans="1:17" x14ac:dyDescent="0.45">
      <c r="B28" s="1" t="s">
        <v>4</v>
      </c>
      <c r="C28" s="5">
        <f>HLOOKUP("QTE-0.5-bias-IPS-proj",Point!$D$1:$DR$96,$R$2,FALSE)</f>
        <v>0.27999880567214902</v>
      </c>
      <c r="D28" s="5">
        <f>HLOOKUP("QTE-0.5-RMSE-IPS-proj",Point!$D$1:$DR$96,$R$2,FALSE)</f>
        <v>6.7040471445594898</v>
      </c>
      <c r="E28" s="5">
        <f t="shared" si="9"/>
        <v>0.90852813272642319</v>
      </c>
      <c r="F28" s="6">
        <f>HLOOKUP("QTE-0.5-Empcov-IPS-proj",inference!$D$1:$DR$96,$R$2,FALSE)</f>
        <v>0.94799999999999995</v>
      </c>
      <c r="G28" s="6">
        <f>HLOOKUP("QTE-0.5-ASSD-IPS-proj",inference!$D$1:$DR$96,$R$2,FALSE)*2*1.96/SQRT(G$3)</f>
        <v>27.198014939758362</v>
      </c>
      <c r="H28" s="5">
        <f t="shared" si="10"/>
        <v>98.121942850592703</v>
      </c>
      <c r="I28" s="5">
        <f t="shared" si="11"/>
        <v>1.1709351784903907</v>
      </c>
      <c r="J28" s="5"/>
      <c r="K28" s="5"/>
      <c r="L28" s="5"/>
      <c r="M28" s="5"/>
      <c r="N28" s="5"/>
    </row>
    <row r="29" spans="1:17" x14ac:dyDescent="0.45">
      <c r="B29" s="1" t="s">
        <v>88</v>
      </c>
      <c r="C29" s="5">
        <f>HLOOKUP("QTE-0.5-bias-CBPS-just",Point!$D$1:$DR$96,$R$2,FALSE)</f>
        <v>0.34243459828063999</v>
      </c>
      <c r="D29" s="5">
        <f>HLOOKUP("QTE-0.5-RMSE-CBPS-just",Point!$D$1:$DR$96,$R$2,FALSE)</f>
        <v>7.4545113878479796</v>
      </c>
      <c r="E29" s="5">
        <f t="shared" si="9"/>
        <v>1.1233177606202642</v>
      </c>
      <c r="F29" s="5">
        <f>HLOOKUP("QTE-0.5-Empcov-CBPS-just",inference!$D$1:$DR$96,$R$2,FALSE)</f>
        <v>0.93400000000000005</v>
      </c>
      <c r="G29" s="5">
        <f>HLOOKUP("QTE-0.5-ASSD-CBPS-just",inference!$D$1:$DR$96,$R$2,FALSE)*2*1.96/SQRT(G$3)</f>
        <v>28.764427117408054</v>
      </c>
      <c r="H29" s="5">
        <f t="shared" si="10"/>
        <v>103.77306873298701</v>
      </c>
      <c r="I29" s="5">
        <f t="shared" si="11"/>
        <v>1.0468773701454384</v>
      </c>
      <c r="J29" s="5"/>
      <c r="K29" s="5"/>
      <c r="L29" s="5"/>
      <c r="M29" s="5"/>
      <c r="N29" s="5"/>
    </row>
    <row r="30" spans="1:17" x14ac:dyDescent="0.45">
      <c r="B30" s="1" t="s">
        <v>89</v>
      </c>
      <c r="C30" s="5">
        <f>HLOOKUP("QTE-0.5-bias-CBPS-over",Point!$D$1:$DR$96,$R$2,FALSE)</f>
        <v>0.25432132865964602</v>
      </c>
      <c r="D30" s="5">
        <f>HLOOKUP("QTE-0.5-RMSE-CBPS-over",Point!$D$1:$DR$96,$R$2,FALSE)</f>
        <v>7.0334413407956697</v>
      </c>
      <c r="E30" s="5">
        <f t="shared" si="9"/>
        <v>1</v>
      </c>
      <c r="F30" s="5">
        <f>HLOOKUP("QTE-0.5-Empcov-CBPS-over",inference!$D$1:$DR$96,$R$2,FALSE)</f>
        <v>0.96</v>
      </c>
      <c r="G30" s="5">
        <f>HLOOKUP("QTE-0.5-ASSD-CBPS-over",inference!$D$1:$DR$96,$R$2,FALSE)*2*1.96/SQRT(G$3)</f>
        <v>29.430906220616453</v>
      </c>
      <c r="H30" s="5">
        <f t="shared" si="10"/>
        <v>106.17751716869</v>
      </c>
      <c r="I30" s="5">
        <f t="shared" si="11"/>
        <v>1</v>
      </c>
      <c r="J30" s="5"/>
      <c r="K30" s="5"/>
      <c r="L30" s="5"/>
      <c r="M30" s="5"/>
      <c r="N30" s="5"/>
    </row>
    <row r="31" spans="1:17" s="3" customFormat="1" x14ac:dyDescent="0.45">
      <c r="B31" s="3" t="s">
        <v>2</v>
      </c>
      <c r="C31" s="5">
        <f>HLOOKUP("QTE-0.5-bias-GLM",Point!$D$1:$DR$96,$R$2,FALSE)</f>
        <v>0.522504555412448</v>
      </c>
      <c r="D31" s="5">
        <f>HLOOKUP("QTE-0.5-RMSE-GLM",Point!$D$1:$DR$96,$R$2,FALSE)</f>
        <v>8.5902342371578193</v>
      </c>
      <c r="E31" s="5">
        <f t="shared" si="9"/>
        <v>1.4916752123727162</v>
      </c>
      <c r="F31" s="5">
        <f>HLOOKUP("QTE-0.5-Empcov-GLM",inference!$D$1:$DR$96,$R$2,FALSE)</f>
        <v>0.94199999999999995</v>
      </c>
      <c r="G31" s="5">
        <f>HLOOKUP("QTE-0.5-ASSD-GLM",inference!$D$1:$DR$96,$R$2,FALSE)*2*1.96/SQRT(G$3)</f>
        <v>30.422356997581272</v>
      </c>
      <c r="H31" s="5">
        <f>G31/(2*1.96/SQRT(G$3))</f>
        <v>109.754361901366</v>
      </c>
      <c r="I31" s="5">
        <f t="shared" si="11"/>
        <v>0.93588298815163862</v>
      </c>
      <c r="J31" s="5"/>
      <c r="K31" s="5"/>
      <c r="L31" s="5"/>
      <c r="M31" s="5"/>
      <c r="N31" s="5"/>
    </row>
    <row r="32" spans="1:17" x14ac:dyDescent="0.45">
      <c r="H32" s="6"/>
      <c r="I32" s="6"/>
      <c r="J32" s="6"/>
    </row>
    <row r="33" spans="1:10" x14ac:dyDescent="0.45">
      <c r="A33" s="2" t="s">
        <v>62</v>
      </c>
      <c r="B33" s="1" t="s">
        <v>3</v>
      </c>
      <c r="C33" s="5">
        <f>HLOOKUP("QTE-0.75-bias-IPS-exp",Point!$D$1:$DR$96,$R$2,FALSE)</f>
        <v>0.30772324055746098</v>
      </c>
      <c r="D33" s="5">
        <f>HLOOKUP("QTE-0.75-RMSE-IPS-exp",Point!$D$1:$DR$96,$R$2,FALSE)</f>
        <v>8.8776978406844407</v>
      </c>
      <c r="E33" s="5">
        <f>(D33/$D$37)^2</f>
        <v>0.9697097086808526</v>
      </c>
      <c r="F33" s="5">
        <f>HLOOKUP("QTE-0.75-Empcov-IPS-exp",inference!$D$1:$DR$96,$R$2,FALSE)</f>
        <v>0.92300000000000004</v>
      </c>
      <c r="G33" s="5">
        <f>HLOOKUP("QTE-0.75-ASSD-IPS-exp",inference!$D$1:$DR$96,$R$2,FALSE)*2*1.96/SQRT(G$3)</f>
        <v>32.575816335942271</v>
      </c>
      <c r="H33" s="5">
        <f>G33/(2*1.96/SQRT(G$3))</f>
        <v>117.52337058077701</v>
      </c>
      <c r="I33" s="5">
        <f>($H$37/H33)^2</f>
        <v>1.1855622418811353</v>
      </c>
      <c r="J33" s="5"/>
    </row>
    <row r="34" spans="1:10" x14ac:dyDescent="0.45">
      <c r="B34" s="1" t="s">
        <v>5</v>
      </c>
      <c r="C34" s="5">
        <f>HLOOKUP("QTE-0.75-bias-IPS-ind",Point!$D$1:$DR$96,$R$2,FALSE)</f>
        <v>2.4712108614368402</v>
      </c>
      <c r="D34" s="5">
        <f>HLOOKUP("QTE-0.75-RMSE-IPS-ind",Point!$D$1:$DR$96,$R$2,FALSE)</f>
        <v>8.6961136666069603</v>
      </c>
      <c r="E34" s="5">
        <f t="shared" ref="E34:E38" si="12">(D34/$D$37)^2</f>
        <v>0.93044657271733555</v>
      </c>
      <c r="F34" s="5">
        <f>HLOOKUP("QTE-0.75-Empcov-IPS-ind",inference!$D$1:$DR$96,$R$2,FALSE)</f>
        <v>0.94099999999999995</v>
      </c>
      <c r="G34" s="5">
        <f>HLOOKUP("QTE-0.75-ASSD-IPS-ind",inference!$D$1:$DR$96,$R$2,FALSE)*2*1.96/SQRT(G$3)</f>
        <v>33.286279560241937</v>
      </c>
      <c r="H34" s="5">
        <f t="shared" ref="H34:H37" si="13">G34/(2*1.96/SQRT(G$3))</f>
        <v>120.086499987338</v>
      </c>
      <c r="I34" s="5">
        <f t="shared" ref="I34:I38" si="14">($H$37/H34)^2</f>
        <v>1.135493002260638</v>
      </c>
      <c r="J34" s="5"/>
    </row>
    <row r="35" spans="1:10" x14ac:dyDescent="0.45">
      <c r="B35" s="1" t="s">
        <v>4</v>
      </c>
      <c r="C35" s="5">
        <f>HLOOKUP("QTE-0.75-bias-IPS-proj",Point!$D$1:$DR$96,$R$2,FALSE)</f>
        <v>0.25805982640692798</v>
      </c>
      <c r="D35" s="5">
        <f>HLOOKUP("QTE-0.75-RMSE-IPS-proj",Point!$D$1:$DR$96,$R$2,FALSE)</f>
        <v>8.5835828111184007</v>
      </c>
      <c r="E35" s="5">
        <f t="shared" si="12"/>
        <v>0.90652174852059819</v>
      </c>
      <c r="F35" s="6">
        <f>HLOOKUP("QTE-0.75-Empcov-IPS-proj",inference!$D$1:$DR$96,$R$2,FALSE)</f>
        <v>0.92600000000000005</v>
      </c>
      <c r="G35" s="6">
        <f>HLOOKUP("QTE-0.75-ASSD-IPS-proj",inference!$D$1:$DR$96,$R$2,FALSE)*2*1.96/SQRT(G$3)</f>
        <v>31.697416414528522</v>
      </c>
      <c r="H35" s="5">
        <f t="shared" si="13"/>
        <v>114.35437802452502</v>
      </c>
      <c r="I35" s="5">
        <f t="shared" si="14"/>
        <v>1.2521813878893777</v>
      </c>
      <c r="J35" s="5"/>
    </row>
    <row r="36" spans="1:10" x14ac:dyDescent="0.45">
      <c r="B36" s="1" t="s">
        <v>88</v>
      </c>
      <c r="C36" s="5">
        <f>HLOOKUP("QTE-0.75-bias-CBPS-just",Point!$D$1:$DR$96,$R$2,FALSE)</f>
        <v>0.28532904745120502</v>
      </c>
      <c r="D36" s="5">
        <f>HLOOKUP("QTE-0.75-RMSE-CBPS-just",Point!$D$1:$DR$96,$R$2,FALSE)</f>
        <v>9.8951305590186003</v>
      </c>
      <c r="E36" s="5">
        <f t="shared" si="12"/>
        <v>1.2047143473648143</v>
      </c>
      <c r="F36" s="5">
        <f>HLOOKUP("QTE-0.75-Empcov-CBPS-just",inference!$D$1:$DR$96,$R$2,FALSE)</f>
        <v>0.91600000000000004</v>
      </c>
      <c r="G36" s="5">
        <f>HLOOKUP("QTE-0.75-ASSD-CBPS-just",inference!$D$1:$DR$96,$R$2,FALSE)*2*1.96/SQRT(G$3)</f>
        <v>34.887603946895219</v>
      </c>
      <c r="H36" s="5">
        <f t="shared" si="13"/>
        <v>125.863578215307</v>
      </c>
      <c r="I36" s="5">
        <f t="shared" si="14"/>
        <v>1.033648045776977</v>
      </c>
      <c r="J36" s="5"/>
    </row>
    <row r="37" spans="1:10" x14ac:dyDescent="0.45">
      <c r="B37" s="1" t="s">
        <v>89</v>
      </c>
      <c r="C37" s="5">
        <f>HLOOKUP("QTE-0.75-bias-CBPS-over",Point!$D$1:$DR$96,$R$2,FALSE)</f>
        <v>0.22908264476988699</v>
      </c>
      <c r="D37" s="5">
        <f>HLOOKUP("QTE-0.75-RMSE-CBPS-over",Point!$D$1:$DR$96,$R$2,FALSE)</f>
        <v>9.0152855582528897</v>
      </c>
      <c r="E37" s="5">
        <f t="shared" si="12"/>
        <v>1</v>
      </c>
      <c r="F37" s="5">
        <f>HLOOKUP("QTE-0.75-Empcov-CBPS-over",inference!$D$1:$DR$96,$R$2,FALSE)</f>
        <v>0.94699999999999995</v>
      </c>
      <c r="G37" s="5">
        <f>HLOOKUP("QTE-0.75-ASSD-CBPS-over",inference!$D$1:$DR$96,$R$2,FALSE)*2*1.96/SQRT(G$3)</f>
        <v>35.469697726029395</v>
      </c>
      <c r="H37" s="5">
        <f t="shared" si="13"/>
        <v>127.963590758737</v>
      </c>
      <c r="I37" s="5">
        <f t="shared" si="14"/>
        <v>1</v>
      </c>
      <c r="J37" s="5"/>
    </row>
    <row r="38" spans="1:10" x14ac:dyDescent="0.45">
      <c r="A38" s="3"/>
      <c r="B38" s="3" t="s">
        <v>2</v>
      </c>
      <c r="C38" s="5">
        <f>HLOOKUP("QTE-0.75-bias-GLM",Point!$D$1:$DR$96,$R$2,FALSE)</f>
        <v>0.53865061460390795</v>
      </c>
      <c r="D38" s="5">
        <f>HLOOKUP("QTE-0.75-RMSE-GLM",Point!$D$1:$DR$96,$R$2,FALSE)</f>
        <v>11.2497787068195</v>
      </c>
      <c r="E38" s="5">
        <f t="shared" si="12"/>
        <v>1.5571447437998691</v>
      </c>
      <c r="F38" s="5">
        <f>HLOOKUP("QTE-0.75-Empcov-GLM",inference!$D$1:$DR$96,$R$2,FALSE)</f>
        <v>0.92400000000000004</v>
      </c>
      <c r="G38" s="5">
        <f>HLOOKUP("QTE-0.75-ASSD-GLM",inference!$D$1:$DR$96,$R$2,FALSE)*2*1.96/SQRT(G$3)</f>
        <v>38.328128671172408</v>
      </c>
      <c r="H38" s="5">
        <f>G38/(2*1.96/SQRT(G$3))</f>
        <v>138.27591680396199</v>
      </c>
      <c r="I38" s="5">
        <f t="shared" si="14"/>
        <v>0.85640608258476747</v>
      </c>
      <c r="J38" s="5"/>
    </row>
    <row r="39" spans="1:10" x14ac:dyDescent="0.45">
      <c r="H39" s="7"/>
      <c r="I39" s="7"/>
      <c r="J39" s="7"/>
    </row>
    <row r="40" spans="1:10" x14ac:dyDescent="0.45">
      <c r="A40" s="2" t="s">
        <v>207</v>
      </c>
      <c r="B40" s="1" t="s">
        <v>3</v>
      </c>
      <c r="C40" s="5">
        <f>HLOOKUP("QTE-0.9-bias-IPS-exp",Point!$D$1:$DR$96,$R$2,FALSE)</f>
        <v>-1.5156783379039101E-2</v>
      </c>
      <c r="D40" s="5">
        <f>HLOOKUP("QTE-0.9-RMSE-IPS-exp",Point!$D$1:$DR$96,$R$2,FALSE)</f>
        <v>14.2031171093316</v>
      </c>
      <c r="E40" s="5">
        <f t="shared" ref="E40:E44" si="15">(D40/$D$44)^2</f>
        <v>1.1039442929706909</v>
      </c>
      <c r="F40" s="5">
        <f>HLOOKUP("QTE-0.9-Empcov-IPS-exp",inference!$D$1:$DR$96,$R$2,FALSE)</f>
        <v>0.85399999999999998</v>
      </c>
      <c r="G40" s="5">
        <f>HLOOKUP("QTE-0.9-ASSD-IPS-exp",inference!$D$1:$DR$96,$R$2,FALSE)*2*1.96/SQRT(G$3)</f>
        <v>41.676669735607945</v>
      </c>
      <c r="H40" s="5">
        <f>G40/(2*1.96/SQRT(G$3))</f>
        <v>150.356407078166</v>
      </c>
      <c r="I40" s="5">
        <f t="shared" ref="I40:I45" si="16">($H$44/H40)^2</f>
        <v>1.1345586229470606</v>
      </c>
      <c r="J40" s="5"/>
    </row>
    <row r="41" spans="1:10" x14ac:dyDescent="0.45">
      <c r="B41" s="1" t="s">
        <v>5</v>
      </c>
      <c r="C41" s="5">
        <f>HLOOKUP("QTE-0.9-bias-IPS-ind",Point!$D$1:$DR$96,$R$2,FALSE)</f>
        <v>2.9063619139989001</v>
      </c>
      <c r="D41" s="5">
        <f>HLOOKUP("QTE-0.9-RMSE-IPS-ind",Point!$D$1:$DR$96,$R$2,FALSE)</f>
        <v>13.0959009230137</v>
      </c>
      <c r="E41" s="5">
        <f t="shared" si="15"/>
        <v>0.93853524035726199</v>
      </c>
      <c r="F41" s="5">
        <f>HLOOKUP("QTE-0.9-Empcov-IPS-ind",inference!$D$1:$DR$96,$R$2,FALSE)</f>
        <v>0.88200000000000001</v>
      </c>
      <c r="G41" s="5">
        <f>HLOOKUP("QTE-0.9-ASSD-IPS-ind",inference!$D$1:$DR$96,$R$2,FALSE)*2*1.96/SQRT(G$3)</f>
        <v>41.673662636137017</v>
      </c>
      <c r="H41" s="5">
        <f t="shared" ref="H41:H44" si="17">G41/(2*1.96/SQRT(G$3))</f>
        <v>150.34555840251502</v>
      </c>
      <c r="I41" s="5">
        <f t="shared" si="16"/>
        <v>1.1347223644332305</v>
      </c>
      <c r="J41" s="5"/>
    </row>
    <row r="42" spans="1:10" x14ac:dyDescent="0.45">
      <c r="B42" s="1" t="s">
        <v>4</v>
      </c>
      <c r="C42" s="5">
        <f>HLOOKUP("QTE-0.9-bias-IPS-proj",Point!$D$1:$DR$96,$R$2,FALSE)</f>
        <v>3.0444460610178602E-2</v>
      </c>
      <c r="D42" s="5">
        <f>HLOOKUP("QTE-0.9-RMSE-IPS-proj",Point!$D$1:$DR$96,$R$2,FALSE)</f>
        <v>13.354036823942501</v>
      </c>
      <c r="E42" s="5">
        <f t="shared" si="15"/>
        <v>0.97589919931298563</v>
      </c>
      <c r="F42" s="6">
        <f>HLOOKUP("QTE-0.9-Empcov-IPS-proj",inference!$D$1:$DR$96,$R$2,FALSE)</f>
        <v>0.86799999999999999</v>
      </c>
      <c r="G42" s="6">
        <f>HLOOKUP("QTE-0.9-ASSD-IPS-proj",inference!$D$1:$DR$96,$R$2,FALSE)*2*1.96/SQRT(G$3)</f>
        <v>40.754360585319361</v>
      </c>
      <c r="H42" s="5">
        <f t="shared" si="17"/>
        <v>147.029003738781</v>
      </c>
      <c r="I42" s="5">
        <f t="shared" si="16"/>
        <v>1.1864919348130538</v>
      </c>
      <c r="J42" s="5"/>
    </row>
    <row r="43" spans="1:10" x14ac:dyDescent="0.45">
      <c r="B43" s="1" t="s">
        <v>88</v>
      </c>
      <c r="C43" s="5">
        <f>HLOOKUP("QTE-0.9-bias-CBPS-just",Point!$D$1:$DR$96,$R$2,FALSE)</f>
        <v>0.15745783644399899</v>
      </c>
      <c r="D43" s="5">
        <f>HLOOKUP("QTE-0.9-RMSE-CBPS-just",Point!$D$1:$DR$96,$R$2,FALSE)</f>
        <v>15.521180485802301</v>
      </c>
      <c r="E43" s="5">
        <f t="shared" si="15"/>
        <v>1.3183457421126843</v>
      </c>
      <c r="F43" s="5">
        <f>HLOOKUP("QTE-0.9-Empcov-CBPS-just",inference!$D$1:$DR$96,$R$2,FALSE)</f>
        <v>0.81499999999999995</v>
      </c>
      <c r="G43" s="5">
        <f>HLOOKUP("QTE-0.9-ASSD-CBPS-just",inference!$D$1:$DR$96,$R$2,FALSE)*2*1.96/SQRT(G$3)</f>
        <v>42.257695514814174</v>
      </c>
      <c r="H43" s="5">
        <f t="shared" si="17"/>
        <v>152.45256661143603</v>
      </c>
      <c r="I43" s="5">
        <f t="shared" si="16"/>
        <v>1.1035736918919634</v>
      </c>
      <c r="J43" s="5"/>
    </row>
    <row r="44" spans="1:10" x14ac:dyDescent="0.45">
      <c r="B44" s="1" t="s">
        <v>89</v>
      </c>
      <c r="C44" s="5">
        <f>HLOOKUP("QTE-0.9-bias-CBPS-over",Point!$D$1:$DR$96,$R$2,FALSE)</f>
        <v>0.21535361330379901</v>
      </c>
      <c r="D44" s="5">
        <f>HLOOKUP("QTE-0.9-RMSE-CBPS-over",Point!$D$1:$DR$96,$R$2,FALSE)</f>
        <v>13.517926745113201</v>
      </c>
      <c r="E44" s="5">
        <f t="shared" si="15"/>
        <v>1</v>
      </c>
      <c r="F44" s="5">
        <f>HLOOKUP("QTE-0.9-Empcov-CBPS-over",inference!$D$1:$DR$96,$R$2,FALSE)</f>
        <v>0.88800000000000001</v>
      </c>
      <c r="G44" s="5">
        <f>HLOOKUP("QTE-0.9-ASSD-CBPS-over",inference!$D$1:$DR$96,$R$2,FALSE)*2*1.96/SQRT(G$3)</f>
        <v>44.392180625733658</v>
      </c>
      <c r="H44" s="5">
        <f t="shared" si="17"/>
        <v>160.15312220466504</v>
      </c>
      <c r="I44" s="5">
        <f>($H$44/H44)^2</f>
        <v>1</v>
      </c>
      <c r="J44" s="5"/>
    </row>
    <row r="45" spans="1:10" x14ac:dyDescent="0.45">
      <c r="A45" s="3"/>
      <c r="B45" s="3" t="s">
        <v>2</v>
      </c>
      <c r="C45" s="5">
        <f>HLOOKUP("QTE-0.9-bias-GLM",Point!$D$1:$DR$96,$R$2,FALSE)</f>
        <v>-9.2296581164237806E-2</v>
      </c>
      <c r="D45" s="5">
        <f>HLOOKUP("QTE-0.9-RMSE-GLM",Point!$D$1:$DR$96,$R$2,FALSE)</f>
        <v>17.512815857832301</v>
      </c>
      <c r="E45" s="5">
        <f t="shared" ref="E45" si="18">(D45/$D$44)^2</f>
        <v>1.6783857561697251</v>
      </c>
      <c r="F45" s="5">
        <f>HLOOKUP("QTE-0.9-Empcov-GLM",inference!$D$1:$DR$96,$R$2,FALSE)</f>
        <v>0.81299999999999994</v>
      </c>
      <c r="G45" s="5">
        <f>HLOOKUP("QTE-0.9-ASSD-GLM",inference!$D$1:$DR$96,$R$2,FALSE)*2*1.96/SQRT(G$3)</f>
        <v>44.439262219244064</v>
      </c>
      <c r="H45" s="5">
        <f>G45/(2*1.96/SQRT(G$3))</f>
        <v>160.32297788854402</v>
      </c>
      <c r="I45" s="5">
        <f t="shared" si="16"/>
        <v>0.99788220368015312</v>
      </c>
      <c r="J45" s="5"/>
    </row>
    <row r="46" spans="1:10" x14ac:dyDescent="0.45">
      <c r="H46" s="7"/>
      <c r="I46" s="7"/>
      <c r="J46" s="7"/>
    </row>
    <row r="47" spans="1:10" x14ac:dyDescent="0.45">
      <c r="H47" s="7"/>
      <c r="I47" s="7"/>
      <c r="J47" s="7"/>
    </row>
    <row r="48" spans="1:10" x14ac:dyDescent="0.45">
      <c r="H48" s="7"/>
      <c r="I48" s="7"/>
      <c r="J48" s="7"/>
    </row>
    <row r="49" spans="8:10" x14ac:dyDescent="0.45">
      <c r="H49" s="7"/>
      <c r="I49" s="7"/>
      <c r="J49" s="7"/>
    </row>
    <row r="50" spans="8:10" x14ac:dyDescent="0.45">
      <c r="H50" s="7"/>
      <c r="I50" s="7"/>
      <c r="J50" s="7"/>
    </row>
    <row r="51" spans="8:10" x14ac:dyDescent="0.45">
      <c r="H51" s="7"/>
      <c r="I51" s="7"/>
      <c r="J51" s="7"/>
    </row>
    <row r="52" spans="8:10" x14ac:dyDescent="0.45">
      <c r="H52" s="7"/>
      <c r="I52" s="7"/>
      <c r="J52" s="7"/>
    </row>
    <row r="53" spans="8:10" x14ac:dyDescent="0.45">
      <c r="H53" s="7"/>
      <c r="I53" s="7"/>
      <c r="J53" s="7"/>
    </row>
    <row r="54" spans="8:10" x14ac:dyDescent="0.45">
      <c r="H54" s="7"/>
      <c r="I54" s="7"/>
      <c r="J54" s="7"/>
    </row>
    <row r="55" spans="8:10" x14ac:dyDescent="0.45">
      <c r="H55" s="7"/>
      <c r="I55" s="7"/>
      <c r="J55" s="7"/>
    </row>
    <row r="56" spans="8:10" x14ac:dyDescent="0.45">
      <c r="H56" s="7"/>
      <c r="I56" s="7"/>
      <c r="J56" s="7"/>
    </row>
    <row r="57" spans="8:10" x14ac:dyDescent="0.45">
      <c r="H57" s="7"/>
      <c r="I57" s="7"/>
      <c r="J57" s="7"/>
    </row>
    <row r="58" spans="8:10" x14ac:dyDescent="0.45">
      <c r="H58" s="7"/>
      <c r="I58" s="7"/>
      <c r="J58" s="7"/>
    </row>
    <row r="59" spans="8:10" x14ac:dyDescent="0.45">
      <c r="H59" s="7"/>
      <c r="I59" s="7"/>
      <c r="J59" s="7"/>
    </row>
    <row r="60" spans="8:10" x14ac:dyDescent="0.45">
      <c r="H60" s="7"/>
      <c r="I60" s="7"/>
      <c r="J60" s="7"/>
    </row>
    <row r="61" spans="8:10" x14ac:dyDescent="0.45">
      <c r="H61" s="7"/>
      <c r="I61" s="7"/>
      <c r="J61" s="7"/>
    </row>
    <row r="62" spans="8:10" x14ac:dyDescent="0.45">
      <c r="H62" s="7"/>
      <c r="I62" s="7"/>
      <c r="J62" s="7"/>
    </row>
    <row r="63" spans="8:10" x14ac:dyDescent="0.45">
      <c r="H63" s="7"/>
      <c r="I63" s="7"/>
      <c r="J63" s="7"/>
    </row>
    <row r="64" spans="8:10" x14ac:dyDescent="0.45">
      <c r="H64" s="7"/>
      <c r="I64" s="7"/>
      <c r="J64" s="7"/>
    </row>
    <row r="65" spans="8:10" x14ac:dyDescent="0.45">
      <c r="H65" s="7"/>
      <c r="I65" s="7"/>
      <c r="J65" s="7"/>
    </row>
    <row r="66" spans="8:10" x14ac:dyDescent="0.45">
      <c r="H66" s="7"/>
      <c r="I66" s="7"/>
      <c r="J66" s="7"/>
    </row>
    <row r="67" spans="8:10" x14ac:dyDescent="0.45">
      <c r="H67" s="7"/>
      <c r="I67" s="7"/>
      <c r="J67" s="7"/>
    </row>
    <row r="68" spans="8:10" x14ac:dyDescent="0.45">
      <c r="H68" s="7"/>
      <c r="I68" s="7"/>
      <c r="J68" s="7"/>
    </row>
    <row r="69" spans="8:10" x14ac:dyDescent="0.45">
      <c r="H69" s="7"/>
      <c r="I69" s="7"/>
      <c r="J69" s="7"/>
    </row>
    <row r="70" spans="8:10" x14ac:dyDescent="0.45">
      <c r="H70" s="7"/>
      <c r="I70" s="7"/>
      <c r="J70" s="7"/>
    </row>
    <row r="71" spans="8:10" x14ac:dyDescent="0.45">
      <c r="H71" s="7"/>
      <c r="I71" s="7"/>
      <c r="J71" s="7"/>
    </row>
    <row r="72" spans="8:10" x14ac:dyDescent="0.45">
      <c r="H72" s="7"/>
      <c r="I72" s="7"/>
      <c r="J72" s="7"/>
    </row>
    <row r="73" spans="8:10" x14ac:dyDescent="0.45">
      <c r="H73" s="7"/>
      <c r="I73" s="7"/>
      <c r="J73" s="7"/>
    </row>
    <row r="74" spans="8:10" x14ac:dyDescent="0.45">
      <c r="H74" s="7"/>
      <c r="I74" s="7"/>
      <c r="J74" s="7"/>
    </row>
    <row r="75" spans="8:10" x14ac:dyDescent="0.45">
      <c r="H75" s="7"/>
      <c r="I75" s="7"/>
      <c r="J75" s="7"/>
    </row>
    <row r="76" spans="8:10" x14ac:dyDescent="0.45">
      <c r="H76" s="7"/>
      <c r="I76" s="7"/>
      <c r="J76" s="7"/>
    </row>
    <row r="77" spans="8:10" x14ac:dyDescent="0.45">
      <c r="H77" s="7"/>
      <c r="I77" s="7"/>
      <c r="J77" s="7"/>
    </row>
    <row r="78" spans="8:10" x14ac:dyDescent="0.45">
      <c r="H78" s="7"/>
      <c r="I78" s="7"/>
      <c r="J78" s="7"/>
    </row>
    <row r="79" spans="8:10" x14ac:dyDescent="0.45">
      <c r="H79" s="7"/>
      <c r="I79" s="7"/>
      <c r="J79" s="7"/>
    </row>
    <row r="80" spans="8:10" x14ac:dyDescent="0.45">
      <c r="H80" s="7"/>
      <c r="I80" s="7"/>
      <c r="J80" s="7"/>
    </row>
    <row r="81" spans="8:10" x14ac:dyDescent="0.45">
      <c r="H81" s="7"/>
      <c r="I81" s="7"/>
      <c r="J81" s="7"/>
    </row>
    <row r="82" spans="8:10" x14ac:dyDescent="0.45">
      <c r="H82" s="7"/>
      <c r="I82" s="7"/>
      <c r="J82" s="7"/>
    </row>
    <row r="83" spans="8:10" x14ac:dyDescent="0.45">
      <c r="H83" s="7"/>
      <c r="I83" s="7"/>
      <c r="J83" s="7"/>
    </row>
    <row r="84" spans="8:10" x14ac:dyDescent="0.45">
      <c r="H84" s="7"/>
      <c r="I84" s="7"/>
      <c r="J84" s="7"/>
    </row>
    <row r="85" spans="8:10" x14ac:dyDescent="0.45">
      <c r="H85" s="7"/>
      <c r="I85" s="7"/>
      <c r="J85" s="7"/>
    </row>
    <row r="86" spans="8:10" x14ac:dyDescent="0.45">
      <c r="H86" s="7"/>
      <c r="I86" s="7"/>
      <c r="J86" s="7"/>
    </row>
    <row r="87" spans="8:10" x14ac:dyDescent="0.45">
      <c r="H87" s="7"/>
      <c r="I87" s="7"/>
      <c r="J87" s="7"/>
    </row>
    <row r="88" spans="8:10" x14ac:dyDescent="0.45">
      <c r="H88" s="7"/>
      <c r="I88" s="7"/>
      <c r="J88" s="7"/>
    </row>
    <row r="89" spans="8:10" x14ac:dyDescent="0.45">
      <c r="H89" s="7"/>
      <c r="I89" s="7"/>
      <c r="J89" s="7"/>
    </row>
    <row r="90" spans="8:10" x14ac:dyDescent="0.45">
      <c r="H90" s="7"/>
      <c r="I90" s="7"/>
      <c r="J90" s="7"/>
    </row>
    <row r="91" spans="8:10" x14ac:dyDescent="0.45">
      <c r="H91" s="7"/>
      <c r="I91" s="7"/>
      <c r="J91" s="7"/>
    </row>
    <row r="92" spans="8:10" x14ac:dyDescent="0.45">
      <c r="H92" s="7"/>
      <c r="I92" s="7"/>
      <c r="J92" s="7"/>
    </row>
    <row r="93" spans="8:10" x14ac:dyDescent="0.45">
      <c r="H93" s="7"/>
      <c r="I93" s="7"/>
      <c r="J93" s="7"/>
    </row>
    <row r="94" spans="8:10" x14ac:dyDescent="0.45">
      <c r="H94" s="7"/>
      <c r="I94" s="7"/>
      <c r="J94" s="7"/>
    </row>
    <row r="95" spans="8:10" x14ac:dyDescent="0.45">
      <c r="H95" s="7"/>
      <c r="I95" s="7"/>
      <c r="J95" s="7"/>
    </row>
    <row r="96" spans="8:10" x14ac:dyDescent="0.45">
      <c r="H96" s="7"/>
      <c r="I96" s="7"/>
      <c r="J96" s="7"/>
    </row>
    <row r="97" spans="8:10" x14ac:dyDescent="0.45">
      <c r="H97" s="7"/>
      <c r="I97" s="7"/>
      <c r="J97" s="7"/>
    </row>
    <row r="98" spans="8:10" x14ac:dyDescent="0.45">
      <c r="H98" s="7"/>
      <c r="I98" s="7"/>
      <c r="J98" s="7"/>
    </row>
    <row r="99" spans="8:10" x14ac:dyDescent="0.45">
      <c r="H99" s="7"/>
      <c r="I99" s="7"/>
      <c r="J99" s="7"/>
    </row>
    <row r="100" spans="8:10" x14ac:dyDescent="0.45">
      <c r="H100" s="7"/>
      <c r="I100" s="7"/>
      <c r="J100" s="7"/>
    </row>
    <row r="101" spans="8:10" x14ac:dyDescent="0.45">
      <c r="H101" s="7"/>
      <c r="I101" s="7"/>
      <c r="J101" s="7"/>
    </row>
    <row r="102" spans="8:10" x14ac:dyDescent="0.45">
      <c r="H102" s="7"/>
      <c r="I102" s="7"/>
      <c r="J102" s="7"/>
    </row>
    <row r="103" spans="8:10" x14ac:dyDescent="0.45">
      <c r="H103" s="7"/>
      <c r="I103" s="7"/>
      <c r="J103" s="7"/>
    </row>
    <row r="104" spans="8:10" x14ac:dyDescent="0.45">
      <c r="H104" s="7"/>
      <c r="I104" s="7"/>
      <c r="J104" s="7"/>
    </row>
    <row r="105" spans="8:10" x14ac:dyDescent="0.45">
      <c r="H105" s="7"/>
      <c r="I105" s="7"/>
      <c r="J105" s="7"/>
    </row>
    <row r="106" spans="8:10" x14ac:dyDescent="0.45">
      <c r="H106" s="7"/>
      <c r="I106" s="7"/>
      <c r="J106" s="7"/>
    </row>
    <row r="107" spans="8:10" x14ac:dyDescent="0.45">
      <c r="H107" s="7"/>
      <c r="I107" s="7"/>
      <c r="J107" s="7"/>
    </row>
    <row r="108" spans="8:10" x14ac:dyDescent="0.45">
      <c r="H108" s="7"/>
      <c r="I108" s="7"/>
      <c r="J108" s="7"/>
    </row>
    <row r="109" spans="8:10" x14ac:dyDescent="0.45">
      <c r="H109" s="7"/>
      <c r="I109" s="7"/>
      <c r="J109" s="7"/>
    </row>
    <row r="110" spans="8:10" x14ac:dyDescent="0.45">
      <c r="H110" s="7"/>
      <c r="I110" s="7"/>
      <c r="J110" s="7"/>
    </row>
    <row r="111" spans="8:10" x14ac:dyDescent="0.45">
      <c r="H111" s="7"/>
      <c r="I111" s="7"/>
      <c r="J111" s="7"/>
    </row>
    <row r="112" spans="8:10" x14ac:dyDescent="0.45">
      <c r="H112" s="7"/>
      <c r="I112" s="7"/>
      <c r="J112" s="7"/>
    </row>
    <row r="113" spans="8:10" x14ac:dyDescent="0.45">
      <c r="H113" s="7"/>
      <c r="I113" s="7"/>
      <c r="J113" s="7"/>
    </row>
    <row r="114" spans="8:10" x14ac:dyDescent="0.45">
      <c r="H114" s="7"/>
      <c r="I114" s="7"/>
      <c r="J114" s="7"/>
    </row>
    <row r="115" spans="8:10" x14ac:dyDescent="0.45">
      <c r="H115" s="7"/>
      <c r="I115" s="7"/>
      <c r="J115" s="7"/>
    </row>
    <row r="116" spans="8:10" x14ac:dyDescent="0.45">
      <c r="H116" s="7"/>
      <c r="I116" s="7"/>
      <c r="J116" s="7"/>
    </row>
    <row r="117" spans="8:10" x14ac:dyDescent="0.45">
      <c r="H117" s="7"/>
      <c r="I117" s="7"/>
      <c r="J117" s="7"/>
    </row>
    <row r="118" spans="8:10" x14ac:dyDescent="0.45">
      <c r="H118" s="7"/>
      <c r="I118" s="7"/>
      <c r="J118" s="7"/>
    </row>
    <row r="119" spans="8:10" x14ac:dyDescent="0.45">
      <c r="H119" s="7"/>
      <c r="I119" s="7"/>
      <c r="J119" s="7"/>
    </row>
    <row r="120" spans="8:10" x14ac:dyDescent="0.45">
      <c r="H120" s="7"/>
      <c r="I120" s="7"/>
      <c r="J120" s="7"/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20"/>
  <sheetViews>
    <sheetView workbookViewId="0">
      <selection activeCell="O9" sqref="O9"/>
    </sheetView>
  </sheetViews>
  <sheetFormatPr defaultColWidth="9.33203125" defaultRowHeight="14.25" x14ac:dyDescent="0.45"/>
  <cols>
    <col min="1" max="1" width="8" style="1" bestFit="1" customWidth="1"/>
    <col min="2" max="2" width="11.1328125" style="1" bestFit="1" customWidth="1"/>
    <col min="3" max="3" width="6.86328125" style="1" bestFit="1" customWidth="1"/>
    <col min="4" max="4" width="6.1328125" style="1" bestFit="1" customWidth="1"/>
    <col min="5" max="5" width="7.53125" style="1" bestFit="1" customWidth="1"/>
    <col min="6" max="6" width="8" style="1" bestFit="1" customWidth="1"/>
    <col min="7" max="7" width="7.6640625" style="1" bestFit="1" customWidth="1"/>
    <col min="8" max="8" width="10.46484375" style="1" bestFit="1" customWidth="1"/>
    <col min="9" max="9" width="5.1328125" style="1" bestFit="1" customWidth="1"/>
    <col min="10" max="10" width="8.33203125" style="1" customWidth="1"/>
    <col min="11" max="17" width="9.33203125" style="1"/>
    <col min="18" max="18" width="28" style="1" bestFit="1" customWidth="1"/>
    <col min="19" max="16384" width="9.33203125" style="1"/>
  </cols>
  <sheetData>
    <row r="1" spans="1:18" x14ac:dyDescent="0.45">
      <c r="C1" s="16" t="s">
        <v>71</v>
      </c>
      <c r="D1" s="16"/>
      <c r="E1" s="16"/>
      <c r="F1" s="16"/>
      <c r="G1" s="16"/>
      <c r="H1" s="9"/>
      <c r="I1" s="9"/>
      <c r="J1" s="11"/>
      <c r="R1" s="10" t="s">
        <v>166</v>
      </c>
    </row>
    <row r="2" spans="1:18" x14ac:dyDescent="0.45">
      <c r="C2" s="11" t="s">
        <v>0</v>
      </c>
      <c r="D2" s="11" t="s">
        <v>1</v>
      </c>
      <c r="E2" s="11" t="s">
        <v>90</v>
      </c>
      <c r="F2" s="11" t="s">
        <v>49</v>
      </c>
      <c r="G2" s="11" t="s">
        <v>48</v>
      </c>
      <c r="H2" s="11" t="s">
        <v>164</v>
      </c>
      <c r="I2" s="11" t="s">
        <v>91</v>
      </c>
      <c r="J2" s="11"/>
      <c r="K2" s="11" t="s">
        <v>208</v>
      </c>
      <c r="L2" s="11" t="s">
        <v>209</v>
      </c>
      <c r="M2" s="11" t="s">
        <v>210</v>
      </c>
      <c r="N2" s="11" t="s">
        <v>211</v>
      </c>
      <c r="O2" s="11" t="s">
        <v>212</v>
      </c>
      <c r="P2" s="11" t="s">
        <v>213</v>
      </c>
      <c r="Q2" s="11"/>
      <c r="R2" s="10">
        <v>3</v>
      </c>
    </row>
    <row r="3" spans="1:18" x14ac:dyDescent="0.45">
      <c r="B3" s="1" t="s">
        <v>6</v>
      </c>
      <c r="C3" s="11">
        <v>200</v>
      </c>
      <c r="D3" s="11">
        <v>200</v>
      </c>
      <c r="E3" s="11">
        <v>200</v>
      </c>
      <c r="F3" s="11">
        <v>200</v>
      </c>
      <c r="G3" s="11">
        <v>200</v>
      </c>
      <c r="H3" s="11">
        <v>200</v>
      </c>
      <c r="I3" s="11">
        <v>200</v>
      </c>
      <c r="J3" s="11"/>
      <c r="K3" s="11">
        <v>200</v>
      </c>
      <c r="L3" s="11">
        <v>200</v>
      </c>
      <c r="M3" s="11">
        <v>200</v>
      </c>
      <c r="N3" s="11">
        <v>200</v>
      </c>
      <c r="O3" s="11">
        <v>200</v>
      </c>
      <c r="P3" s="11">
        <v>200</v>
      </c>
    </row>
    <row r="4" spans="1:18" x14ac:dyDescent="0.45">
      <c r="C4" s="11"/>
      <c r="D4" s="11"/>
      <c r="E4" s="11"/>
      <c r="F4" s="11"/>
      <c r="G4" s="11"/>
      <c r="H4" s="11"/>
      <c r="I4" s="11"/>
      <c r="J4" s="11"/>
    </row>
    <row r="5" spans="1:18" x14ac:dyDescent="0.45">
      <c r="A5" s="2" t="s">
        <v>58</v>
      </c>
      <c r="B5" s="1" t="s">
        <v>3</v>
      </c>
      <c r="C5" s="5">
        <f>HLOOKUP("ATE-bias-IPS-exp",Point!$D$1:$DR$96,$R$2,FALSE)</f>
        <v>1.4540283848044</v>
      </c>
      <c r="D5" s="5">
        <f>HLOOKUP("ATE-RMSE-IPS-exp",Point!$D$1:$DR$96,$R$2,FALSE)</f>
        <v>5.8161453557337799</v>
      </c>
      <c r="E5" s="5">
        <f>(D5/$D$9)^2</f>
        <v>0.91752550067499938</v>
      </c>
      <c r="F5" s="5">
        <f>HLOOKUP("ATE-Empcov-IPS-exp",inference!$D$1:$DR$96,$R$2,FALSE)</f>
        <v>0.92400000000000004</v>
      </c>
      <c r="G5" s="5">
        <f>HLOOKUP("ATE-ASSD-IPS-exp",inference!$D$1:$DR$96,$R$2,FALSE)*2*1.96/SQRT(G$3)</f>
        <v>20.782171145020001</v>
      </c>
      <c r="H5" s="5">
        <f>G5/(2*1.96/SQRT(G$3))</f>
        <v>74.975582369505318</v>
      </c>
      <c r="I5" s="5">
        <f t="shared" ref="I5:I10" si="0">($H$9/H5)^2</f>
        <v>1.2527864746560964</v>
      </c>
      <c r="J5" s="5"/>
      <c r="K5" s="5">
        <f>HLOOKUP("ks-IPS-exp",balance!$D$1:$DR$96,$R$2,FALSE)</f>
        <v>1.8509064313128001</v>
      </c>
      <c r="L5" s="5">
        <f>HLOOKUP("cvm-IPS-exp",balance!$D$1:$DR$96,$R$2,FALSE)</f>
        <v>0.28677782706703098</v>
      </c>
      <c r="M5" s="5">
        <f>HLOOKUP("ks-IPS-exp_1",balance!$D$1:$DR$96,$R$2,FALSE)</f>
        <v>1.04935840448321</v>
      </c>
      <c r="N5" s="5">
        <f>HLOOKUP("cvm-IPS-exp_1",balance!$D$1:$DR$96,$R$2,FALSE)</f>
        <v>6.91474493077468E-2</v>
      </c>
      <c r="O5" s="5">
        <f>HLOOKUP("ks-IPS-exp_0",balance!$D$1:$DR$96,$R$2,FALSE)</f>
        <v>1.08873479900201</v>
      </c>
      <c r="P5" s="5">
        <f>HLOOKUP("cvm-IPS-exp_0",balance!$D$1:$DR$96,$R$2,FALSE)</f>
        <v>0.103996781557569</v>
      </c>
    </row>
    <row r="6" spans="1:18" x14ac:dyDescent="0.45">
      <c r="B6" s="1" t="s">
        <v>5</v>
      </c>
      <c r="C6" s="5">
        <f>HLOOKUP("ATE-bias-IPS-ind",Point!$D$1:$DR$96,$R$2,FALSE)</f>
        <v>2.2659725744038499</v>
      </c>
      <c r="D6" s="5">
        <f>HLOOKUP("ATE-RMSE-IPS-ind",Point!$D$1:$DR$96,$R$2,FALSE)</f>
        <v>6.3764729164300498</v>
      </c>
      <c r="E6" s="5">
        <f t="shared" ref="E6:E10" si="1">(D6/$D$9)^2</f>
        <v>1.1028302718041141</v>
      </c>
      <c r="F6" s="5">
        <f>HLOOKUP("ATE-Empcov-IPS-ind",inference!$D$1:$DR$96,$R$2,FALSE)</f>
        <v>0.95199999999999996</v>
      </c>
      <c r="G6" s="5">
        <f>HLOOKUP("ATE-ASSD-IPS-ind",inference!$D$1:$DR$96,$R$2,FALSE)*2*1.96/SQRT(G$3)</f>
        <v>24.983979639291295</v>
      </c>
      <c r="H6" s="5">
        <f t="shared" ref="H6:H9" si="2">G6/(2*1.96/SQRT(G$3))</f>
        <v>90.134395020252612</v>
      </c>
      <c r="I6" s="5">
        <f t="shared" si="0"/>
        <v>0.86683343716146022</v>
      </c>
      <c r="J6" s="5"/>
      <c r="K6" s="5">
        <f>HLOOKUP("ks-IPS-ind",balance!$D$1:$DR$96,$R$2,FALSE)</f>
        <v>1.6204000431673999</v>
      </c>
      <c r="L6" s="5">
        <f>HLOOKUP("cvm-IPS-ind",balance!$D$1:$DR$96,$R$2,FALSE)</f>
        <v>0.20563012817012499</v>
      </c>
      <c r="M6" s="5">
        <f>HLOOKUP("ks-IPS-ind_1",balance!$D$1:$DR$96,$R$2,FALSE)</f>
        <v>0.93255730401955805</v>
      </c>
      <c r="N6" s="5">
        <f>HLOOKUP("cvm-IPS-ind_1",balance!$D$1:$DR$96,$R$2,FALSE)</f>
        <v>5.24072888224415E-2</v>
      </c>
      <c r="O6" s="5">
        <f>HLOOKUP("ks-IPS-ind_0",balance!$D$1:$DR$96,$R$2,FALSE)</f>
        <v>0.91092741319880299</v>
      </c>
      <c r="P6" s="5">
        <f>HLOOKUP("cvm-IPS-ind_0",balance!$D$1:$DR$96,$R$2,FALSE)</f>
        <v>6.7014322666418602E-2</v>
      </c>
    </row>
    <row r="7" spans="1:18" x14ac:dyDescent="0.45">
      <c r="B7" s="1" t="s">
        <v>4</v>
      </c>
      <c r="C7" s="5">
        <f>HLOOKUP("ATE-bias-IPS-proj",Point!$D$1:$DR$96,$R$2,FALSE)</f>
        <v>0.45100517894404901</v>
      </c>
      <c r="D7" s="5">
        <f>HLOOKUP("ATE-RMSE-IPS-proj",Point!$D$1:$DR$96,$R$2,FALSE)</f>
        <v>5.3769305724777103</v>
      </c>
      <c r="E7" s="5">
        <f t="shared" si="1"/>
        <v>0.78418132867158641</v>
      </c>
      <c r="F7" s="6">
        <f>HLOOKUP("ATE-Empcov-IPS-proj",inference!$D$1:$DR$96,$R$2,FALSE)</f>
        <v>0.95499999999999996</v>
      </c>
      <c r="G7" s="6">
        <f>HLOOKUP("ATE-ASSD-IPS-proj",inference!$D$1:$DR$96,$R$2,FALSE)*2*1.96/SQRT(G$3)</f>
        <v>22.561914177811122</v>
      </c>
      <c r="H7" s="5">
        <f t="shared" si="2"/>
        <v>81.396339345301811</v>
      </c>
      <c r="I7" s="5">
        <f t="shared" si="0"/>
        <v>1.062935725912808</v>
      </c>
      <c r="J7" s="5"/>
      <c r="K7" s="5">
        <f>HLOOKUP("ks-IPS-proj",balance!$D$1:$DR$96,$R$2,FALSE)</f>
        <v>2.54930486882443</v>
      </c>
      <c r="L7" s="5">
        <f>HLOOKUP("cvm-IPS-proj",balance!$D$1:$DR$96,$R$2,FALSE)</f>
        <v>0.60108692853380596</v>
      </c>
      <c r="M7" s="5">
        <f>HLOOKUP("ks-IPS-proj_1",balance!$D$1:$DR$96,$R$2,FALSE)</f>
        <v>1.3011000656896601</v>
      </c>
      <c r="N7" s="5">
        <f>HLOOKUP("cvm-IPS-proj_1",balance!$D$1:$DR$96,$R$2,FALSE)</f>
        <v>0.116905328391743</v>
      </c>
      <c r="O7" s="5">
        <f>HLOOKUP("ks-IPS-proj_0",balance!$D$1:$DR$96,$R$2,FALSE)</f>
        <v>1.3982795136975501</v>
      </c>
      <c r="P7" s="5">
        <f>HLOOKUP("cvm-IPS-proj_0",balance!$D$1:$DR$96,$R$2,FALSE)</f>
        <v>0.22361305234048301</v>
      </c>
    </row>
    <row r="8" spans="1:18" x14ac:dyDescent="0.45">
      <c r="B8" s="1" t="s">
        <v>88</v>
      </c>
      <c r="C8" s="5">
        <f>HLOOKUP("ATE-bias-CBPS-just",Point!$D$1:$DR$96,$R$2,FALSE)</f>
        <v>2.2749703702866801</v>
      </c>
      <c r="D8" s="5">
        <f>HLOOKUP("ATE-RMSE-CBPS-just",Point!$D$1:$DR$96,$R$2,FALSE)</f>
        <v>6.4665160667358901</v>
      </c>
      <c r="E8" s="5">
        <f t="shared" si="1"/>
        <v>1.134196654069543</v>
      </c>
      <c r="F8" s="5">
        <f>HLOOKUP("ATE-Empcov-CBPS-just",inference!$D$1:$DR$96,$R$2,FALSE)</f>
        <v>0.89800000000000002</v>
      </c>
      <c r="G8" s="5">
        <f>HLOOKUP("ATE-ASSD-CBPS-just",inference!$D$1:$DR$96,$R$2,FALSE)*2*1.96/SQRT(G$3)</f>
        <v>21.340059325583642</v>
      </c>
      <c r="H8" s="5">
        <f t="shared" si="2"/>
        <v>76.988268673690911</v>
      </c>
      <c r="I8" s="5">
        <f t="shared" si="0"/>
        <v>1.1881400766493295</v>
      </c>
      <c r="J8" s="5"/>
      <c r="K8" s="5">
        <f>HLOOKUP("ks-CBPS-Just",balance!$D$1:$DR$96,$R$2,FALSE)</f>
        <v>1.98517041214923</v>
      </c>
      <c r="L8" s="5">
        <f>HLOOKUP("cvm-CBPS-Just",balance!$D$1:$DR$96,$R$2,FALSE)</f>
        <v>0.33226212482531697</v>
      </c>
      <c r="M8" s="5">
        <f>HLOOKUP("ks-CBPS-Just_1",balance!$D$1:$DR$96,$R$2,FALSE)</f>
        <v>1.14529220217621</v>
      </c>
      <c r="N8" s="5">
        <f>HLOOKUP("cvm-CBPS-Just_1",balance!$D$1:$DR$96,$R$2,FALSE)</f>
        <v>8.10740022882359E-2</v>
      </c>
      <c r="O8" s="5">
        <f>HLOOKUP("ks-CBPS-Just_0",balance!$D$1:$DR$96,$R$2,FALSE)</f>
        <v>1.15419196453569</v>
      </c>
      <c r="P8" s="5">
        <f>HLOOKUP("cvm-CBPS-Just_0",balance!$D$1:$DR$96,$R$2,FALSE)</f>
        <v>0.12173858826494</v>
      </c>
    </row>
    <row r="9" spans="1:18" x14ac:dyDescent="0.45">
      <c r="B9" s="1" t="s">
        <v>89</v>
      </c>
      <c r="C9" s="5">
        <f>HLOOKUP("ATE-bias-CBPS-over",Point!$D$1:$DR$96,$R$2,FALSE)</f>
        <v>1.60745447549051</v>
      </c>
      <c r="D9" s="5">
        <f>HLOOKUP("ATE-RMSE-CBPS-over",Point!$D$1:$DR$96,$R$2,FALSE)</f>
        <v>6.0719219456016296</v>
      </c>
      <c r="E9" s="5">
        <f t="shared" si="1"/>
        <v>1</v>
      </c>
      <c r="F9" s="5">
        <f>HLOOKUP("ATE-Empcov-CBPS-over",inference!$D$1:$DR$96,$R$2,FALSE)</f>
        <v>0.93899999999999995</v>
      </c>
      <c r="G9" s="5">
        <f>HLOOKUP("ATE-ASSD-CBPS-over",inference!$D$1:$DR$96,$R$2,FALSE)*2*1.96/SQRT(G$3)</f>
        <v>23.261056972621134</v>
      </c>
      <c r="H9" s="5">
        <f t="shared" si="2"/>
        <v>83.918628178097094</v>
      </c>
      <c r="I9" s="5">
        <f t="shared" si="0"/>
        <v>1</v>
      </c>
      <c r="J9" s="5"/>
      <c r="K9" s="5">
        <f>HLOOKUP("ks-CBPS-over",balance!$D$1:$DR$96,$R$2,FALSE)</f>
        <v>1.8896417262657901</v>
      </c>
      <c r="L9" s="5">
        <f>HLOOKUP("cvm-CBPS-over",balance!$D$1:$DR$96,$R$2,FALSE)</f>
        <v>0.29694959180765401</v>
      </c>
      <c r="M9" s="5">
        <f>HLOOKUP("ks-CBPS-over_1",balance!$D$1:$DR$96,$R$2,FALSE)</f>
        <v>1.04550859286903</v>
      </c>
      <c r="N9" s="5">
        <f>HLOOKUP("cvm-CBPS-over_1",balance!$D$1:$DR$96,$R$2,FALSE)</f>
        <v>6.9218460830952802E-2</v>
      </c>
      <c r="O9" s="5">
        <f>HLOOKUP("ks-CBPS-over_0",balance!$D$1:$DR$96,$R$2,FALSE)</f>
        <v>1.07638524965099</v>
      </c>
      <c r="P9" s="5">
        <f>HLOOKUP("cvm-CBPS-over_0",balance!$D$1:$DR$96,$R$2,FALSE)</f>
        <v>0.104394963645062</v>
      </c>
    </row>
    <row r="10" spans="1:18" s="3" customFormat="1" x14ac:dyDescent="0.45">
      <c r="B10" s="3" t="s">
        <v>2</v>
      </c>
      <c r="C10" s="5">
        <f>HLOOKUP("ATE-bias-GLM",Point!$D$1:$DR$96,$R$2,FALSE)</f>
        <v>4.61798591146903</v>
      </c>
      <c r="D10" s="5">
        <f>HLOOKUP("ATE-RMSE-GLM",Point!$D$1:$DR$96,$R$2,FALSE)</f>
        <v>11.371308155351899</v>
      </c>
      <c r="E10" s="5">
        <f t="shared" si="1"/>
        <v>3.5072643227620901</v>
      </c>
      <c r="F10" s="5">
        <f>HLOOKUP("ATE-Empcov-GLM",inference!$D$1:$DR$96,$R$2,FALSE)</f>
        <v>0.89800000000000002</v>
      </c>
      <c r="G10" s="5">
        <f>HLOOKUP("ATE-ASSD-GLM",inference!$D$1:$DR$96,$R$2,FALSE)*2*1.96/SQRT(G$3)</f>
        <v>26.730128999554363</v>
      </c>
      <c r="H10" s="5">
        <f>G10/(2*1.96/SQRT(G$3))</f>
        <v>96.433956518245296</v>
      </c>
      <c r="I10" s="5">
        <f t="shared" si="0"/>
        <v>0.75728051184984568</v>
      </c>
      <c r="J10" s="5"/>
      <c r="K10" s="5">
        <f>HLOOKUP("ks-GLM",balance!$D$1:$DR$96,$R$2,FALSE)</f>
        <v>2.1067745843999401</v>
      </c>
      <c r="L10" s="5">
        <f>HLOOKUP("cvm-GLM",balance!$D$1:$DR$96,$R$2,FALSE)</f>
        <v>0.341975728603715</v>
      </c>
      <c r="M10" s="5">
        <f>HLOOKUP("ks-GLM_1",balance!$D$1:$DR$96,$R$2,FALSE)</f>
        <v>1.37974660126459</v>
      </c>
      <c r="N10" s="5">
        <f>HLOOKUP("cvm-GLM_1",balance!$D$1:$DR$96,$R$2,FALSE)</f>
        <v>0.124617320355304</v>
      </c>
      <c r="O10" s="5">
        <f>HLOOKUP("ks-GLM_0",balance!$D$1:$DR$96,$R$2,FALSE)</f>
        <v>1.10948665265914</v>
      </c>
      <c r="P10" s="5">
        <f>HLOOKUP("cvm-GLM_0",balance!$D$1:$DR$96,$R$2,FALSE)</f>
        <v>0.104796442966597</v>
      </c>
    </row>
    <row r="11" spans="1:18" s="4" customFormat="1" x14ac:dyDescent="0.45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8" x14ac:dyDescent="0.45">
      <c r="A12" s="2" t="s">
        <v>206</v>
      </c>
      <c r="B12" s="1" t="s">
        <v>3</v>
      </c>
      <c r="C12" s="5">
        <f>HLOOKUP("QTE-0.10-bias-IPS-exp",Point!$D$1:$DR$96,$R$2,FALSE)</f>
        <v>-3.95486917479642</v>
      </c>
      <c r="D12" s="5">
        <f>HLOOKUP("QTE-0.10-RMSE-IPS-exp",Point!$D$1:$DR$96,$R$2,FALSE)</f>
        <v>9.1252649095906104</v>
      </c>
      <c r="E12" s="5">
        <f t="shared" ref="E12:E15" si="3">(D12/$D$16)^2</f>
        <v>1.1205355350617272</v>
      </c>
      <c r="F12" s="5">
        <f>HLOOKUP("QTE-0.1-Empcov-IPS-exp",inference!$D$1:$DR$96,$R$2,FALSE)</f>
        <v>0.91700000000000004</v>
      </c>
      <c r="G12" s="5">
        <f>HLOOKUP("QTE-0.1-ASSD-IPS-exp",inference!$D$1:$DR$96,$R$2,FALSE)*2*1.96/SQRT(G$3)</f>
        <v>31.738040414532431</v>
      </c>
      <c r="H12" s="5">
        <f>G12/(2*1.96/SQRT(G$3))</f>
        <v>114.50093672800301</v>
      </c>
      <c r="I12" s="5">
        <f t="shared" ref="I12:I17" si="4">($H$16/H12)^2</f>
        <v>1.0042723416399575</v>
      </c>
      <c r="J12" s="5"/>
      <c r="K12" s="5"/>
      <c r="L12" s="5"/>
      <c r="M12" s="5"/>
      <c r="N12" s="5"/>
    </row>
    <row r="13" spans="1:18" x14ac:dyDescent="0.45">
      <c r="B13" s="1" t="s">
        <v>5</v>
      </c>
      <c r="C13" s="5">
        <f>HLOOKUP("QTE-0.10-bias-IPS-ind",Point!$D$1:$DR$96,$R$2,FALSE)</f>
        <v>-2.3807337935863502</v>
      </c>
      <c r="D13" s="5">
        <f>HLOOKUP("QTE-0.10-RMSE-IPS-ind",Point!$D$1:$DR$96,$R$2,FALSE)</f>
        <v>9.0588249417503608</v>
      </c>
      <c r="E13" s="5">
        <f t="shared" si="3"/>
        <v>1.1042779642671172</v>
      </c>
      <c r="F13" s="5">
        <f>HLOOKUP("QTE-0.1-Empcov-IPS-ind",inference!$D$1:$DR$96,$R$2,FALSE)</f>
        <v>0.95099999999999996</v>
      </c>
      <c r="G13" s="5">
        <f>HLOOKUP("QTE-0.1-ASSD-IPS-ind",inference!$D$1:$DR$96,$R$2,FALSE)*2*1.96/SQRT(G$3)</f>
        <v>36.198902513571149</v>
      </c>
      <c r="H13" s="5">
        <f t="shared" ref="H13:H16" si="5">G13/(2*1.96/SQRT(G$3))</f>
        <v>130.59433387171899</v>
      </c>
      <c r="I13" s="5">
        <f t="shared" si="4"/>
        <v>0.77200642072103054</v>
      </c>
      <c r="J13" s="5"/>
      <c r="K13" s="5"/>
      <c r="L13" s="5"/>
      <c r="M13" s="5"/>
      <c r="N13" s="5"/>
    </row>
    <row r="14" spans="1:18" x14ac:dyDescent="0.45">
      <c r="B14" s="1" t="s">
        <v>4</v>
      </c>
      <c r="C14" s="5">
        <f>HLOOKUP("QTE-0.10-bias-IPS-proj",Point!$D$1:$DR$96,$R$2,FALSE)</f>
        <v>-1.5296734942738801</v>
      </c>
      <c r="D14" s="5">
        <f>HLOOKUP("QTE-0.10-RMSE-IPS-proj",Point!$D$1:$DR$96,$R$2,FALSE)</f>
        <v>8.7674380716211004</v>
      </c>
      <c r="E14" s="5">
        <f t="shared" si="3"/>
        <v>1.0343799303480461</v>
      </c>
      <c r="F14" s="6">
        <f>HLOOKUP("QTE-0.1-Empcov-IPS-proj",inference!$D$1:$DR$96,$R$2,FALSE)</f>
        <v>0.98199999999999998</v>
      </c>
      <c r="G14" s="6">
        <f>HLOOKUP("QTE-0.1-ASSD-IPS-proj",inference!$D$1:$DR$96,$R$2,FALSE)*2*1.96/SQRT(G$3)</f>
        <v>42.611881125659274</v>
      </c>
      <c r="H14" s="5">
        <f t="shared" si="5"/>
        <v>153.730357668718</v>
      </c>
      <c r="I14" s="5">
        <f t="shared" si="4"/>
        <v>0.55712199696382247</v>
      </c>
      <c r="J14" s="5"/>
      <c r="K14" s="5"/>
      <c r="L14" s="5"/>
      <c r="M14" s="5"/>
      <c r="N14" s="5"/>
    </row>
    <row r="15" spans="1:18" x14ac:dyDescent="0.45">
      <c r="B15" s="1" t="s">
        <v>88</v>
      </c>
      <c r="C15" s="5">
        <f>HLOOKUP("QTE-0.10-bias-CBPS-just",Point!$D$1:$DR$96,$R$2,FALSE)</f>
        <v>-3.4135012366877699</v>
      </c>
      <c r="D15" s="5">
        <f>HLOOKUP("QTE-0.10-RMSE-CBPS-just",Point!$D$1:$DR$96,$R$2,FALSE)</f>
        <v>9.0949711208136605</v>
      </c>
      <c r="E15" s="5">
        <f t="shared" si="3"/>
        <v>1.1131080418551782</v>
      </c>
      <c r="F15" s="5">
        <f>HLOOKUP("QTE-0.1-Empcov-CBPS-just",inference!$D$1:$DR$96,$R$2,FALSE)</f>
        <v>0.90500000000000003</v>
      </c>
      <c r="G15" s="5">
        <f>HLOOKUP("QTE-0.1-ASSD-CBPS-just",inference!$D$1:$DR$96,$R$2,FALSE)*2*1.96/SQRT(G$3)</f>
        <v>31.2169406636906</v>
      </c>
      <c r="H15" s="5">
        <f t="shared" si="5"/>
        <v>112.62097158772301</v>
      </c>
      <c r="I15" s="5">
        <f t="shared" si="4"/>
        <v>1.0380805212959461</v>
      </c>
      <c r="J15" s="5"/>
      <c r="K15" s="5"/>
      <c r="L15" s="5"/>
      <c r="M15" s="5"/>
      <c r="N15" s="5"/>
    </row>
    <row r="16" spans="1:18" x14ac:dyDescent="0.45">
      <c r="B16" s="1" t="s">
        <v>89</v>
      </c>
      <c r="C16" s="5">
        <f>HLOOKUP("QTE-0.10-bias-CBPS-over",Point!$D$1:$DR$96,$R$2,FALSE)</f>
        <v>-3.0434578011812898</v>
      </c>
      <c r="D16" s="5">
        <f>HLOOKUP("QTE-0.10-RMSE-CBPS-over",Point!$D$1:$DR$96,$R$2,FALSE)</f>
        <v>8.6205041286644004</v>
      </c>
      <c r="E16" s="5">
        <f>(D16/$D$16)^2</f>
        <v>1</v>
      </c>
      <c r="F16" s="5">
        <f>HLOOKUP("QTE-0.1-Empcov-CBPS-over",inference!$D$1:$DR$96,$R$2,FALSE)</f>
        <v>0.94499999999999995</v>
      </c>
      <c r="G16" s="5">
        <f>HLOOKUP("QTE-0.1-ASSD-CBPS-over",inference!$D$1:$DR$96,$R$2,FALSE)*2*1.96/SQRT(G$3)</f>
        <v>31.805766030703964</v>
      </c>
      <c r="H16" s="5">
        <f t="shared" si="5"/>
        <v>114.74526959767101</v>
      </c>
      <c r="I16" s="5">
        <f>($H$16/H16)^2</f>
        <v>1</v>
      </c>
      <c r="J16" s="5"/>
      <c r="K16" s="5"/>
      <c r="L16" s="5"/>
      <c r="M16" s="5"/>
      <c r="N16" s="5"/>
    </row>
    <row r="17" spans="1:17" s="3" customFormat="1" x14ac:dyDescent="0.45">
      <c r="B17" s="3" t="s">
        <v>2</v>
      </c>
      <c r="C17" s="5">
        <f>HLOOKUP("QTE-0.10-bias-GLM",Point!$D$1:$DR$96,$R$2,FALSE)</f>
        <v>-1.71991433757909</v>
      </c>
      <c r="D17" s="5">
        <f>HLOOKUP("QTE-0.10-RMSE-GLM",Point!$D$1:$DR$96,$R$2,FALSE)</f>
        <v>10.121648926543701</v>
      </c>
      <c r="E17" s="5">
        <f>(D17/$D$16)^2</f>
        <v>1.3785966243310803</v>
      </c>
      <c r="F17" s="5">
        <f>HLOOKUP("QTE-0.1-Empcov-GLM",inference!$D$1:$DR$96,$R$2,FALSE)</f>
        <v>0.93300000000000005</v>
      </c>
      <c r="G17" s="5">
        <f>HLOOKUP("QTE-0.1-ASSD-GLM",inference!$D$1:$DR$96,$R$2,FALSE)*2*1.96/SQRT(G$3)</f>
        <v>33.080918535908495</v>
      </c>
      <c r="H17" s="5">
        <f>G17/(2*1.96/SQRT(G$3))</f>
        <v>119.34562155418702</v>
      </c>
      <c r="I17" s="5">
        <f t="shared" si="4"/>
        <v>0.92439289783117007</v>
      </c>
      <c r="J17" s="5"/>
      <c r="K17" s="5"/>
      <c r="L17" s="5"/>
      <c r="M17" s="5"/>
      <c r="N17" s="5"/>
    </row>
    <row r="18" spans="1:17" s="4" customFormat="1" x14ac:dyDescent="0.45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7" x14ac:dyDescent="0.45">
      <c r="A19" s="2" t="s">
        <v>59</v>
      </c>
      <c r="B19" s="1" t="s">
        <v>3</v>
      </c>
      <c r="C19" s="5">
        <f>HLOOKUP("QTE-0.25-bias-IPS-exp",Point!$D$1:$DR$96,$R$2,FALSE)</f>
        <v>-2.09725207141777</v>
      </c>
      <c r="D19" s="5">
        <f>HLOOKUP("QTE-0.25-RMSE-IPS-exp",Point!$D$1:$DR$96,$R$2,FALSE)</f>
        <v>7.1615327346583397</v>
      </c>
      <c r="E19" s="5">
        <f>(D19/$D$23)^2</f>
        <v>1.1128243805852724</v>
      </c>
      <c r="F19" s="5">
        <f>HLOOKUP("QTE-0.25-Empcov-IPS-exp",inference!$D$1:$DR$96,$R$2,FALSE)</f>
        <v>0.94</v>
      </c>
      <c r="G19" s="5">
        <f>HLOOKUP("QTE-0.25-ASSD-IPS-exp",inference!$D$1:$DR$96,$R$2,FALSE)*2*1.96/SQRT(G$3)</f>
        <v>27.229291901944716</v>
      </c>
      <c r="H19" s="5">
        <f>G19/(2*1.96/SQRT(G$3))</f>
        <v>98.234780361087019</v>
      </c>
      <c r="I19" s="5">
        <f>($H$23/H19)^2</f>
        <v>1.0558572119155634</v>
      </c>
      <c r="J19" s="5"/>
      <c r="K19" s="5"/>
      <c r="L19" s="5"/>
      <c r="M19" s="5"/>
      <c r="N19" s="5"/>
    </row>
    <row r="20" spans="1:17" x14ac:dyDescent="0.45">
      <c r="B20" s="1" t="s">
        <v>5</v>
      </c>
      <c r="C20" s="5">
        <f>HLOOKUP("QTE-0.25-bias-IPS-ind",Point!$D$1:$DR$96,$R$2,FALSE)</f>
        <v>-0.68062534717689405</v>
      </c>
      <c r="D20" s="5">
        <f>HLOOKUP("QTE-0.25-RMSE-IPS-ind",Point!$D$1:$DR$96,$R$2,FALSE)</f>
        <v>6.8268764186449298</v>
      </c>
      <c r="E20" s="5">
        <f t="shared" ref="E20:E24" si="6">(D20/$D$23)^2</f>
        <v>1.011250505382127</v>
      </c>
      <c r="F20" s="5">
        <f>HLOOKUP("QTE-0.25-Empcov-IPS-ind",inference!$D$1:$DR$96,$R$2,FALSE)</f>
        <v>0.96</v>
      </c>
      <c r="G20" s="5">
        <f>HLOOKUP("QTE-0.25-ASSD-IPS-ind",inference!$D$1:$DR$96,$R$2,FALSE)*2*1.96/SQRT(G$3)</f>
        <v>30.443626962631914</v>
      </c>
      <c r="H20" s="5">
        <f t="shared" ref="H20:H23" si="7">G20/(2*1.96/SQRT(G$3))</f>
        <v>109.83109729178901</v>
      </c>
      <c r="I20" s="5">
        <f t="shared" ref="I20:I24" si="8">($H$23/H20)^2</f>
        <v>0.84466617401319266</v>
      </c>
      <c r="J20" s="5"/>
      <c r="K20" s="5"/>
      <c r="L20" s="5"/>
      <c r="M20" s="5"/>
      <c r="N20" s="5"/>
    </row>
    <row r="21" spans="1:17" x14ac:dyDescent="0.45">
      <c r="B21" s="1" t="s">
        <v>4</v>
      </c>
      <c r="C21" s="5">
        <f>HLOOKUP("QTE-0.25-bias-IPS-proj",Point!$D$1:$DR$96,$R$2,FALSE)</f>
        <v>-0.83170906047884696</v>
      </c>
      <c r="D21" s="5">
        <f>HLOOKUP("QTE-0.25-RMSE-IPS-proj",Point!$D$1:$DR$96,$R$2,FALSE)</f>
        <v>6.9577803959123798</v>
      </c>
      <c r="E21" s="5">
        <f t="shared" si="6"/>
        <v>1.0504033633949319</v>
      </c>
      <c r="F21" s="6">
        <f>HLOOKUP("QTE-0.25-Empcov-IPS-proj",inference!$D$1:$DR$96,$R$2,FALSE)</f>
        <v>0.97699999999999998</v>
      </c>
      <c r="G21" s="6">
        <f>HLOOKUP("QTE-0.25-ASSD-IPS-proj",inference!$D$1:$DR$96,$R$2,FALSE)*2*1.96/SQRT(G$3)</f>
        <v>33.693221661521328</v>
      </c>
      <c r="H21" s="5">
        <f t="shared" si="7"/>
        <v>121.554619984098</v>
      </c>
      <c r="I21" s="5">
        <f t="shared" si="8"/>
        <v>0.68959294186638642</v>
      </c>
      <c r="J21" s="5"/>
      <c r="K21" s="5"/>
      <c r="L21" s="5"/>
      <c r="M21" s="5"/>
      <c r="N21" s="5"/>
    </row>
    <row r="22" spans="1:17" x14ac:dyDescent="0.45">
      <c r="B22" s="1" t="s">
        <v>88</v>
      </c>
      <c r="C22" s="5">
        <f>HLOOKUP("QTE-0.25-bias-CBPS-just",Point!$D$1:$DR$96,$R$2,FALSE)</f>
        <v>-1.56755900693983</v>
      </c>
      <c r="D22" s="5">
        <f>HLOOKUP("QTE-0.25-RMSE-CBPS-just",Point!$D$1:$DR$96,$R$2,FALSE)</f>
        <v>7.1335726851715204</v>
      </c>
      <c r="E22" s="5">
        <f t="shared" si="6"/>
        <v>1.1041519672745264</v>
      </c>
      <c r="F22" s="5">
        <f>HLOOKUP("QTE-0.25-Empcov-CBPS-just",inference!$D$1:$DR$96,$R$2,FALSE)</f>
        <v>0.93600000000000005</v>
      </c>
      <c r="G22" s="5">
        <f>HLOOKUP("QTE-0.25-ASSD-CBPS-just",inference!$D$1:$DR$96,$R$2,FALSE)*2*1.96/SQRT(G$3)</f>
        <v>27.392793799920408</v>
      </c>
      <c r="H22" s="5">
        <f t="shared" si="7"/>
        <v>98.824644140655806</v>
      </c>
      <c r="I22" s="5">
        <f t="shared" si="8"/>
        <v>1.0432904435031409</v>
      </c>
      <c r="J22" s="5"/>
      <c r="K22" s="5"/>
      <c r="L22" s="5"/>
      <c r="M22" s="5"/>
      <c r="N22" s="5"/>
    </row>
    <row r="23" spans="1:17" x14ac:dyDescent="0.45">
      <c r="B23" s="1" t="s">
        <v>89</v>
      </c>
      <c r="C23" s="5">
        <f>HLOOKUP("QTE-0.25-bias-CBPS-over",Point!$D$1:$DR$96,$R$2,FALSE)</f>
        <v>-1.4476563277286101</v>
      </c>
      <c r="D23" s="5">
        <f>HLOOKUP("QTE-0.25-RMSE-CBPS-over",Point!$D$1:$DR$96,$R$2,FALSE)</f>
        <v>6.7887945443702096</v>
      </c>
      <c r="E23" s="5">
        <f>(D23/$D$23)^2</f>
        <v>1</v>
      </c>
      <c r="F23" s="5">
        <f>HLOOKUP("QTE-0.25-Empcov-CBPS-over",inference!$D$1:$DR$96,$R$2,FALSE)</f>
        <v>0.95</v>
      </c>
      <c r="G23" s="5">
        <f>HLOOKUP("QTE-0.25-ASSD-CBPS-over",inference!$D$1:$DR$96,$R$2,FALSE)*2*1.96/SQRT(G$3)</f>
        <v>27.979435169271753</v>
      </c>
      <c r="H23" s="5">
        <f t="shared" si="7"/>
        <v>100.94106296919099</v>
      </c>
      <c r="I23" s="5">
        <f t="shared" si="8"/>
        <v>1</v>
      </c>
      <c r="J23" s="5"/>
      <c r="K23" s="5"/>
      <c r="L23" s="5"/>
      <c r="M23" s="5"/>
      <c r="N23" s="5"/>
    </row>
    <row r="24" spans="1:17" s="3" customFormat="1" x14ac:dyDescent="0.45">
      <c r="B24" s="3" t="s">
        <v>2</v>
      </c>
      <c r="C24" s="5">
        <f>HLOOKUP("QTE-0.25-bias-GLM",Point!$D$1:$DR$96,$R$2,FALSE)</f>
        <v>0.36336797856768899</v>
      </c>
      <c r="D24" s="5">
        <f>HLOOKUP("QTE-0.25-RMSE-GLM",Point!$D$1:$DR$96,$R$2,FALSE)</f>
        <v>10.3939415025496</v>
      </c>
      <c r="E24" s="5">
        <f t="shared" si="6"/>
        <v>2.3440949848725716</v>
      </c>
      <c r="F24" s="5">
        <f>HLOOKUP("QTE-0.25-Empcov-GLM",inference!$D$1:$DR$96,$R$2,FALSE)</f>
        <v>0.94399999999999995</v>
      </c>
      <c r="G24" s="5">
        <f>HLOOKUP("QTE-0.25-ASSD-GLM",inference!$D$1:$DR$96,$R$2,FALSE)*2*1.96/SQRT(G$3)</f>
        <v>30.84047896495747</v>
      </c>
      <c r="H24" s="5">
        <f>G24/(2*1.96/SQRT(G$3))</f>
        <v>111.26281536307401</v>
      </c>
      <c r="I24" s="5">
        <f t="shared" si="8"/>
        <v>0.82306788717403567</v>
      </c>
      <c r="J24" s="5"/>
      <c r="K24" s="5"/>
      <c r="L24" s="5"/>
      <c r="M24" s="5"/>
      <c r="N24" s="5"/>
    </row>
    <row r="25" spans="1:17" x14ac:dyDescent="0.45">
      <c r="A25" s="4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4"/>
      <c r="P25" s="4"/>
      <c r="Q25" s="4"/>
    </row>
    <row r="26" spans="1:17" x14ac:dyDescent="0.45">
      <c r="A26" s="2" t="s">
        <v>60</v>
      </c>
      <c r="B26" s="1" t="s">
        <v>3</v>
      </c>
      <c r="C26" s="5">
        <f>HLOOKUP("QTE-0.5-bias-IPS-exp",Point!$D$1:$DR$96,$R$2,FALSE)</f>
        <v>1.01000235663951</v>
      </c>
      <c r="D26" s="5">
        <f>HLOOKUP("QTE-0.5-RMSE-IPS-exp",Point!$D$1:$DR$96,$R$2,FALSE)</f>
        <v>6.7295777402061203</v>
      </c>
      <c r="E26" s="5">
        <f>(D26/$D$30)^2</f>
        <v>0.94700951679583234</v>
      </c>
      <c r="F26" s="5">
        <f>HLOOKUP("QTE-0.5-Empcov-IPS-exp",inference!$D$1:$DR$96,$R$2,FALSE)</f>
        <v>0.95499999999999996</v>
      </c>
      <c r="G26" s="5">
        <f>HLOOKUP("QTE-0.5-ASSD-IPS-exp",inference!$D$1:$DR$96,$R$2,FALSE)*2*1.96/SQRT(G$3)</f>
        <v>27.091504741308988</v>
      </c>
      <c r="H26" s="5">
        <f>G26/(2*1.96/SQRT(G$3))</f>
        <v>97.737687322076994</v>
      </c>
      <c r="I26" s="5">
        <f>($H$30/H26)^2</f>
        <v>1.1541993899151273</v>
      </c>
      <c r="J26" s="5"/>
      <c r="K26"/>
      <c r="L26"/>
      <c r="M26"/>
      <c r="N26"/>
      <c r="O26"/>
      <c r="P26"/>
      <c r="Q26"/>
    </row>
    <row r="27" spans="1:17" x14ac:dyDescent="0.45">
      <c r="B27" s="1" t="s">
        <v>5</v>
      </c>
      <c r="C27" s="5">
        <f>HLOOKUP("QTE-0.5-bias-IPS-ind",Point!$D$1:$DR$96,$R$2,FALSE)</f>
        <v>1.9876912477993101</v>
      </c>
      <c r="D27" s="5">
        <f>HLOOKUP("QTE-0.5-RMSE-IPS-ind",Point!$D$1:$DR$96,$R$2,FALSE)</f>
        <v>7.2140724268500502</v>
      </c>
      <c r="E27" s="5">
        <f t="shared" ref="E27:E31" si="9">(D27/$D$30)^2</f>
        <v>1.0882776516435728</v>
      </c>
      <c r="F27" s="5">
        <f>HLOOKUP("QTE-0.5-Empcov-IPS-ind",inference!$D$1:$DR$96,$R$2,FALSE)</f>
        <v>0.95499999999999996</v>
      </c>
      <c r="G27" s="5">
        <f>HLOOKUP("QTE-0.5-ASSD-IPS-ind",inference!$D$1:$DR$96,$R$2,FALSE)*2*1.96/SQRT(G$3)</f>
        <v>29.932996114623613</v>
      </c>
      <c r="H27" s="5">
        <f t="shared" ref="H27:H30" si="10">G27/(2*1.96/SQRT(G$3))</f>
        <v>107.98890068306602</v>
      </c>
      <c r="I27" s="5">
        <f t="shared" ref="I27:I31" si="11">($H$30/H27)^2</f>
        <v>0.9454677447090265</v>
      </c>
      <c r="J27" s="5"/>
      <c r="K27" s="5"/>
      <c r="L27" s="5"/>
      <c r="M27" s="5"/>
      <c r="N27" s="5"/>
    </row>
    <row r="28" spans="1:17" x14ac:dyDescent="0.45">
      <c r="B28" s="1" t="s">
        <v>4</v>
      </c>
      <c r="C28" s="5">
        <f>HLOOKUP("QTE-0.5-bias-IPS-proj",Point!$D$1:$DR$96,$R$2,FALSE)</f>
        <v>0.23798571429322199</v>
      </c>
      <c r="D28" s="5">
        <f>HLOOKUP("QTE-0.5-RMSE-IPS-proj",Point!$D$1:$DR$96,$R$2,FALSE)</f>
        <v>6.4557308368927702</v>
      </c>
      <c r="E28" s="5">
        <f t="shared" si="9"/>
        <v>0.87150431948851181</v>
      </c>
      <c r="F28" s="6">
        <f>HLOOKUP("QTE-0.5-Empcov-IPS-proj",inference!$D$1:$DR$96,$R$2,FALSE)</f>
        <v>0.97299999999999998</v>
      </c>
      <c r="G28" s="6">
        <f>HLOOKUP("QTE-0.5-ASSD-IPS-proj",inference!$D$1:$DR$96,$R$2,FALSE)*2*1.96/SQRT(G$3)</f>
        <v>28.752945058009608</v>
      </c>
      <c r="H28" s="5">
        <f t="shared" si="10"/>
        <v>103.73164504899401</v>
      </c>
      <c r="I28" s="5">
        <f t="shared" si="11"/>
        <v>1.0246662381456255</v>
      </c>
      <c r="J28" s="5"/>
      <c r="K28" s="5"/>
      <c r="L28" s="5"/>
      <c r="M28" s="5"/>
      <c r="N28" s="5"/>
    </row>
    <row r="29" spans="1:17" x14ac:dyDescent="0.45">
      <c r="B29" s="1" t="s">
        <v>88</v>
      </c>
      <c r="C29" s="5">
        <f>HLOOKUP("QTE-0.5-bias-CBPS-just",Point!$D$1:$DR$96,$R$2,FALSE)</f>
        <v>2.02670144973243</v>
      </c>
      <c r="D29" s="5">
        <f>HLOOKUP("QTE-0.5-RMSE-CBPS-just",Point!$D$1:$DR$96,$R$2,FALSE)</f>
        <v>7.4476921875108903</v>
      </c>
      <c r="E29" s="5">
        <f t="shared" si="9"/>
        <v>1.159904283907804</v>
      </c>
      <c r="F29" s="5">
        <f>HLOOKUP("QTE-0.5-Empcov-CBPS-just",inference!$D$1:$DR$96,$R$2,FALSE)</f>
        <v>0.93500000000000005</v>
      </c>
      <c r="G29" s="5">
        <f>HLOOKUP("QTE-0.5-ASSD-CBPS-just",inference!$D$1:$DR$96,$R$2,FALSE)*2*1.96/SQRT(G$3)</f>
        <v>28.017415873086787</v>
      </c>
      <c r="H29" s="5">
        <f t="shared" si="10"/>
        <v>101.078085485629</v>
      </c>
      <c r="I29" s="5">
        <f t="shared" si="11"/>
        <v>1.0791726807853592</v>
      </c>
      <c r="J29" s="5"/>
      <c r="K29" s="5"/>
      <c r="L29" s="5"/>
      <c r="M29" s="5"/>
      <c r="N29" s="5"/>
    </row>
    <row r="30" spans="1:17" x14ac:dyDescent="0.45">
      <c r="B30" s="1" t="s">
        <v>89</v>
      </c>
      <c r="C30" s="5">
        <f>HLOOKUP("QTE-0.5-bias-CBPS-over",Point!$D$1:$DR$96,$R$2,FALSE)</f>
        <v>1.2367665627926101</v>
      </c>
      <c r="D30" s="5">
        <f>HLOOKUP("QTE-0.5-RMSE-CBPS-over",Point!$D$1:$DR$96,$R$2,FALSE)</f>
        <v>6.9152939067178796</v>
      </c>
      <c r="E30" s="5">
        <f t="shared" si="9"/>
        <v>1</v>
      </c>
      <c r="F30" s="5">
        <f>HLOOKUP("QTE-0.5-Empcov-CBPS-over",inference!$D$1:$DR$96,$R$2,FALSE)</f>
        <v>0.95699999999999996</v>
      </c>
      <c r="G30" s="5">
        <f>HLOOKUP("QTE-0.5-ASSD-CBPS-over",inference!$D$1:$DR$96,$R$2,FALSE)*2*1.96/SQRT(G$3)</f>
        <v>29.105398368541181</v>
      </c>
      <c r="H30" s="5">
        <f t="shared" si="10"/>
        <v>105.003186507813</v>
      </c>
      <c r="I30" s="5">
        <f t="shared" si="11"/>
        <v>1</v>
      </c>
      <c r="J30" s="5"/>
      <c r="K30" s="5"/>
      <c r="L30" s="5"/>
      <c r="M30" s="5"/>
      <c r="N30" s="5"/>
    </row>
    <row r="31" spans="1:17" x14ac:dyDescent="0.45">
      <c r="A31" s="3"/>
      <c r="B31" s="3" t="s">
        <v>2</v>
      </c>
      <c r="C31" s="5">
        <f>HLOOKUP("QTE-0.5-bias-GLM",Point!$D$1:$DR$96,$R$2,FALSE)</f>
        <v>4.7255258256111601</v>
      </c>
      <c r="D31" s="5">
        <f>HLOOKUP("QTE-0.5-RMSE-GLM",Point!$D$1:$DR$96,$R$2,FALSE)</f>
        <v>13.781690927474701</v>
      </c>
      <c r="E31" s="5">
        <f t="shared" si="9"/>
        <v>3.9717666660622077</v>
      </c>
      <c r="F31" s="5">
        <f>HLOOKUP("QTE-0.5-Empcov-GLM",inference!$D$1:$DR$96,$R$2,FALSE)</f>
        <v>0.92600000000000005</v>
      </c>
      <c r="G31" s="5">
        <f>HLOOKUP("QTE-0.5-ASSD-GLM",inference!$D$1:$DR$96,$R$2,FALSE)*2*1.96/SQRT(G$3)</f>
        <v>34.673863520398001</v>
      </c>
      <c r="H31" s="5">
        <f>G31/(2*1.96/SQRT(G$3))</f>
        <v>125.09246951637901</v>
      </c>
      <c r="I31" s="5">
        <f t="shared" si="11"/>
        <v>0.70459997742372238</v>
      </c>
      <c r="J31" s="5"/>
      <c r="K31" s="5"/>
      <c r="L31" s="5"/>
      <c r="M31" s="5"/>
      <c r="N31" s="5"/>
      <c r="O31" s="3"/>
      <c r="P31" s="3"/>
      <c r="Q31" s="3"/>
    </row>
    <row r="32" spans="1:17" x14ac:dyDescent="0.45">
      <c r="H32" s="6"/>
      <c r="I32" s="6"/>
      <c r="J32" s="6"/>
    </row>
    <row r="33" spans="1:10" x14ac:dyDescent="0.45">
      <c r="A33" s="2" t="s">
        <v>62</v>
      </c>
      <c r="B33" s="1" t="s">
        <v>3</v>
      </c>
      <c r="C33" s="5">
        <f>HLOOKUP("QTE-0.75-bias-IPS-exp",Point!$D$1:$DR$96,$R$2,FALSE)</f>
        <v>4.7435854621359699</v>
      </c>
      <c r="D33" s="5">
        <f>HLOOKUP("QTE-0.75-RMSE-IPS-exp",Point!$D$1:$DR$96,$R$2,FALSE)</f>
        <v>9.6963520889326595</v>
      </c>
      <c r="E33" s="5">
        <f>(D33/$D$37)^2</f>
        <v>0.98642833958753651</v>
      </c>
      <c r="F33" s="5">
        <f>HLOOKUP("QTE-0.75-Empcov-IPS-exp",inference!$D$1:$DR$96,$R$2,FALSE)</f>
        <v>0.89300000000000002</v>
      </c>
      <c r="G33" s="5">
        <f>HLOOKUP("QTE-0.75-ASSD-IPS-exp",inference!$D$1:$DR$96,$R$2,FALSE)*2*1.96/SQRT(G$3)</f>
        <v>31.417938908326025</v>
      </c>
      <c r="H33" s="5">
        <f>G33/(2*1.96/SQRT(G$3))</f>
        <v>113.34611047439802</v>
      </c>
      <c r="I33" s="5">
        <f>($H$37/H33)^2</f>
        <v>1.2413708097221337</v>
      </c>
      <c r="J33" s="5"/>
    </row>
    <row r="34" spans="1:10" x14ac:dyDescent="0.45">
      <c r="B34" s="1" t="s">
        <v>5</v>
      </c>
      <c r="C34" s="5">
        <f>HLOOKUP("QTE-0.75-bias-IPS-ind",Point!$D$1:$DR$96,$R$2,FALSE)</f>
        <v>4.9783152689832297</v>
      </c>
      <c r="D34" s="5">
        <f>HLOOKUP("QTE-0.75-RMSE-IPS-ind",Point!$D$1:$DR$96,$R$2,FALSE)</f>
        <v>9.8538420923901597</v>
      </c>
      <c r="E34" s="5">
        <f t="shared" ref="E34:E38" si="12">(D34/$D$37)^2</f>
        <v>1.0187320832025355</v>
      </c>
      <c r="F34" s="5">
        <f>HLOOKUP("QTE-0.75-Empcov-IPS-ind",inference!$D$1:$DR$96,$R$2,FALSE)</f>
        <v>0.92700000000000005</v>
      </c>
      <c r="G34" s="5">
        <f>HLOOKUP("QTE-0.75-ASSD-IPS-ind",inference!$D$1:$DR$96,$R$2,FALSE)*2*1.96/SQRT(G$3)</f>
        <v>35.877113169478989</v>
      </c>
      <c r="H34" s="5">
        <f t="shared" ref="H34:H37" si="13">G34/(2*1.96/SQRT(G$3))</f>
        <v>129.43341842620299</v>
      </c>
      <c r="I34" s="5">
        <f t="shared" ref="I34:I38" si="14">($H$37/H34)^2</f>
        <v>0.95196707855949025</v>
      </c>
      <c r="J34" s="5"/>
    </row>
    <row r="35" spans="1:10" x14ac:dyDescent="0.45">
      <c r="B35" s="1" t="s">
        <v>4</v>
      </c>
      <c r="C35" s="5">
        <f>HLOOKUP("QTE-0.75-bias-IPS-proj",Point!$D$1:$DR$96,$R$2,FALSE)</f>
        <v>1.5397590283414699</v>
      </c>
      <c r="D35" s="5">
        <f>HLOOKUP("QTE-0.75-RMSE-IPS-proj",Point!$D$1:$DR$96,$R$2,FALSE)</f>
        <v>8.1056576291802394</v>
      </c>
      <c r="E35" s="5">
        <f t="shared" si="12"/>
        <v>0.68932701428025356</v>
      </c>
      <c r="F35" s="6">
        <f>HLOOKUP("QTE-0.75-Empcov-IPS-proj",inference!$D$1:$DR$96,$R$2,FALSE)</f>
        <v>0.95</v>
      </c>
      <c r="G35" s="6">
        <f>HLOOKUP("QTE-0.75-ASSD-IPS-proj",inference!$D$1:$DR$96,$R$2,FALSE)*2*1.96/SQRT(G$3)</f>
        <v>35.042438642215828</v>
      </c>
      <c r="H35" s="5">
        <f t="shared" si="13"/>
        <v>126.42217343481801</v>
      </c>
      <c r="I35" s="5">
        <f t="shared" si="14"/>
        <v>0.99785690642496538</v>
      </c>
      <c r="J35" s="5"/>
    </row>
    <row r="36" spans="1:10" x14ac:dyDescent="0.45">
      <c r="B36" s="1" t="s">
        <v>88</v>
      </c>
      <c r="C36" s="5">
        <f>HLOOKUP("QTE-0.75-bias-CBPS-just",Point!$D$1:$DR$96,$R$2,FALSE)</f>
        <v>5.9305208605501702</v>
      </c>
      <c r="D36" s="5">
        <f>HLOOKUP("QTE-0.75-RMSE-CBPS-just",Point!$D$1:$DR$96,$R$2,FALSE)</f>
        <v>10.9245039320093</v>
      </c>
      <c r="E36" s="5">
        <f t="shared" si="12"/>
        <v>1.2521381203659812</v>
      </c>
      <c r="F36" s="5">
        <f>HLOOKUP("QTE-0.75-Empcov-CBPS-just",inference!$D$1:$DR$96,$R$2,FALSE)</f>
        <v>0.87</v>
      </c>
      <c r="G36" s="5">
        <f>HLOOKUP("QTE-0.75-ASSD-CBPS-just",inference!$D$1:$DR$96,$R$2,FALSE)*2*1.96/SQRT(G$3)</f>
        <v>32.983005412550789</v>
      </c>
      <c r="H36" s="5">
        <f t="shared" si="13"/>
        <v>118.99238158738402</v>
      </c>
      <c r="I36" s="5">
        <f t="shared" si="14"/>
        <v>1.1263580275805765</v>
      </c>
      <c r="J36" s="5"/>
    </row>
    <row r="37" spans="1:10" x14ac:dyDescent="0.45">
      <c r="B37" s="1" t="s">
        <v>89</v>
      </c>
      <c r="C37" s="5">
        <f>HLOOKUP("QTE-0.75-bias-CBPS-over",Point!$D$1:$DR$96,$R$2,FALSE)</f>
        <v>4.5349683314345697</v>
      </c>
      <c r="D37" s="5">
        <f>HLOOKUP("QTE-0.75-RMSE-CBPS-over",Point!$D$1:$DR$96,$R$2,FALSE)</f>
        <v>9.7628272924858006</v>
      </c>
      <c r="E37" s="5">
        <f t="shared" si="12"/>
        <v>1</v>
      </c>
      <c r="F37" s="5">
        <f>HLOOKUP("QTE-0.75-Empcov-CBPS-over",inference!$D$1:$DR$96,$R$2,FALSE)</f>
        <v>0.92900000000000005</v>
      </c>
      <c r="G37" s="5">
        <f>HLOOKUP("QTE-0.75-ASSD-CBPS-over",inference!$D$1:$DR$96,$R$2,FALSE)*2*1.96/SQRT(G$3)</f>
        <v>35.004868889992252</v>
      </c>
      <c r="H37" s="5">
        <f t="shared" si="13"/>
        <v>126.286633503365</v>
      </c>
      <c r="I37" s="5">
        <f t="shared" si="14"/>
        <v>1</v>
      </c>
      <c r="J37" s="5"/>
    </row>
    <row r="38" spans="1:10" x14ac:dyDescent="0.45">
      <c r="A38" s="3"/>
      <c r="B38" s="3" t="s">
        <v>2</v>
      </c>
      <c r="C38" s="5">
        <f>HLOOKUP("QTE-0.75-bias-GLM",Point!$D$1:$DR$96,$R$2,FALSE)</f>
        <v>9.4746975570542098</v>
      </c>
      <c r="D38" s="5">
        <f>HLOOKUP("QTE-0.75-RMSE-GLM",Point!$D$1:$DR$96,$R$2,FALSE)</f>
        <v>17.877093656180701</v>
      </c>
      <c r="E38" s="5">
        <f t="shared" si="12"/>
        <v>3.3530699812944498</v>
      </c>
      <c r="F38" s="5">
        <f>HLOOKUP("QTE-0.75-Empcov-GLM",inference!$D$1:$DR$96,$R$2,FALSE)</f>
        <v>0.85</v>
      </c>
      <c r="G38" s="5">
        <f>HLOOKUP("QTE-0.75-ASSD-GLM",inference!$D$1:$DR$96,$R$2,FALSE)*2*1.96/SQRT(G$3)</f>
        <v>39.963991672693084</v>
      </c>
      <c r="H38" s="5">
        <f>G38/(2*1.96/SQRT(G$3))</f>
        <v>144.17759956655101</v>
      </c>
      <c r="I38" s="5">
        <f t="shared" si="14"/>
        <v>0.76721872015834447</v>
      </c>
      <c r="J38" s="5"/>
    </row>
    <row r="39" spans="1:10" x14ac:dyDescent="0.45">
      <c r="H39" s="7"/>
      <c r="I39" s="7"/>
      <c r="J39" s="7"/>
    </row>
    <row r="40" spans="1:10" x14ac:dyDescent="0.45">
      <c r="A40" s="2" t="s">
        <v>207</v>
      </c>
      <c r="B40" s="1" t="s">
        <v>3</v>
      </c>
      <c r="C40" s="5">
        <f>HLOOKUP("QTE-0.9-bias-IPS-exp",Point!$D$1:$DR$96,$R$2,FALSE)</f>
        <v>8.9713514676416892</v>
      </c>
      <c r="D40" s="5">
        <f>HLOOKUP("QTE-0.9-RMSE-IPS-exp",Point!$D$1:$DR$96,$R$2,FALSE)</f>
        <v>16.324571410754601</v>
      </c>
      <c r="E40" s="5">
        <f t="shared" ref="E40:E45" si="15">(D40/$D$44)^2</f>
        <v>1.0700925931750966</v>
      </c>
      <c r="F40" s="5">
        <f>HLOOKUP("QTE-0.9-Empcov-IPS-exp",inference!$D$1:$DR$96,$R$2,FALSE)</f>
        <v>0.78700000000000003</v>
      </c>
      <c r="G40" s="5">
        <f>HLOOKUP("QTE-0.9-ASSD-IPS-exp",inference!$D$1:$DR$96,$R$2,FALSE)*2*1.96/SQRT(G$3)</f>
        <v>40.409492408244631</v>
      </c>
      <c r="H40" s="5">
        <f>G40/(2*1.96/SQRT(G$3))</f>
        <v>145.784827072327</v>
      </c>
      <c r="I40" s="5">
        <f t="shared" ref="I40:I45" si="16">($H$44/H40)^2</f>
        <v>1.1422021302995142</v>
      </c>
      <c r="J40" s="5"/>
    </row>
    <row r="41" spans="1:10" x14ac:dyDescent="0.45">
      <c r="B41" s="1" t="s">
        <v>5</v>
      </c>
      <c r="C41" s="5">
        <f>HLOOKUP("QTE-0.9-bias-IPS-ind",Point!$D$1:$DR$96,$R$2,FALSE)</f>
        <v>8.6626568704984592</v>
      </c>
      <c r="D41" s="5">
        <f>HLOOKUP("QTE-0.9-RMSE-IPS-ind",Point!$D$1:$DR$96,$R$2,FALSE)</f>
        <v>16.6742413306829</v>
      </c>
      <c r="E41" s="5">
        <f t="shared" si="15"/>
        <v>1.1164260145548361</v>
      </c>
      <c r="F41" s="5">
        <f>HLOOKUP("QTE-0.9-Empcov-IPS-ind",inference!$D$1:$DR$96,$R$2,FALSE)</f>
        <v>0.85299999999999998</v>
      </c>
      <c r="G41" s="5">
        <f>HLOOKUP("QTE-0.9-ASSD-IPS-ind",inference!$D$1:$DR$96,$R$2,FALSE)*2*1.96/SQRT(G$3)</f>
        <v>46.673306461630077</v>
      </c>
      <c r="H41" s="5">
        <f t="shared" ref="H41:H44" si="17">G41/(2*1.96/SQRT(G$3))</f>
        <v>168.38271173171702</v>
      </c>
      <c r="I41" s="5">
        <f t="shared" si="16"/>
        <v>0.85619486560459701</v>
      </c>
      <c r="J41" s="5"/>
    </row>
    <row r="42" spans="1:10" x14ac:dyDescent="0.45">
      <c r="B42" s="1" t="s">
        <v>4</v>
      </c>
      <c r="C42" s="5">
        <f>HLOOKUP("QTE-0.9-bias-IPS-proj",Point!$D$1:$DR$96,$R$2,FALSE)</f>
        <v>3.1865120023178002</v>
      </c>
      <c r="D42" s="5">
        <f>HLOOKUP("QTE-0.9-RMSE-IPS-proj",Point!$D$1:$DR$96,$R$2,FALSE)</f>
        <v>12.700007782269401</v>
      </c>
      <c r="E42" s="5">
        <f t="shared" si="15"/>
        <v>0.64765803244194176</v>
      </c>
      <c r="F42" s="6">
        <f>HLOOKUP("QTE-0.9-Empcov-IPS-proj",inference!$D$1:$DR$96,$R$2,FALSE)</f>
        <v>0.92600000000000005</v>
      </c>
      <c r="G42" s="6">
        <f>HLOOKUP("QTE-0.9-ASSD-IPS-proj",inference!$D$1:$DR$96,$R$2,FALSE)*2*1.96/SQRT(G$3)</f>
        <v>51.3709461318997</v>
      </c>
      <c r="H42" s="5">
        <f t="shared" si="17"/>
        <v>185.330328397118</v>
      </c>
      <c r="I42" s="5">
        <f t="shared" si="16"/>
        <v>0.70676433733733213</v>
      </c>
      <c r="J42" s="5"/>
    </row>
    <row r="43" spans="1:10" x14ac:dyDescent="0.45">
      <c r="B43" s="1" t="s">
        <v>88</v>
      </c>
      <c r="C43" s="5">
        <f>HLOOKUP("QTE-0.9-bias-CBPS-just",Point!$D$1:$DR$96,$R$2,FALSE)</f>
        <v>9.78670174213865</v>
      </c>
      <c r="D43" s="5">
        <f>HLOOKUP("QTE-0.9-RMSE-CBPS-just",Point!$D$1:$DR$96,$R$2,FALSE)</f>
        <v>17.0313276180533</v>
      </c>
      <c r="E43" s="5">
        <f t="shared" si="15"/>
        <v>1.1647555496380515</v>
      </c>
      <c r="F43" s="5">
        <f>HLOOKUP("QTE-0.9-Empcov-CBPS-just",inference!$D$1:$DR$96,$R$2,FALSE)</f>
        <v>0.76</v>
      </c>
      <c r="G43" s="5">
        <f>HLOOKUP("QTE-0.9-ASSD-CBPS-just",inference!$D$1:$DR$96,$R$2,FALSE)*2*1.96/SQRT(G$3)</f>
        <v>39.928892621196468</v>
      </c>
      <c r="H43" s="5">
        <f t="shared" si="17"/>
        <v>144.05097315162004</v>
      </c>
      <c r="I43" s="5">
        <f t="shared" si="16"/>
        <v>1.169863590729507</v>
      </c>
      <c r="J43" s="5"/>
    </row>
    <row r="44" spans="1:10" x14ac:dyDescent="0.45">
      <c r="B44" s="1" t="s">
        <v>89</v>
      </c>
      <c r="C44" s="5">
        <f>HLOOKUP("QTE-0.9-bias-CBPS-over",Point!$D$1:$DR$96,$R$2,FALSE)</f>
        <v>7.9312686279421598</v>
      </c>
      <c r="D44" s="5">
        <f>HLOOKUP("QTE-0.9-RMSE-CBPS-over",Point!$D$1:$DR$96,$R$2,FALSE)</f>
        <v>15.780876061177199</v>
      </c>
      <c r="E44" s="5">
        <f t="shared" si="15"/>
        <v>1</v>
      </c>
      <c r="F44" s="5">
        <f>HLOOKUP("QTE-0.9-Empcov-CBPS-over",inference!$D$1:$DR$96,$R$2,FALSE)</f>
        <v>0.84199999999999997</v>
      </c>
      <c r="G44" s="5">
        <f>HLOOKUP("QTE-0.9-ASSD-CBPS-over",inference!$D$1:$DR$96,$R$2,FALSE)*2*1.96/SQRT(G$3)</f>
        <v>43.187183117463661</v>
      </c>
      <c r="H44" s="5">
        <f t="shared" si="17"/>
        <v>155.805867564815</v>
      </c>
      <c r="I44" s="5">
        <f>($H$44/H44)^2</f>
        <v>1</v>
      </c>
      <c r="J44" s="5"/>
    </row>
    <row r="45" spans="1:10" x14ac:dyDescent="0.45">
      <c r="A45" s="3"/>
      <c r="B45" s="3" t="s">
        <v>2</v>
      </c>
      <c r="C45" s="5">
        <f>HLOOKUP("QTE-0.9-bias-GLM",Point!$D$1:$DR$96,$R$2,FALSE)</f>
        <v>12.2905548424564</v>
      </c>
      <c r="D45" s="5">
        <f>HLOOKUP("QTE-0.9-RMSE-GLM",Point!$D$1:$DR$96,$R$2,FALSE)</f>
        <v>21.7385940944901</v>
      </c>
      <c r="E45" s="5">
        <f t="shared" si="15"/>
        <v>1.8975825974294043</v>
      </c>
      <c r="F45" s="5">
        <f>HLOOKUP("QTE-0.9-Empcov-GLM",inference!$D$1:$DR$96,$R$2,FALSE)</f>
        <v>0.69099999999999995</v>
      </c>
      <c r="G45" s="5">
        <f>HLOOKUP("QTE-0.9-ASSD-GLM",inference!$D$1:$DR$96,$R$2,FALSE)*2*1.96/SQRT(G$3)</f>
        <v>38.759077816326901</v>
      </c>
      <c r="H45" s="5">
        <f>G45/(2*1.96/SQRT(G$3))</f>
        <v>139.83064671664204</v>
      </c>
      <c r="I45" s="5">
        <f t="shared" si="16"/>
        <v>1.2415462009477465</v>
      </c>
      <c r="J45" s="5"/>
    </row>
    <row r="46" spans="1:10" x14ac:dyDescent="0.45">
      <c r="H46" s="7"/>
      <c r="I46" s="7"/>
      <c r="J46" s="7"/>
    </row>
    <row r="47" spans="1:10" x14ac:dyDescent="0.45">
      <c r="H47" s="7"/>
      <c r="I47" s="7"/>
      <c r="J47" s="7"/>
    </row>
    <row r="48" spans="1:10" x14ac:dyDescent="0.45">
      <c r="H48" s="7"/>
      <c r="I48" s="7"/>
      <c r="J48" s="7"/>
    </row>
    <row r="49" spans="8:10" x14ac:dyDescent="0.45">
      <c r="H49" s="7"/>
      <c r="I49" s="7"/>
      <c r="J49" s="7"/>
    </row>
    <row r="50" spans="8:10" x14ac:dyDescent="0.45">
      <c r="H50" s="7"/>
      <c r="I50" s="7"/>
      <c r="J50" s="7"/>
    </row>
    <row r="51" spans="8:10" x14ac:dyDescent="0.45">
      <c r="H51" s="7"/>
      <c r="I51" s="7"/>
      <c r="J51" s="7"/>
    </row>
    <row r="52" spans="8:10" x14ac:dyDescent="0.45">
      <c r="H52" s="7"/>
      <c r="I52" s="7"/>
      <c r="J52" s="7"/>
    </row>
    <row r="53" spans="8:10" x14ac:dyDescent="0.45">
      <c r="H53" s="7"/>
      <c r="I53" s="7"/>
      <c r="J53" s="7"/>
    </row>
    <row r="54" spans="8:10" x14ac:dyDescent="0.45">
      <c r="H54" s="7"/>
      <c r="I54" s="7"/>
      <c r="J54" s="7"/>
    </row>
    <row r="55" spans="8:10" x14ac:dyDescent="0.45">
      <c r="H55" s="7"/>
      <c r="I55" s="7"/>
      <c r="J55" s="7"/>
    </row>
    <row r="56" spans="8:10" x14ac:dyDescent="0.45">
      <c r="H56" s="7"/>
      <c r="I56" s="7"/>
      <c r="J56" s="7"/>
    </row>
    <row r="57" spans="8:10" x14ac:dyDescent="0.45">
      <c r="H57" s="7"/>
      <c r="I57" s="7"/>
      <c r="J57" s="7"/>
    </row>
    <row r="58" spans="8:10" x14ac:dyDescent="0.45">
      <c r="H58" s="7"/>
      <c r="I58" s="7"/>
      <c r="J58" s="7"/>
    </row>
    <row r="59" spans="8:10" x14ac:dyDescent="0.45">
      <c r="H59" s="7"/>
      <c r="I59" s="7"/>
      <c r="J59" s="7"/>
    </row>
    <row r="60" spans="8:10" x14ac:dyDescent="0.45">
      <c r="H60" s="7"/>
      <c r="I60" s="7"/>
      <c r="J60" s="7"/>
    </row>
    <row r="61" spans="8:10" x14ac:dyDescent="0.45">
      <c r="H61" s="7"/>
      <c r="I61" s="7"/>
      <c r="J61" s="7"/>
    </row>
    <row r="62" spans="8:10" x14ac:dyDescent="0.45">
      <c r="H62" s="7"/>
      <c r="I62" s="7"/>
      <c r="J62" s="7"/>
    </row>
    <row r="63" spans="8:10" x14ac:dyDescent="0.45">
      <c r="H63" s="7"/>
      <c r="I63" s="7"/>
      <c r="J63" s="7"/>
    </row>
    <row r="64" spans="8:10" x14ac:dyDescent="0.45">
      <c r="H64" s="7"/>
      <c r="I64" s="7"/>
      <c r="J64" s="7"/>
    </row>
    <row r="65" spans="8:10" x14ac:dyDescent="0.45">
      <c r="H65" s="7"/>
      <c r="I65" s="7"/>
      <c r="J65" s="7"/>
    </row>
    <row r="66" spans="8:10" x14ac:dyDescent="0.45">
      <c r="H66" s="7"/>
      <c r="I66" s="7"/>
      <c r="J66" s="7"/>
    </row>
    <row r="67" spans="8:10" x14ac:dyDescent="0.45">
      <c r="H67" s="7"/>
      <c r="I67" s="7"/>
      <c r="J67" s="7"/>
    </row>
    <row r="68" spans="8:10" x14ac:dyDescent="0.45">
      <c r="H68" s="7"/>
      <c r="I68" s="7"/>
      <c r="J68" s="7"/>
    </row>
    <row r="69" spans="8:10" x14ac:dyDescent="0.45">
      <c r="H69" s="7"/>
      <c r="I69" s="7"/>
      <c r="J69" s="7"/>
    </row>
    <row r="70" spans="8:10" x14ac:dyDescent="0.45">
      <c r="H70" s="7"/>
      <c r="I70" s="7"/>
      <c r="J70" s="7"/>
    </row>
    <row r="71" spans="8:10" x14ac:dyDescent="0.45">
      <c r="H71" s="7"/>
      <c r="I71" s="7"/>
      <c r="J71" s="7"/>
    </row>
    <row r="72" spans="8:10" x14ac:dyDescent="0.45">
      <c r="H72" s="7"/>
      <c r="I72" s="7"/>
      <c r="J72" s="7"/>
    </row>
    <row r="73" spans="8:10" x14ac:dyDescent="0.45">
      <c r="H73" s="7"/>
      <c r="I73" s="7"/>
      <c r="J73" s="7"/>
    </row>
    <row r="74" spans="8:10" x14ac:dyDescent="0.45">
      <c r="H74" s="7"/>
      <c r="I74" s="7"/>
      <c r="J74" s="7"/>
    </row>
    <row r="75" spans="8:10" x14ac:dyDescent="0.45">
      <c r="H75" s="7"/>
      <c r="I75" s="7"/>
      <c r="J75" s="7"/>
    </row>
    <row r="76" spans="8:10" x14ac:dyDescent="0.45">
      <c r="H76" s="7"/>
      <c r="I76" s="7"/>
      <c r="J76" s="7"/>
    </row>
    <row r="77" spans="8:10" x14ac:dyDescent="0.45">
      <c r="H77" s="7"/>
      <c r="I77" s="7"/>
      <c r="J77" s="7"/>
    </row>
    <row r="78" spans="8:10" x14ac:dyDescent="0.45">
      <c r="H78" s="7"/>
      <c r="I78" s="7"/>
      <c r="J78" s="7"/>
    </row>
    <row r="79" spans="8:10" x14ac:dyDescent="0.45">
      <c r="H79" s="7"/>
      <c r="I79" s="7"/>
      <c r="J79" s="7"/>
    </row>
    <row r="80" spans="8:10" x14ac:dyDescent="0.45">
      <c r="H80" s="7"/>
      <c r="I80" s="7"/>
      <c r="J80" s="7"/>
    </row>
    <row r="81" spans="8:10" x14ac:dyDescent="0.45">
      <c r="H81" s="7"/>
      <c r="I81" s="7"/>
      <c r="J81" s="7"/>
    </row>
    <row r="82" spans="8:10" x14ac:dyDescent="0.45">
      <c r="H82" s="7"/>
      <c r="I82" s="7"/>
      <c r="J82" s="7"/>
    </row>
    <row r="83" spans="8:10" x14ac:dyDescent="0.45">
      <c r="H83" s="7"/>
      <c r="I83" s="7"/>
      <c r="J83" s="7"/>
    </row>
    <row r="84" spans="8:10" x14ac:dyDescent="0.45">
      <c r="H84" s="7"/>
      <c r="I84" s="7"/>
      <c r="J84" s="7"/>
    </row>
    <row r="85" spans="8:10" x14ac:dyDescent="0.45">
      <c r="H85" s="7"/>
      <c r="I85" s="7"/>
      <c r="J85" s="7"/>
    </row>
    <row r="86" spans="8:10" x14ac:dyDescent="0.45">
      <c r="H86" s="7"/>
      <c r="I86" s="7"/>
      <c r="J86" s="7"/>
    </row>
    <row r="87" spans="8:10" x14ac:dyDescent="0.45">
      <c r="H87" s="7"/>
      <c r="I87" s="7"/>
      <c r="J87" s="7"/>
    </row>
    <row r="88" spans="8:10" x14ac:dyDescent="0.45">
      <c r="H88" s="7"/>
      <c r="I88" s="7"/>
      <c r="J88" s="7"/>
    </row>
    <row r="89" spans="8:10" x14ac:dyDescent="0.45">
      <c r="H89" s="7"/>
      <c r="I89" s="7"/>
      <c r="J89" s="7"/>
    </row>
    <row r="90" spans="8:10" x14ac:dyDescent="0.45">
      <c r="H90" s="7"/>
      <c r="I90" s="7"/>
      <c r="J90" s="7"/>
    </row>
    <row r="91" spans="8:10" x14ac:dyDescent="0.45">
      <c r="H91" s="7"/>
      <c r="I91" s="7"/>
      <c r="J91" s="7"/>
    </row>
    <row r="92" spans="8:10" x14ac:dyDescent="0.45">
      <c r="H92" s="7"/>
      <c r="I92" s="7"/>
      <c r="J92" s="7"/>
    </row>
    <row r="93" spans="8:10" x14ac:dyDescent="0.45">
      <c r="H93" s="7"/>
      <c r="I93" s="7"/>
      <c r="J93" s="7"/>
    </row>
    <row r="94" spans="8:10" x14ac:dyDescent="0.45">
      <c r="H94" s="7"/>
      <c r="I94" s="7"/>
      <c r="J94" s="7"/>
    </row>
    <row r="95" spans="8:10" x14ac:dyDescent="0.45">
      <c r="H95" s="7"/>
      <c r="I95" s="7"/>
      <c r="J95" s="7"/>
    </row>
    <row r="96" spans="8:10" x14ac:dyDescent="0.45">
      <c r="H96" s="7"/>
      <c r="I96" s="7"/>
      <c r="J96" s="7"/>
    </row>
    <row r="97" spans="8:10" x14ac:dyDescent="0.45">
      <c r="H97" s="7"/>
      <c r="I97" s="7"/>
      <c r="J97" s="7"/>
    </row>
    <row r="98" spans="8:10" x14ac:dyDescent="0.45">
      <c r="H98" s="7"/>
      <c r="I98" s="7"/>
      <c r="J98" s="7"/>
    </row>
    <row r="99" spans="8:10" x14ac:dyDescent="0.45">
      <c r="H99" s="7"/>
      <c r="I99" s="7"/>
      <c r="J99" s="7"/>
    </row>
    <row r="100" spans="8:10" x14ac:dyDescent="0.45">
      <c r="H100" s="7"/>
      <c r="I100" s="7"/>
      <c r="J100" s="7"/>
    </row>
    <row r="101" spans="8:10" x14ac:dyDescent="0.45">
      <c r="H101" s="7"/>
      <c r="I101" s="7"/>
      <c r="J101" s="7"/>
    </row>
    <row r="102" spans="8:10" x14ac:dyDescent="0.45">
      <c r="H102" s="7"/>
      <c r="I102" s="7"/>
      <c r="J102" s="7"/>
    </row>
    <row r="103" spans="8:10" x14ac:dyDescent="0.45">
      <c r="H103" s="7"/>
      <c r="I103" s="7"/>
      <c r="J103" s="7"/>
    </row>
    <row r="104" spans="8:10" x14ac:dyDescent="0.45">
      <c r="H104" s="7"/>
      <c r="I104" s="7"/>
      <c r="J104" s="7"/>
    </row>
    <row r="105" spans="8:10" x14ac:dyDescent="0.45">
      <c r="H105" s="7"/>
      <c r="I105" s="7"/>
      <c r="J105" s="7"/>
    </row>
    <row r="106" spans="8:10" x14ac:dyDescent="0.45">
      <c r="H106" s="7"/>
      <c r="I106" s="7"/>
      <c r="J106" s="7"/>
    </row>
    <row r="107" spans="8:10" x14ac:dyDescent="0.45">
      <c r="H107" s="7"/>
      <c r="I107" s="7"/>
      <c r="J107" s="7"/>
    </row>
    <row r="108" spans="8:10" x14ac:dyDescent="0.45">
      <c r="H108" s="7"/>
      <c r="I108" s="7"/>
      <c r="J108" s="7"/>
    </row>
    <row r="109" spans="8:10" x14ac:dyDescent="0.45">
      <c r="H109" s="7"/>
      <c r="I109" s="7"/>
      <c r="J109" s="7"/>
    </row>
    <row r="110" spans="8:10" x14ac:dyDescent="0.45">
      <c r="H110" s="7"/>
      <c r="I110" s="7"/>
      <c r="J110" s="7"/>
    </row>
    <row r="111" spans="8:10" x14ac:dyDescent="0.45">
      <c r="H111" s="7"/>
      <c r="I111" s="7"/>
      <c r="J111" s="7"/>
    </row>
    <row r="112" spans="8:10" x14ac:dyDescent="0.45">
      <c r="H112" s="7"/>
      <c r="I112" s="7"/>
      <c r="J112" s="7"/>
    </row>
    <row r="113" spans="8:10" x14ac:dyDescent="0.45">
      <c r="H113" s="7"/>
      <c r="I113" s="7"/>
      <c r="J113" s="7"/>
    </row>
    <row r="114" spans="8:10" x14ac:dyDescent="0.45">
      <c r="J114" s="7"/>
    </row>
    <row r="115" spans="8:10" x14ac:dyDescent="0.45">
      <c r="J115" s="7"/>
    </row>
    <row r="116" spans="8:10" x14ac:dyDescent="0.45">
      <c r="J116" s="7"/>
    </row>
    <row r="117" spans="8:10" x14ac:dyDescent="0.45">
      <c r="J117" s="7"/>
    </row>
    <row r="118" spans="8:10" x14ac:dyDescent="0.45">
      <c r="J118" s="7"/>
    </row>
    <row r="119" spans="8:10" x14ac:dyDescent="0.45">
      <c r="J119" s="7"/>
    </row>
    <row r="120" spans="8:10" x14ac:dyDescent="0.45">
      <c r="J120" s="7"/>
    </row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20"/>
  <sheetViews>
    <sheetView workbookViewId="0">
      <selection activeCell="K17" sqref="K17"/>
    </sheetView>
  </sheetViews>
  <sheetFormatPr defaultColWidth="9.33203125" defaultRowHeight="14.25" x14ac:dyDescent="0.45"/>
  <cols>
    <col min="1" max="1" width="8" style="1" bestFit="1" customWidth="1"/>
    <col min="2" max="2" width="11.6640625" style="1" bestFit="1" customWidth="1"/>
    <col min="3" max="4" width="6.53125" style="1" bestFit="1" customWidth="1"/>
    <col min="5" max="5" width="6.53125" style="1" customWidth="1"/>
    <col min="6" max="7" width="8.33203125" style="1" bestFit="1" customWidth="1"/>
    <col min="8" max="10" width="8.33203125" style="1" customWidth="1"/>
    <col min="11" max="17" width="9.33203125" style="1"/>
    <col min="18" max="18" width="14" style="1" bestFit="1" customWidth="1"/>
    <col min="19" max="16384" width="9.33203125" style="1"/>
  </cols>
  <sheetData>
    <row r="1" spans="1:18" x14ac:dyDescent="0.45">
      <c r="C1" s="16" t="s">
        <v>61</v>
      </c>
      <c r="D1" s="16"/>
      <c r="E1" s="16"/>
      <c r="F1" s="16"/>
      <c r="G1" s="16"/>
      <c r="H1" s="11"/>
      <c r="I1" s="11"/>
      <c r="J1" s="11"/>
      <c r="R1" s="10" t="s">
        <v>214</v>
      </c>
    </row>
    <row r="2" spans="1:18" x14ac:dyDescent="0.45">
      <c r="C2" s="11" t="s">
        <v>0</v>
      </c>
      <c r="D2" s="11" t="s">
        <v>1</v>
      </c>
      <c r="E2" s="11" t="s">
        <v>90</v>
      </c>
      <c r="F2" s="11" t="s">
        <v>49</v>
      </c>
      <c r="G2" s="11" t="s">
        <v>48</v>
      </c>
      <c r="H2" s="11" t="s">
        <v>164</v>
      </c>
      <c r="I2" s="11" t="s">
        <v>91</v>
      </c>
      <c r="J2" s="11"/>
      <c r="K2" s="11" t="s">
        <v>208</v>
      </c>
      <c r="L2" s="11" t="s">
        <v>209</v>
      </c>
      <c r="M2" s="11" t="s">
        <v>210</v>
      </c>
      <c r="N2" s="11" t="s">
        <v>211</v>
      </c>
      <c r="O2" s="11" t="s">
        <v>212</v>
      </c>
      <c r="P2" s="11" t="s">
        <v>213</v>
      </c>
      <c r="Q2" s="11"/>
      <c r="R2" s="10">
        <v>4</v>
      </c>
    </row>
    <row r="3" spans="1:18" x14ac:dyDescent="0.45">
      <c r="B3" s="1" t="s">
        <v>6</v>
      </c>
      <c r="C3" s="11">
        <v>500</v>
      </c>
      <c r="D3" s="11">
        <v>500</v>
      </c>
      <c r="E3" s="11">
        <v>500</v>
      </c>
      <c r="F3" s="11">
        <v>500</v>
      </c>
      <c r="G3" s="11">
        <v>500</v>
      </c>
      <c r="H3" s="11">
        <v>500</v>
      </c>
      <c r="I3" s="11">
        <v>500</v>
      </c>
      <c r="J3" s="11"/>
      <c r="K3" s="11"/>
      <c r="L3" s="11"/>
      <c r="M3" s="11"/>
      <c r="N3" s="11"/>
      <c r="O3" s="11"/>
      <c r="P3" s="11"/>
    </row>
    <row r="4" spans="1:18" x14ac:dyDescent="0.45">
      <c r="C4" s="11"/>
      <c r="D4" s="11"/>
      <c r="E4" s="11"/>
      <c r="F4" s="11"/>
      <c r="G4" s="11"/>
      <c r="H4" s="11"/>
      <c r="I4" s="11"/>
      <c r="J4" s="11"/>
    </row>
    <row r="5" spans="1:18" x14ac:dyDescent="0.45">
      <c r="A5" s="2" t="s">
        <v>58</v>
      </c>
      <c r="B5" s="1" t="s">
        <v>3</v>
      </c>
      <c r="C5" s="5">
        <f>HLOOKUP("ATE-bias-IPS-exp",Point!$D$1:$DR$96,$R$2,FALSE)</f>
        <v>0.14367845472775501</v>
      </c>
      <c r="D5" s="5">
        <f>HLOOKUP("ATE-RMSE-IPS-exp",Point!$D$1:$DR$96,$R$2,FALSE)</f>
        <v>3.6826929013991898</v>
      </c>
      <c r="E5" s="5">
        <f>(D5/$D$9)^2</f>
        <v>0.8878329333340671</v>
      </c>
      <c r="F5" s="5">
        <f>HLOOKUP("ATE-Empcov-IPS-exp",inference!$D$1:$DR$96,$R$2,FALSE)</f>
        <v>0.94499999999999995</v>
      </c>
      <c r="G5" s="5">
        <f>HLOOKUP("ATE-ASSD-IPS-exp",inference!$D$1:$DR$96,$R$2,FALSE)*2*1.96/SQRT(G$3)</f>
        <v>14.071278385551711</v>
      </c>
      <c r="H5" s="5">
        <f>G5/(2*1.96/SQRT(G$3))</f>
        <v>80.266160715349798</v>
      </c>
      <c r="I5" s="5">
        <f t="shared" ref="I5:I10" si="0">($H$9/H5)^2</f>
        <v>1.2185916648436605</v>
      </c>
      <c r="J5" s="5"/>
      <c r="K5" s="5">
        <f>HLOOKUP("ks-IPS-exp",balance!$D$1:$DR$96,$R$2,FALSE)</f>
        <v>1.98307573073864</v>
      </c>
      <c r="L5" s="5">
        <f>HLOOKUP("cvm-IPS-exp",balance!$D$1:$DR$96,$R$2,FALSE)</f>
        <v>0.21488031892119699</v>
      </c>
      <c r="M5" s="5">
        <f>HLOOKUP("ks-IPS-exp_1",balance!$D$1:$DR$96,$R$2,FALSE)</f>
        <v>1.09803047651057</v>
      </c>
      <c r="N5" s="5">
        <f>HLOOKUP("cvm-IPS-exp_1",balance!$D$1:$DR$96,$R$2,FALSE)</f>
        <v>4.4218110802656398E-2</v>
      </c>
      <c r="O5" s="5">
        <f>HLOOKUP("ks-IPS-exp_0",balance!$D$1:$DR$96,$R$2,FALSE)</f>
        <v>1.25129650015372</v>
      </c>
      <c r="P5" s="5">
        <f>HLOOKUP("cvm-IPS-exp_0",balance!$D$1:$DR$96,$R$2,FALSE)</f>
        <v>9.9157920427529606E-2</v>
      </c>
    </row>
    <row r="6" spans="1:18" x14ac:dyDescent="0.45">
      <c r="B6" s="1" t="s">
        <v>5</v>
      </c>
      <c r="C6" s="5">
        <f>HLOOKUP("ATE-bias-IPS-ind",Point!$D$1:$DR$96,$R$2,FALSE)</f>
        <v>0.955824229839211</v>
      </c>
      <c r="D6" s="5">
        <f>HLOOKUP("ATE-RMSE-IPS-ind",Point!$D$1:$DR$96,$R$2,FALSE)</f>
        <v>3.6739029445254201</v>
      </c>
      <c r="E6" s="5">
        <f t="shared" ref="E6:E10" si="1">(D6/$D$9)^2</f>
        <v>0.88359978113662296</v>
      </c>
      <c r="F6" s="5">
        <f>HLOOKUP("ATE-Empcov-IPS-ind",inference!$D$1:$DR$96,$R$2,FALSE)</f>
        <v>0.96699999999999997</v>
      </c>
      <c r="G6" s="5">
        <f>HLOOKUP("ATE-ASSD-IPS-ind",inference!$D$1:$DR$96,$R$2,FALSE)*2*1.96/SQRT(G$3)</f>
        <v>15.512624774843047</v>
      </c>
      <c r="H6" s="5">
        <f t="shared" ref="H6:H9" si="2">G6/(2*1.96/SQRT(G$3))</f>
        <v>88.487968127541905</v>
      </c>
      <c r="I6" s="5">
        <f t="shared" si="0"/>
        <v>1.0026624207406138</v>
      </c>
      <c r="J6" s="5"/>
      <c r="K6" s="5">
        <f>HLOOKUP("ks-IPS-ind",balance!$D$1:$DR$96,$R$2,FALSE)</f>
        <v>1.8240741678679</v>
      </c>
      <c r="L6" s="5">
        <f>HLOOKUP("cvm-IPS-ind",balance!$D$1:$DR$96,$R$2,FALSE)</f>
        <v>0.156106108884664</v>
      </c>
      <c r="M6" s="5">
        <f>HLOOKUP("ks-IPS-ind_1",balance!$D$1:$DR$96,$R$2,FALSE)</f>
        <v>1.04028762121114</v>
      </c>
      <c r="N6" s="5">
        <f>HLOOKUP("cvm-IPS-ind_1",balance!$D$1:$DR$96,$R$2,FALSE)</f>
        <v>3.5014407113139502E-2</v>
      </c>
      <c r="O6" s="5">
        <f>HLOOKUP("ks-IPS-ind_0",balance!$D$1:$DR$96,$R$2,FALSE)</f>
        <v>1.10943822537047</v>
      </c>
      <c r="P6" s="5">
        <f>HLOOKUP("cvm-IPS-ind_0",balance!$D$1:$DR$96,$R$2,FALSE)</f>
        <v>6.4149368082626695E-2</v>
      </c>
    </row>
    <row r="7" spans="1:18" x14ac:dyDescent="0.45">
      <c r="B7" s="1" t="s">
        <v>4</v>
      </c>
      <c r="C7" s="5">
        <f>HLOOKUP("ATE-bias-IPS-proj",Point!$D$1:$DR$96,$R$2,FALSE)</f>
        <v>0.154220682548113</v>
      </c>
      <c r="D7" s="5">
        <f>HLOOKUP("ATE-RMSE-IPS-proj",Point!$D$1:$DR$96,$R$2,FALSE)</f>
        <v>3.60844032832411</v>
      </c>
      <c r="E7" s="5">
        <f t="shared" si="1"/>
        <v>0.85239186674939738</v>
      </c>
      <c r="F7" s="6">
        <f>HLOOKUP("ATE-Empcov-IPS-proj",inference!$D$1:$DR$96,$R$2,FALSE)</f>
        <v>0.94399999999999995</v>
      </c>
      <c r="G7" s="6">
        <f>HLOOKUP("ATE-ASSD-IPS-proj",inference!$D$1:$DR$96,$R$2,FALSE)*2*1.96/SQRT(G$3)</f>
        <v>13.823632773400549</v>
      </c>
      <c r="H7" s="5">
        <f t="shared" si="2"/>
        <v>78.853526982952999</v>
      </c>
      <c r="I7" s="5">
        <f t="shared" si="0"/>
        <v>1.2626440519470359</v>
      </c>
      <c r="J7" s="5"/>
      <c r="K7" s="5">
        <f>HLOOKUP("ks-IPS-proj",balance!$D$1:$DR$96,$R$2,FALSE)</f>
        <v>1.97628830580582</v>
      </c>
      <c r="L7" s="5">
        <f>HLOOKUP("cvm-IPS-proj",balance!$D$1:$DR$96,$R$2,FALSE)</f>
        <v>0.21290167647142</v>
      </c>
      <c r="M7" s="5">
        <f>HLOOKUP("ks-IPS-proj_1",balance!$D$1:$DR$96,$R$2,FALSE)</f>
        <v>1.0833541696672899</v>
      </c>
      <c r="N7" s="5">
        <f>HLOOKUP("cvm-IPS-proj_1",balance!$D$1:$DR$96,$R$2,FALSE)</f>
        <v>4.3833701351536698E-2</v>
      </c>
      <c r="O7" s="5">
        <f>HLOOKUP("ks-IPS-proj_0",balance!$D$1:$DR$96,$R$2,FALSE)</f>
        <v>1.2364173494144499</v>
      </c>
      <c r="P7" s="5">
        <f>HLOOKUP("cvm-IPS-proj_0",balance!$D$1:$DR$96,$R$2,FALSE)</f>
        <v>9.65192563497696E-2</v>
      </c>
    </row>
    <row r="8" spans="1:18" x14ac:dyDescent="0.45">
      <c r="B8" s="1" t="s">
        <v>88</v>
      </c>
      <c r="C8" s="5">
        <f>HLOOKUP("ATE-bias-CBPS-just",Point!$D$1:$DR$96,$R$2,FALSE)</f>
        <v>2.9476545024106598E-2</v>
      </c>
      <c r="D8" s="5">
        <f>HLOOKUP("ATE-RMSE-CBPS-just",Point!$D$1:$DR$96,$R$2,FALSE)</f>
        <v>4.0621994761322702</v>
      </c>
      <c r="E8" s="5">
        <f t="shared" si="1"/>
        <v>1.0802461645365402</v>
      </c>
      <c r="F8" s="5">
        <f>HLOOKUP("ATE-Empcov-CBPS-just",inference!$D$1:$DR$96,$R$2,FALSE)</f>
        <v>0.93300000000000005</v>
      </c>
      <c r="G8" s="5">
        <f>HLOOKUP("ATE-ASSD-CBPS-just",inference!$D$1:$DR$96,$R$2,FALSE)*2*1.96/SQRT(G$3)</f>
        <v>14.989543930317328</v>
      </c>
      <c r="H8" s="5">
        <f t="shared" si="2"/>
        <v>85.504181581400303</v>
      </c>
      <c r="I8" s="5">
        <f t="shared" si="0"/>
        <v>1.0738620012063786</v>
      </c>
      <c r="J8" s="5"/>
      <c r="K8" s="5">
        <f>HLOOKUP("ks-CBPS-Just",balance!$D$1:$DR$96,$R$2,FALSE)</f>
        <v>2.0610865445448199</v>
      </c>
      <c r="L8" s="5">
        <f>HLOOKUP("cvm-CBPS-Just",balance!$D$1:$DR$96,$R$2,FALSE)</f>
        <v>0.23111712751264499</v>
      </c>
      <c r="M8" s="5">
        <f>HLOOKUP("ks-CBPS-Just_1",balance!$D$1:$DR$96,$R$2,FALSE)</f>
        <v>1.1447097894861</v>
      </c>
      <c r="N8" s="5">
        <f>HLOOKUP("cvm-CBPS-Just_1",balance!$D$1:$DR$96,$R$2,FALSE)</f>
        <v>4.7915132656864201E-2</v>
      </c>
      <c r="O8" s="5">
        <f>HLOOKUP("ks-CBPS-Just_0",balance!$D$1:$DR$96,$R$2,FALSE)</f>
        <v>1.3071612102205501</v>
      </c>
      <c r="P8" s="5">
        <f>HLOOKUP("cvm-CBPS-Just_0",balance!$D$1:$DR$96,$R$2,FALSE)</f>
        <v>0.108002677250331</v>
      </c>
    </row>
    <row r="9" spans="1:18" x14ac:dyDescent="0.45">
      <c r="B9" s="1" t="s">
        <v>89</v>
      </c>
      <c r="C9" s="5">
        <f>HLOOKUP("ATE-bias-CBPS-over",Point!$D$1:$DR$96,$R$2,FALSE)</f>
        <v>5.1185302844132301E-2</v>
      </c>
      <c r="D9" s="5">
        <f>HLOOKUP("ATE-RMSE-CBPS-over",Point!$D$1:$DR$96,$R$2,FALSE)</f>
        <v>3.9084078718397399</v>
      </c>
      <c r="E9" s="5">
        <f t="shared" si="1"/>
        <v>1</v>
      </c>
      <c r="F9" s="5">
        <f>HLOOKUP("ATE-Empcov-CBPS-over",inference!$D$1:$DR$96,$R$2,FALSE)</f>
        <v>0.95</v>
      </c>
      <c r="G9" s="5">
        <f>HLOOKUP("ATE-ASSD-CBPS-over",inference!$D$1:$DR$96,$R$2,FALSE)*2*1.96/SQRT(G$3)</f>
        <v>15.533261614956809</v>
      </c>
      <c r="H9" s="5">
        <f t="shared" si="2"/>
        <v>88.6056859268663</v>
      </c>
      <c r="I9" s="5">
        <f t="shared" si="0"/>
        <v>1</v>
      </c>
      <c r="J9" s="5"/>
      <c r="K9" s="5">
        <f>HLOOKUP("ks-CBPS-over",balance!$D$1:$DR$96,$R$2,FALSE)</f>
        <v>2.0525505790418501</v>
      </c>
      <c r="L9" s="5">
        <f>HLOOKUP("cvm-CBPS-over",balance!$D$1:$DR$96,$R$2,FALSE)</f>
        <v>0.222402211698146</v>
      </c>
      <c r="M9" s="5">
        <f>HLOOKUP("ks-CBPS-over_1",balance!$D$1:$DR$96,$R$2,FALSE)</f>
        <v>1.1114210558489599</v>
      </c>
      <c r="N9" s="5">
        <f>HLOOKUP("cvm-CBPS-over_1",balance!$D$1:$DR$96,$R$2,FALSE)</f>
        <v>4.7683557713198703E-2</v>
      </c>
      <c r="O9" s="5">
        <f>HLOOKUP("ks-CBPS-over_0",balance!$D$1:$DR$96,$R$2,FALSE)</f>
        <v>1.25569064003155</v>
      </c>
      <c r="P9" s="5">
        <f>HLOOKUP("cvm-CBPS-over_0",balance!$D$1:$DR$96,$R$2,FALSE)</f>
        <v>9.5414793582489693E-2</v>
      </c>
    </row>
    <row r="10" spans="1:18" s="3" customFormat="1" x14ac:dyDescent="0.45">
      <c r="B10" s="3" t="s">
        <v>2</v>
      </c>
      <c r="C10" s="5">
        <f>HLOOKUP("ATE-bias-GLM",Point!$D$1:$DR$96,$R$2,FALSE)</f>
        <v>-4.9784970765866597E-2</v>
      </c>
      <c r="D10" s="5">
        <f>HLOOKUP("ATE-RMSE-GLM",Point!$D$1:$DR$96,$R$2,FALSE)</f>
        <v>4.5263008716192097</v>
      </c>
      <c r="E10" s="5">
        <f t="shared" si="1"/>
        <v>1.3411800331762351</v>
      </c>
      <c r="F10" s="5">
        <f>HLOOKUP("ATE-Empcov-GLM",inference!$D$1:$DR$96,$R$2,FALSE)</f>
        <v>0.94199999999999995</v>
      </c>
      <c r="G10" s="5">
        <f>HLOOKUP("ATE-ASSD-GLM",inference!$D$1:$DR$96,$R$2,FALSE)*2*1.96/SQRT(G$3)</f>
        <v>16.46288141061132</v>
      </c>
      <c r="H10" s="5">
        <f>G10/(2*1.96/SQRT(G$3))</f>
        <v>93.908474335827918</v>
      </c>
      <c r="I10" s="5">
        <f t="shared" si="0"/>
        <v>0.89025334476612727</v>
      </c>
      <c r="J10" s="5"/>
      <c r="K10" s="5">
        <f>HLOOKUP("ks-GLM",balance!$D$1:$DR$96,$R$2,FALSE)</f>
        <v>2.0556549510103501</v>
      </c>
      <c r="L10" s="5">
        <f>HLOOKUP("cvm-GLM",balance!$D$1:$DR$96,$R$2,FALSE)</f>
        <v>0.23571663994528</v>
      </c>
      <c r="M10" s="5">
        <f>HLOOKUP("ks-GLM_1",balance!$D$1:$DR$96,$R$2,FALSE)</f>
        <v>1.1442831457286999</v>
      </c>
      <c r="N10" s="5">
        <f>HLOOKUP("cvm-GLM_1",balance!$D$1:$DR$96,$R$2,FALSE)</f>
        <v>4.5933379287641497E-2</v>
      </c>
      <c r="O10" s="5">
        <f>HLOOKUP("ks-GLM_0",balance!$D$1:$DR$96,$R$2,FALSE)</f>
        <v>1.3320067450253299</v>
      </c>
      <c r="P10" s="5">
        <f>HLOOKUP("cvm-GLM_0",balance!$D$1:$DR$96,$R$2,FALSE)</f>
        <v>0.119639251486316</v>
      </c>
    </row>
    <row r="11" spans="1:18" s="4" customFormat="1" x14ac:dyDescent="0.45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8" x14ac:dyDescent="0.45">
      <c r="A12" s="2" t="s">
        <v>206</v>
      </c>
      <c r="B12" s="1" t="s">
        <v>3</v>
      </c>
      <c r="C12" s="5">
        <f>HLOOKUP("QTE-0.10-bias-IPS-exp",Point!$D$1:$DR$96,$R$2,FALSE)</f>
        <v>0.16513831241952601</v>
      </c>
      <c r="D12" s="5">
        <f>HLOOKUP("QTE-0.10-RMSE-IPS-exp",Point!$D$1:$DR$96,$R$2,FALSE)</f>
        <v>4.86551686570599</v>
      </c>
      <c r="E12" s="5">
        <f t="shared" ref="E12:E15" si="3">(D12/$D$16)^2</f>
        <v>1.0448279470715407</v>
      </c>
      <c r="F12" s="5">
        <f>HLOOKUP("QTE-0.1-Empcov-IPS-exp",inference!$D$1:$DR$96,$R$2,FALSE)</f>
        <v>0.95499999999999996</v>
      </c>
      <c r="G12" s="5">
        <f>HLOOKUP("QTE-0.1-ASSD-IPS-exp",inference!$D$1:$DR$96,$R$2,FALSE)*2*1.96/SQRT(G$3)</f>
        <v>19.421105068432038</v>
      </c>
      <c r="H12" s="5">
        <f>G12/(2*1.96/SQRT(G$3))</f>
        <v>110.782936559132</v>
      </c>
      <c r="I12" s="5">
        <f t="shared" ref="I12:I17" si="4">($H$16/H12)^2</f>
        <v>0.98623563767212918</v>
      </c>
      <c r="J12" s="5"/>
      <c r="K12" s="5"/>
      <c r="L12" s="5"/>
      <c r="M12" s="5"/>
      <c r="N12" s="5"/>
    </row>
    <row r="13" spans="1:18" x14ac:dyDescent="0.45">
      <c r="B13" s="1" t="s">
        <v>5</v>
      </c>
      <c r="C13" s="5">
        <f>HLOOKUP("QTE-0.10-bias-IPS-ind",Point!$D$1:$DR$96,$R$2,FALSE)</f>
        <v>0.47223522226307701</v>
      </c>
      <c r="D13" s="5">
        <f>HLOOKUP("QTE-0.10-RMSE-IPS-ind",Point!$D$1:$DR$96,$R$2,FALSE)</f>
        <v>5.2457540841288601</v>
      </c>
      <c r="E13" s="5">
        <f t="shared" si="3"/>
        <v>1.2145144066699674</v>
      </c>
      <c r="F13" s="5">
        <f>HLOOKUP("QTE-0.1-Empcov-IPS-ind",inference!$D$1:$DR$96,$R$2,FALSE)</f>
        <v>0.96</v>
      </c>
      <c r="G13" s="5">
        <f>HLOOKUP("QTE-0.1-ASSD-IPS-ind",inference!$D$1:$DR$96,$R$2,FALSE)*2*1.96/SQRT(G$3)</f>
        <v>21.438509100541648</v>
      </c>
      <c r="H13" s="5">
        <f t="shared" ref="H13:H16" si="5">G13/(2*1.96/SQRT(G$3))</f>
        <v>122.290723686375</v>
      </c>
      <c r="I13" s="5">
        <f t="shared" si="4"/>
        <v>0.80935565877287763</v>
      </c>
      <c r="J13" s="5"/>
      <c r="K13" s="5"/>
      <c r="L13" s="5"/>
      <c r="M13" s="5"/>
      <c r="N13" s="5"/>
    </row>
    <row r="14" spans="1:18" x14ac:dyDescent="0.45">
      <c r="B14" s="1" t="s">
        <v>4</v>
      </c>
      <c r="C14" s="5">
        <f>HLOOKUP("QTE-0.10-bias-IPS-proj",Point!$D$1:$DR$96,$R$2,FALSE)</f>
        <v>0.16393431077139201</v>
      </c>
      <c r="D14" s="5">
        <f>HLOOKUP("QTE-0.10-RMSE-IPS-proj",Point!$D$1:$DR$96,$R$2,FALSE)</f>
        <v>4.8490494179583798</v>
      </c>
      <c r="E14" s="5">
        <f t="shared" si="3"/>
        <v>1.0377674297000512</v>
      </c>
      <c r="F14" s="6">
        <f>HLOOKUP("QTE-0.1-Empcov-IPS-proj",inference!$D$1:$DR$96,$R$2,FALSE)</f>
        <v>0.95199999999999996</v>
      </c>
      <c r="G14" s="6">
        <f>HLOOKUP("QTE-0.1-ASSD-IPS-proj",inference!$D$1:$DR$96,$R$2,FALSE)*2*1.96/SQRT(G$3)</f>
        <v>19.426134132782156</v>
      </c>
      <c r="H14" s="5">
        <f t="shared" si="5"/>
        <v>110.811623624821</v>
      </c>
      <c r="I14" s="5">
        <f t="shared" si="4"/>
        <v>0.98572506768976287</v>
      </c>
      <c r="J14" s="5"/>
      <c r="K14" s="5"/>
      <c r="L14" s="5"/>
      <c r="M14" s="5"/>
      <c r="N14" s="5"/>
    </row>
    <row r="15" spans="1:18" x14ac:dyDescent="0.45">
      <c r="B15" s="1" t="s">
        <v>88</v>
      </c>
      <c r="C15" s="5">
        <f>HLOOKUP("QTE-0.10-bias-CBPS-just",Point!$D$1:$DR$96,$R$2,FALSE)</f>
        <v>3.1665359565328899E-2</v>
      </c>
      <c r="D15" s="5">
        <f>HLOOKUP("QTE-0.10-RMSE-CBPS-just",Point!$D$1:$DR$96,$R$2,FALSE)</f>
        <v>4.7049576751846498</v>
      </c>
      <c r="E15" s="5">
        <f t="shared" si="3"/>
        <v>0.9770083104971744</v>
      </c>
      <c r="F15" s="5">
        <f>HLOOKUP("QTE-0.1-Empcov-CBPS-just",inference!$D$1:$DR$96,$R$2,FALSE)</f>
        <v>0.95599999999999996</v>
      </c>
      <c r="G15" s="5">
        <f>HLOOKUP("QTE-0.1-ASSD-CBPS-just",inference!$D$1:$DR$96,$R$2,FALSE)*2*1.96/SQRT(G$3)</f>
        <v>18.788646162806579</v>
      </c>
      <c r="H15" s="5">
        <f t="shared" si="5"/>
        <v>107.17522965618902</v>
      </c>
      <c r="I15" s="5">
        <f t="shared" si="4"/>
        <v>1.0537500106860838</v>
      </c>
      <c r="J15" s="5"/>
      <c r="K15" s="5"/>
      <c r="L15" s="5"/>
      <c r="M15" s="5"/>
      <c r="N15" s="5"/>
    </row>
    <row r="16" spans="1:18" x14ac:dyDescent="0.45">
      <c r="B16" s="1" t="s">
        <v>89</v>
      </c>
      <c r="C16" s="5">
        <f>HLOOKUP("QTE-0.10-bias-CBPS-over",Point!$D$1:$DR$96,$R$2,FALSE)</f>
        <v>4.1583752048932603E-2</v>
      </c>
      <c r="D16" s="5">
        <f>HLOOKUP("QTE-0.10-RMSE-CBPS-over",Point!$D$1:$DR$96,$R$2,FALSE)</f>
        <v>4.7599960466416302</v>
      </c>
      <c r="E16" s="5">
        <f>(D16/$D$16)^2</f>
        <v>1</v>
      </c>
      <c r="F16" s="5">
        <f>HLOOKUP("QTE-0.1-Empcov-CBPS-over",inference!$D$1:$DR$96,$R$2,FALSE)</f>
        <v>0.95899999999999996</v>
      </c>
      <c r="G16" s="5">
        <f>HLOOKUP("QTE-0.1-ASSD-CBPS-over",inference!$D$1:$DR$96,$R$2,FALSE)*2*1.96/SQRT(G$3)</f>
        <v>19.286982377432697</v>
      </c>
      <c r="H16" s="5">
        <f t="shared" si="5"/>
        <v>110.01786652239801</v>
      </c>
      <c r="I16" s="5">
        <f>($H$16/H16)^2</f>
        <v>1</v>
      </c>
      <c r="J16" s="5"/>
      <c r="K16" s="5"/>
      <c r="L16" s="5"/>
      <c r="M16" s="5"/>
      <c r="N16" s="5"/>
    </row>
    <row r="17" spans="1:18" s="3" customFormat="1" x14ac:dyDescent="0.45">
      <c r="B17" s="3" t="s">
        <v>2</v>
      </c>
      <c r="C17" s="5">
        <f>HLOOKUP("QTE-0.10-bias-GLM",Point!$D$1:$DR$96,$R$2,FALSE)</f>
        <v>1.09658056609785E-2</v>
      </c>
      <c r="D17" s="5">
        <f>HLOOKUP("QTE-0.10-RMSE-GLM",Point!$D$1:$DR$96,$R$2,FALSE)</f>
        <v>4.7567041188589103</v>
      </c>
      <c r="E17" s="5">
        <f>(D17/$D$16)^2</f>
        <v>0.99861731420303435</v>
      </c>
      <c r="F17" s="5">
        <f>HLOOKUP("QTE-0.1-Empcov-GLM",inference!$D$1:$DR$96,$R$2,FALSE)</f>
        <v>0.96</v>
      </c>
      <c r="G17" s="5">
        <f>HLOOKUP("QTE-0.1-ASSD-GLM",inference!$D$1:$DR$96,$R$2,FALSE)*2*1.96/SQRT(G$3)</f>
        <v>18.904810183435767</v>
      </c>
      <c r="H17" s="5">
        <f>G17/(2*1.96/SQRT(G$3))</f>
        <v>107.837858856869</v>
      </c>
      <c r="I17" s="5">
        <f t="shared" si="4"/>
        <v>1.0408398827069298</v>
      </c>
      <c r="J17" s="5"/>
      <c r="K17" s="5"/>
      <c r="L17" s="5"/>
      <c r="M17" s="5"/>
      <c r="N17" s="5"/>
    </row>
    <row r="18" spans="1:18" s="4" customFormat="1" x14ac:dyDescent="0.45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8" x14ac:dyDescent="0.45">
      <c r="A19" s="2" t="s">
        <v>59</v>
      </c>
      <c r="B19" s="1" t="s">
        <v>3</v>
      </c>
      <c r="C19" s="5">
        <f>HLOOKUP("QTE-0.25-bias-IPS-exp",Point!$D$1:$DR$96,$R$2,FALSE)</f>
        <v>8.5997570589904995E-2</v>
      </c>
      <c r="D19" s="5">
        <f>HLOOKUP("QTE-0.25-RMSE-IPS-exp",Point!$D$1:$DR$96,$R$2,FALSE)</f>
        <v>4.3504822420884004</v>
      </c>
      <c r="E19" s="5">
        <f>(D19/$D$23)^2</f>
        <v>1.0112716542150098</v>
      </c>
      <c r="F19" s="5">
        <f>HLOOKUP("QTE-0.25-Empcov-IPS-exp",inference!$D$1:$DR$96,$R$2,FALSE)</f>
        <v>0.95399999999999996</v>
      </c>
      <c r="G19" s="5">
        <f>HLOOKUP("QTE-0.25-ASSD-IPS-exp",inference!$D$1:$DR$96,$R$2,FALSE)*2*1.96/SQRT(G$3)</f>
        <v>17.20875339569497</v>
      </c>
      <c r="H19" s="5">
        <f>G19/(2*1.96/SQRT(G$3))</f>
        <v>98.163118369398703</v>
      </c>
      <c r="I19" s="5">
        <f>($H$23/H19)^2</f>
        <v>1.0348956693452351</v>
      </c>
      <c r="J19" s="5"/>
      <c r="K19" s="5"/>
      <c r="L19" s="5"/>
      <c r="M19" s="5"/>
      <c r="N19" s="5"/>
    </row>
    <row r="20" spans="1:18" x14ac:dyDescent="0.45">
      <c r="B20" s="1" t="s">
        <v>5</v>
      </c>
      <c r="C20" s="5">
        <f>HLOOKUP("QTE-0.25-bias-IPS-ind",Point!$D$1:$DR$96,$R$2,FALSE)</f>
        <v>0.63926648578057899</v>
      </c>
      <c r="D20" s="5">
        <f>HLOOKUP("QTE-0.25-RMSE-IPS-ind",Point!$D$1:$DR$96,$R$2,FALSE)</f>
        <v>4.6860234345099903</v>
      </c>
      <c r="E20" s="5">
        <f t="shared" ref="E20:E24" si="6">(D20/$D$23)^2</f>
        <v>1.1732807518048936</v>
      </c>
      <c r="F20" s="5">
        <f>HLOOKUP("QTE-0.25-Empcov-IPS-ind",inference!$D$1:$DR$96,$R$2,FALSE)</f>
        <v>0.96699999999999997</v>
      </c>
      <c r="G20" s="5">
        <f>HLOOKUP("QTE-0.25-ASSD-IPS-ind",inference!$D$1:$DR$96,$R$2,FALSE)*2*1.96/SQRT(G$3)</f>
        <v>19.319612655306898</v>
      </c>
      <c r="H20" s="5">
        <f t="shared" ref="H20:H23" si="7">G20/(2*1.96/SQRT(G$3))</f>
        <v>110.20399794957001</v>
      </c>
      <c r="I20" s="5">
        <f t="shared" ref="I20:I24" si="8">($H$23/H20)^2</f>
        <v>0.82110474548219969</v>
      </c>
      <c r="J20" s="5"/>
      <c r="K20" s="5"/>
      <c r="L20" s="5"/>
      <c r="M20" s="5"/>
      <c r="N20" s="5"/>
    </row>
    <row r="21" spans="1:18" x14ac:dyDescent="0.45">
      <c r="B21" s="1" t="s">
        <v>4</v>
      </c>
      <c r="C21" s="5">
        <f>HLOOKUP("QTE-0.25-bias-IPS-proj",Point!$D$1:$DR$96,$R$2,FALSE)</f>
        <v>8.1114300000029602E-2</v>
      </c>
      <c r="D21" s="5">
        <f>HLOOKUP("QTE-0.25-RMSE-IPS-proj",Point!$D$1:$DR$96,$R$2,FALSE)</f>
        <v>4.3278502837689601</v>
      </c>
      <c r="E21" s="5">
        <f t="shared" si="6"/>
        <v>1.000777403027264</v>
      </c>
      <c r="F21" s="6">
        <f>HLOOKUP("QTE-0.25-Empcov-IPS-proj",inference!$D$1:$DR$96,$R$2,FALSE)</f>
        <v>0.95699999999999996</v>
      </c>
      <c r="G21" s="6">
        <f>HLOOKUP("QTE-0.25-ASSD-IPS-proj",inference!$D$1:$DR$96,$R$2,FALSE)*2*1.96/SQRT(G$3)</f>
        <v>17.178791325960791</v>
      </c>
      <c r="H21" s="5">
        <f t="shared" si="7"/>
        <v>97.992207081969596</v>
      </c>
      <c r="I21" s="5">
        <f t="shared" si="8"/>
        <v>1.0385088056017411</v>
      </c>
      <c r="J21" s="5"/>
      <c r="K21" s="5"/>
      <c r="L21" s="5"/>
      <c r="M21" s="5"/>
      <c r="N21" s="5"/>
    </row>
    <row r="22" spans="1:18" x14ac:dyDescent="0.45">
      <c r="B22" s="1" t="s">
        <v>88</v>
      </c>
      <c r="C22" s="5">
        <f>HLOOKUP("QTE-0.25-bias-CBPS-just",Point!$D$1:$DR$96,$R$2,FALSE)</f>
        <v>3.4745270878637799E-3</v>
      </c>
      <c r="D22" s="5">
        <f>HLOOKUP("QTE-0.25-RMSE-CBPS-just",Point!$D$1:$DR$96,$R$2,FALSE)</f>
        <v>4.36421597121047</v>
      </c>
      <c r="E22" s="5">
        <f t="shared" si="6"/>
        <v>1.0176665557700084</v>
      </c>
      <c r="F22" s="5">
        <f>HLOOKUP("QTE-0.25-Empcov-CBPS-just",inference!$D$1:$DR$96,$R$2,FALSE)</f>
        <v>0.95599999999999996</v>
      </c>
      <c r="G22" s="5">
        <f>HLOOKUP("QTE-0.25-ASSD-CBPS-just",inference!$D$1:$DR$96,$R$2,FALSE)*2*1.96/SQRT(G$3)</f>
        <v>17.064562921225789</v>
      </c>
      <c r="H22" s="5">
        <f t="shared" si="7"/>
        <v>97.340619128018517</v>
      </c>
      <c r="I22" s="5">
        <f t="shared" si="8"/>
        <v>1.0524586786554868</v>
      </c>
      <c r="J22" s="5"/>
      <c r="K22" s="5"/>
      <c r="L22" s="5"/>
      <c r="M22" s="5"/>
      <c r="N22" s="5"/>
    </row>
    <row r="23" spans="1:18" x14ac:dyDescent="0.45">
      <c r="B23" s="1" t="s">
        <v>89</v>
      </c>
      <c r="C23" s="5">
        <f>HLOOKUP("QTE-0.25-bias-CBPS-over",Point!$D$1:$DR$96,$R$2,FALSE)</f>
        <v>3.5855767414373602E-2</v>
      </c>
      <c r="D23" s="5">
        <f>HLOOKUP("QTE-0.25-RMSE-CBPS-over",Point!$D$1:$DR$96,$R$2,FALSE)</f>
        <v>4.3261690220128903</v>
      </c>
      <c r="E23" s="5">
        <f>(D23/$D$23)^2</f>
        <v>1</v>
      </c>
      <c r="F23" s="5">
        <f>HLOOKUP("QTE-0.25-Empcov-CBPS-over",inference!$D$1:$DR$96,$R$2,FALSE)</f>
        <v>0.96899999999999997</v>
      </c>
      <c r="G23" s="5">
        <f>HLOOKUP("QTE-0.25-ASSD-CBPS-over",inference!$D$1:$DR$96,$R$2,FALSE)*2*1.96/SQRT(G$3)</f>
        <v>17.506434205726013</v>
      </c>
      <c r="H23" s="5">
        <f t="shared" si="7"/>
        <v>99.861165631711501</v>
      </c>
      <c r="I23" s="5">
        <f t="shared" si="8"/>
        <v>1</v>
      </c>
      <c r="J23" s="5"/>
      <c r="K23" s="5"/>
      <c r="L23" s="5"/>
      <c r="M23" s="5"/>
      <c r="N23" s="5"/>
    </row>
    <row r="24" spans="1:18" s="3" customFormat="1" x14ac:dyDescent="0.45">
      <c r="B24" s="3" t="s">
        <v>2</v>
      </c>
      <c r="C24" s="5">
        <f>HLOOKUP("QTE-0.25-bias-GLM",Point!$D$1:$DR$96,$R$2,FALSE)</f>
        <v>-3.9711297047260202E-2</v>
      </c>
      <c r="D24" s="5">
        <f>HLOOKUP("QTE-0.25-RMSE-GLM",Point!$D$1:$DR$96,$R$2,FALSE)</f>
        <v>4.4702961010271496</v>
      </c>
      <c r="E24" s="5">
        <f t="shared" si="6"/>
        <v>1.0677402513468965</v>
      </c>
      <c r="F24" s="5">
        <f>HLOOKUP("QTE-0.25-Empcov-GLM",inference!$D$1:$DR$96,$R$2,FALSE)</f>
        <v>0.95399999999999996</v>
      </c>
      <c r="G24" s="5">
        <f>HLOOKUP("QTE-0.25-ASSD-GLM",inference!$D$1:$DR$96,$R$2,FALSE)*2*1.96/SQRT(G$3)</f>
        <v>17.457847943419772</v>
      </c>
      <c r="H24" s="5">
        <f>G24/(2*1.96/SQRT(G$3))</f>
        <v>99.584017199850805</v>
      </c>
      <c r="I24" s="5">
        <f t="shared" si="8"/>
        <v>1.0055738681811095</v>
      </c>
      <c r="J24" s="5"/>
      <c r="K24" s="5"/>
      <c r="L24" s="5"/>
      <c r="M24" s="5"/>
      <c r="N24" s="5"/>
    </row>
    <row r="25" spans="1:18" x14ac:dyDescent="0.45">
      <c r="A25" s="4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4"/>
      <c r="P25" s="4"/>
      <c r="Q25" s="4"/>
      <c r="R25" s="4"/>
    </row>
    <row r="26" spans="1:18" x14ac:dyDescent="0.45">
      <c r="A26" s="2" t="s">
        <v>60</v>
      </c>
      <c r="B26" s="1" t="s">
        <v>3</v>
      </c>
      <c r="C26" s="5">
        <f>HLOOKUP("QTE-0.5-bias-IPS-exp",Point!$D$1:$DR$96,$R$2,FALSE)</f>
        <v>0.21003507820393699</v>
      </c>
      <c r="D26" s="5">
        <f>HLOOKUP("QTE-0.5-RMSE-IPS-exp",Point!$D$1:$DR$96,$R$2,FALSE)</f>
        <v>4.4959595633076104</v>
      </c>
      <c r="E26" s="5">
        <f>(D26/$D$30)^2</f>
        <v>0.94558517099132278</v>
      </c>
      <c r="F26" s="5">
        <f>HLOOKUP("QTE-0.5-Empcov-IPS-exp",inference!$D$1:$DR$96,$R$2,FALSE)</f>
        <v>0.94299999999999995</v>
      </c>
      <c r="G26" s="5">
        <f>HLOOKUP("QTE-0.5-ASSD-IPS-exp",inference!$D$1:$DR$96,$R$2,FALSE)*2*1.96/SQRT(G$3)</f>
        <v>17.588081019264081</v>
      </c>
      <c r="H26" s="5">
        <f>G26/(2*1.96/SQRT(G$3))</f>
        <v>100.32689987971499</v>
      </c>
      <c r="I26" s="5">
        <f>($H$30/H26)^2</f>
        <v>1.1339463510797503</v>
      </c>
      <c r="J26" s="5"/>
      <c r="K26"/>
      <c r="L26"/>
      <c r="M26"/>
      <c r="N26"/>
      <c r="O26"/>
      <c r="P26"/>
      <c r="Q26"/>
    </row>
    <row r="27" spans="1:18" x14ac:dyDescent="0.45">
      <c r="B27" s="1" t="s">
        <v>5</v>
      </c>
      <c r="C27" s="5">
        <f>HLOOKUP("QTE-0.5-bias-IPS-ind",Point!$D$1:$DR$96,$R$2,FALSE)</f>
        <v>0.941399048821141</v>
      </c>
      <c r="D27" s="5">
        <f>HLOOKUP("QTE-0.5-RMSE-IPS-ind",Point!$D$1:$DR$96,$R$2,FALSE)</f>
        <v>4.6501480279707703</v>
      </c>
      <c r="E27" s="5">
        <f t="shared" ref="E27:E31" si="9">(D27/$D$30)^2</f>
        <v>1.0115548012018001</v>
      </c>
      <c r="F27" s="5">
        <f>HLOOKUP("QTE-0.5-Empcov-IPS-ind",inference!$D$1:$DR$96,$R$2,FALSE)</f>
        <v>0.96199999999999997</v>
      </c>
      <c r="G27" s="5">
        <f>HLOOKUP("QTE-0.5-ASSD-IPS-ind",inference!$D$1:$DR$96,$R$2,FALSE)*2*1.96/SQRT(G$3)</f>
        <v>19.151358652896285</v>
      </c>
      <c r="H27" s="5">
        <f t="shared" ref="H27:H30" si="10">G27/(2*1.96/SQRT(G$3))</f>
        <v>109.244234207538</v>
      </c>
      <c r="I27" s="5">
        <f t="shared" ref="I27:I31" si="11">($H$30/H27)^2</f>
        <v>0.9563794679183828</v>
      </c>
      <c r="J27" s="5"/>
      <c r="K27" s="5"/>
      <c r="L27" s="5"/>
      <c r="M27" s="5"/>
      <c r="N27" s="5"/>
    </row>
    <row r="28" spans="1:18" x14ac:dyDescent="0.45">
      <c r="B28" s="1" t="s">
        <v>4</v>
      </c>
      <c r="C28" s="5">
        <f>HLOOKUP("QTE-0.5-bias-IPS-proj",Point!$D$1:$DR$96,$R$2,FALSE)</f>
        <v>0.197723569007421</v>
      </c>
      <c r="D28" s="5">
        <f>HLOOKUP("QTE-0.5-RMSE-IPS-proj",Point!$D$1:$DR$96,$R$2,FALSE)</f>
        <v>4.4449790354177301</v>
      </c>
      <c r="E28" s="5">
        <f t="shared" si="9"/>
        <v>0.92426241680314003</v>
      </c>
      <c r="F28" s="6">
        <f>HLOOKUP("QTE-0.5-Empcov-IPS-proj",inference!$D$1:$DR$96,$R$2,FALSE)</f>
        <v>0.94</v>
      </c>
      <c r="G28" s="6">
        <f>HLOOKUP("QTE-0.5-ASSD-IPS-proj",inference!$D$1:$DR$96,$R$2,FALSE)*2*1.96/SQRT(G$3)</f>
        <v>17.423409427615837</v>
      </c>
      <c r="H28" s="5">
        <f t="shared" si="10"/>
        <v>99.387571122346216</v>
      </c>
      <c r="I28" s="5">
        <f t="shared" si="11"/>
        <v>1.1554818781841318</v>
      </c>
      <c r="J28" s="5"/>
      <c r="K28" s="5"/>
      <c r="L28" s="5"/>
      <c r="M28" s="5"/>
      <c r="N28" s="5"/>
    </row>
    <row r="29" spans="1:18" x14ac:dyDescent="0.45">
      <c r="B29" s="1" t="s">
        <v>88</v>
      </c>
      <c r="C29" s="5">
        <f>HLOOKUP("QTE-0.5-bias-CBPS-just",Point!$D$1:$DR$96,$R$2,FALSE)</f>
        <v>8.3903214595320505E-2</v>
      </c>
      <c r="D29" s="5">
        <f>HLOOKUP("QTE-0.5-RMSE-CBPS-just",Point!$D$1:$DR$96,$R$2,FALSE)</f>
        <v>4.7870885958529001</v>
      </c>
      <c r="E29" s="5">
        <f t="shared" si="9"/>
        <v>1.0720098851712654</v>
      </c>
      <c r="F29" s="5">
        <f>HLOOKUP("QTE-0.5-Empcov-CBPS-just",inference!$D$1:$DR$96,$R$2,FALSE)</f>
        <v>0.93700000000000006</v>
      </c>
      <c r="G29" s="5">
        <f>HLOOKUP("QTE-0.5-ASSD-CBPS-just",inference!$D$1:$DR$96,$R$2,FALSE)*2*1.96/SQRT(G$3)</f>
        <v>18.422813625253401</v>
      </c>
      <c r="H29" s="5">
        <f t="shared" si="10"/>
        <v>105.088427558357</v>
      </c>
      <c r="I29" s="5">
        <f t="shared" si="11"/>
        <v>1.0335167171325879</v>
      </c>
      <c r="J29" s="5"/>
      <c r="K29" s="5"/>
      <c r="L29" s="5"/>
      <c r="M29" s="5"/>
      <c r="N29" s="5"/>
    </row>
    <row r="30" spans="1:18" x14ac:dyDescent="0.45">
      <c r="B30" s="1" t="s">
        <v>89</v>
      </c>
      <c r="C30" s="5">
        <f>HLOOKUP("QTE-0.5-bias-CBPS-over",Point!$D$1:$DR$96,$R$2,FALSE)</f>
        <v>9.5452593875775094E-2</v>
      </c>
      <c r="D30" s="5">
        <f>HLOOKUP("QTE-0.5-RMSE-CBPS-over",Point!$D$1:$DR$96,$R$2,FALSE)</f>
        <v>4.6235128620107897</v>
      </c>
      <c r="E30" s="5">
        <f t="shared" si="9"/>
        <v>1</v>
      </c>
      <c r="F30" s="5">
        <f>HLOOKUP("QTE-0.5-Empcov-CBPS-over",inference!$D$1:$DR$96,$R$2,FALSE)</f>
        <v>0.95299999999999996</v>
      </c>
      <c r="G30" s="5">
        <f>HLOOKUP("QTE-0.5-ASSD-CBPS-over",inference!$D$1:$DR$96,$R$2,FALSE)*2*1.96/SQRT(G$3)</f>
        <v>18.729005252263921</v>
      </c>
      <c r="H30" s="5">
        <f t="shared" si="10"/>
        <v>106.835022691359</v>
      </c>
      <c r="I30" s="5">
        <f t="shared" si="11"/>
        <v>1</v>
      </c>
      <c r="J30" s="5"/>
      <c r="K30" s="5"/>
      <c r="L30" s="5"/>
      <c r="M30" s="5"/>
      <c r="N30" s="5"/>
    </row>
    <row r="31" spans="1:18" x14ac:dyDescent="0.45">
      <c r="A31" s="3"/>
      <c r="B31" s="3" t="s">
        <v>2</v>
      </c>
      <c r="C31" s="5">
        <f>HLOOKUP("QTE-0.5-bias-GLM",Point!$D$1:$DR$96,$R$2,FALSE)</f>
        <v>4.4776406176616501E-4</v>
      </c>
      <c r="D31" s="5">
        <f>HLOOKUP("QTE-0.5-RMSE-GLM",Point!$D$1:$DR$96,$R$2,FALSE)</f>
        <v>4.97846980103823</v>
      </c>
      <c r="E31" s="5">
        <f t="shared" si="9"/>
        <v>1.1594382239171388</v>
      </c>
      <c r="F31" s="5">
        <f>HLOOKUP("QTE-0.5-Empcov-GLM",inference!$D$1:$DR$96,$R$2,FALSE)</f>
        <v>0.94599999999999995</v>
      </c>
      <c r="G31" s="5">
        <f>HLOOKUP("QTE-0.5-ASSD-GLM",inference!$D$1:$DR$96,$R$2,FALSE)*2*1.96/SQRT(G$3)</f>
        <v>19.363955256317624</v>
      </c>
      <c r="H31" s="5">
        <f>G31/(2*1.96/SQRT(G$3))</f>
        <v>110.456939455078</v>
      </c>
      <c r="I31" s="5">
        <f t="shared" si="11"/>
        <v>0.93549459358325338</v>
      </c>
      <c r="J31" s="5"/>
      <c r="K31" s="5"/>
      <c r="L31" s="5"/>
      <c r="M31" s="5"/>
      <c r="N31" s="5"/>
      <c r="O31" s="3"/>
      <c r="P31" s="3"/>
      <c r="Q31" s="3"/>
      <c r="R31" s="3"/>
    </row>
    <row r="32" spans="1:18" x14ac:dyDescent="0.45">
      <c r="H32" s="6"/>
      <c r="I32" s="6"/>
      <c r="J32" s="6"/>
    </row>
    <row r="33" spans="1:10" x14ac:dyDescent="0.45">
      <c r="A33" s="2" t="s">
        <v>62</v>
      </c>
      <c r="B33" s="1" t="s">
        <v>3</v>
      </c>
      <c r="C33" s="5">
        <f>HLOOKUP("QTE-0.75-bias-IPS-exp",Point!$D$1:$DR$96,$R$2,FALSE)</f>
        <v>0.24661129750369101</v>
      </c>
      <c r="D33" s="5">
        <f>HLOOKUP("QTE-0.75-RMSE-IPS-exp",Point!$D$1:$DR$96,$R$2,FALSE)</f>
        <v>5.6413576909803202</v>
      </c>
      <c r="E33" s="5">
        <f>(D33/$D$37)^2</f>
        <v>0.95481109382306117</v>
      </c>
      <c r="F33" s="5">
        <f>HLOOKUP("QTE-0.75-Empcov-IPS-exp",inference!$D$1:$DR$96,$R$2,FALSE)</f>
        <v>0.94</v>
      </c>
      <c r="G33" s="5">
        <f>HLOOKUP("QTE-0.75-ASSD-IPS-exp",inference!$D$1:$DR$96,$R$2,FALSE)*2*1.96/SQRT(G$3)</f>
        <v>21.650816780161001</v>
      </c>
      <c r="H33" s="5">
        <f>G33/(2*1.96/SQRT(G$3))</f>
        <v>123.50178083886001</v>
      </c>
      <c r="I33" s="5">
        <f>($H$37/H33)^2</f>
        <v>1.1510732126340995</v>
      </c>
      <c r="J33" s="5"/>
    </row>
    <row r="34" spans="1:10" x14ac:dyDescent="0.45">
      <c r="B34" s="1" t="s">
        <v>5</v>
      </c>
      <c r="C34" s="5">
        <f>HLOOKUP("QTE-0.75-bias-IPS-ind",Point!$D$1:$DR$96,$R$2,FALSE)</f>
        <v>1.3414801746307901</v>
      </c>
      <c r="D34" s="5">
        <f>HLOOKUP("QTE-0.75-RMSE-IPS-ind",Point!$D$1:$DR$96,$R$2,FALSE)</f>
        <v>5.4680437810479097</v>
      </c>
      <c r="E34" s="5">
        <f t="shared" ref="E34:E38" si="12">(D34/$D$37)^2</f>
        <v>0.89704483207490282</v>
      </c>
      <c r="F34" s="5">
        <f>HLOOKUP("QTE-0.75-Empcov-IPS-ind",inference!$D$1:$DR$96,$R$2,FALSE)</f>
        <v>0.94699999999999995</v>
      </c>
      <c r="G34" s="5">
        <f>HLOOKUP("QTE-0.75-ASSD-IPS-ind",inference!$D$1:$DR$96,$R$2,FALSE)*2*1.96/SQRT(G$3)</f>
        <v>22.060792958500979</v>
      </c>
      <c r="H34" s="5">
        <f t="shared" ref="H34:H37" si="13">G34/(2*1.96/SQRT(G$3))</f>
        <v>125.84038952233901</v>
      </c>
      <c r="I34" s="5">
        <f t="shared" ref="I34:I38" si="14">($H$37/H34)^2</f>
        <v>1.1086878275912384</v>
      </c>
      <c r="J34" s="5"/>
    </row>
    <row r="35" spans="1:10" x14ac:dyDescent="0.45">
      <c r="B35" s="1" t="s">
        <v>4</v>
      </c>
      <c r="C35" s="5">
        <f>HLOOKUP("QTE-0.75-bias-IPS-proj",Point!$D$1:$DR$96,$R$2,FALSE)</f>
        <v>0.24614858686861599</v>
      </c>
      <c r="D35" s="5">
        <f>HLOOKUP("QTE-0.75-RMSE-IPS-proj",Point!$D$1:$DR$96,$R$2,FALSE)</f>
        <v>5.56005505685832</v>
      </c>
      <c r="E35" s="5">
        <f t="shared" si="12"/>
        <v>0.92748814308920879</v>
      </c>
      <c r="F35" s="6">
        <f>HLOOKUP("QTE-0.75-Empcov-IPS-proj",inference!$D$1:$DR$96,$R$2,FALSE)</f>
        <v>0.94099999999999995</v>
      </c>
      <c r="G35" s="6">
        <f>HLOOKUP("QTE-0.75-ASSD-IPS-proj",inference!$D$1:$DR$96,$R$2,FALSE)*2*1.96/SQRT(G$3)</f>
        <v>21.229438169293729</v>
      </c>
      <c r="H35" s="5">
        <f t="shared" si="13"/>
        <v>121.098129772116</v>
      </c>
      <c r="I35" s="5">
        <f t="shared" si="14"/>
        <v>1.1972215215927806</v>
      </c>
      <c r="J35" s="5"/>
    </row>
    <row r="36" spans="1:10" x14ac:dyDescent="0.45">
      <c r="B36" s="1" t="s">
        <v>88</v>
      </c>
      <c r="C36" s="5">
        <f>HLOOKUP("QTE-0.75-bias-CBPS-just",Point!$D$1:$DR$96,$R$2,FALSE)</f>
        <v>0.169551439249604</v>
      </c>
      <c r="D36" s="5">
        <f>HLOOKUP("QTE-0.75-RMSE-CBPS-just",Point!$D$1:$DR$96,$R$2,FALSE)</f>
        <v>6.1743706202817501</v>
      </c>
      <c r="E36" s="5">
        <f t="shared" si="12"/>
        <v>1.1437617577915578</v>
      </c>
      <c r="F36" s="5">
        <f>HLOOKUP("QTE-0.75-Empcov-CBPS-just",inference!$D$1:$DR$96,$R$2,FALSE)</f>
        <v>0.93300000000000005</v>
      </c>
      <c r="G36" s="5">
        <f>HLOOKUP("QTE-0.75-ASSD-CBPS-just",inference!$D$1:$DR$96,$R$2,FALSE)*2*1.96/SQRT(G$3)</f>
        <v>23.192650476953126</v>
      </c>
      <c r="H36" s="5">
        <f t="shared" si="13"/>
        <v>132.29679348178601</v>
      </c>
      <c r="I36" s="5">
        <f t="shared" si="14"/>
        <v>1.0031150605263612</v>
      </c>
      <c r="J36" s="5"/>
    </row>
    <row r="37" spans="1:10" x14ac:dyDescent="0.45">
      <c r="B37" s="1" t="s">
        <v>89</v>
      </c>
      <c r="C37" s="5">
        <f>HLOOKUP("QTE-0.75-bias-CBPS-over",Point!$D$1:$DR$96,$R$2,FALSE)</f>
        <v>0.209390271720126</v>
      </c>
      <c r="D37" s="5">
        <f>HLOOKUP("QTE-0.75-RMSE-CBPS-over",Point!$D$1:$DR$96,$R$2,FALSE)</f>
        <v>5.7733104144966703</v>
      </c>
      <c r="E37" s="5">
        <f t="shared" si="12"/>
        <v>1</v>
      </c>
      <c r="F37" s="5">
        <f>HLOOKUP("QTE-0.75-Empcov-CBPS-over",inference!$D$1:$DR$96,$R$2,FALSE)</f>
        <v>0.95</v>
      </c>
      <c r="G37" s="5">
        <f>HLOOKUP("QTE-0.75-ASSD-CBPS-over",inference!$D$1:$DR$96,$R$2,FALSE)*2*1.96/SQRT(G$3)</f>
        <v>23.228745644153509</v>
      </c>
      <c r="H37" s="5">
        <f t="shared" si="13"/>
        <v>132.502689521376</v>
      </c>
      <c r="I37" s="5">
        <f t="shared" si="14"/>
        <v>1</v>
      </c>
      <c r="J37" s="5"/>
    </row>
    <row r="38" spans="1:10" x14ac:dyDescent="0.45">
      <c r="A38" s="3"/>
      <c r="B38" s="3" t="s">
        <v>2</v>
      </c>
      <c r="C38" s="5">
        <f>HLOOKUP("QTE-0.75-bias-GLM",Point!$D$1:$DR$96,$R$2,FALSE)</f>
        <v>1.9622151336117E-2</v>
      </c>
      <c r="D38" s="5">
        <f>HLOOKUP("QTE-0.75-RMSE-GLM",Point!$D$1:$DR$96,$R$2,FALSE)</f>
        <v>7.11225643386011</v>
      </c>
      <c r="E38" s="5">
        <f t="shared" si="12"/>
        <v>1.5176268300814182</v>
      </c>
      <c r="F38" s="5">
        <f>HLOOKUP("QTE-0.75-Empcov-GLM",inference!$D$1:$DR$96,$R$2,FALSE)</f>
        <v>0.94</v>
      </c>
      <c r="G38" s="5">
        <f>HLOOKUP("QTE-0.75-ASSD-GLM",inference!$D$1:$DR$96,$R$2,FALSE)*2*1.96/SQRT(G$3)</f>
        <v>25.053934634267613</v>
      </c>
      <c r="H38" s="5">
        <f>G38/(2*1.96/SQRT(G$3))</f>
        <v>142.91403302565999</v>
      </c>
      <c r="I38" s="5">
        <f t="shared" si="14"/>
        <v>0.85960639333013966</v>
      </c>
      <c r="J38" s="5"/>
    </row>
    <row r="39" spans="1:10" x14ac:dyDescent="0.45">
      <c r="H39" s="7"/>
      <c r="I39" s="7"/>
      <c r="J39" s="7"/>
    </row>
    <row r="40" spans="1:10" x14ac:dyDescent="0.45">
      <c r="A40" s="2" t="s">
        <v>207</v>
      </c>
      <c r="B40" s="1" t="s">
        <v>3</v>
      </c>
      <c r="C40" s="5">
        <f>HLOOKUP("QTE-0.9-bias-IPS-exp",Point!$D$1:$DR$96,$R$2,FALSE)</f>
        <v>-6.0543763849610202E-2</v>
      </c>
      <c r="D40" s="5">
        <f>HLOOKUP("QTE-0.9-RMSE-IPS-exp",Point!$D$1:$DR$96,$R$2,FALSE)</f>
        <v>8.2929503192114709</v>
      </c>
      <c r="E40" s="5">
        <f t="shared" ref="E40:E45" si="15">(D40/$D$44)^2</f>
        <v>1.001269973626447</v>
      </c>
      <c r="F40" s="5">
        <f>HLOOKUP("QTE-0.9-Empcov-IPS-exp",inference!$D$1:$DR$96,$R$2,FALSE)</f>
        <v>0.93400000000000005</v>
      </c>
      <c r="G40" s="5">
        <f>HLOOKUP("QTE-0.9-ASSD-IPS-exp",inference!$D$1:$DR$96,$R$2,FALSE)*2*1.96/SQRT(G$3)</f>
        <v>30.809341500127623</v>
      </c>
      <c r="H40" s="5">
        <f>G40/(2*1.96/SQRT(G$3))</f>
        <v>175.744341674211</v>
      </c>
      <c r="I40" s="5">
        <f t="shared" ref="I40:I45" si="16">($H$44/H40)^2</f>
        <v>1.0562977875748456</v>
      </c>
      <c r="J40" s="5"/>
    </row>
    <row r="41" spans="1:10" x14ac:dyDescent="0.45">
      <c r="B41" s="1" t="s">
        <v>5</v>
      </c>
      <c r="C41" s="5">
        <f>HLOOKUP("QTE-0.9-bias-IPS-ind",Point!$D$1:$DR$96,$R$2,FALSE)</f>
        <v>1.51928529932127</v>
      </c>
      <c r="D41" s="5">
        <f>HLOOKUP("QTE-0.9-RMSE-IPS-ind",Point!$D$1:$DR$96,$R$2,FALSE)</f>
        <v>7.6894831477075698</v>
      </c>
      <c r="E41" s="5">
        <f t="shared" si="15"/>
        <v>0.86084976302830685</v>
      </c>
      <c r="F41" s="5">
        <f>HLOOKUP("QTE-0.9-Empcov-IPS-ind",inference!$D$1:$DR$96,$R$2,FALSE)</f>
        <v>0.95</v>
      </c>
      <c r="G41" s="5">
        <f>HLOOKUP("QTE-0.9-ASSD-IPS-ind",inference!$D$1:$DR$96,$R$2,FALSE)*2*1.96/SQRT(G$3)</f>
        <v>29.762589915609116</v>
      </c>
      <c r="H41" s="5">
        <f t="shared" ref="H41:H44" si="17">G41/(2*1.96/SQRT(G$3))</f>
        <v>169.77340366773399</v>
      </c>
      <c r="I41" s="5">
        <f t="shared" si="16"/>
        <v>1.1319044345279909</v>
      </c>
      <c r="J41" s="5"/>
    </row>
    <row r="42" spans="1:10" x14ac:dyDescent="0.45">
      <c r="B42" s="1" t="s">
        <v>4</v>
      </c>
      <c r="C42" s="5">
        <f>HLOOKUP("QTE-0.9-bias-IPS-proj",Point!$D$1:$DR$96,$R$2,FALSE)</f>
        <v>-2.7711429608757498E-2</v>
      </c>
      <c r="D42" s="5">
        <f>HLOOKUP("QTE-0.9-RMSE-IPS-proj",Point!$D$1:$DR$96,$R$2,FALSE)</f>
        <v>8.0284400770060707</v>
      </c>
      <c r="E42" s="5">
        <f t="shared" si="15"/>
        <v>0.93841600398755942</v>
      </c>
      <c r="F42" s="6">
        <f>HLOOKUP("QTE-0.9-Empcov-IPS-proj",inference!$D$1:$DR$96,$R$2,FALSE)</f>
        <v>0.93600000000000005</v>
      </c>
      <c r="G42" s="6">
        <f>HLOOKUP("QTE-0.9-ASSD-IPS-proj",inference!$D$1:$DR$96,$R$2,FALSE)*2*1.96/SQRT(G$3)</f>
        <v>29.977494901815934</v>
      </c>
      <c r="H42" s="5">
        <f t="shared" si="17"/>
        <v>170.99927651942301</v>
      </c>
      <c r="I42" s="5">
        <f t="shared" si="16"/>
        <v>1.1157336379932832</v>
      </c>
      <c r="J42" s="5"/>
    </row>
    <row r="43" spans="1:10" x14ac:dyDescent="0.45">
      <c r="B43" s="1" t="s">
        <v>88</v>
      </c>
      <c r="C43" s="5">
        <f>HLOOKUP("QTE-0.9-bias-CBPS-just",Point!$D$1:$DR$96,$R$2,FALSE)</f>
        <v>-9.2952758467889807E-2</v>
      </c>
      <c r="D43" s="5">
        <f>HLOOKUP("QTE-0.9-RMSE-CBPS-just",Point!$D$1:$DR$96,$R$2,FALSE)</f>
        <v>9.0551260544180003</v>
      </c>
      <c r="E43" s="5">
        <f t="shared" si="15"/>
        <v>1.1937738632780117</v>
      </c>
      <c r="F43" s="5">
        <f>HLOOKUP("QTE-0.9-Empcov-CBPS-just",inference!$D$1:$DR$96,$R$2,FALSE)</f>
        <v>0.92600000000000005</v>
      </c>
      <c r="G43" s="5">
        <f>HLOOKUP("QTE-0.9-ASSD-CBPS-just",inference!$D$1:$DR$96,$R$2,FALSE)*2*1.96/SQRT(G$3)</f>
        <v>32.130950704338041</v>
      </c>
      <c r="H43" s="5">
        <f t="shared" si="17"/>
        <v>183.28313764437402</v>
      </c>
      <c r="I43" s="5">
        <f t="shared" si="16"/>
        <v>0.97118966156885023</v>
      </c>
      <c r="J43" s="5"/>
    </row>
    <row r="44" spans="1:10" x14ac:dyDescent="0.45">
      <c r="B44" s="1" t="s">
        <v>89</v>
      </c>
      <c r="C44" s="5">
        <f>HLOOKUP("QTE-0.9-bias-CBPS-over",Point!$D$1:$DR$96,$R$2,FALSE)</f>
        <v>-0.12541354028962101</v>
      </c>
      <c r="D44" s="5">
        <f>HLOOKUP("QTE-0.9-RMSE-CBPS-over",Point!$D$1:$DR$96,$R$2,FALSE)</f>
        <v>8.2876894154928102</v>
      </c>
      <c r="E44" s="5">
        <f t="shared" si="15"/>
        <v>1</v>
      </c>
      <c r="F44" s="5">
        <f>HLOOKUP("QTE-0.9-Empcov-CBPS-over",inference!$D$1:$DR$96,$R$2,FALSE)</f>
        <v>0.94899999999999995</v>
      </c>
      <c r="G44" s="5">
        <f>HLOOKUP("QTE-0.9-ASSD-CBPS-over",inference!$D$1:$DR$96,$R$2,FALSE)*2*1.96/SQRT(G$3)</f>
        <v>31.664716287784568</v>
      </c>
      <c r="H44" s="5">
        <f t="shared" si="17"/>
        <v>180.623617621763</v>
      </c>
      <c r="I44" s="5">
        <f>($H$44/H44)^2</f>
        <v>1</v>
      </c>
      <c r="J44" s="5"/>
    </row>
    <row r="45" spans="1:10" x14ac:dyDescent="0.45">
      <c r="A45" s="3"/>
      <c r="B45" s="3" t="s">
        <v>2</v>
      </c>
      <c r="C45" s="5">
        <f>HLOOKUP("QTE-0.9-bias-GLM",Point!$D$1:$DR$96,$R$2,FALSE)</f>
        <v>-0.29664121048085201</v>
      </c>
      <c r="D45" s="5">
        <f>HLOOKUP("QTE-0.9-RMSE-GLM",Point!$D$1:$DR$96,$R$2,FALSE)</f>
        <v>10.923003330073399</v>
      </c>
      <c r="E45" s="5">
        <f t="shared" si="15"/>
        <v>1.7370695101706277</v>
      </c>
      <c r="F45" s="5">
        <f>HLOOKUP("QTE-0.9-Empcov-GLM",inference!$D$1:$DR$96,$R$2,FALSE)</f>
        <v>0.91900000000000004</v>
      </c>
      <c r="G45" s="5">
        <f>HLOOKUP("QTE-0.9-ASSD-GLM",inference!$D$1:$DR$96,$R$2,FALSE)*2*1.96/SQRT(G$3)</f>
        <v>34.928637659044263</v>
      </c>
      <c r="H45" s="5">
        <f>G45/(2*1.96/SQRT(G$3))</f>
        <v>199.24185756908699</v>
      </c>
      <c r="I45" s="5">
        <f t="shared" si="16"/>
        <v>0.82184119846361547</v>
      </c>
      <c r="J45" s="5"/>
    </row>
    <row r="46" spans="1:10" x14ac:dyDescent="0.45">
      <c r="H46" s="7"/>
      <c r="I46" s="7"/>
      <c r="J46" s="7"/>
    </row>
    <row r="47" spans="1:10" x14ac:dyDescent="0.45">
      <c r="H47" s="7"/>
      <c r="I47" s="7"/>
      <c r="J47" s="7"/>
    </row>
    <row r="48" spans="1:10" x14ac:dyDescent="0.45">
      <c r="H48" s="7"/>
      <c r="I48" s="7"/>
      <c r="J48" s="7"/>
    </row>
    <row r="49" spans="8:10" x14ac:dyDescent="0.45">
      <c r="H49" s="7"/>
      <c r="I49" s="7"/>
      <c r="J49" s="7"/>
    </row>
    <row r="50" spans="8:10" x14ac:dyDescent="0.45">
      <c r="H50" s="7"/>
      <c r="I50" s="7"/>
      <c r="J50" s="7"/>
    </row>
    <row r="51" spans="8:10" x14ac:dyDescent="0.45">
      <c r="H51" s="7"/>
      <c r="I51" s="7"/>
      <c r="J51" s="7"/>
    </row>
    <row r="52" spans="8:10" x14ac:dyDescent="0.45">
      <c r="H52" s="7"/>
      <c r="I52" s="7"/>
      <c r="J52" s="7"/>
    </row>
    <row r="53" spans="8:10" x14ac:dyDescent="0.45">
      <c r="H53" s="7"/>
      <c r="I53" s="7"/>
      <c r="J53" s="7"/>
    </row>
    <row r="54" spans="8:10" x14ac:dyDescent="0.45">
      <c r="H54" s="7"/>
      <c r="I54" s="7"/>
      <c r="J54" s="7"/>
    </row>
    <row r="55" spans="8:10" x14ac:dyDescent="0.45">
      <c r="H55" s="7"/>
      <c r="I55" s="7"/>
      <c r="J55" s="7"/>
    </row>
    <row r="56" spans="8:10" x14ac:dyDescent="0.45">
      <c r="H56" s="7"/>
      <c r="I56" s="7"/>
      <c r="J56" s="7"/>
    </row>
    <row r="57" spans="8:10" x14ac:dyDescent="0.45">
      <c r="H57" s="7"/>
      <c r="I57" s="7"/>
      <c r="J57" s="7"/>
    </row>
    <row r="58" spans="8:10" x14ac:dyDescent="0.45">
      <c r="H58" s="7"/>
      <c r="I58" s="7"/>
      <c r="J58" s="7"/>
    </row>
    <row r="59" spans="8:10" x14ac:dyDescent="0.45">
      <c r="H59" s="7"/>
      <c r="I59" s="7"/>
      <c r="J59" s="7"/>
    </row>
    <row r="60" spans="8:10" x14ac:dyDescent="0.45">
      <c r="H60" s="7"/>
      <c r="I60" s="7"/>
      <c r="J60" s="7"/>
    </row>
    <row r="61" spans="8:10" x14ac:dyDescent="0.45">
      <c r="H61" s="7"/>
      <c r="I61" s="7"/>
      <c r="J61" s="7"/>
    </row>
    <row r="62" spans="8:10" x14ac:dyDescent="0.45">
      <c r="H62" s="7"/>
      <c r="I62" s="7"/>
      <c r="J62" s="7"/>
    </row>
    <row r="63" spans="8:10" x14ac:dyDescent="0.45">
      <c r="H63" s="7"/>
      <c r="I63" s="7"/>
      <c r="J63" s="7"/>
    </row>
    <row r="64" spans="8:10" x14ac:dyDescent="0.45">
      <c r="H64" s="7"/>
      <c r="I64" s="7"/>
      <c r="J64" s="7"/>
    </row>
    <row r="65" spans="8:10" x14ac:dyDescent="0.45">
      <c r="H65" s="7"/>
      <c r="I65" s="7"/>
      <c r="J65" s="7"/>
    </row>
    <row r="66" spans="8:10" x14ac:dyDescent="0.45">
      <c r="H66" s="7"/>
      <c r="I66" s="7"/>
      <c r="J66" s="7"/>
    </row>
    <row r="67" spans="8:10" x14ac:dyDescent="0.45">
      <c r="H67" s="7"/>
      <c r="I67" s="7"/>
      <c r="J67" s="7"/>
    </row>
    <row r="68" spans="8:10" x14ac:dyDescent="0.45">
      <c r="H68" s="7"/>
      <c r="I68" s="7"/>
      <c r="J68" s="7"/>
    </row>
    <row r="69" spans="8:10" x14ac:dyDescent="0.45">
      <c r="H69" s="7"/>
      <c r="I69" s="7"/>
      <c r="J69" s="7"/>
    </row>
    <row r="70" spans="8:10" x14ac:dyDescent="0.45">
      <c r="H70" s="7"/>
      <c r="I70" s="7"/>
      <c r="J70" s="7"/>
    </row>
    <row r="71" spans="8:10" x14ac:dyDescent="0.45">
      <c r="H71" s="7"/>
      <c r="I71" s="7"/>
      <c r="J71" s="7"/>
    </row>
    <row r="72" spans="8:10" x14ac:dyDescent="0.45">
      <c r="H72" s="7"/>
      <c r="I72" s="7"/>
      <c r="J72" s="7"/>
    </row>
    <row r="73" spans="8:10" x14ac:dyDescent="0.45">
      <c r="H73" s="7"/>
      <c r="I73" s="7"/>
      <c r="J73" s="7"/>
    </row>
    <row r="74" spans="8:10" x14ac:dyDescent="0.45">
      <c r="H74" s="7"/>
      <c r="I74" s="7"/>
      <c r="J74" s="7"/>
    </row>
    <row r="75" spans="8:10" x14ac:dyDescent="0.45">
      <c r="H75" s="7"/>
      <c r="I75" s="7"/>
      <c r="J75" s="7"/>
    </row>
    <row r="76" spans="8:10" x14ac:dyDescent="0.45">
      <c r="H76" s="7"/>
      <c r="I76" s="7"/>
      <c r="J76" s="7"/>
    </row>
    <row r="77" spans="8:10" x14ac:dyDescent="0.45">
      <c r="H77" s="7"/>
      <c r="I77" s="7"/>
      <c r="J77" s="7"/>
    </row>
    <row r="78" spans="8:10" x14ac:dyDescent="0.45">
      <c r="H78" s="7"/>
      <c r="I78" s="7"/>
      <c r="J78" s="7"/>
    </row>
    <row r="79" spans="8:10" x14ac:dyDescent="0.45">
      <c r="H79" s="7"/>
      <c r="I79" s="7"/>
      <c r="J79" s="7"/>
    </row>
    <row r="80" spans="8:10" x14ac:dyDescent="0.45">
      <c r="H80" s="7"/>
      <c r="I80" s="7"/>
      <c r="J80" s="7"/>
    </row>
    <row r="81" spans="8:10" x14ac:dyDescent="0.45">
      <c r="H81" s="7"/>
      <c r="I81" s="7"/>
      <c r="J81" s="7"/>
    </row>
    <row r="82" spans="8:10" x14ac:dyDescent="0.45">
      <c r="H82" s="7"/>
      <c r="I82" s="7"/>
      <c r="J82" s="7"/>
    </row>
    <row r="83" spans="8:10" x14ac:dyDescent="0.45">
      <c r="H83" s="7"/>
      <c r="I83" s="7"/>
      <c r="J83" s="7"/>
    </row>
    <row r="84" spans="8:10" x14ac:dyDescent="0.45">
      <c r="H84" s="7"/>
      <c r="I84" s="7"/>
      <c r="J84" s="7"/>
    </row>
    <row r="85" spans="8:10" x14ac:dyDescent="0.45">
      <c r="H85" s="7"/>
      <c r="I85" s="7"/>
      <c r="J85" s="7"/>
    </row>
    <row r="86" spans="8:10" x14ac:dyDescent="0.45">
      <c r="H86" s="7"/>
      <c r="I86" s="7"/>
      <c r="J86" s="7"/>
    </row>
    <row r="87" spans="8:10" x14ac:dyDescent="0.45">
      <c r="H87" s="7"/>
      <c r="I87" s="7"/>
      <c r="J87" s="7"/>
    </row>
    <row r="88" spans="8:10" x14ac:dyDescent="0.45">
      <c r="H88" s="7"/>
      <c r="I88" s="7"/>
      <c r="J88" s="7"/>
    </row>
    <row r="89" spans="8:10" x14ac:dyDescent="0.45">
      <c r="H89" s="7"/>
      <c r="I89" s="7"/>
      <c r="J89" s="7"/>
    </row>
    <row r="90" spans="8:10" x14ac:dyDescent="0.45">
      <c r="H90" s="7"/>
      <c r="I90" s="7"/>
      <c r="J90" s="7"/>
    </row>
    <row r="91" spans="8:10" x14ac:dyDescent="0.45">
      <c r="H91" s="7"/>
      <c r="I91" s="7"/>
      <c r="J91" s="7"/>
    </row>
    <row r="92" spans="8:10" x14ac:dyDescent="0.45">
      <c r="H92" s="7"/>
      <c r="I92" s="7"/>
      <c r="J92" s="7"/>
    </row>
    <row r="93" spans="8:10" x14ac:dyDescent="0.45">
      <c r="H93" s="7"/>
      <c r="I93" s="7"/>
      <c r="J93" s="7"/>
    </row>
    <row r="94" spans="8:10" x14ac:dyDescent="0.45">
      <c r="H94" s="7"/>
      <c r="I94" s="7"/>
      <c r="J94" s="7"/>
    </row>
    <row r="95" spans="8:10" x14ac:dyDescent="0.45">
      <c r="H95" s="7"/>
      <c r="I95" s="7"/>
      <c r="J95" s="7"/>
    </row>
    <row r="96" spans="8:10" x14ac:dyDescent="0.45">
      <c r="H96" s="7"/>
      <c r="I96" s="7"/>
      <c r="J96" s="7"/>
    </row>
    <row r="97" spans="8:10" x14ac:dyDescent="0.45">
      <c r="H97" s="7"/>
      <c r="I97" s="7"/>
      <c r="J97" s="7"/>
    </row>
    <row r="98" spans="8:10" x14ac:dyDescent="0.45">
      <c r="H98" s="7"/>
      <c r="I98" s="7"/>
      <c r="J98" s="7"/>
    </row>
    <row r="99" spans="8:10" x14ac:dyDescent="0.45">
      <c r="H99" s="7"/>
      <c r="I99" s="7"/>
      <c r="J99" s="7"/>
    </row>
    <row r="100" spans="8:10" x14ac:dyDescent="0.45">
      <c r="H100" s="7"/>
      <c r="I100" s="7"/>
      <c r="J100" s="7"/>
    </row>
    <row r="101" spans="8:10" x14ac:dyDescent="0.45">
      <c r="H101" s="7"/>
      <c r="I101" s="7"/>
      <c r="J101" s="7"/>
    </row>
    <row r="102" spans="8:10" x14ac:dyDescent="0.45">
      <c r="H102" s="7"/>
      <c r="I102" s="7"/>
      <c r="J102" s="7"/>
    </row>
    <row r="103" spans="8:10" x14ac:dyDescent="0.45">
      <c r="H103" s="7"/>
      <c r="I103" s="7"/>
      <c r="J103" s="7"/>
    </row>
    <row r="104" spans="8:10" x14ac:dyDescent="0.45">
      <c r="H104" s="7"/>
      <c r="I104" s="7"/>
      <c r="J104" s="7"/>
    </row>
    <row r="105" spans="8:10" x14ac:dyDescent="0.45">
      <c r="H105" s="7"/>
      <c r="I105" s="7"/>
      <c r="J105" s="7"/>
    </row>
    <row r="106" spans="8:10" x14ac:dyDescent="0.45">
      <c r="H106" s="7"/>
      <c r="I106" s="7"/>
      <c r="J106" s="7"/>
    </row>
    <row r="107" spans="8:10" x14ac:dyDescent="0.45">
      <c r="H107" s="7"/>
      <c r="I107" s="7"/>
      <c r="J107" s="7"/>
    </row>
    <row r="108" spans="8:10" x14ac:dyDescent="0.45">
      <c r="H108" s="7"/>
      <c r="I108" s="7"/>
      <c r="J108" s="7"/>
    </row>
    <row r="109" spans="8:10" x14ac:dyDescent="0.45">
      <c r="H109" s="7"/>
      <c r="I109" s="7"/>
      <c r="J109" s="7"/>
    </row>
    <row r="110" spans="8:10" x14ac:dyDescent="0.45">
      <c r="H110" s="7"/>
      <c r="I110" s="7"/>
      <c r="J110" s="7"/>
    </row>
    <row r="111" spans="8:10" x14ac:dyDescent="0.45">
      <c r="H111" s="7"/>
      <c r="I111" s="7"/>
      <c r="J111" s="7"/>
    </row>
    <row r="112" spans="8:10" x14ac:dyDescent="0.45">
      <c r="H112" s="7"/>
      <c r="I112" s="7"/>
      <c r="J112" s="7"/>
    </row>
    <row r="113" spans="8:10" x14ac:dyDescent="0.45">
      <c r="H113" s="7"/>
      <c r="I113" s="7"/>
      <c r="J113" s="7"/>
    </row>
    <row r="114" spans="8:10" x14ac:dyDescent="0.45">
      <c r="H114" s="7"/>
      <c r="I114" s="7"/>
      <c r="J114" s="7"/>
    </row>
    <row r="115" spans="8:10" x14ac:dyDescent="0.45">
      <c r="H115" s="7"/>
      <c r="I115" s="7"/>
      <c r="J115" s="7"/>
    </row>
    <row r="116" spans="8:10" x14ac:dyDescent="0.45">
      <c r="H116" s="7"/>
      <c r="I116" s="7"/>
      <c r="J116" s="7"/>
    </row>
    <row r="117" spans="8:10" x14ac:dyDescent="0.45">
      <c r="H117" s="7"/>
      <c r="I117" s="7"/>
      <c r="J117" s="7"/>
    </row>
    <row r="118" spans="8:10" x14ac:dyDescent="0.45">
      <c r="H118" s="7"/>
      <c r="I118" s="7"/>
      <c r="J118" s="7"/>
    </row>
    <row r="119" spans="8:10" x14ac:dyDescent="0.45">
      <c r="H119" s="7"/>
      <c r="I119" s="7"/>
      <c r="J119" s="7"/>
    </row>
    <row r="120" spans="8:10" x14ac:dyDescent="0.45">
      <c r="H120" s="7"/>
      <c r="I120" s="7"/>
      <c r="J120" s="7"/>
    </row>
  </sheetData>
  <mergeCells count="1">
    <mergeCell ref="C1:G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inference</vt:lpstr>
      <vt:lpstr>balance</vt:lpstr>
      <vt:lpstr>Point</vt:lpstr>
      <vt:lpstr>Tables-n=200</vt:lpstr>
      <vt:lpstr>Tables-n=500</vt:lpstr>
      <vt:lpstr>Tables-n=1000</vt:lpstr>
      <vt:lpstr>Table-n=200-corr</vt:lpstr>
      <vt:lpstr>Table-n=200-miss</vt:lpstr>
      <vt:lpstr>Table-n=500-corr</vt:lpstr>
      <vt:lpstr>Table-n=500-miss</vt:lpstr>
      <vt:lpstr>Table-n=1000-corr</vt:lpstr>
      <vt:lpstr>Table-n=1000-miss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Sant'Anna, Pedro H. C.</dc:creator>
  <cp:lastModifiedBy>Pedro Sant'Anna</cp:lastModifiedBy>
  <dcterms:created xsi:type="dcterms:W3CDTF">2018-05-09T02:04:09Z</dcterms:created>
  <dcterms:modified xsi:type="dcterms:W3CDTF">2021-10-07T20:57:49Z</dcterms:modified>
</cp:coreProperties>
</file>