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709fe2dc8b57d/Documentos/"/>
    </mc:Choice>
  </mc:AlternateContent>
  <xr:revisionPtr revIDLastSave="28" documentId="8_{A5FD4BEC-3A0D-4C94-9D5E-D63C77E16198}" xr6:coauthVersionLast="47" xr6:coauthVersionMax="47" xr10:uidLastSave="{9754E5CF-0B12-4384-A214-DFF860C9A8CF}"/>
  <bookViews>
    <workbookView xWindow="-120" yWindow="-120" windowWidth="20730" windowHeight="11160" activeTab="1" xr2:uid="{50DBB844-2C26-4716-8F94-3B31FA7D5348}"/>
  </bookViews>
  <sheets>
    <sheet name="Observações" sheetId="15" r:id="rId1"/>
    <sheet name="Calc. Cenários" sheetId="17" r:id="rId2"/>
    <sheet name="Cenário Base" sheetId="1" r:id="rId3"/>
    <sheet name="Cenário 1" sheetId="12" r:id="rId4"/>
    <sheet name="Cenário 2" sheetId="6" r:id="rId5"/>
    <sheet name="Cenário 3" sheetId="7" r:id="rId6"/>
    <sheet name="Cenário 4" sheetId="8" r:id="rId7"/>
    <sheet name="Cenário 5" sheetId="9" r:id="rId8"/>
    <sheet name="Cenário 6" sheetId="10" r:id="rId9"/>
    <sheet name="Cenário 7" sheetId="11" r:id="rId10"/>
    <sheet name="Cenário 8" sheetId="13" r:id="rId11"/>
    <sheet name="Cenário 9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7" l="1"/>
  <c r="B34" i="17"/>
  <c r="N30" i="17"/>
  <c r="M30" i="17"/>
  <c r="L30" i="17"/>
  <c r="K30" i="17"/>
  <c r="J30" i="17"/>
  <c r="N29" i="17"/>
  <c r="M29" i="17"/>
  <c r="L29" i="17"/>
  <c r="K29" i="17"/>
  <c r="J29" i="17"/>
  <c r="N28" i="17"/>
  <c r="M28" i="17"/>
  <c r="L28" i="17"/>
  <c r="K28" i="17"/>
  <c r="J28" i="17"/>
  <c r="N8" i="17"/>
  <c r="J8" i="17"/>
  <c r="B7" i="17"/>
  <c r="B8" i="17" s="1"/>
  <c r="B4" i="17"/>
  <c r="D23" i="13"/>
  <c r="D23" i="11"/>
  <c r="D23" i="10"/>
  <c r="D23" i="9"/>
  <c r="D23" i="8"/>
  <c r="D23" i="6"/>
  <c r="D23" i="12"/>
  <c r="D23" i="14"/>
  <c r="E14" i="14"/>
  <c r="E23" i="14" s="1"/>
  <c r="D10" i="14"/>
  <c r="E6" i="14"/>
  <c r="E25" i="14" s="1"/>
  <c r="D6" i="14"/>
  <c r="D25" i="14" s="1"/>
  <c r="E14" i="13"/>
  <c r="E23" i="13" s="1"/>
  <c r="D10" i="13"/>
  <c r="E6" i="13"/>
  <c r="E25" i="13" s="1"/>
  <c r="D6" i="13"/>
  <c r="E14" i="11"/>
  <c r="E23" i="11" s="1"/>
  <c r="D10" i="11"/>
  <c r="E6" i="11"/>
  <c r="E25" i="11" s="1"/>
  <c r="D6" i="11"/>
  <c r="E23" i="10"/>
  <c r="E14" i="10"/>
  <c r="D10" i="10"/>
  <c r="E6" i="10"/>
  <c r="E25" i="10" s="1"/>
  <c r="D6" i="10"/>
  <c r="E23" i="9"/>
  <c r="E14" i="9"/>
  <c r="D10" i="9"/>
  <c r="E6" i="9"/>
  <c r="E25" i="9" s="1"/>
  <c r="D6" i="9"/>
  <c r="E14" i="8"/>
  <c r="E23" i="8" s="1"/>
  <c r="D10" i="8"/>
  <c r="E6" i="8"/>
  <c r="E25" i="8" s="1"/>
  <c r="D6" i="8"/>
  <c r="E23" i="7"/>
  <c r="D23" i="7"/>
  <c r="E14" i="7"/>
  <c r="D10" i="7"/>
  <c r="E6" i="7"/>
  <c r="E25" i="7" s="1"/>
  <c r="D6" i="7"/>
  <c r="E14" i="6"/>
  <c r="E23" i="6" s="1"/>
  <c r="D10" i="6"/>
  <c r="E6" i="6"/>
  <c r="E25" i="6" s="1"/>
  <c r="D6" i="6"/>
  <c r="E14" i="12"/>
  <c r="E23" i="12" s="1"/>
  <c r="D10" i="12"/>
  <c r="E6" i="12"/>
  <c r="E25" i="12" s="1"/>
  <c r="D6" i="12"/>
  <c r="D23" i="1"/>
  <c r="E14" i="1"/>
  <c r="D10" i="1"/>
  <c r="E6" i="1"/>
  <c r="D6" i="1"/>
  <c r="B9" i="17" l="1"/>
  <c r="B10" i="17"/>
  <c r="D25" i="13"/>
  <c r="D25" i="11"/>
  <c r="D25" i="10"/>
  <c r="D25" i="9"/>
  <c r="D25" i="8"/>
  <c r="D25" i="7"/>
  <c r="D25" i="6"/>
  <c r="D25" i="12"/>
  <c r="D25" i="1"/>
  <c r="E23" i="1"/>
  <c r="E25" i="1" s="1"/>
  <c r="D26" i="17" l="1"/>
  <c r="D20" i="17"/>
  <c r="D27" i="17"/>
  <c r="D25" i="17"/>
  <c r="D23" i="17"/>
  <c r="D21" i="17"/>
  <c r="D19" i="17"/>
  <c r="D17" i="17"/>
  <c r="D16" i="17"/>
  <c r="D24" i="17"/>
  <c r="D22" i="17"/>
  <c r="D18" i="17"/>
  <c r="E17" i="17" l="1"/>
  <c r="F17" i="17"/>
  <c r="G17" i="17" s="1"/>
  <c r="H17" i="17"/>
  <c r="I17" i="17" s="1"/>
  <c r="E22" i="17"/>
  <c r="H22" i="17"/>
  <c r="I22" i="17" s="1"/>
  <c r="F22" i="17"/>
  <c r="G22" i="17" s="1"/>
  <c r="E19" i="17"/>
  <c r="F19" i="17"/>
  <c r="G19" i="17" s="1"/>
  <c r="H19" i="17"/>
  <c r="I19" i="17" s="1"/>
  <c r="E27" i="17"/>
  <c r="F27" i="17"/>
  <c r="G27" i="17" s="1"/>
  <c r="H27" i="17"/>
  <c r="I27" i="17" s="1"/>
  <c r="I30" i="17" s="1"/>
  <c r="E24" i="17"/>
  <c r="H24" i="17"/>
  <c r="I24" i="17" s="1"/>
  <c r="F24" i="17"/>
  <c r="G24" i="17" s="1"/>
  <c r="E21" i="17"/>
  <c r="F21" i="17"/>
  <c r="G21" i="17" s="1"/>
  <c r="H21" i="17"/>
  <c r="I21" i="17" s="1"/>
  <c r="E20" i="17"/>
  <c r="F20" i="17"/>
  <c r="G20" i="17" s="1"/>
  <c r="H20" i="17"/>
  <c r="I20" i="17" s="1"/>
  <c r="E18" i="17"/>
  <c r="H18" i="17"/>
  <c r="I18" i="17" s="1"/>
  <c r="F18" i="17"/>
  <c r="G18" i="17" s="1"/>
  <c r="E25" i="17"/>
  <c r="F25" i="17"/>
  <c r="G25" i="17" s="1"/>
  <c r="H25" i="17"/>
  <c r="I25" i="17" s="1"/>
  <c r="E16" i="17"/>
  <c r="H16" i="17"/>
  <c r="I16" i="17" s="1"/>
  <c r="E23" i="17"/>
  <c r="F23" i="17"/>
  <c r="G23" i="17" s="1"/>
  <c r="H23" i="17"/>
  <c r="I23" i="17" s="1"/>
  <c r="E26" i="17"/>
  <c r="F26" i="17"/>
  <c r="G26" i="17" s="1"/>
  <c r="H26" i="17"/>
  <c r="I26" i="17" s="1"/>
  <c r="I28" i="17" s="1"/>
  <c r="I29" i="17" l="1"/>
</calcChain>
</file>

<file path=xl/sharedStrings.xml><?xml version="1.0" encoding="utf-8"?>
<sst xmlns="http://schemas.openxmlformats.org/spreadsheetml/2006/main" count="450" uniqueCount="77">
  <si>
    <t>Item</t>
  </si>
  <si>
    <t>Unit</t>
  </si>
  <si>
    <t>Raw data (units)</t>
  </si>
  <si>
    <t>Emergy/Unit (sej/unit)</t>
  </si>
  <si>
    <t>Solar Emergy/Building lifetime</t>
  </si>
  <si>
    <t>Renewable Input Subtotal [R]</t>
  </si>
  <si>
    <t>Sunlight</t>
  </si>
  <si>
    <t>J</t>
  </si>
  <si>
    <t>Rain (chemical)</t>
  </si>
  <si>
    <t>Wind (kinetic)</t>
  </si>
  <si>
    <t>Non-renewable Local</t>
  </si>
  <si>
    <t>Net topsoil loss</t>
  </si>
  <si>
    <t>Non-Renewable Input Subtotal [N]</t>
  </si>
  <si>
    <t>Purchased Inputs [F]</t>
  </si>
  <si>
    <t>Electricity</t>
  </si>
  <si>
    <t>Electricity Generation by PV (1930 Kwh)</t>
  </si>
  <si>
    <t>Water</t>
  </si>
  <si>
    <t>Material Transport</t>
  </si>
  <si>
    <t>gal</t>
  </si>
  <si>
    <t>Construction Material (Except PV, Lighting, Furnishing &amp; Sensors)</t>
  </si>
  <si>
    <t>Kg</t>
  </si>
  <si>
    <t>Equipments (Sensing and Control)</t>
  </si>
  <si>
    <t>kg</t>
  </si>
  <si>
    <t>Equipments (Lighting)</t>
  </si>
  <si>
    <t>$</t>
  </si>
  <si>
    <t>Equipments (Furnishing)</t>
  </si>
  <si>
    <t>Construction Material (PV)</t>
  </si>
  <si>
    <t>Construction Activities</t>
  </si>
  <si>
    <t>Purchased Input Subtotal [F]</t>
  </si>
  <si>
    <t>Yield (Y)</t>
  </si>
  <si>
    <r>
      <t>m</t>
    </r>
    <r>
      <rPr>
        <vertAlign val="superscript"/>
        <sz val="12"/>
        <rFont val="Arial"/>
        <family val="2"/>
      </rPr>
      <t>2</t>
    </r>
  </si>
  <si>
    <t>O perfil de uso de energia para Solar House é considerado iluminação de 17% e HVAC (Aquecimento, Ventilação e Ar Condicionado) 49%, para isso é contabilizado os valores propostos na tabela 9 do estudo 'An Emergy-based Approach to Evaluate the Effectiveness of Integrating IoT-based Sensing Systems into Smart Buildings', onde nos cenários são apresentadas as porcentagens de sensores empregados e suas respectivas economias nas UEV's.</t>
  </si>
  <si>
    <t>1. Load profile for commercial buildings in the USA</t>
  </si>
  <si>
    <t>Lighting</t>
  </si>
  <si>
    <t>HVAC</t>
  </si>
  <si>
    <t>others</t>
  </si>
  <si>
    <t>EIA 2012</t>
  </si>
  <si>
    <t>2. Load Profile for Solar House Building</t>
  </si>
  <si>
    <t>3. Emergy of Motion Sensor vs Sensing System</t>
  </si>
  <si>
    <t>Electricity emergy for 75 years</t>
  </si>
  <si>
    <t>Motion sensor (one lifecycle)</t>
  </si>
  <si>
    <t xml:space="preserve"> Motion sensor + Network (one lifecycle) in Sej</t>
  </si>
  <si>
    <t>Electricity emergy for 1  years</t>
  </si>
  <si>
    <t xml:space="preserve">Motion Sensor </t>
  </si>
  <si>
    <t>Wireless motion sensor + Network</t>
  </si>
  <si>
    <t>Annual Electricity for Lighting</t>
  </si>
  <si>
    <t>Annual Electricity for HVAC</t>
  </si>
  <si>
    <t>4. Emergy Ratios  and Emergy Neutrality calculations for different Design Scenarios</t>
  </si>
  <si>
    <t>Savings</t>
  </si>
  <si>
    <t>Total Annual savings</t>
  </si>
  <si>
    <t>Lifecycle savings (10 years)</t>
  </si>
  <si>
    <t>Emergy Payback Period (In Years)</t>
  </si>
  <si>
    <t>Emergy Neutrality (EmN)</t>
  </si>
  <si>
    <t>Annual energy Consumed</t>
  </si>
  <si>
    <t>Lifecycle energy consumed</t>
  </si>
  <si>
    <t>%REN</t>
  </si>
  <si>
    <t>EIR</t>
  </si>
  <si>
    <t>EYR</t>
  </si>
  <si>
    <t>ELR</t>
  </si>
  <si>
    <t>ESI</t>
  </si>
  <si>
    <t>Base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</si>
  <si>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</si>
  <si>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</si>
  <si>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</si>
  <si>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</si>
  <si>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</si>
  <si>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</si>
  <si>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</si>
  <si>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</si>
  <si>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</si>
  <si>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Sensor Integration Scenario</t>
  </si>
  <si>
    <t>Mean Value Scenario</t>
  </si>
  <si>
    <t>% change Sensor Integration</t>
  </si>
  <si>
    <t>% change (Best case)</t>
  </si>
  <si>
    <t>% change (Mean)</t>
  </si>
  <si>
    <t>5. Annual Electricity Distribution for Solar House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</si>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</sst>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538135"/>
      <name val="Times New Roman"/>
      <family val="1"/>
    </font>
    <font>
      <b/>
      <sz val="11"/>
      <color theme="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11" fontId="0" fillId="0" borderId="0" xfId="0" applyNumberFormat="1"/>
    <xf numFmtId="10" fontId="0" fillId="0" borderId="1" xfId="0" applyNumberFormat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1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1" fontId="4" fillId="0" borderId="1" xfId="0" applyNumberFormat="1" applyFont="1" applyFill="1" applyBorder="1" applyAlignment="1">
      <alignment horizontal="left" vertical="center" wrapText="1"/>
    </xf>
    <xf numFmtId="11" fontId="4" fillId="0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1" fontId="3" fillId="0" borderId="1" xfId="0" applyNumberFormat="1" applyFont="1" applyFill="1" applyBorder="1" applyAlignment="1">
      <alignment horizontal="left"/>
    </xf>
    <xf numFmtId="11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3" fillId="0" borderId="0" xfId="1" applyFont="1" applyAlignment="1">
      <alignment horizontal="left" vertical="top" wrapText="1"/>
    </xf>
    <xf numFmtId="0" fontId="2" fillId="0" borderId="0" xfId="0" applyFont="1"/>
    <xf numFmtId="2" fontId="0" fillId="0" borderId="0" xfId="0" applyNumberFormat="1"/>
    <xf numFmtId="0" fontId="0" fillId="0" borderId="1" xfId="0" applyBorder="1"/>
    <xf numFmtId="0" fontId="6" fillId="0" borderId="0" xfId="1"/>
    <xf numFmtId="0" fontId="0" fillId="0" borderId="1" xfId="0" applyBorder="1" applyAlignment="1">
      <alignment wrapText="1"/>
    </xf>
    <xf numFmtId="11" fontId="0" fillId="0" borderId="1" xfId="0" applyNumberFormat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2" fontId="0" fillId="0" borderId="6" xfId="0" applyNumberFormat="1" applyBorder="1" applyAlignment="1">
      <alignment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9" fontId="0" fillId="0" borderId="0" xfId="0" applyNumberFormat="1"/>
    <xf numFmtId="164" fontId="0" fillId="0" borderId="0" xfId="0" applyNumberFormat="1"/>
    <xf numFmtId="11" fontId="0" fillId="0" borderId="9" xfId="0" applyNumberFormat="1" applyBorder="1"/>
    <xf numFmtId="0" fontId="0" fillId="0" borderId="8" xfId="0" applyBorder="1" applyAlignment="1">
      <alignment wrapText="1"/>
    </xf>
    <xf numFmtId="0" fontId="8" fillId="0" borderId="8" xfId="0" applyFont="1" applyBorder="1" applyAlignment="1">
      <alignment vertical="center" wrapText="1"/>
    </xf>
    <xf numFmtId="165" fontId="0" fillId="0" borderId="0" xfId="0" applyNumberFormat="1"/>
    <xf numFmtId="2" fontId="0" fillId="0" borderId="9" xfId="0" applyNumberFormat="1" applyBorder="1"/>
    <xf numFmtId="0" fontId="9" fillId="0" borderId="8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1" fillId="0" borderId="0" xfId="0" applyFont="1" applyAlignment="1">
      <alignment wrapText="1"/>
    </xf>
    <xf numFmtId="2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seta.2022.10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76CE-B527-4964-81B6-8A45275534D2}">
  <dimension ref="A1:M6"/>
  <sheetViews>
    <sheetView workbookViewId="0">
      <selection activeCell="F12" sqref="F12"/>
    </sheetView>
  </sheetViews>
  <sheetFormatPr defaultRowHeight="15" x14ac:dyDescent="0.25"/>
  <sheetData>
    <row r="1" spans="1:13" x14ac:dyDescent="0.25">
      <c r="A1" s="21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</sheetData>
  <mergeCells count="1">
    <mergeCell ref="A1:M6"/>
  </mergeCells>
  <hyperlinks>
    <hyperlink ref="A1:M6" r:id="rId1" display="O perfil de uso de energia para Solar House é considerado iluminação de 17% e HVAC (Aquecimento, Ventilação e Ar Condicionado) 49%, para isso é contabilizado os valores propostos na tabela 9 do estudo 'An Emergy-based Approach to Evaluate the Effectiveness of Integrating IoT-based Sensing Systems into Smart Buildings', onde nos cenários são apresentadas as porcentagens de sensores empregados e suas respectivas economias nas UEV's." xr:uid="{B5AE5153-FC29-420C-97A5-7CBF72E5D9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25C7-BC2B-48F5-AFEC-5EE812F6E12D}">
  <dimension ref="A1:S51"/>
  <sheetViews>
    <sheetView tabSelected="1" workbookViewId="0">
      <selection activeCell="C9" sqref="C9"/>
    </sheetView>
  </sheetViews>
  <sheetFormatPr defaultColWidth="0" defaultRowHeight="0" zeroHeight="1" x14ac:dyDescent="0.25"/>
  <cols>
    <col min="1" max="1" width="20.140625" customWidth="1"/>
    <col min="2" max="2" width="12.28515625" customWidth="1"/>
    <col min="3" max="3" width="12.5703125" customWidth="1"/>
    <col min="4" max="4" width="13.5703125" customWidth="1"/>
    <col min="5" max="5" width="12.28515625" customWidth="1"/>
    <col min="6" max="6" width="14.7109375" style="23" bestFit="1" customWidth="1"/>
    <col min="7" max="7" width="17.28515625" style="23" customWidth="1"/>
    <col min="8" max="8" width="14.28515625" customWidth="1"/>
    <col min="9" max="9" width="14.42578125" customWidth="1"/>
    <col min="10" max="10" width="15.42578125" customWidth="1"/>
    <col min="11" max="11" width="13.7109375" customWidth="1"/>
    <col min="12" max="12" width="14.28515625" customWidth="1"/>
    <col min="13" max="13" width="11.140625" customWidth="1"/>
    <col min="14" max="15" width="9.140625" customWidth="1"/>
    <col min="16" max="16" width="11.85546875" hidden="1"/>
    <col min="17" max="18" width="9.140625" hidden="1"/>
    <col min="19" max="19" width="17.7109375" hidden="1"/>
    <col min="20" max="16384" width="9.140625" hidden="1"/>
  </cols>
  <sheetData>
    <row r="1" spans="1:14" ht="15" x14ac:dyDescent="0.25">
      <c r="A1" s="22" t="s">
        <v>32</v>
      </c>
    </row>
    <row r="2" spans="1:14" ht="15" x14ac:dyDescent="0.25">
      <c r="A2" s="24" t="s">
        <v>33</v>
      </c>
      <c r="B2" s="2">
        <v>0.17</v>
      </c>
      <c r="C2" s="24"/>
    </row>
    <row r="3" spans="1:14" ht="15" x14ac:dyDescent="0.25">
      <c r="A3" s="24" t="s">
        <v>34</v>
      </c>
      <c r="B3" s="2">
        <v>0.49</v>
      </c>
      <c r="C3" s="24"/>
    </row>
    <row r="4" spans="1:14" ht="15" x14ac:dyDescent="0.25">
      <c r="A4" s="24" t="s">
        <v>35</v>
      </c>
      <c r="B4" s="2">
        <f>100%-(B2+B3)</f>
        <v>0.33999999999999997</v>
      </c>
      <c r="C4" s="24" t="s">
        <v>36</v>
      </c>
    </row>
    <row r="5" spans="1:14" ht="15" x14ac:dyDescent="0.25">
      <c r="C5" s="25"/>
    </row>
    <row r="6" spans="1:14" ht="15" x14ac:dyDescent="0.25">
      <c r="A6" s="22" t="s">
        <v>37</v>
      </c>
      <c r="H6" s="22" t="s">
        <v>38</v>
      </c>
    </row>
    <row r="7" spans="1:14" ht="90" x14ac:dyDescent="0.25">
      <c r="A7" s="26" t="s">
        <v>39</v>
      </c>
      <c r="B7" s="27">
        <f>158340*75</f>
        <v>11875500</v>
      </c>
      <c r="C7" s="1"/>
      <c r="D7" s="1"/>
      <c r="H7" s="24"/>
      <c r="I7" s="24"/>
      <c r="J7" s="26" t="s">
        <v>40</v>
      </c>
      <c r="K7" s="24"/>
      <c r="L7" s="24"/>
      <c r="M7" s="24"/>
      <c r="N7" s="26" t="s">
        <v>41</v>
      </c>
    </row>
    <row r="8" spans="1:14" ht="45.75" customHeight="1" x14ac:dyDescent="0.25">
      <c r="A8" s="26" t="s">
        <v>42</v>
      </c>
      <c r="B8" s="27">
        <f>B7/75</f>
        <v>158340</v>
      </c>
      <c r="H8" s="27" t="s">
        <v>43</v>
      </c>
      <c r="I8" s="27">
        <v>71820800000000</v>
      </c>
      <c r="J8" s="27">
        <f>I8/8</f>
        <v>8977600000000</v>
      </c>
      <c r="K8" s="24"/>
      <c r="L8" s="26" t="s">
        <v>44</v>
      </c>
      <c r="M8" s="27">
        <v>1469945600000000</v>
      </c>
      <c r="N8" s="27">
        <f>M8/8</f>
        <v>183743200000000</v>
      </c>
    </row>
    <row r="9" spans="1:14" ht="30" x14ac:dyDescent="0.25">
      <c r="A9" s="26" t="s">
        <v>45</v>
      </c>
      <c r="B9" s="27">
        <f>17% * B8</f>
        <v>26917.800000000003</v>
      </c>
      <c r="J9" s="1"/>
    </row>
    <row r="10" spans="1:14" ht="30" x14ac:dyDescent="0.25">
      <c r="A10" s="26" t="s">
        <v>46</v>
      </c>
      <c r="B10" s="27">
        <f>49%*B8</f>
        <v>77586.600000000006</v>
      </c>
    </row>
    <row r="11" spans="1:14" ht="15" x14ac:dyDescent="0.25">
      <c r="A11" s="28"/>
      <c r="B11" s="1"/>
    </row>
    <row r="12" spans="1:14" ht="15" x14ac:dyDescent="0.25">
      <c r="A12" s="28"/>
      <c r="B12" s="1"/>
    </row>
    <row r="13" spans="1:14" ht="15.75" thickBot="1" x14ac:dyDescent="0.3">
      <c r="A13" s="22" t="s">
        <v>47</v>
      </c>
    </row>
    <row r="14" spans="1:14" ht="60" x14ac:dyDescent="0.25">
      <c r="A14" s="29"/>
      <c r="B14" s="30" t="s">
        <v>48</v>
      </c>
      <c r="C14" s="30"/>
      <c r="D14" s="31" t="s">
        <v>49</v>
      </c>
      <c r="E14" s="31" t="s">
        <v>50</v>
      </c>
      <c r="F14" s="32" t="s">
        <v>51</v>
      </c>
      <c r="G14" s="32" t="s">
        <v>52</v>
      </c>
      <c r="H14" s="31" t="s">
        <v>53</v>
      </c>
      <c r="I14" s="31" t="s">
        <v>54</v>
      </c>
      <c r="J14" s="33" t="s">
        <v>55</v>
      </c>
      <c r="K14" s="33" t="s">
        <v>56</v>
      </c>
      <c r="L14" s="33" t="s">
        <v>57</v>
      </c>
      <c r="M14" s="33" t="s">
        <v>58</v>
      </c>
      <c r="N14" s="34" t="s">
        <v>59</v>
      </c>
    </row>
    <row r="15" spans="1:14" ht="15" x14ac:dyDescent="0.25">
      <c r="A15" s="35"/>
      <c r="B15" t="s">
        <v>33</v>
      </c>
      <c r="C15" t="s">
        <v>34</v>
      </c>
      <c r="N15" s="36"/>
    </row>
    <row r="16" spans="1:14" ht="15" x14ac:dyDescent="0.25">
      <c r="A16" s="35" t="s">
        <v>60</v>
      </c>
      <c r="B16" s="37">
        <v>0</v>
      </c>
      <c r="C16" s="37">
        <v>0</v>
      </c>
      <c r="D16" s="1">
        <f>(B16*$B$9) + (C16*$B$10)</f>
        <v>0</v>
      </c>
      <c r="E16" s="1">
        <f>D16*10</f>
        <v>0</v>
      </c>
      <c r="H16" s="1">
        <f>($B$8-D16)</f>
        <v>158340</v>
      </c>
      <c r="I16" s="1">
        <f>H16*75</f>
        <v>11875500</v>
      </c>
      <c r="J16" s="1">
        <v>5.576501972672252E-3</v>
      </c>
      <c r="K16" s="23">
        <v>177.60828759226553</v>
      </c>
      <c r="L16" s="38">
        <v>1.00563036789306</v>
      </c>
      <c r="M16" s="23">
        <v>178.32388527799648</v>
      </c>
      <c r="N16" s="39">
        <v>5.6393475631452087E-3</v>
      </c>
    </row>
    <row r="17" spans="1:14" ht="15" x14ac:dyDescent="0.25">
      <c r="A17" s="35" t="s">
        <v>61</v>
      </c>
      <c r="B17" s="37">
        <v>0.1</v>
      </c>
      <c r="C17" s="37">
        <v>0</v>
      </c>
      <c r="D17" s="1">
        <f t="shared" ref="D17" si="0">(B17*$B$9) + (C17*$B$10)</f>
        <v>2691.7800000000007</v>
      </c>
      <c r="E17" s="1">
        <f>D17*10</f>
        <v>26917.800000000007</v>
      </c>
      <c r="F17" s="23">
        <f>N8/D17</f>
        <v>68260853412.983215</v>
      </c>
      <c r="G17" s="23">
        <f>1/F17</f>
        <v>1.4649684995145401E-11</v>
      </c>
      <c r="H17" s="1">
        <f>($B$8-D17)</f>
        <v>155648.22</v>
      </c>
      <c r="I17" s="1">
        <f>H17*75</f>
        <v>11673616.5</v>
      </c>
      <c r="J17" s="1">
        <v>5.5979187896633316E-3</v>
      </c>
      <c r="K17" s="23">
        <v>176.92495845653082</v>
      </c>
      <c r="L17" s="38">
        <v>1.0056521138042018</v>
      </c>
      <c r="M17" s="23">
        <v>177.6378183703772</v>
      </c>
      <c r="N17" s="39">
        <v>5.6612500819358405E-3</v>
      </c>
    </row>
    <row r="18" spans="1:14" ht="15" x14ac:dyDescent="0.25">
      <c r="A18" s="35" t="s">
        <v>62</v>
      </c>
      <c r="B18" s="37">
        <v>0.35</v>
      </c>
      <c r="C18" s="37">
        <v>0</v>
      </c>
      <c r="D18" s="1">
        <f>(B18*$B$9) + (C18*$B$10)</f>
        <v>9421.23</v>
      </c>
      <c r="E18" s="1">
        <f t="shared" ref="E18:E27" si="1">D18*10</f>
        <v>94212.299999999988</v>
      </c>
      <c r="F18" s="23">
        <f>$N$8/D18</f>
        <v>19503100975.138065</v>
      </c>
      <c r="G18" s="23">
        <f t="shared" ref="G18:G26" si="2">1/F18</f>
        <v>5.1273897483008895E-11</v>
      </c>
      <c r="H18" s="1">
        <f t="shared" ref="H18:H27" si="3">($B$8-D18)</f>
        <v>148918.76999999999</v>
      </c>
      <c r="I18" s="1">
        <f t="shared" ref="I18:I27" si="4">H18*75</f>
        <v>11168907.75</v>
      </c>
      <c r="J18" s="1">
        <v>5.6267317587793877E-3</v>
      </c>
      <c r="K18" s="23">
        <v>176.01385294221788</v>
      </c>
      <c r="L18" s="38">
        <v>1.0056813710016808</v>
      </c>
      <c r="M18" s="23">
        <v>176.72306249355151</v>
      </c>
      <c r="N18" s="39">
        <v>5.6907194613514426E-3</v>
      </c>
    </row>
    <row r="19" spans="1:14" ht="15" x14ac:dyDescent="0.25">
      <c r="A19" s="35" t="s">
        <v>63</v>
      </c>
      <c r="B19" s="37">
        <v>0.4</v>
      </c>
      <c r="C19" s="37">
        <v>0</v>
      </c>
      <c r="D19" s="1">
        <f t="shared" ref="D19:D27" si="5">(B19*$B$9) + (C19*$B$10)</f>
        <v>10767.120000000003</v>
      </c>
      <c r="E19" s="1">
        <f t="shared" si="1"/>
        <v>107671.20000000003</v>
      </c>
      <c r="F19" s="23">
        <f>$N$8/D19</f>
        <v>17065213353.245804</v>
      </c>
      <c r="G19" s="23">
        <f t="shared" si="2"/>
        <v>5.8598739980581605E-11</v>
      </c>
      <c r="H19" s="1">
        <f t="shared" si="3"/>
        <v>147572.88</v>
      </c>
      <c r="I19" s="1">
        <f t="shared" si="4"/>
        <v>11067966</v>
      </c>
      <c r="J19" s="1">
        <v>5.6412497574450122E-3</v>
      </c>
      <c r="K19" s="23">
        <v>175.55830018506143</v>
      </c>
      <c r="L19" s="38">
        <v>1.0056961134788038</v>
      </c>
      <c r="M19" s="23">
        <v>176.26568455513865</v>
      </c>
      <c r="N19" s="39">
        <v>5.705569498776754E-3</v>
      </c>
    </row>
    <row r="20" spans="1:14" ht="15" x14ac:dyDescent="0.25">
      <c r="A20" s="35" t="s">
        <v>64</v>
      </c>
      <c r="B20" s="37">
        <v>0</v>
      </c>
      <c r="C20" s="37">
        <v>0.1</v>
      </c>
      <c r="D20" s="1">
        <f t="shared" si="5"/>
        <v>7758.6600000000008</v>
      </c>
      <c r="E20" s="1">
        <f t="shared" si="1"/>
        <v>77586.600000000006</v>
      </c>
      <c r="F20" s="23">
        <f t="shared" ref="F20:F25" si="6">$N$8/D20</f>
        <v>23682336898.381935</v>
      </c>
      <c r="G20" s="23">
        <f t="shared" si="2"/>
        <v>4.2225562633066154E-11</v>
      </c>
      <c r="H20" s="1">
        <f t="shared" si="3"/>
        <v>150581.34</v>
      </c>
      <c r="I20" s="1">
        <f t="shared" si="4"/>
        <v>11293600.5</v>
      </c>
      <c r="J20" s="1">
        <v>5.6178020307323254E-3</v>
      </c>
      <c r="K20" s="23">
        <v>176.29522376281454</v>
      </c>
      <c r="L20" s="38">
        <v>1.0056723034161459</v>
      </c>
      <c r="M20" s="23">
        <v>177.00556063198297</v>
      </c>
      <c r="N20" s="39">
        <v>5.6815859333767841E-3</v>
      </c>
    </row>
    <row r="21" spans="1:14" ht="15" x14ac:dyDescent="0.25">
      <c r="A21" s="35" t="s">
        <v>65</v>
      </c>
      <c r="B21" s="37">
        <v>0</v>
      </c>
      <c r="C21" s="37">
        <v>0.2</v>
      </c>
      <c r="D21" s="1">
        <f t="shared" si="5"/>
        <v>15517.320000000002</v>
      </c>
      <c r="E21" s="1">
        <f t="shared" si="1"/>
        <v>155173.20000000001</v>
      </c>
      <c r="F21" s="23">
        <f t="shared" si="6"/>
        <v>11841168449.190968</v>
      </c>
      <c r="G21" s="23">
        <f t="shared" si="2"/>
        <v>8.4451125266132308E-11</v>
      </c>
      <c r="H21" s="1">
        <f t="shared" si="3"/>
        <v>142822.68</v>
      </c>
      <c r="I21" s="1">
        <f t="shared" si="4"/>
        <v>10711701</v>
      </c>
      <c r="J21" s="1">
        <v>5.6597183968592332E-3</v>
      </c>
      <c r="K21" s="23">
        <v>174.98215993336353</v>
      </c>
      <c r="L21" s="38">
        <v>1.0057148683064652</v>
      </c>
      <c r="M21" s="23">
        <v>175.68723598596944</v>
      </c>
      <c r="N21" s="39">
        <v>5.7244617838189595E-3</v>
      </c>
    </row>
    <row r="22" spans="1:14" ht="15" x14ac:dyDescent="0.25">
      <c r="A22" s="35" t="s">
        <v>66</v>
      </c>
      <c r="B22" s="37">
        <v>0</v>
      </c>
      <c r="C22" s="37">
        <v>0.3</v>
      </c>
      <c r="D22" s="1">
        <f t="shared" si="5"/>
        <v>23275.98</v>
      </c>
      <c r="E22" s="1">
        <f t="shared" si="1"/>
        <v>232759.8</v>
      </c>
      <c r="F22" s="23">
        <f t="shared" si="6"/>
        <v>7894112299.4606457</v>
      </c>
      <c r="G22" s="23">
        <f t="shared" si="2"/>
        <v>1.2667668789919845E-10</v>
      </c>
      <c r="H22" s="1">
        <f t="shared" si="3"/>
        <v>135064.01999999999</v>
      </c>
      <c r="I22" s="1">
        <f t="shared" si="4"/>
        <v>10129801.5</v>
      </c>
      <c r="J22" s="1">
        <v>5.7022649702231495E-3</v>
      </c>
      <c r="K22" s="23">
        <v>173.66909610391255</v>
      </c>
      <c r="L22" s="38">
        <v>1.0057580768394261</v>
      </c>
      <c r="M22" s="23">
        <v>174.36891133995593</v>
      </c>
      <c r="N22" s="39">
        <v>5.7679896554412944E-3</v>
      </c>
    </row>
    <row r="23" spans="1:14" ht="15" x14ac:dyDescent="0.25">
      <c r="A23" s="35" t="s">
        <v>67</v>
      </c>
      <c r="B23" s="37">
        <v>0.1</v>
      </c>
      <c r="C23" s="37">
        <v>0.1</v>
      </c>
      <c r="D23" s="1">
        <f t="shared" si="5"/>
        <v>10450.440000000002</v>
      </c>
      <c r="E23" s="1">
        <f t="shared" si="1"/>
        <v>104504.40000000002</v>
      </c>
      <c r="F23" s="23">
        <f t="shared" si="6"/>
        <v>17582341030.61689</v>
      </c>
      <c r="G23" s="23">
        <f t="shared" si="2"/>
        <v>5.6875247628211555E-11</v>
      </c>
      <c r="H23" s="1">
        <f t="shared" si="3"/>
        <v>147889.56</v>
      </c>
      <c r="I23" s="1">
        <f t="shared" si="4"/>
        <v>11091717</v>
      </c>
      <c r="J23" s="1">
        <v>5.639537870294517E-3</v>
      </c>
      <c r="K23" s="23">
        <v>175.61189462707983</v>
      </c>
      <c r="L23" s="38">
        <v>1.0056943750998391</v>
      </c>
      <c r="M23" s="23">
        <v>176.3194937243637</v>
      </c>
      <c r="N23" s="39">
        <v>5.7038184142702815E-3</v>
      </c>
    </row>
    <row r="24" spans="1:14" ht="15" x14ac:dyDescent="0.25">
      <c r="A24" s="35" t="s">
        <v>68</v>
      </c>
      <c r="B24" s="37">
        <v>0.35</v>
      </c>
      <c r="C24" s="37">
        <v>0.2</v>
      </c>
      <c r="D24" s="1">
        <f t="shared" si="5"/>
        <v>24938.550000000003</v>
      </c>
      <c r="E24" s="1">
        <f t="shared" si="1"/>
        <v>249385.50000000003</v>
      </c>
      <c r="F24" s="23">
        <f t="shared" si="6"/>
        <v>7367838146.1632681</v>
      </c>
      <c r="G24" s="23">
        <f t="shared" si="2"/>
        <v>1.357250227491412E-10</v>
      </c>
      <c r="H24" s="1">
        <f t="shared" si="3"/>
        <v>133401.45000000001</v>
      </c>
      <c r="I24" s="1">
        <f t="shared" si="4"/>
        <v>10005108.75</v>
      </c>
      <c r="J24" s="1">
        <v>5.6965842739652084E-3</v>
      </c>
      <c r="K24" s="23">
        <v>173.8432780404724</v>
      </c>
      <c r="L24" s="38">
        <v>1.0057523075454617</v>
      </c>
      <c r="M24" s="23">
        <v>174.54379113993733</v>
      </c>
      <c r="N24" s="39">
        <v>5.7621775084461067E-3</v>
      </c>
    </row>
    <row r="25" spans="1:14" ht="15" x14ac:dyDescent="0.25">
      <c r="A25" s="35" t="s">
        <v>69</v>
      </c>
      <c r="B25" s="37">
        <v>0.4</v>
      </c>
      <c r="C25" s="37">
        <v>0.3</v>
      </c>
      <c r="D25" s="1">
        <f t="shared" si="5"/>
        <v>34043.100000000006</v>
      </c>
      <c r="E25" s="1">
        <f t="shared" si="1"/>
        <v>340431.00000000006</v>
      </c>
      <c r="F25" s="23">
        <f t="shared" si="6"/>
        <v>5397369804.74751</v>
      </c>
      <c r="G25" s="23">
        <f t="shared" si="2"/>
        <v>1.8527542787978008E-10</v>
      </c>
      <c r="H25" s="1">
        <f t="shared" si="3"/>
        <v>124296.9</v>
      </c>
      <c r="I25" s="1">
        <f t="shared" si="4"/>
        <v>9322267.5</v>
      </c>
      <c r="J25" s="1">
        <v>5.754796570030439E-3</v>
      </c>
      <c r="K25" s="23">
        <v>172.07466145386493</v>
      </c>
      <c r="L25" s="38">
        <v>1.0058114308728023</v>
      </c>
      <c r="M25" s="23">
        <v>172.76808855551093</v>
      </c>
      <c r="N25" s="39">
        <v>5.82174311982176E-3</v>
      </c>
    </row>
    <row r="26" spans="1:14" ht="30" x14ac:dyDescent="0.25">
      <c r="A26" s="40" t="s">
        <v>70</v>
      </c>
      <c r="B26" s="37">
        <v>0.21</v>
      </c>
      <c r="C26" s="37">
        <v>0</v>
      </c>
      <c r="D26" s="1">
        <f t="shared" si="5"/>
        <v>5652.7380000000003</v>
      </c>
      <c r="E26" s="1">
        <f t="shared" si="1"/>
        <v>56527.380000000005</v>
      </c>
      <c r="F26" s="23">
        <f>$N$8/D26</f>
        <v>32505168291.896774</v>
      </c>
      <c r="G26" s="23">
        <f t="shared" si="2"/>
        <v>3.0764338489805341E-11</v>
      </c>
      <c r="H26" s="1">
        <f t="shared" si="3"/>
        <v>152687.26199999999</v>
      </c>
      <c r="I26" s="1">
        <f t="shared" si="4"/>
        <v>11451544.649999999</v>
      </c>
      <c r="J26" s="1">
        <v>5.6065316486104931E-3</v>
      </c>
      <c r="K26" s="23">
        <v>176.65162680223693</v>
      </c>
      <c r="L26" s="38">
        <v>1.0056608592748457</v>
      </c>
      <c r="M26" s="23">
        <v>177.3633916073295</v>
      </c>
      <c r="N26" s="39">
        <v>5.6700587994015731E-3</v>
      </c>
    </row>
    <row r="27" spans="1:14" ht="15" x14ac:dyDescent="0.25">
      <c r="A27" s="35" t="s">
        <v>71</v>
      </c>
      <c r="B27" s="37">
        <v>0.28333333333333333</v>
      </c>
      <c r="C27" s="37">
        <v>0.2</v>
      </c>
      <c r="D27" s="1">
        <f t="shared" si="5"/>
        <v>23144.030000000002</v>
      </c>
      <c r="E27" s="1">
        <f t="shared" si="1"/>
        <v>231440.30000000002</v>
      </c>
      <c r="F27" s="23">
        <f>$N$8/D27</f>
        <v>7939118640.9627008</v>
      </c>
      <c r="G27" s="23">
        <f>1/F27</f>
        <v>1.2595856608571094E-10</v>
      </c>
      <c r="H27" s="1">
        <f t="shared" si="3"/>
        <v>135195.97</v>
      </c>
      <c r="I27" s="1">
        <f t="shared" si="4"/>
        <v>10139697.75</v>
      </c>
      <c r="J27" s="1">
        <v>5.7255424629237455E-3</v>
      </c>
      <c r="K27" s="23">
        <v>172.95896974716865</v>
      </c>
      <c r="L27" s="38">
        <v>1.0057817180656303</v>
      </c>
      <c r="M27" s="23">
        <v>173.65593984772411</v>
      </c>
      <c r="N27" s="39">
        <v>5.7918071731239539E-3</v>
      </c>
    </row>
    <row r="28" spans="1:14" ht="28.5" x14ac:dyDescent="0.25">
      <c r="A28" s="41" t="s">
        <v>72</v>
      </c>
      <c r="B28" s="37"/>
      <c r="C28" s="37"/>
      <c r="D28" s="1"/>
      <c r="E28" s="1"/>
      <c r="H28" s="1"/>
      <c r="I28" s="23">
        <f t="shared" ref="I28:N28" si="7">((I26-I16)/I16)*100</f>
        <v>-3.5700000000000127</v>
      </c>
      <c r="J28" s="23">
        <f t="shared" si="7"/>
        <v>0.53850381628845656</v>
      </c>
      <c r="K28" s="23">
        <f t="shared" si="7"/>
        <v>-0.53863521967217798</v>
      </c>
      <c r="L28" s="42">
        <f t="shared" si="7"/>
        <v>3.0320665285361089E-3</v>
      </c>
      <c r="M28" s="23">
        <f t="shared" si="7"/>
        <v>-0.53862311780030148</v>
      </c>
      <c r="N28" s="43">
        <f t="shared" si="7"/>
        <v>0.54458846369163949</v>
      </c>
    </row>
    <row r="29" spans="1:14" ht="28.5" x14ac:dyDescent="0.25">
      <c r="A29" s="44" t="s">
        <v>73</v>
      </c>
      <c r="I29" s="23">
        <f t="shared" ref="I29:N29" si="8">((I25-I16)/I16)*100</f>
        <v>-21.5</v>
      </c>
      <c r="J29" s="23">
        <f t="shared" si="8"/>
        <v>3.1972479922346113</v>
      </c>
      <c r="K29" s="23">
        <f t="shared" si="8"/>
        <v>-3.1156350941821538</v>
      </c>
      <c r="L29" s="23">
        <f t="shared" si="8"/>
        <v>1.8004923630304624E-2</v>
      </c>
      <c r="M29" s="23">
        <f t="shared" si="8"/>
        <v>-3.11556509315866</v>
      </c>
      <c r="N29" s="43">
        <f t="shared" si="8"/>
        <v>3.2343379200203906</v>
      </c>
    </row>
    <row r="30" spans="1:14" ht="15.75" thickBot="1" x14ac:dyDescent="0.3">
      <c r="A30" s="45" t="s">
        <v>74</v>
      </c>
      <c r="B30" s="46"/>
      <c r="C30" s="46"/>
      <c r="D30" s="46"/>
      <c r="E30" s="46"/>
      <c r="F30" s="47"/>
      <c r="G30" s="47"/>
      <c r="H30" s="46"/>
      <c r="I30" s="47">
        <f t="shared" ref="I30:N30" si="9">((I27-I16)/I16)*100</f>
        <v>-14.616666666666667</v>
      </c>
      <c r="J30" s="47">
        <f t="shared" si="9"/>
        <v>2.6726519775635174</v>
      </c>
      <c r="K30" s="47">
        <f t="shared" si="9"/>
        <v>-2.6177369919641871</v>
      </c>
      <c r="L30" s="47">
        <f t="shared" si="9"/>
        <v>1.5050278651328547E-2</v>
      </c>
      <c r="M30" s="47">
        <f t="shared" si="9"/>
        <v>-2.6176781775449292</v>
      </c>
      <c r="N30" s="48">
        <f t="shared" si="9"/>
        <v>2.7034973154538924</v>
      </c>
    </row>
    <row r="31" spans="1:14" ht="15" x14ac:dyDescent="0.25">
      <c r="A31" s="49"/>
      <c r="I31" s="23"/>
      <c r="J31" s="23"/>
      <c r="K31" s="23"/>
      <c r="L31" s="23"/>
      <c r="M31" s="23"/>
      <c r="N31" s="23"/>
    </row>
    <row r="32" spans="1:14" ht="15" hidden="1" x14ac:dyDescent="0.25">
      <c r="A32" s="50" t="s">
        <v>75</v>
      </c>
      <c r="I32" s="23"/>
      <c r="J32" s="23"/>
      <c r="K32" s="23"/>
    </row>
    <row r="33" spans="1:6" ht="15" hidden="1" x14ac:dyDescent="0.25">
      <c r="A33" s="24"/>
      <c r="B33" s="51" t="s">
        <v>76</v>
      </c>
    </row>
    <row r="34" spans="1:6" ht="30" hidden="1" x14ac:dyDescent="0.25">
      <c r="A34" s="26" t="s">
        <v>45</v>
      </c>
      <c r="B34" s="24">
        <f>17%*2500</f>
        <v>425.00000000000006</v>
      </c>
    </row>
    <row r="35" spans="1:6" ht="30" hidden="1" x14ac:dyDescent="0.25">
      <c r="A35" s="26" t="s">
        <v>46</v>
      </c>
      <c r="B35" s="24">
        <f>49%*2500</f>
        <v>1225</v>
      </c>
    </row>
    <row r="36" spans="1:6" ht="15" hidden="1" x14ac:dyDescent="0.25">
      <c r="A36" s="28"/>
    </row>
    <row r="37" spans="1:6" ht="15" hidden="1" x14ac:dyDescent="0.25">
      <c r="A37" s="28"/>
    </row>
    <row r="47" spans="1:6" ht="15" hidden="1" x14ac:dyDescent="0.25">
      <c r="A47" s="28"/>
    </row>
    <row r="48" spans="1:6" ht="15" hidden="1" x14ac:dyDescent="0.25">
      <c r="A48" s="28"/>
      <c r="D48" s="28"/>
      <c r="E48" s="52"/>
      <c r="F48" s="53"/>
    </row>
    <row r="49" spans="1:15" ht="15" hidden="1" x14ac:dyDescent="0.25">
      <c r="C49" s="1"/>
      <c r="D49" s="1"/>
      <c r="E49" s="1"/>
    </row>
    <row r="50" spans="1:15" s="23" customFormat="1" ht="15" hidden="1" x14ac:dyDescent="0.25">
      <c r="A50"/>
      <c r="B50"/>
      <c r="C50"/>
      <c r="D50" s="1"/>
      <c r="E50"/>
      <c r="H50"/>
      <c r="I50"/>
      <c r="J50"/>
      <c r="K50"/>
      <c r="L50"/>
      <c r="M50"/>
      <c r="N50"/>
      <c r="O50"/>
    </row>
    <row r="51" spans="1:15" s="23" customFormat="1" ht="15" hidden="1" x14ac:dyDescent="0.25">
      <c r="A51"/>
      <c r="B51"/>
      <c r="C51" s="1"/>
      <c r="D51" s="1"/>
      <c r="E51" s="1"/>
      <c r="H51"/>
      <c r="I51"/>
      <c r="J51"/>
      <c r="K51"/>
      <c r="L51"/>
      <c r="M51"/>
      <c r="N51"/>
      <c r="O5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C8BE-3170-4962-BF83-45C0ED30DC61}">
  <dimension ref="A1:E25"/>
  <sheetViews>
    <sheetView topLeftCell="A2" zoomScale="85" zoomScaleNormal="85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158340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45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ht="30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367440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486641</v>
      </c>
      <c r="E25" s="10">
        <f>SUM(E6,E10,E23)</f>
        <v>7.1317420436277888E+17</v>
      </c>
    </row>
  </sheetData>
  <mergeCells count="10">
    <mergeCell ref="B2:E2"/>
    <mergeCell ref="B8:E8"/>
    <mergeCell ref="B12:E12"/>
    <mergeCell ref="A23:C23"/>
    <mergeCell ref="A25:C25"/>
    <mergeCell ref="A24:E24"/>
    <mergeCell ref="A11:E11"/>
    <mergeCell ref="A6:C6"/>
    <mergeCell ref="A10:C10"/>
    <mergeCell ref="A7:E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7DD9-BA79-41D3-89A7-10FD831EA0D7}">
  <dimension ref="A1:E25"/>
  <sheetViews>
    <sheetView zoomScale="85" zoomScaleNormal="85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155648.22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45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ht="30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364748.22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483949.22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9A6B-84D2-4080-92C3-16AA2A54C644}">
  <dimension ref="A1:E25"/>
  <sheetViews>
    <sheetView topLeftCell="A5" zoomScale="85" zoomScaleNormal="85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148918.76999999999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358018.77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477219.77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B213-2DEB-444D-820A-B33B51729199}">
  <dimension ref="A1:E25"/>
  <sheetViews>
    <sheetView topLeftCell="A5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147572.88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356672.88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475873.88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C9E1-7C03-40D4-B804-79925CA8B634}">
  <dimension ref="A1:E25"/>
  <sheetViews>
    <sheetView topLeftCell="A2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150581.34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359681.33999999997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478882.33999999997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25F-5BAF-4C81-B8B3-AAF191764798}">
  <dimension ref="A1:E25"/>
  <sheetViews>
    <sheetView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142822.68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351922.68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471123.68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91FD-662E-4FA3-91BD-9CEB1668316F}">
  <dimension ref="A1:E25"/>
  <sheetViews>
    <sheetView topLeftCell="A2"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135064.01999999999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344164.02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463365.02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98B6-A39A-4C99-9BF6-BDE3FE431C93}">
  <dimension ref="A1:E25"/>
  <sheetViews>
    <sheetView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147889.56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356989.56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476190.56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C75-266F-4DEB-BBF3-8965FDA6028B}">
  <dimension ref="A1:E25"/>
  <sheetViews>
    <sheetView workbookViewId="0">
      <selection activeCell="D13" sqref="D13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133401.45000000001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342501.45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461702.45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15BD-5747-439D-9EC2-77BDD0FB716B}">
  <dimension ref="A1:E25"/>
  <sheetViews>
    <sheetView topLeftCell="A2" zoomScale="85" zoomScaleNormal="85" workbookViewId="0">
      <selection activeCell="G20" sqref="G20"/>
    </sheetView>
  </sheetViews>
  <sheetFormatPr defaultColWidth="35.7109375" defaultRowHeight="15" x14ac:dyDescent="0.2"/>
  <cols>
    <col min="1" max="1" width="36.42578125" style="19" bestFit="1" customWidth="1"/>
    <col min="2" max="2" width="5.85546875" style="19" bestFit="1" customWidth="1"/>
    <col min="3" max="3" width="20.28515625" style="19" bestFit="1" customWidth="1"/>
    <col min="4" max="4" width="24.28515625" style="19" bestFit="1" customWidth="1"/>
    <col min="5" max="5" width="33.42578125" style="19" bestFit="1" customWidth="1"/>
    <col min="6" max="16384" width="35.7109375" style="3"/>
  </cols>
  <sheetData>
    <row r="1" spans="1:5" ht="31.5" x14ac:dyDescent="0.2">
      <c r="A1" s="6" t="s">
        <v>0</v>
      </c>
      <c r="B1" s="20" t="s">
        <v>1</v>
      </c>
      <c r="C1" s="20" t="s">
        <v>2</v>
      </c>
      <c r="D1" s="6" t="s">
        <v>3</v>
      </c>
      <c r="E1" s="6" t="s">
        <v>4</v>
      </c>
    </row>
    <row r="2" spans="1:5" ht="15.75" x14ac:dyDescent="0.2">
      <c r="A2" s="6" t="s">
        <v>5</v>
      </c>
      <c r="B2" s="7"/>
      <c r="C2" s="8"/>
      <c r="D2" s="8"/>
      <c r="E2" s="9"/>
    </row>
    <row r="3" spans="1:5" x14ac:dyDescent="0.2">
      <c r="A3" s="4" t="s">
        <v>6</v>
      </c>
      <c r="B3" s="5" t="s">
        <v>7</v>
      </c>
      <c r="C3" s="10">
        <v>2971450500000</v>
      </c>
      <c r="D3" s="5">
        <v>1</v>
      </c>
      <c r="E3" s="10">
        <v>222858787500000</v>
      </c>
    </row>
    <row r="4" spans="1:5" x14ac:dyDescent="0.2">
      <c r="A4" s="4" t="s">
        <v>8</v>
      </c>
      <c r="B4" s="5" t="s">
        <v>7</v>
      </c>
      <c r="C4" s="10">
        <v>27655447599839.996</v>
      </c>
      <c r="D4" s="10">
        <v>23500</v>
      </c>
      <c r="E4" s="10">
        <v>2074158569987999.8</v>
      </c>
    </row>
    <row r="5" spans="1:5" x14ac:dyDescent="0.2">
      <c r="A5" s="4" t="s">
        <v>9</v>
      </c>
      <c r="B5" s="5" t="s">
        <v>7</v>
      </c>
      <c r="C5" s="10">
        <v>11814870412.145256</v>
      </c>
      <c r="D5" s="10">
        <v>1900</v>
      </c>
      <c r="E5" s="10">
        <v>1680000000000000</v>
      </c>
    </row>
    <row r="6" spans="1:5" ht="15.75" x14ac:dyDescent="0.2">
      <c r="A6" s="11" t="s">
        <v>5</v>
      </c>
      <c r="B6" s="11"/>
      <c r="C6" s="11"/>
      <c r="D6" s="12">
        <f>D3+D4+D5</f>
        <v>25401</v>
      </c>
      <c r="E6" s="13">
        <f>E3+E4+E5</f>
        <v>3977017357488000</v>
      </c>
    </row>
    <row r="7" spans="1:5" x14ac:dyDescent="0.2">
      <c r="A7" s="14"/>
      <c r="B7" s="15"/>
      <c r="C7" s="15"/>
      <c r="D7" s="15"/>
      <c r="E7" s="16"/>
    </row>
    <row r="8" spans="1:5" ht="15.75" x14ac:dyDescent="0.2">
      <c r="A8" s="6" t="s">
        <v>10</v>
      </c>
      <c r="B8" s="7"/>
      <c r="C8" s="8"/>
      <c r="D8" s="8"/>
      <c r="E8" s="9"/>
    </row>
    <row r="9" spans="1:5" x14ac:dyDescent="0.2">
      <c r="A9" s="4" t="s">
        <v>11</v>
      </c>
      <c r="B9" s="5" t="s">
        <v>7</v>
      </c>
      <c r="C9" s="10">
        <v>212453330544.00003</v>
      </c>
      <c r="D9" s="10">
        <v>93800</v>
      </c>
      <c r="E9" s="10">
        <v>15933999790800.002</v>
      </c>
    </row>
    <row r="10" spans="1:5" ht="15.75" x14ac:dyDescent="0.2">
      <c r="A10" s="11" t="s">
        <v>12</v>
      </c>
      <c r="B10" s="11"/>
      <c r="C10" s="11"/>
      <c r="D10" s="12">
        <f>D9</f>
        <v>93800</v>
      </c>
      <c r="E10" s="13">
        <v>15933999790800.002</v>
      </c>
    </row>
    <row r="11" spans="1:5" x14ac:dyDescent="0.2">
      <c r="A11" s="14"/>
      <c r="B11" s="15"/>
      <c r="C11" s="15"/>
      <c r="D11" s="15"/>
      <c r="E11" s="16"/>
    </row>
    <row r="12" spans="1:5" ht="15.75" x14ac:dyDescent="0.2">
      <c r="A12" s="6" t="s">
        <v>13</v>
      </c>
      <c r="B12" s="7"/>
      <c r="C12" s="8"/>
      <c r="D12" s="8"/>
      <c r="E12" s="9"/>
    </row>
    <row r="13" spans="1:5" x14ac:dyDescent="0.2">
      <c r="A13" s="4" t="s">
        <v>14</v>
      </c>
      <c r="B13" s="5" t="s">
        <v>7</v>
      </c>
      <c r="C13" s="10">
        <v>1984833405000000</v>
      </c>
      <c r="D13" s="17">
        <v>124296.9</v>
      </c>
      <c r="E13" s="10">
        <v>1.07E+17</v>
      </c>
    </row>
    <row r="14" spans="1:5" ht="30" x14ac:dyDescent="0.2">
      <c r="A14" s="4" t="s">
        <v>15</v>
      </c>
      <c r="B14" s="5" t="s">
        <v>7</v>
      </c>
      <c r="C14" s="10">
        <v>6940000000</v>
      </c>
      <c r="D14" s="18">
        <v>90800</v>
      </c>
      <c r="E14" s="10">
        <f>C14*D14*75</f>
        <v>4.72614E+16</v>
      </c>
    </row>
    <row r="15" spans="1:5" x14ac:dyDescent="0.2">
      <c r="A15" s="4" t="s">
        <v>16</v>
      </c>
      <c r="B15" s="5" t="s">
        <v>7</v>
      </c>
      <c r="C15" s="10">
        <v>201408369500000.03</v>
      </c>
      <c r="D15" s="10">
        <v>33100</v>
      </c>
      <c r="E15" s="10">
        <v>1.5105627712500002E+16</v>
      </c>
    </row>
    <row r="16" spans="1:5" x14ac:dyDescent="0.2">
      <c r="A16" s="4" t="s">
        <v>17</v>
      </c>
      <c r="B16" s="5" t="s">
        <v>18</v>
      </c>
      <c r="C16" s="10">
        <v>3442.24</v>
      </c>
      <c r="D16" s="10">
        <v>85200</v>
      </c>
      <c r="E16" s="10">
        <v>293000000</v>
      </c>
    </row>
    <row r="17" spans="1:5" ht="30" x14ac:dyDescent="0.2">
      <c r="A17" s="4" t="s">
        <v>19</v>
      </c>
      <c r="B17" s="5" t="s">
        <v>20</v>
      </c>
      <c r="C17" s="10">
        <v>9561.6059999999979</v>
      </c>
      <c r="D17" s="10"/>
      <c r="E17" s="10">
        <v>2.13E+17</v>
      </c>
    </row>
    <row r="18" spans="1:5" x14ac:dyDescent="0.2">
      <c r="A18" s="4" t="s">
        <v>21</v>
      </c>
      <c r="B18" s="5" t="s">
        <v>22</v>
      </c>
      <c r="C18" s="10">
        <v>26.753999999999998</v>
      </c>
      <c r="D18" s="5"/>
      <c r="E18" s="10">
        <v>5310000000000000</v>
      </c>
    </row>
    <row r="19" spans="1:5" x14ac:dyDescent="0.2">
      <c r="A19" s="4" t="s">
        <v>23</v>
      </c>
      <c r="B19" s="5" t="s">
        <v>24</v>
      </c>
      <c r="C19" s="10">
        <v>2530</v>
      </c>
      <c r="D19" s="5"/>
      <c r="E19" s="10">
        <v>1.41E+16</v>
      </c>
    </row>
    <row r="20" spans="1:5" x14ac:dyDescent="0.2">
      <c r="A20" s="4" t="s">
        <v>25</v>
      </c>
      <c r="B20" s="5" t="s">
        <v>24</v>
      </c>
      <c r="C20" s="10">
        <v>2080</v>
      </c>
      <c r="D20" s="5"/>
      <c r="E20" s="10">
        <v>1.16E+16</v>
      </c>
    </row>
    <row r="21" spans="1:5" ht="18" x14ac:dyDescent="0.2">
      <c r="A21" s="4" t="s">
        <v>26</v>
      </c>
      <c r="B21" s="5" t="s">
        <v>30</v>
      </c>
      <c r="C21" s="10">
        <v>90.539999999999992</v>
      </c>
      <c r="D21" s="5"/>
      <c r="E21" s="10">
        <v>2.71304225E+17</v>
      </c>
    </row>
    <row r="22" spans="1:5" x14ac:dyDescent="0.2">
      <c r="A22" s="4" t="s">
        <v>27</v>
      </c>
      <c r="B22" s="5" t="s">
        <v>7</v>
      </c>
      <c r="C22" s="10"/>
      <c r="D22" s="5"/>
      <c r="E22" s="10">
        <v>2.45E+16</v>
      </c>
    </row>
    <row r="23" spans="1:5" ht="15.75" x14ac:dyDescent="0.2">
      <c r="A23" s="11" t="s">
        <v>28</v>
      </c>
      <c r="B23" s="11"/>
      <c r="C23" s="11"/>
      <c r="D23" s="12">
        <f>D13+D14+D15+D16</f>
        <v>333396.90000000002</v>
      </c>
      <c r="E23" s="13">
        <f>SUM(E13:E22)</f>
        <v>7.0918125300550003E+17</v>
      </c>
    </row>
    <row r="24" spans="1:5" x14ac:dyDescent="0.2">
      <c r="A24" s="14"/>
      <c r="B24" s="15"/>
      <c r="C24" s="15"/>
      <c r="D24" s="15"/>
      <c r="E24" s="16"/>
    </row>
    <row r="25" spans="1:5" x14ac:dyDescent="0.2">
      <c r="A25" s="14" t="s">
        <v>29</v>
      </c>
      <c r="B25" s="15"/>
      <c r="C25" s="16"/>
      <c r="D25" s="10">
        <f>D6+D10+D23</f>
        <v>452597.9</v>
      </c>
      <c r="E25" s="10">
        <f>SUM(E6,E10,E23)</f>
        <v>7.1317420436277888E+17</v>
      </c>
    </row>
  </sheetData>
  <mergeCells count="10">
    <mergeCell ref="B12:E12"/>
    <mergeCell ref="A23:C23"/>
    <mergeCell ref="A24:E24"/>
    <mergeCell ref="A25:C25"/>
    <mergeCell ref="B2:E2"/>
    <mergeCell ref="A6:C6"/>
    <mergeCell ref="A7:E7"/>
    <mergeCell ref="B8:E8"/>
    <mergeCell ref="A10:C10"/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Observações</vt:lpstr>
      <vt:lpstr>Calc. Cenários</vt:lpstr>
      <vt:lpstr>Cenário Base</vt:lpstr>
      <vt:lpstr>Cenário 1</vt:lpstr>
      <vt:lpstr>Cenário 2</vt:lpstr>
      <vt:lpstr>Cenário 3</vt:lpstr>
      <vt:lpstr>Cenário 4</vt:lpstr>
      <vt:lpstr>Cenário 5</vt:lpstr>
      <vt:lpstr>Cenário 6</vt:lpstr>
      <vt:lpstr>Cenário 7</vt:lpstr>
      <vt:lpstr>Cenário 8</vt:lpstr>
      <vt:lpstr>Cenário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Lima</dc:creator>
  <cp:lastModifiedBy>Gabriel Lima</cp:lastModifiedBy>
  <dcterms:created xsi:type="dcterms:W3CDTF">2023-10-26T19:51:43Z</dcterms:created>
  <dcterms:modified xsi:type="dcterms:W3CDTF">2023-10-26T20:19:19Z</dcterms:modified>
</cp:coreProperties>
</file>