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esktop\SCALE_beta\"/>
    </mc:Choice>
  </mc:AlternateContent>
  <xr:revisionPtr revIDLastSave="0" documentId="13_ncr:1_{FB1B7527-BAEA-45D3-9F0B-F9D86FDC31C9}" xr6:coauthVersionLast="43" xr6:coauthVersionMax="43" xr10:uidLastSave="{00000000-0000-0000-0000-000000000000}"/>
  <bookViews>
    <workbookView xWindow="-96" yWindow="-96" windowWidth="23232" windowHeight="12696" activeTab="4" xr2:uid="{2B17E411-B88C-2D48-A9C9-83EDC7BA4B96}"/>
  </bookViews>
  <sheets>
    <sheet name="LEU MSRE" sheetId="14" r:id="rId1"/>
    <sheet name="HEU MSRE" sheetId="13" r:id="rId2"/>
    <sheet name="ThU233 MSBR" sheetId="11" r:id="rId3"/>
    <sheet name="LEU MSDR" sheetId="15" r:id="rId4"/>
    <sheet name="All_Lambda" sheetId="12" r:id="rId5"/>
    <sheet name="RemovalRobertson" sheetId="6" r:id="rId6"/>
    <sheet name="Table1" sheetId="5" r:id="rId7"/>
    <sheet name="Extra" sheetId="9" r:id="rId8"/>
    <sheet name="Lambda" sheetId="4" r:id="rId9"/>
    <sheet name="RawL" sheetId="8" r:id="rId10"/>
    <sheet name="Coarse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7" i="12" l="1"/>
  <c r="O65" i="12"/>
  <c r="P77" i="12" l="1"/>
  <c r="P81" i="12" s="1"/>
  <c r="O74" i="12"/>
  <c r="O76" i="12" s="1"/>
  <c r="O77" i="12" s="1"/>
  <c r="O79" i="12" s="1"/>
  <c r="Q76" i="12"/>
  <c r="Q77" i="12" s="1"/>
  <c r="P65" i="12"/>
  <c r="P66" i="12" s="1"/>
  <c r="P68" i="12" s="1"/>
  <c r="P69" i="12" s="1"/>
  <c r="P59" i="12"/>
  <c r="P61" i="12" s="1"/>
  <c r="P57" i="12"/>
  <c r="Q53" i="12"/>
  <c r="Q54" i="12" s="1"/>
  <c r="Q55" i="12" s="1"/>
  <c r="O51" i="12"/>
  <c r="O55" i="12" s="1"/>
  <c r="O66" i="12" s="1"/>
  <c r="O68" i="12" s="1"/>
  <c r="O69" i="12" s="1"/>
  <c r="Q65" i="12" l="1"/>
  <c r="Q57" i="12"/>
  <c r="P79" i="12"/>
  <c r="O81" i="12"/>
  <c r="Q79" i="12"/>
  <c r="Q81" i="12"/>
  <c r="Q59" i="12"/>
  <c r="Q61" i="12" s="1"/>
  <c r="Q66" i="12"/>
  <c r="Q68" i="12" s="1"/>
  <c r="Q69" i="12" s="1"/>
  <c r="O59" i="12"/>
  <c r="O61" i="12" s="1"/>
  <c r="O57" i="12"/>
  <c r="C21" i="11" l="1"/>
  <c r="E30" i="13" l="1"/>
  <c r="D30" i="13"/>
  <c r="C30" i="13"/>
  <c r="B30" i="13"/>
  <c r="B30" i="11"/>
  <c r="C26" i="13"/>
  <c r="P32" i="12" l="1"/>
  <c r="P34" i="12"/>
  <c r="P36" i="12" s="1"/>
  <c r="P40" i="12" l="1"/>
  <c r="F30" i="12"/>
  <c r="Q29" i="6"/>
  <c r="H29" i="6"/>
  <c r="R29" i="6"/>
  <c r="P62" i="12" l="1"/>
  <c r="O62" i="12"/>
  <c r="Q62" i="12"/>
  <c r="P37" i="12"/>
  <c r="P46" i="12"/>
  <c r="T15" i="6" l="1"/>
  <c r="T14" i="6"/>
  <c r="T13" i="6"/>
  <c r="C22" i="13" l="1"/>
  <c r="J22" i="15"/>
  <c r="J23" i="15"/>
  <c r="J24" i="15"/>
  <c r="E31" i="15"/>
  <c r="C30" i="15"/>
  <c r="C31" i="15" s="1"/>
  <c r="C23" i="15"/>
  <c r="F22" i="15"/>
  <c r="C22" i="15" s="1"/>
  <c r="J21" i="15"/>
  <c r="C21" i="15"/>
  <c r="C17" i="15"/>
  <c r="C12" i="15"/>
  <c r="F6" i="15"/>
  <c r="C6" i="15"/>
  <c r="C5" i="15"/>
  <c r="B30" i="15" s="1"/>
  <c r="B31" i="15" s="1"/>
  <c r="C30" i="14"/>
  <c r="C31" i="14" s="1"/>
  <c r="C23" i="14"/>
  <c r="F22" i="14"/>
  <c r="C22" i="14" s="1"/>
  <c r="J21" i="14"/>
  <c r="C21" i="14"/>
  <c r="C17" i="14"/>
  <c r="D30" i="14" s="1"/>
  <c r="D31" i="14" s="1"/>
  <c r="C12" i="14"/>
  <c r="F6" i="14"/>
  <c r="C6" i="14" s="1"/>
  <c r="C5" i="14"/>
  <c r="J21" i="13"/>
  <c r="B31" i="13"/>
  <c r="C31" i="13"/>
  <c r="D31" i="13"/>
  <c r="E31" i="13"/>
  <c r="D31" i="11"/>
  <c r="C31" i="11"/>
  <c r="B31" i="11"/>
  <c r="E30" i="11"/>
  <c r="E31" i="11" s="1"/>
  <c r="C33" i="11" s="1"/>
  <c r="G2" i="11" s="1"/>
  <c r="I2" i="11" s="1"/>
  <c r="C9" i="11" s="1"/>
  <c r="E7" i="11" s="1"/>
  <c r="D30" i="11"/>
  <c r="C30" i="11"/>
  <c r="C23" i="13"/>
  <c r="F22" i="13"/>
  <c r="C21" i="13"/>
  <c r="C17" i="13"/>
  <c r="C12" i="13"/>
  <c r="F6" i="13"/>
  <c r="C6" i="13" s="1"/>
  <c r="C5" i="13"/>
  <c r="C5" i="11"/>
  <c r="N9" i="6"/>
  <c r="R9" i="6"/>
  <c r="R10" i="6" s="1"/>
  <c r="N8" i="6"/>
  <c r="R30" i="6"/>
  <c r="S19" i="6"/>
  <c r="E30" i="14" l="1"/>
  <c r="E31" i="14" s="1"/>
  <c r="B30" i="14"/>
  <c r="B31" i="14" s="1"/>
  <c r="C33" i="13"/>
  <c r="E30" i="15"/>
  <c r="D30" i="15"/>
  <c r="D31" i="15" s="1"/>
  <c r="C33" i="15" s="1"/>
  <c r="G2" i="15" s="1"/>
  <c r="I2" i="15" s="1"/>
  <c r="E5" i="11"/>
  <c r="C24" i="11"/>
  <c r="C19" i="11"/>
  <c r="E16" i="11" s="1"/>
  <c r="G16" i="11" s="1"/>
  <c r="C14" i="11"/>
  <c r="E11" i="11" s="1"/>
  <c r="S14" i="6"/>
  <c r="C33" i="14" l="1"/>
  <c r="G2" i="14" s="1"/>
  <c r="I2" i="14" s="1"/>
  <c r="C25" i="14" s="1"/>
  <c r="E22" i="14" s="1"/>
  <c r="M12" i="14" s="1"/>
  <c r="S17" i="6"/>
  <c r="S20" i="6" s="1"/>
  <c r="S21" i="6" s="1"/>
  <c r="S15" i="6"/>
  <c r="G2" i="13"/>
  <c r="I2" i="13" s="1"/>
  <c r="C9" i="13" s="1"/>
  <c r="C9" i="15"/>
  <c r="C25" i="15"/>
  <c r="C19" i="15"/>
  <c r="C14" i="15"/>
  <c r="C26" i="11"/>
  <c r="J31" i="4"/>
  <c r="K31" i="4"/>
  <c r="K22" i="4"/>
  <c r="C19" i="14" l="1"/>
  <c r="E16" i="14" s="1"/>
  <c r="C14" i="14"/>
  <c r="E11" i="14" s="1"/>
  <c r="C9" i="14"/>
  <c r="E5" i="14" s="1"/>
  <c r="C25" i="13"/>
  <c r="C19" i="13"/>
  <c r="C14" i="13"/>
  <c r="E16" i="15"/>
  <c r="E17" i="15"/>
  <c r="G17" i="15" s="1"/>
  <c r="E21" i="15"/>
  <c r="E22" i="15"/>
  <c r="E23" i="15"/>
  <c r="G23" i="15" s="1"/>
  <c r="E12" i="15"/>
  <c r="G12" i="15" s="1"/>
  <c r="E11" i="15"/>
  <c r="E6" i="15"/>
  <c r="E7" i="15"/>
  <c r="C27" i="15"/>
  <c r="E5" i="15"/>
  <c r="E21" i="14"/>
  <c r="E23" i="14"/>
  <c r="G23" i="14" s="1"/>
  <c r="E17" i="14"/>
  <c r="G17" i="14" s="1"/>
  <c r="O13" i="12"/>
  <c r="F33" i="4"/>
  <c r="P41" i="12"/>
  <c r="P43" i="12" s="1"/>
  <c r="Q28" i="12"/>
  <c r="Q29" i="12" s="1"/>
  <c r="Q30" i="12" s="1"/>
  <c r="Q34" i="12" s="1"/>
  <c r="Q36" i="12" s="1"/>
  <c r="Q37" i="12" s="1"/>
  <c r="O26" i="12"/>
  <c r="O30" i="12" s="1"/>
  <c r="O32" i="12" s="1"/>
  <c r="D33" i="4"/>
  <c r="D30" i="4"/>
  <c r="K35" i="4"/>
  <c r="K36" i="4" s="1"/>
  <c r="K37" i="4" s="1"/>
  <c r="L31" i="4"/>
  <c r="L33" i="4" s="1"/>
  <c r="K33" i="4"/>
  <c r="J27" i="4"/>
  <c r="K20" i="4"/>
  <c r="L29" i="4"/>
  <c r="L30" i="4" s="1"/>
  <c r="F4" i="12"/>
  <c r="H4" i="12" s="1"/>
  <c r="D4" i="12"/>
  <c r="Q13" i="12"/>
  <c r="P13" i="12"/>
  <c r="D14" i="4"/>
  <c r="F23" i="12"/>
  <c r="G23" i="12" s="1"/>
  <c r="F24" i="12"/>
  <c r="H24" i="12" s="1"/>
  <c r="F25" i="12"/>
  <c r="H25" i="12" s="1"/>
  <c r="F26" i="12"/>
  <c r="I26" i="12" s="1"/>
  <c r="F27" i="12"/>
  <c r="G27" i="12" s="1"/>
  <c r="F28" i="12"/>
  <c r="H28" i="12" s="1"/>
  <c r="F29" i="12"/>
  <c r="H29" i="12" s="1"/>
  <c r="I30" i="12"/>
  <c r="Q12" i="12" s="1"/>
  <c r="F31" i="12"/>
  <c r="G31" i="12" s="1"/>
  <c r="F32" i="12"/>
  <c r="H32" i="12" s="1"/>
  <c r="F33" i="12"/>
  <c r="H33" i="12" s="1"/>
  <c r="F34" i="12"/>
  <c r="I34" i="12" s="1"/>
  <c r="F35" i="12"/>
  <c r="G35" i="12" s="1"/>
  <c r="F36" i="12"/>
  <c r="H36" i="12" s="1"/>
  <c r="F37" i="12"/>
  <c r="H37" i="12" s="1"/>
  <c r="K37" i="12" s="1"/>
  <c r="F38" i="12"/>
  <c r="I38" i="12" s="1"/>
  <c r="F39" i="12"/>
  <c r="I39" i="12" s="1"/>
  <c r="F22" i="12"/>
  <c r="I22" i="12" s="1"/>
  <c r="F7" i="12"/>
  <c r="H7" i="12" s="1"/>
  <c r="F8" i="12"/>
  <c r="G8" i="12" s="1"/>
  <c r="F9" i="12"/>
  <c r="I9" i="12" s="1"/>
  <c r="F10" i="12"/>
  <c r="I10" i="12" s="1"/>
  <c r="F11" i="12"/>
  <c r="H11" i="12" s="1"/>
  <c r="F12" i="12"/>
  <c r="I12" i="12" s="1"/>
  <c r="F13" i="12"/>
  <c r="I13" i="12" s="1"/>
  <c r="F14" i="12"/>
  <c r="I14" i="12" s="1"/>
  <c r="F15" i="12"/>
  <c r="H15" i="12" s="1"/>
  <c r="F16" i="12"/>
  <c r="I16" i="12" s="1"/>
  <c r="F17" i="12"/>
  <c r="I17" i="12" s="1"/>
  <c r="F18" i="12"/>
  <c r="I18" i="12" s="1"/>
  <c r="F19" i="12"/>
  <c r="H19" i="12" s="1"/>
  <c r="F6" i="12"/>
  <c r="H6" i="12" s="1"/>
  <c r="D28" i="12"/>
  <c r="D29" i="12"/>
  <c r="D30" i="12"/>
  <c r="D31" i="12"/>
  <c r="D32" i="12"/>
  <c r="D33" i="12"/>
  <c r="D34" i="12"/>
  <c r="D35" i="12"/>
  <c r="D36" i="12"/>
  <c r="D37" i="12"/>
  <c r="D38" i="12"/>
  <c r="D39" i="12"/>
  <c r="D23" i="12"/>
  <c r="D24" i="12"/>
  <c r="D25" i="12"/>
  <c r="D26" i="12"/>
  <c r="D27" i="12"/>
  <c r="D22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6" i="12"/>
  <c r="E40" i="12"/>
  <c r="C22" i="11"/>
  <c r="E22" i="11" s="1"/>
  <c r="G22" i="11" s="1"/>
  <c r="E21" i="11"/>
  <c r="G21" i="11" s="1"/>
  <c r="C17" i="11"/>
  <c r="E17" i="11" s="1"/>
  <c r="G17" i="11" s="1"/>
  <c r="C12" i="11"/>
  <c r="E12" i="11" s="1"/>
  <c r="F6" i="11"/>
  <c r="C6" i="11" s="1"/>
  <c r="E6" i="11" s="1"/>
  <c r="F31" i="4"/>
  <c r="E31" i="4"/>
  <c r="D31" i="4"/>
  <c r="D22" i="4"/>
  <c r="E30" i="4" s="1"/>
  <c r="F14" i="4"/>
  <c r="E14" i="4"/>
  <c r="E12" i="14" l="1"/>
  <c r="G12" i="14" s="1"/>
  <c r="E6" i="14"/>
  <c r="M8" i="14" s="1"/>
  <c r="E7" i="14"/>
  <c r="G7" i="14" s="1"/>
  <c r="J9" i="14" s="1"/>
  <c r="C27" i="14"/>
  <c r="Q32" i="12"/>
  <c r="Q40" i="12"/>
  <c r="Q41" i="12" s="1"/>
  <c r="O34" i="12"/>
  <c r="O36" i="12" s="1"/>
  <c r="O37" i="12" s="1"/>
  <c r="E11" i="13"/>
  <c r="E12" i="13"/>
  <c r="G12" i="13" s="1"/>
  <c r="E16" i="13"/>
  <c r="E17" i="13"/>
  <c r="G17" i="13" s="1"/>
  <c r="E5" i="13"/>
  <c r="C27" i="13"/>
  <c r="E7" i="13"/>
  <c r="E6" i="13"/>
  <c r="E21" i="13"/>
  <c r="E22" i="13"/>
  <c r="E23" i="13"/>
  <c r="G23" i="13" s="1"/>
  <c r="G22" i="15"/>
  <c r="J12" i="15" s="1"/>
  <c r="K12" i="15"/>
  <c r="E9" i="15"/>
  <c r="K7" i="15"/>
  <c r="G5" i="15"/>
  <c r="G11" i="15"/>
  <c r="J10" i="15" s="1"/>
  <c r="E14" i="15"/>
  <c r="K10" i="15"/>
  <c r="K13" i="15"/>
  <c r="E25" i="15"/>
  <c r="G21" i="15"/>
  <c r="J13" i="15" s="1"/>
  <c r="K8" i="15"/>
  <c r="G6" i="15"/>
  <c r="J8" i="15" s="1"/>
  <c r="K9" i="15"/>
  <c r="G7" i="15"/>
  <c r="J9" i="15" s="1"/>
  <c r="E19" i="15"/>
  <c r="G16" i="15"/>
  <c r="J11" i="15" s="1"/>
  <c r="K11" i="15"/>
  <c r="G5" i="14"/>
  <c r="M7" i="14"/>
  <c r="G22" i="14"/>
  <c r="J12" i="14" s="1"/>
  <c r="M10" i="14"/>
  <c r="G11" i="14"/>
  <c r="J10" i="14" s="1"/>
  <c r="E14" i="14"/>
  <c r="G6" i="14"/>
  <c r="J8" i="14" s="1"/>
  <c r="E19" i="14"/>
  <c r="M11" i="14"/>
  <c r="G16" i="14"/>
  <c r="J11" i="14" s="1"/>
  <c r="M13" i="14"/>
  <c r="J22" i="14" s="1"/>
  <c r="E25" i="14"/>
  <c r="G21" i="14"/>
  <c r="J13" i="14" s="1"/>
  <c r="G6" i="11"/>
  <c r="E9" i="11"/>
  <c r="E19" i="11"/>
  <c r="K19" i="12"/>
  <c r="I7" i="12"/>
  <c r="L7" i="12" s="1"/>
  <c r="H8" i="12"/>
  <c r="K8" i="12" s="1"/>
  <c r="G30" i="12"/>
  <c r="O12" i="12" s="1"/>
  <c r="O15" i="12" s="1"/>
  <c r="O16" i="12" s="1"/>
  <c r="J8" i="12"/>
  <c r="G6" i="12"/>
  <c r="J6" i="12" s="1"/>
  <c r="I4" i="12"/>
  <c r="L4" i="12" s="1"/>
  <c r="K25" i="12"/>
  <c r="Q43" i="12"/>
  <c r="J35" i="4"/>
  <c r="J36" i="4" s="1"/>
  <c r="J37" i="4" s="1"/>
  <c r="J33" i="4"/>
  <c r="L35" i="4"/>
  <c r="L36" i="4" s="1"/>
  <c r="L37" i="4" s="1"/>
  <c r="D32" i="4"/>
  <c r="F30" i="4"/>
  <c r="F32" i="4" s="1"/>
  <c r="E32" i="4"/>
  <c r="E33" i="4" s="1"/>
  <c r="K15" i="12"/>
  <c r="K33" i="12"/>
  <c r="K11" i="12"/>
  <c r="K29" i="12"/>
  <c r="G4" i="12"/>
  <c r="J4" i="12" s="1"/>
  <c r="K4" i="12"/>
  <c r="K6" i="12"/>
  <c r="K7" i="12"/>
  <c r="L16" i="12"/>
  <c r="L30" i="12"/>
  <c r="K36" i="12"/>
  <c r="K32" i="12"/>
  <c r="K28" i="12"/>
  <c r="K24" i="12"/>
  <c r="L18" i="12"/>
  <c r="L14" i="12"/>
  <c r="L10" i="12"/>
  <c r="L22" i="12"/>
  <c r="L12" i="12"/>
  <c r="L38" i="12"/>
  <c r="L34" i="12"/>
  <c r="L26" i="12"/>
  <c r="L17" i="12"/>
  <c r="L13" i="12"/>
  <c r="L9" i="12"/>
  <c r="L39" i="12"/>
  <c r="G16" i="12"/>
  <c r="J16" i="12" s="1"/>
  <c r="I6" i="12"/>
  <c r="L6" i="12" s="1"/>
  <c r="H18" i="12"/>
  <c r="K18" i="12" s="1"/>
  <c r="G26" i="12"/>
  <c r="J26" i="12" s="1"/>
  <c r="Q15" i="12"/>
  <c r="Q16" i="12" s="1"/>
  <c r="H13" i="12"/>
  <c r="K13" i="12" s="1"/>
  <c r="H34" i="12"/>
  <c r="K34" i="12" s="1"/>
  <c r="J35" i="12"/>
  <c r="J31" i="12"/>
  <c r="J27" i="12"/>
  <c r="J23" i="12"/>
  <c r="I8" i="12"/>
  <c r="L8" i="12" s="1"/>
  <c r="H26" i="12"/>
  <c r="K26" i="12" s="1"/>
  <c r="G12" i="12"/>
  <c r="J12" i="12" s="1"/>
  <c r="H17" i="12"/>
  <c r="K17" i="12" s="1"/>
  <c r="H12" i="12"/>
  <c r="K12" i="12" s="1"/>
  <c r="G38" i="12"/>
  <c r="J38" i="12" s="1"/>
  <c r="H22" i="12"/>
  <c r="K22" i="12" s="1"/>
  <c r="H31" i="12"/>
  <c r="K31" i="12" s="1"/>
  <c r="H23" i="12"/>
  <c r="K23" i="12" s="1"/>
  <c r="H16" i="12"/>
  <c r="K16" i="12" s="1"/>
  <c r="H10" i="12"/>
  <c r="K10" i="12" s="1"/>
  <c r="G34" i="12"/>
  <c r="J34" i="12" s="1"/>
  <c r="H38" i="12"/>
  <c r="K38" i="12" s="1"/>
  <c r="H30" i="12"/>
  <c r="H39" i="12"/>
  <c r="K39" i="12" s="1"/>
  <c r="H14" i="12"/>
  <c r="K14" i="12" s="1"/>
  <c r="H9" i="12"/>
  <c r="K9" i="12" s="1"/>
  <c r="H35" i="12"/>
  <c r="K35" i="12" s="1"/>
  <c r="H27" i="12"/>
  <c r="K27" i="12" s="1"/>
  <c r="I29" i="12"/>
  <c r="L29" i="12" s="1"/>
  <c r="I37" i="12"/>
  <c r="L37" i="12" s="1"/>
  <c r="I33" i="12"/>
  <c r="L33" i="12" s="1"/>
  <c r="I25" i="12"/>
  <c r="L25" i="12" s="1"/>
  <c r="G19" i="12"/>
  <c r="J19" i="12" s="1"/>
  <c r="G15" i="12"/>
  <c r="J15" i="12" s="1"/>
  <c r="G11" i="12"/>
  <c r="J11" i="12" s="1"/>
  <c r="G7" i="12"/>
  <c r="J7" i="12" s="1"/>
  <c r="I19" i="12"/>
  <c r="L19" i="12" s="1"/>
  <c r="I15" i="12"/>
  <c r="L15" i="12" s="1"/>
  <c r="I11" i="12"/>
  <c r="L11" i="12" s="1"/>
  <c r="G37" i="12"/>
  <c r="J37" i="12" s="1"/>
  <c r="G33" i="12"/>
  <c r="J33" i="12" s="1"/>
  <c r="G29" i="12"/>
  <c r="J29" i="12" s="1"/>
  <c r="G25" i="12"/>
  <c r="J25" i="12" s="1"/>
  <c r="I36" i="12"/>
  <c r="L36" i="12" s="1"/>
  <c r="I32" i="12"/>
  <c r="L32" i="12" s="1"/>
  <c r="I28" i="12"/>
  <c r="L28" i="12" s="1"/>
  <c r="I24" i="12"/>
  <c r="L24" i="12" s="1"/>
  <c r="G18" i="12"/>
  <c r="J18" i="12" s="1"/>
  <c r="G14" i="12"/>
  <c r="J14" i="12" s="1"/>
  <c r="G10" i="12"/>
  <c r="J10" i="12" s="1"/>
  <c r="G22" i="12"/>
  <c r="J22" i="12" s="1"/>
  <c r="G36" i="12"/>
  <c r="J36" i="12" s="1"/>
  <c r="G32" i="12"/>
  <c r="J32" i="12" s="1"/>
  <c r="G28" i="12"/>
  <c r="J28" i="12" s="1"/>
  <c r="G24" i="12"/>
  <c r="J24" i="12" s="1"/>
  <c r="I35" i="12"/>
  <c r="L35" i="12" s="1"/>
  <c r="I31" i="12"/>
  <c r="L31" i="12" s="1"/>
  <c r="I27" i="12"/>
  <c r="L27" i="12" s="1"/>
  <c r="I23" i="12"/>
  <c r="L23" i="12" s="1"/>
  <c r="G17" i="12"/>
  <c r="J17" i="12" s="1"/>
  <c r="G13" i="12"/>
  <c r="J13" i="12" s="1"/>
  <c r="G9" i="12"/>
  <c r="J9" i="12" s="1"/>
  <c r="G39" i="12"/>
  <c r="J39" i="12" s="1"/>
  <c r="M11" i="11"/>
  <c r="G12" i="11"/>
  <c r="E22" i="9"/>
  <c r="E23" i="9" s="1"/>
  <c r="E24" i="9" s="1"/>
  <c r="E20" i="9"/>
  <c r="E12" i="9"/>
  <c r="D12" i="9"/>
  <c r="E9" i="9"/>
  <c r="E13" i="9" s="1"/>
  <c r="E14" i="9" s="1"/>
  <c r="D9" i="9"/>
  <c r="D13" i="9" s="1"/>
  <c r="D14" i="9" s="1"/>
  <c r="D15" i="9" s="1"/>
  <c r="D7" i="9"/>
  <c r="E6" i="9"/>
  <c r="E7" i="9" s="1"/>
  <c r="D6" i="9"/>
  <c r="C75" i="8"/>
  <c r="I65" i="8"/>
  <c r="I61" i="8"/>
  <c r="I62" i="8" s="1"/>
  <c r="I64" i="8" s="1"/>
  <c r="C58" i="8"/>
  <c r="C57" i="8"/>
  <c r="C56" i="8"/>
  <c r="C60" i="8" s="1"/>
  <c r="C45" i="8"/>
  <c r="H38" i="8"/>
  <c r="M31" i="8"/>
  <c r="O32" i="8" s="1"/>
  <c r="O30" i="8"/>
  <c r="H26" i="8"/>
  <c r="C24" i="8"/>
  <c r="I23" i="8"/>
  <c r="M19" i="8"/>
  <c r="M21" i="8" s="1"/>
  <c r="M23" i="8" s="1"/>
  <c r="C27" i="8" s="1"/>
  <c r="I19" i="8"/>
  <c r="I20" i="8" s="1"/>
  <c r="I21" i="8" s="1"/>
  <c r="I24" i="8" s="1"/>
  <c r="I4" i="8" s="1"/>
  <c r="I10" i="8" s="1"/>
  <c r="I11" i="8" s="1"/>
  <c r="M15" i="8"/>
  <c r="I14" i="8"/>
  <c r="C10" i="8"/>
  <c r="C23" i="8" s="1"/>
  <c r="F9" i="8"/>
  <c r="A31" i="7"/>
  <c r="A24" i="7"/>
  <c r="H9" i="7" s="1"/>
  <c r="L11" i="7"/>
  <c r="I11" i="7"/>
  <c r="K11" i="7" s="1"/>
  <c r="L10" i="7"/>
  <c r="J10" i="7"/>
  <c r="I10" i="7"/>
  <c r="K10" i="7" s="1"/>
  <c r="L9" i="7"/>
  <c r="K9" i="7"/>
  <c r="I9" i="7"/>
  <c r="J9" i="7" s="1"/>
  <c r="L8" i="7"/>
  <c r="K8" i="7"/>
  <c r="I8" i="7"/>
  <c r="J8" i="7" s="1"/>
  <c r="L7" i="7"/>
  <c r="I7" i="7"/>
  <c r="J7" i="7" s="1"/>
  <c r="L6" i="7"/>
  <c r="I6" i="7"/>
  <c r="J6" i="7" s="1"/>
  <c r="L5" i="7"/>
  <c r="K5" i="7"/>
  <c r="J5" i="7"/>
  <c r="I5" i="7"/>
  <c r="M9" i="14" l="1"/>
  <c r="E9" i="14"/>
  <c r="E27" i="14" s="1"/>
  <c r="Q46" i="12"/>
  <c r="Q20" i="12" s="1"/>
  <c r="O40" i="12"/>
  <c r="O41" i="12" s="1"/>
  <c r="O43" i="12" s="1"/>
  <c r="K8" i="13"/>
  <c r="G6" i="13"/>
  <c r="J8" i="13" s="1"/>
  <c r="G7" i="13"/>
  <c r="J9" i="13" s="1"/>
  <c r="K9" i="13"/>
  <c r="K11" i="13"/>
  <c r="G16" i="13"/>
  <c r="J11" i="13" s="1"/>
  <c r="E19" i="13"/>
  <c r="K12" i="13"/>
  <c r="G22" i="13"/>
  <c r="J12" i="13" s="1"/>
  <c r="G21" i="13"/>
  <c r="J13" i="13" s="1"/>
  <c r="E25" i="13"/>
  <c r="E27" i="13" s="1"/>
  <c r="K13" i="13"/>
  <c r="J22" i="13" s="1"/>
  <c r="J23" i="13" s="1"/>
  <c r="J24" i="13" s="1"/>
  <c r="J25" i="13" s="1"/>
  <c r="E9" i="13"/>
  <c r="K7" i="13"/>
  <c r="G5" i="13"/>
  <c r="G11" i="13"/>
  <c r="J10" i="13" s="1"/>
  <c r="E14" i="13"/>
  <c r="K10" i="13"/>
  <c r="J23" i="14"/>
  <c r="J24" i="14" s="1"/>
  <c r="J25" i="14" s="1"/>
  <c r="J25" i="15"/>
  <c r="K14" i="15"/>
  <c r="E27" i="15"/>
  <c r="J7" i="15"/>
  <c r="J14" i="15" s="1"/>
  <c r="G27" i="15"/>
  <c r="M14" i="14"/>
  <c r="J7" i="14"/>
  <c r="J14" i="14" s="1"/>
  <c r="G27" i="14"/>
  <c r="J11" i="11"/>
  <c r="M9" i="11"/>
  <c r="P12" i="12"/>
  <c r="K30" i="12"/>
  <c r="J30" i="12"/>
  <c r="H40" i="12"/>
  <c r="I40" i="12"/>
  <c r="G11" i="11"/>
  <c r="J10" i="11" s="1"/>
  <c r="M10" i="11"/>
  <c r="G7" i="11"/>
  <c r="J9" i="11" s="1"/>
  <c r="M8" i="11"/>
  <c r="E14" i="11"/>
  <c r="F34" i="4"/>
  <c r="D34" i="4"/>
  <c r="I30" i="8"/>
  <c r="I13" i="8"/>
  <c r="C25" i="8" s="1"/>
  <c r="I31" i="8"/>
  <c r="C26" i="8"/>
  <c r="C28" i="8" s="1"/>
  <c r="O31" i="8"/>
  <c r="H11" i="7"/>
  <c r="H8" i="7"/>
  <c r="H5" i="7"/>
  <c r="K6" i="7"/>
  <c r="J11" i="7"/>
  <c r="H6" i="7"/>
  <c r="K7" i="7"/>
  <c r="H10" i="7"/>
  <c r="H7" i="7"/>
  <c r="O46" i="12" l="1"/>
  <c r="O20" i="12" s="1"/>
  <c r="G27" i="13"/>
  <c r="J7" i="13"/>
  <c r="J14" i="13" s="1"/>
  <c r="K14" i="13"/>
  <c r="P15" i="12"/>
  <c r="P16" i="12" s="1"/>
  <c r="P20" i="12" s="1"/>
  <c r="M12" i="11"/>
  <c r="J21" i="11" s="1"/>
  <c r="J22" i="11" s="1"/>
  <c r="J12" i="11"/>
  <c r="E24" i="11"/>
  <c r="E26" i="11" s="1"/>
  <c r="M7" i="11"/>
  <c r="J8" i="11"/>
  <c r="M39" i="6"/>
  <c r="L39" i="6"/>
  <c r="K39" i="6"/>
  <c r="J39" i="6"/>
  <c r="G39" i="6"/>
  <c r="F39" i="6"/>
  <c r="O38" i="6"/>
  <c r="N38" i="6"/>
  <c r="O37" i="6"/>
  <c r="N37" i="6"/>
  <c r="O36" i="6"/>
  <c r="N36" i="6"/>
  <c r="O35" i="6"/>
  <c r="N35" i="6"/>
  <c r="O34" i="6"/>
  <c r="N34" i="6"/>
  <c r="O33" i="6"/>
  <c r="N33" i="6"/>
  <c r="O32" i="6"/>
  <c r="N32" i="6"/>
  <c r="O31" i="6"/>
  <c r="O39" i="6" s="1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M19" i="6"/>
  <c r="L19" i="6"/>
  <c r="K19" i="6"/>
  <c r="J19" i="6"/>
  <c r="G19" i="6"/>
  <c r="F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O8" i="6"/>
  <c r="O7" i="6"/>
  <c r="N7" i="6"/>
  <c r="S6" i="6"/>
  <c r="O6" i="6"/>
  <c r="N6" i="6"/>
  <c r="O5" i="6"/>
  <c r="N5" i="6"/>
  <c r="N4" i="6"/>
  <c r="M25" i="5"/>
  <c r="L25" i="5"/>
  <c r="K25" i="5"/>
  <c r="G25" i="5"/>
  <c r="M13" i="5"/>
  <c r="L13" i="5"/>
  <c r="K13" i="5"/>
  <c r="G13" i="5"/>
  <c r="H12" i="5"/>
  <c r="I12" i="5" s="1"/>
  <c r="J12" i="5" s="1"/>
  <c r="N12" i="5" s="1"/>
  <c r="P6" i="5"/>
  <c r="H24" i="5" s="1"/>
  <c r="I24" i="5" s="1"/>
  <c r="J24" i="5" s="1"/>
  <c r="N24" i="5" s="1"/>
  <c r="H33" i="6" l="1"/>
  <c r="I33" i="6" s="1"/>
  <c r="P33" i="6" s="1"/>
  <c r="H5" i="6"/>
  <c r="H8" i="6"/>
  <c r="I8" i="6" s="1"/>
  <c r="P16" i="6"/>
  <c r="H4" i="6"/>
  <c r="I4" i="6" s="1"/>
  <c r="H6" i="6"/>
  <c r="I6" i="6" s="1"/>
  <c r="H7" i="6"/>
  <c r="I7" i="6" s="1"/>
  <c r="P7" i="6" s="1"/>
  <c r="H17" i="6"/>
  <c r="I17" i="6" s="1"/>
  <c r="H28" i="6"/>
  <c r="I28" i="6" s="1"/>
  <c r="H36" i="6"/>
  <c r="I36" i="6" s="1"/>
  <c r="N19" i="6"/>
  <c r="H9" i="6"/>
  <c r="I9" i="6" s="1"/>
  <c r="H11" i="6"/>
  <c r="I11" i="6" s="1"/>
  <c r="P11" i="6" s="1"/>
  <c r="H16" i="6"/>
  <c r="I16" i="6" s="1"/>
  <c r="H22" i="6"/>
  <c r="I22" i="6" s="1"/>
  <c r="P22" i="6" s="1"/>
  <c r="H27" i="6"/>
  <c r="I27" i="6" s="1"/>
  <c r="P27" i="6" s="1"/>
  <c r="H30" i="6"/>
  <c r="I30" i="6" s="1"/>
  <c r="P30" i="6" s="1"/>
  <c r="H35" i="6"/>
  <c r="I35" i="6" s="1"/>
  <c r="P35" i="6" s="1"/>
  <c r="H38" i="6"/>
  <c r="I38" i="6" s="1"/>
  <c r="P38" i="6" s="1"/>
  <c r="P9" i="6"/>
  <c r="H15" i="6"/>
  <c r="I15" i="6" s="1"/>
  <c r="P15" i="6" s="1"/>
  <c r="H26" i="6"/>
  <c r="I26" i="6" s="1"/>
  <c r="P26" i="6" s="1"/>
  <c r="H34" i="6"/>
  <c r="I34" i="6" s="1"/>
  <c r="P34" i="6" s="1"/>
  <c r="N39" i="6"/>
  <c r="J23" i="11"/>
  <c r="J24" i="11" s="1"/>
  <c r="J25" i="11" s="1"/>
  <c r="J26" i="11" s="1"/>
  <c r="H21" i="5"/>
  <c r="I21" i="5" s="1"/>
  <c r="J21" i="5" s="1"/>
  <c r="N21" i="5" s="1"/>
  <c r="H6" i="5"/>
  <c r="I6" i="5" s="1"/>
  <c r="J6" i="5" s="1"/>
  <c r="N6" i="5" s="1"/>
  <c r="H13" i="5"/>
  <c r="I13" i="5" s="1"/>
  <c r="J13" i="5" s="1"/>
  <c r="H15" i="5"/>
  <c r="I15" i="5" s="1"/>
  <c r="J15" i="5" s="1"/>
  <c r="N15" i="5" s="1"/>
  <c r="H23" i="5"/>
  <c r="I23" i="5" s="1"/>
  <c r="J23" i="5" s="1"/>
  <c r="N23" i="5" s="1"/>
  <c r="N13" i="5"/>
  <c r="H17" i="5"/>
  <c r="I17" i="5" s="1"/>
  <c r="J17" i="5" s="1"/>
  <c r="N17" i="5" s="1"/>
  <c r="H4" i="5"/>
  <c r="I4" i="5" s="1"/>
  <c r="J4" i="5" s="1"/>
  <c r="N4" i="5" s="1"/>
  <c r="H8" i="5"/>
  <c r="I8" i="5" s="1"/>
  <c r="J8" i="5" s="1"/>
  <c r="N8" i="5" s="1"/>
  <c r="H5" i="5"/>
  <c r="I5" i="5" s="1"/>
  <c r="J5" i="5" s="1"/>
  <c r="N5" i="5" s="1"/>
  <c r="H10" i="5"/>
  <c r="I10" i="5" s="1"/>
  <c r="J10" i="5" s="1"/>
  <c r="N10" i="5" s="1"/>
  <c r="H19" i="5"/>
  <c r="I19" i="5" s="1"/>
  <c r="J19" i="5" s="1"/>
  <c r="N19" i="5" s="1"/>
  <c r="M13" i="11"/>
  <c r="G5" i="11"/>
  <c r="P36" i="6"/>
  <c r="P8" i="6"/>
  <c r="P17" i="6"/>
  <c r="P6" i="6"/>
  <c r="P28" i="6"/>
  <c r="O19" i="6"/>
  <c r="I5" i="6"/>
  <c r="H13" i="6"/>
  <c r="I13" i="6" s="1"/>
  <c r="P13" i="6" s="1"/>
  <c r="H24" i="6"/>
  <c r="I24" i="6" s="1"/>
  <c r="P24" i="6" s="1"/>
  <c r="H32" i="6"/>
  <c r="I32" i="6" s="1"/>
  <c r="P32" i="6" s="1"/>
  <c r="H10" i="6"/>
  <c r="I10" i="6" s="1"/>
  <c r="P10" i="6" s="1"/>
  <c r="H18" i="6"/>
  <c r="I18" i="6" s="1"/>
  <c r="P18" i="6" s="1"/>
  <c r="H21" i="6"/>
  <c r="I29" i="6"/>
  <c r="P29" i="6" s="1"/>
  <c r="H37" i="6"/>
  <c r="I37" i="6" s="1"/>
  <c r="P37" i="6" s="1"/>
  <c r="H12" i="6"/>
  <c r="I12" i="6" s="1"/>
  <c r="P12" i="6" s="1"/>
  <c r="H23" i="6"/>
  <c r="I23" i="6" s="1"/>
  <c r="P23" i="6" s="1"/>
  <c r="H31" i="6"/>
  <c r="I31" i="6" s="1"/>
  <c r="P31" i="6" s="1"/>
  <c r="H14" i="6"/>
  <c r="I14" i="6" s="1"/>
  <c r="P14" i="6" s="1"/>
  <c r="H25" i="6"/>
  <c r="I25" i="6" s="1"/>
  <c r="P25" i="6" s="1"/>
  <c r="H7" i="5"/>
  <c r="I7" i="5" s="1"/>
  <c r="J7" i="5" s="1"/>
  <c r="N7" i="5" s="1"/>
  <c r="H9" i="5"/>
  <c r="I9" i="5" s="1"/>
  <c r="J9" i="5" s="1"/>
  <c r="N9" i="5" s="1"/>
  <c r="H11" i="5"/>
  <c r="I11" i="5" s="1"/>
  <c r="J11" i="5" s="1"/>
  <c r="N11" i="5" s="1"/>
  <c r="H14" i="5"/>
  <c r="H16" i="5"/>
  <c r="I16" i="5" s="1"/>
  <c r="J16" i="5" s="1"/>
  <c r="N16" i="5" s="1"/>
  <c r="H18" i="5"/>
  <c r="I18" i="5" s="1"/>
  <c r="J18" i="5" s="1"/>
  <c r="N18" i="5" s="1"/>
  <c r="H20" i="5"/>
  <c r="I20" i="5" s="1"/>
  <c r="J20" i="5" s="1"/>
  <c r="N20" i="5" s="1"/>
  <c r="H22" i="5"/>
  <c r="I22" i="5" s="1"/>
  <c r="J22" i="5" s="1"/>
  <c r="N22" i="5" s="1"/>
  <c r="D5" i="4"/>
  <c r="P39" i="6" l="1"/>
  <c r="J7" i="11"/>
  <c r="J13" i="11" s="1"/>
  <c r="G26" i="11"/>
  <c r="D13" i="4"/>
  <c r="D15" i="4" s="1"/>
  <c r="D16" i="4" s="1"/>
  <c r="F13" i="4"/>
  <c r="F15" i="4" s="1"/>
  <c r="F16" i="4" s="1"/>
  <c r="E13" i="4"/>
  <c r="E15" i="4" s="1"/>
  <c r="E16" i="4" s="1"/>
  <c r="D17" i="4" s="1"/>
  <c r="P19" i="6"/>
  <c r="H39" i="6"/>
  <c r="I21" i="6"/>
  <c r="H19" i="6"/>
  <c r="I19" i="6"/>
  <c r="P5" i="6"/>
  <c r="I14" i="5"/>
  <c r="J14" i="5" s="1"/>
  <c r="N14" i="5" s="1"/>
  <c r="H25" i="5"/>
  <c r="I25" i="5" s="1"/>
  <c r="J25" i="5" s="1"/>
  <c r="N25" i="5" s="1"/>
  <c r="F17" i="4" l="1"/>
  <c r="I39" i="6"/>
  <c r="P21" i="6"/>
</calcChain>
</file>

<file path=xl/sharedStrings.xml><?xml version="1.0" encoding="utf-8"?>
<sst xmlns="http://schemas.openxmlformats.org/spreadsheetml/2006/main" count="913" uniqueCount="305">
  <si>
    <t>F</t>
  </si>
  <si>
    <t>Be</t>
  </si>
  <si>
    <t>g/mol</t>
  </si>
  <si>
    <t>Density</t>
  </si>
  <si>
    <t>g/cm3</t>
  </si>
  <si>
    <t>Fraction</t>
  </si>
  <si>
    <t>LiF Density</t>
  </si>
  <si>
    <t>F2</t>
  </si>
  <si>
    <t>BeF2 Density</t>
  </si>
  <si>
    <t>Zr</t>
  </si>
  <si>
    <t>F4</t>
  </si>
  <si>
    <t>U-238</t>
  </si>
  <si>
    <t>U-235</t>
  </si>
  <si>
    <t>TOTAL</t>
  </si>
  <si>
    <t>Li6</t>
  </si>
  <si>
    <t>Li7</t>
  </si>
  <si>
    <t>Li-6</t>
  </si>
  <si>
    <t>LI-7</t>
  </si>
  <si>
    <t>UF4  Density</t>
  </si>
  <si>
    <t>Power</t>
  </si>
  <si>
    <t>MWth</t>
  </si>
  <si>
    <t>Fuel Salt</t>
  </si>
  <si>
    <t>ft3</t>
  </si>
  <si>
    <t>Density Salt</t>
  </si>
  <si>
    <t>cm3</t>
  </si>
  <si>
    <t>MTU</t>
  </si>
  <si>
    <t>grams U</t>
  </si>
  <si>
    <t>MW/MTU</t>
  </si>
  <si>
    <t>Xe-135</t>
  </si>
  <si>
    <t>s</t>
  </si>
  <si>
    <t>MSDR</t>
  </si>
  <si>
    <t>MSRE</t>
  </si>
  <si>
    <t>Volume Loop</t>
  </si>
  <si>
    <t>m3</t>
  </si>
  <si>
    <t>Decay in Loop</t>
  </si>
  <si>
    <t>m3/s</t>
  </si>
  <si>
    <t>Stripping Rate</t>
  </si>
  <si>
    <t>Xe-Stripper Flow</t>
  </si>
  <si>
    <t>Stripping Efficiency</t>
  </si>
  <si>
    <t>Off-gas Efficiency</t>
  </si>
  <si>
    <t>Total Removal Rate</t>
  </si>
  <si>
    <t>/s</t>
  </si>
  <si>
    <t>Half-Life</t>
  </si>
  <si>
    <t>Decay Constant</t>
  </si>
  <si>
    <t>Units</t>
  </si>
  <si>
    <t>Tot. Removal Flow</t>
  </si>
  <si>
    <t>Isotope</t>
  </si>
  <si>
    <t>Half Life</t>
  </si>
  <si>
    <t>Decay Constant (/hr)</t>
  </si>
  <si>
    <t>Fission Yield (%)</t>
  </si>
  <si>
    <t>Generation Rate (/sec)</t>
  </si>
  <si>
    <t>Generation Rate (/hr)</t>
  </si>
  <si>
    <t>Flow * 10-22</t>
  </si>
  <si>
    <t>Ratio Out/Generation</t>
  </si>
  <si>
    <t>Element</t>
  </si>
  <si>
    <t>Mass No</t>
  </si>
  <si>
    <t>Generation Rate * 10%-22</t>
  </si>
  <si>
    <t>Out of Reactor</t>
  </si>
  <si>
    <t>Entering 47 hr holdup</t>
  </si>
  <si>
    <t>Leaving 47 hr holdup</t>
  </si>
  <si>
    <t>H</t>
  </si>
  <si>
    <t>years</t>
  </si>
  <si>
    <t>MJ/s</t>
  </si>
  <si>
    <t>Kr</t>
  </si>
  <si>
    <t>Stable</t>
  </si>
  <si>
    <t>-</t>
  </si>
  <si>
    <t>MeV/s</t>
  </si>
  <si>
    <t>Sbbie</t>
  </si>
  <si>
    <t>Fissions</t>
  </si>
  <si>
    <t>fissions/s</t>
  </si>
  <si>
    <t>Scaling</t>
  </si>
  <si>
    <t>min</t>
  </si>
  <si>
    <t>hr</t>
  </si>
  <si>
    <t>Total</t>
  </si>
  <si>
    <t>Xe</t>
  </si>
  <si>
    <t>Stabie</t>
  </si>
  <si>
    <t>days</t>
  </si>
  <si>
    <t>hours</t>
  </si>
  <si>
    <t>Xe Poison Fraction - 0.56%</t>
  </si>
  <si>
    <t>Removal Fraction(CS/OR)</t>
  </si>
  <si>
    <t>Atoms Decaying</t>
  </si>
  <si>
    <t>Decay Fraction</t>
  </si>
  <si>
    <t>Flux to Graphite</t>
  </si>
  <si>
    <t>Flux to Bubbles</t>
  </si>
  <si>
    <t>Flux out of Reactor</t>
  </si>
  <si>
    <t>Flux to He Cleanup System</t>
  </si>
  <si>
    <t>Average</t>
  </si>
  <si>
    <t>Cycle Time (Xe, Kr)</t>
  </si>
  <si>
    <t>sec</t>
  </si>
  <si>
    <t>Scenario</t>
  </si>
  <si>
    <t>Dilution</t>
  </si>
  <si>
    <t>Pump Bypass</t>
  </si>
  <si>
    <t>Separator Bypass</t>
  </si>
  <si>
    <t># of Loops</t>
  </si>
  <si>
    <t>Gas Bypass</t>
  </si>
  <si>
    <t>Impurity Factor</t>
  </si>
  <si>
    <t>Decay Factor</t>
  </si>
  <si>
    <t>REMOVAL CONSTANT</t>
  </si>
  <si>
    <t>FORMULA</t>
  </si>
  <si>
    <t>REMOVAL + CYCLE</t>
  </si>
  <si>
    <t>PAPER VALUE</t>
  </si>
  <si>
    <t>20 seconds</t>
  </si>
  <si>
    <t>0.27 Hours</t>
  </si>
  <si>
    <t>seconds</t>
  </si>
  <si>
    <t>decay constant iondine</t>
  </si>
  <si>
    <t>s-1</t>
  </si>
  <si>
    <t>Gas Removal Rate</t>
  </si>
  <si>
    <t>Salt FP Removal Rate</t>
  </si>
  <si>
    <t>Loop Decay Removal Rate</t>
  </si>
  <si>
    <t>Reaction Rate Adjustment (Dilution)</t>
  </si>
  <si>
    <t>Removal Mechanisms</t>
  </si>
  <si>
    <t xml:space="preserve">Removal Mechanism </t>
  </si>
  <si>
    <t>Removal Mechanism</t>
  </si>
  <si>
    <t>RR = (gamma)*Macro_X*Flux</t>
  </si>
  <si>
    <t>Atom coming</t>
  </si>
  <si>
    <t>Total FP Fraction</t>
  </si>
  <si>
    <t>Total FP fraction</t>
  </si>
  <si>
    <t>loops/s</t>
  </si>
  <si>
    <t>gamma</t>
  </si>
  <si>
    <t>constant</t>
  </si>
  <si>
    <t>Bypass/Gas Stripping</t>
  </si>
  <si>
    <t>flux</t>
  </si>
  <si>
    <t>Off-gas Bypass</t>
  </si>
  <si>
    <t>micro_x</t>
  </si>
  <si>
    <t>Gas/Liquid Efficiency</t>
  </si>
  <si>
    <t>Efficiency Factor</t>
  </si>
  <si>
    <t>Gas Cleanup Bypass</t>
  </si>
  <si>
    <t>Efficiency</t>
  </si>
  <si>
    <t>number density</t>
  </si>
  <si>
    <t>Variable</t>
  </si>
  <si>
    <t>Removal Constant</t>
  </si>
  <si>
    <t>???</t>
  </si>
  <si>
    <t>Removal Probability</t>
  </si>
  <si>
    <t>atom/s</t>
  </si>
  <si>
    <t>Let us assume 1 atom produced while irradiating the whole salt in the system</t>
  </si>
  <si>
    <t>This assumes that the 2 kg/s of salt in the bypass line gets stripped of all gaseous FP that are not already in the gaseous phase</t>
  </si>
  <si>
    <t>Time until 100% Probability</t>
  </si>
  <si>
    <t>This assumes that ALL FP in the sparged salt are removed and are accounted for in the 19 L/min flow rate (FP saturated/non saturated).</t>
  </si>
  <si>
    <t>Removal Fraction</t>
  </si>
  <si>
    <t>mass salt system</t>
  </si>
  <si>
    <t>mass salt reactor</t>
  </si>
  <si>
    <t>Velocity Calculation</t>
  </si>
  <si>
    <t>ratio</t>
  </si>
  <si>
    <t>Mass Flow Rate</t>
  </si>
  <si>
    <t>kg/s</t>
  </si>
  <si>
    <t>Salt Density</t>
  </si>
  <si>
    <t>kg/m3</t>
  </si>
  <si>
    <t>volume salt sys</t>
  </si>
  <si>
    <t>How to measure sparging efficiency?</t>
  </si>
  <si>
    <t>Pipe Diameter</t>
  </si>
  <si>
    <t>m</t>
  </si>
  <si>
    <t>volume salt rx</t>
  </si>
  <si>
    <t>Pipe Radius</t>
  </si>
  <si>
    <t>R = Lambda*N</t>
  </si>
  <si>
    <t>Cross Sectional Area</t>
  </si>
  <si>
    <t>m2</t>
  </si>
  <si>
    <t>========</t>
  </si>
  <si>
    <t>Velocity</t>
  </si>
  <si>
    <t>m/s</t>
  </si>
  <si>
    <t>Lambda</t>
  </si>
  <si>
    <t>------------------------------------------------------------------------</t>
  </si>
  <si>
    <t>Gas Removal</t>
  </si>
  <si>
    <t>Primary Fuel Loop length</t>
  </si>
  <si>
    <t>Salt Removal</t>
  </si>
  <si>
    <t>times</t>
  </si>
  <si>
    <t>Decay Removal</t>
  </si>
  <si>
    <t>SUBTOTAL</t>
  </si>
  <si>
    <t>A=L*N</t>
  </si>
  <si>
    <t>N=A/L</t>
  </si>
  <si>
    <t>Existance (Dilution)</t>
  </si>
  <si>
    <t>atom</t>
  </si>
  <si>
    <t>x</t>
  </si>
  <si>
    <t>Bypass</t>
  </si>
  <si>
    <t>Composition</t>
  </si>
  <si>
    <t>IMPORTANT HE BUBBLE COMPOSITION</t>
  </si>
  <si>
    <t>robertson bypass lower</t>
  </si>
  <si>
    <t>HIGHER HOLDUP TIMES</t>
  </si>
  <si>
    <t>Gives accurate values</t>
  </si>
  <si>
    <t>LOWER GAS BYPASS</t>
  </si>
  <si>
    <t>Burnup</t>
  </si>
  <si>
    <t>Graphite</t>
  </si>
  <si>
    <t>Decay</t>
  </si>
  <si>
    <t>Generation Rate</t>
  </si>
  <si>
    <t>MSDR-750</t>
  </si>
  <si>
    <t>MSDR-7.5</t>
  </si>
  <si>
    <t>Conversion</t>
  </si>
  <si>
    <t>MeV/MJ</t>
  </si>
  <si>
    <t>Thermal Power</t>
  </si>
  <si>
    <t>MeV/fission</t>
  </si>
  <si>
    <t>Xenon Yield</t>
  </si>
  <si>
    <t>Xe Gen.Rate</t>
  </si>
  <si>
    <t xml:space="preserve">Xenon Decay </t>
  </si>
  <si>
    <t>Burnup Rate</t>
  </si>
  <si>
    <t>TRITON*</t>
  </si>
  <si>
    <t>Decay Outside Core</t>
  </si>
  <si>
    <t>Migration to Graphite</t>
  </si>
  <si>
    <t>ASSUMED</t>
  </si>
  <si>
    <t>MSDR 750</t>
  </si>
  <si>
    <t>Migration to Bubbles</t>
  </si>
  <si>
    <t>Primary Fuel Salt Volume</t>
  </si>
  <si>
    <t>Core Fuel Salt Volume</t>
  </si>
  <si>
    <t>Removal (m3/s)</t>
  </si>
  <si>
    <t>Flow Rate through stripper</t>
  </si>
  <si>
    <t>Removal (/s)</t>
  </si>
  <si>
    <t>fraction</t>
  </si>
  <si>
    <t>Average Fuel Power Dens.</t>
  </si>
  <si>
    <t>kW/liter</t>
  </si>
  <si>
    <t>Max Fuel Power Dens</t>
  </si>
  <si>
    <t>Density Fuel</t>
  </si>
  <si>
    <t>lb/ft3</t>
  </si>
  <si>
    <t>ft3/liter</t>
  </si>
  <si>
    <t>lb/liter</t>
  </si>
  <si>
    <t>kg/liter</t>
  </si>
  <si>
    <t xml:space="preserve">USE EVERYTHING FROM REPORT </t>
  </si>
  <si>
    <t>kW/kg</t>
  </si>
  <si>
    <t>BUILD MODEL MSRE</t>
  </si>
  <si>
    <t>SCALE UNIT CELL</t>
  </si>
  <si>
    <t>MW/kg</t>
  </si>
  <si>
    <t>PYTHON PLOTTING FLUX SPECTRA</t>
  </si>
  <si>
    <t xml:space="preserve">Integral </t>
  </si>
  <si>
    <t>Enrichment</t>
  </si>
  <si>
    <t>MSBR</t>
  </si>
  <si>
    <t>Expected since bigger system</t>
  </si>
  <si>
    <t>MSBR states 100% efficiency</t>
  </si>
  <si>
    <t>Density HM</t>
  </si>
  <si>
    <t>Th</t>
  </si>
  <si>
    <t>U-233</t>
  </si>
  <si>
    <t>Density Fractions</t>
  </si>
  <si>
    <t>SCALE Input (g/cm3)</t>
  </si>
  <si>
    <t>Specific Power</t>
  </si>
  <si>
    <t>Half Life (hr)</t>
  </si>
  <si>
    <t>Decay Constant (/s)</t>
  </si>
  <si>
    <t>MSDR Loop Decay (m3/s)</t>
  </si>
  <si>
    <t>MSRE Loop Decay (m3/s)</t>
  </si>
  <si>
    <t>MSBR Loop Decay (m3/s)</t>
  </si>
  <si>
    <t>MSDR Removal Constants</t>
  </si>
  <si>
    <t>MSRE Removal Constants</t>
  </si>
  <si>
    <t>MSBR Removal Constants</t>
  </si>
  <si>
    <t>Stripper Flow</t>
  </si>
  <si>
    <t>Assumptions</t>
  </si>
  <si>
    <t>Strippping Efficiency</t>
  </si>
  <si>
    <t>m3/s per HX</t>
  </si>
  <si>
    <t>m3/s per Pump</t>
  </si>
  <si>
    <t>m3/s to bubble</t>
  </si>
  <si>
    <t>m3/s to offgas</t>
  </si>
  <si>
    <t>Noble Gases</t>
  </si>
  <si>
    <t xml:space="preserve">Metal </t>
  </si>
  <si>
    <t>m3/s salt to offgas per loop</t>
  </si>
  <si>
    <t>Bypass Flow</t>
  </si>
  <si>
    <t>N/A</t>
  </si>
  <si>
    <t>Mass Flow</t>
  </si>
  <si>
    <t>Gas Decay</t>
  </si>
  <si>
    <t>Metal Decay</t>
  </si>
  <si>
    <t>For all Loops</t>
  </si>
  <si>
    <t>Particle Trap Efficiency</t>
  </si>
  <si>
    <t>Removal</t>
  </si>
  <si>
    <t>To Offgas</t>
  </si>
  <si>
    <t>Operating</t>
  </si>
  <si>
    <t>atoms</t>
  </si>
  <si>
    <t>Removed</t>
  </si>
  <si>
    <t>grams</t>
  </si>
  <si>
    <t>Kr86</t>
  </si>
  <si>
    <t>atoms/s</t>
  </si>
  <si>
    <t>ThF4</t>
  </si>
  <si>
    <t>mol/cc</t>
  </si>
  <si>
    <t>ZrF4</t>
  </si>
  <si>
    <t>Th232</t>
  </si>
  <si>
    <t>LiF</t>
  </si>
  <si>
    <t>BeF2</t>
  </si>
  <si>
    <t>UF4</t>
  </si>
  <si>
    <t>Molecular Weight</t>
  </si>
  <si>
    <t>Noble Gases preEff</t>
  </si>
  <si>
    <t>MW/g</t>
  </si>
  <si>
    <t>kW/g</t>
  </si>
  <si>
    <t>Gas/Liquid Separator Eff</t>
  </si>
  <si>
    <t>Noble Gases w/eff</t>
  </si>
  <si>
    <t>Solid Particle Trap</t>
  </si>
  <si>
    <t>ByPass Fraction</t>
  </si>
  <si>
    <t>Bypass Flow Rate</t>
  </si>
  <si>
    <t>#</t>
  </si>
  <si>
    <t>NG w/eff &amp; decay</t>
  </si>
  <si>
    <t>li-6</t>
  </si>
  <si>
    <t>li-7</t>
  </si>
  <si>
    <t>be</t>
  </si>
  <si>
    <t>zr</t>
  </si>
  <si>
    <t>u-238</t>
  </si>
  <si>
    <t>u-235</t>
  </si>
  <si>
    <t>922.0389 end</t>
  </si>
  <si>
    <t>u-233</t>
  </si>
  <si>
    <t>th-232</t>
  </si>
  <si>
    <t>973.15 end</t>
  </si>
  <si>
    <t>f-19</t>
  </si>
  <si>
    <t>OGS Efficiency</t>
  </si>
  <si>
    <t>Noble Gases w/eff2</t>
  </si>
  <si>
    <t>Gas/Liquid Salt Bypass</t>
  </si>
  <si>
    <t>MO DECAY CONSTANT</t>
  </si>
  <si>
    <t>SOLID REMOVAL IF TRAP IS IN OGS</t>
  </si>
  <si>
    <t>SOLID TRAP IF IN PRIMARY FUEL LOOPS</t>
  </si>
  <si>
    <t>Flow Rate in Loop</t>
  </si>
  <si>
    <t>kg/s per loop</t>
  </si>
  <si>
    <t>Solid Trap Efficiency</t>
  </si>
  <si>
    <t>Noble Metals preEff</t>
  </si>
  <si>
    <t>Noble Metals w/eff</t>
  </si>
  <si>
    <t>PARAMETRIC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</si>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</sst>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00E+00"/>
    <numFmt numFmtId="166" formatCode="0.000000"/>
    <numFmt numFmtId="167" formatCode="0.00000"/>
    <numFmt numFmtId="168" formatCode="0.00000%"/>
    <numFmt numFmtId="169" formatCode="0.0000"/>
    <numFmt numFmtId="170" formatCode="0.0000000"/>
    <numFmt numFmtId="171" formatCode="0.00000E+00"/>
    <numFmt numFmtId="172" formatCode="0.000000E+00"/>
    <numFmt numFmtId="173" formatCode="0.00000000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69">
    <xf numFmtId="0" fontId="0" fillId="0" borderId="0" xfId="0"/>
    <xf numFmtId="0" fontId="0" fillId="0" borderId="1" xfId="0" applyBorder="1"/>
    <xf numFmtId="0" fontId="7" fillId="0" borderId="0" xfId="0" applyFont="1"/>
    <xf numFmtId="0" fontId="7" fillId="0" borderId="1" xfId="0" applyFont="1" applyBorder="1"/>
    <xf numFmtId="0" fontId="0" fillId="2" borderId="1" xfId="0" applyFill="1" applyBorder="1"/>
    <xf numFmtId="0" fontId="0" fillId="0" borderId="1" xfId="0" applyFill="1" applyBorder="1"/>
    <xf numFmtId="0" fontId="8" fillId="0" borderId="0" xfId="1" applyAlignment="1">
      <alignment wrapText="1"/>
    </xf>
    <xf numFmtId="0" fontId="9" fillId="0" borderId="0" xfId="1" applyFont="1" applyAlignment="1">
      <alignment wrapText="1"/>
    </xf>
    <xf numFmtId="0" fontId="8" fillId="0" borderId="0" xfId="1"/>
    <xf numFmtId="0" fontId="10" fillId="3" borderId="5" xfId="1" applyFont="1" applyFill="1" applyBorder="1" applyAlignment="1">
      <alignment horizontal="center" vertical="center" wrapText="1"/>
    </xf>
    <xf numFmtId="0" fontId="8" fillId="0" borderId="0" xfId="1" applyAlignment="1">
      <alignment horizontal="center" wrapText="1"/>
    </xf>
    <xf numFmtId="0" fontId="10" fillId="3" borderId="1" xfId="1" applyFont="1" applyFill="1" applyBorder="1" applyAlignment="1">
      <alignment horizontal="center" wrapText="1"/>
    </xf>
    <xf numFmtId="0" fontId="10" fillId="3" borderId="7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wrapText="1"/>
    </xf>
    <xf numFmtId="0" fontId="9" fillId="0" borderId="0" xfId="1" applyFont="1" applyAlignment="1">
      <alignment horizontal="center" wrapText="1"/>
    </xf>
    <xf numFmtId="0" fontId="10" fillId="0" borderId="1" xfId="1" applyFont="1" applyBorder="1" applyAlignment="1">
      <alignment horizontal="center" wrapText="1"/>
    </xf>
    <xf numFmtId="0" fontId="11" fillId="0" borderId="1" xfId="1" applyFont="1" applyBorder="1" applyAlignment="1">
      <alignment horizontal="center" wrapText="1"/>
    </xf>
    <xf numFmtId="0" fontId="9" fillId="0" borderId="1" xfId="1" applyFont="1" applyBorder="1" applyAlignment="1">
      <alignment horizontal="center" wrapText="1"/>
    </xf>
    <xf numFmtId="11" fontId="9" fillId="0" borderId="1" xfId="1" applyNumberFormat="1" applyFont="1" applyBorder="1" applyAlignment="1">
      <alignment horizontal="center" wrapText="1"/>
    </xf>
    <xf numFmtId="2" fontId="9" fillId="0" borderId="1" xfId="1" applyNumberFormat="1" applyFont="1" applyBorder="1" applyAlignment="1">
      <alignment horizontal="center" wrapText="1"/>
    </xf>
    <xf numFmtId="11" fontId="8" fillId="0" borderId="0" xfId="1" applyNumberFormat="1"/>
    <xf numFmtId="2" fontId="8" fillId="0" borderId="1" xfId="1" applyNumberFormat="1" applyBorder="1" applyAlignment="1">
      <alignment horizontal="center" wrapText="1"/>
    </xf>
    <xf numFmtId="0" fontId="10" fillId="0" borderId="0" xfId="1" applyFont="1" applyAlignment="1">
      <alignment wrapText="1"/>
    </xf>
    <xf numFmtId="2" fontId="11" fillId="0" borderId="1" xfId="1" applyNumberFormat="1" applyFont="1" applyBorder="1" applyAlignment="1">
      <alignment horizontal="center" wrapText="1"/>
    </xf>
    <xf numFmtId="0" fontId="11" fillId="0" borderId="0" xfId="1" applyFont="1" applyAlignment="1">
      <alignment horizontal="center" wrapText="1"/>
    </xf>
    <xf numFmtId="0" fontId="10" fillId="0" borderId="0" xfId="1" applyFont="1"/>
    <xf numFmtId="11" fontId="10" fillId="0" borderId="1" xfId="1" applyNumberFormat="1" applyFont="1" applyBorder="1" applyAlignment="1">
      <alignment horizontal="center" wrapText="1"/>
    </xf>
    <xf numFmtId="164" fontId="10" fillId="3" borderId="0" xfId="1" applyNumberFormat="1" applyFont="1" applyFill="1" applyAlignment="1">
      <alignment horizontal="center" vertical="center" wrapText="1"/>
    </xf>
    <xf numFmtId="0" fontId="10" fillId="4" borderId="1" xfId="1" applyFont="1" applyFill="1" applyBorder="1" applyAlignment="1">
      <alignment horizontal="center" wrapText="1"/>
    </xf>
    <xf numFmtId="0" fontId="11" fillId="4" borderId="1" xfId="1" applyFont="1" applyFill="1" applyBorder="1" applyAlignment="1">
      <alignment horizontal="center" wrapText="1"/>
    </xf>
    <xf numFmtId="0" fontId="9" fillId="4" borderId="1" xfId="1" applyFont="1" applyFill="1" applyBorder="1" applyAlignment="1">
      <alignment horizontal="center" wrapText="1"/>
    </xf>
    <xf numFmtId="11" fontId="9" fillId="4" borderId="1" xfId="1" applyNumberFormat="1" applyFont="1" applyFill="1" applyBorder="1" applyAlignment="1">
      <alignment horizontal="center" wrapText="1"/>
    </xf>
    <xf numFmtId="2" fontId="9" fillId="4" borderId="1" xfId="1" applyNumberFormat="1" applyFont="1" applyFill="1" applyBorder="1" applyAlignment="1">
      <alignment horizontal="center" wrapText="1"/>
    </xf>
    <xf numFmtId="164" fontId="11" fillId="4" borderId="1" xfId="1" applyNumberFormat="1" applyFont="1" applyFill="1" applyBorder="1" applyAlignment="1">
      <alignment horizontal="center" wrapText="1"/>
    </xf>
    <xf numFmtId="164" fontId="9" fillId="4" borderId="0" xfId="1" applyNumberFormat="1" applyFont="1" applyFill="1" applyAlignment="1">
      <alignment horizontal="center" wrapText="1"/>
    </xf>
    <xf numFmtId="164" fontId="11" fillId="2" borderId="1" xfId="1" applyNumberFormat="1" applyFont="1" applyFill="1" applyBorder="1" applyAlignment="1">
      <alignment horizontal="center" wrapText="1"/>
    </xf>
    <xf numFmtId="165" fontId="9" fillId="0" borderId="0" xfId="1" applyNumberFormat="1" applyFont="1" applyAlignment="1">
      <alignment horizontal="center" wrapText="1"/>
    </xf>
    <xf numFmtId="11" fontId="8" fillId="0" borderId="1" xfId="1" applyNumberFormat="1" applyBorder="1" applyAlignment="1">
      <alignment horizontal="center" wrapText="1"/>
    </xf>
    <xf numFmtId="11" fontId="9" fillId="2" borderId="1" xfId="1" applyNumberFormat="1" applyFont="1" applyFill="1" applyBorder="1" applyAlignment="1">
      <alignment horizontal="center" wrapText="1"/>
    </xf>
    <xf numFmtId="164" fontId="11" fillId="0" borderId="1" xfId="1" applyNumberFormat="1" applyFont="1" applyBorder="1" applyAlignment="1">
      <alignment horizontal="center" wrapText="1"/>
    </xf>
    <xf numFmtId="165" fontId="9" fillId="2" borderId="0" xfId="1" applyNumberFormat="1" applyFont="1" applyFill="1" applyAlignment="1">
      <alignment horizontal="center" wrapText="1"/>
    </xf>
    <xf numFmtId="164" fontId="9" fillId="2" borderId="0" xfId="1" applyNumberFormat="1" applyFont="1" applyFill="1" applyAlignment="1">
      <alignment horizontal="center" wrapText="1"/>
    </xf>
    <xf numFmtId="164" fontId="11" fillId="0" borderId="0" xfId="1" applyNumberFormat="1" applyFont="1" applyAlignment="1">
      <alignment horizontal="center" wrapText="1"/>
    </xf>
    <xf numFmtId="165" fontId="11" fillId="0" borderId="0" xfId="1" applyNumberFormat="1" applyFont="1" applyAlignment="1">
      <alignment horizontal="center" wrapText="1"/>
    </xf>
    <xf numFmtId="164" fontId="10" fillId="0" borderId="1" xfId="1" applyNumberFormat="1" applyFont="1" applyBorder="1" applyAlignment="1">
      <alignment horizontal="center" wrapText="1"/>
    </xf>
    <xf numFmtId="166" fontId="10" fillId="0" borderId="0" xfId="1" applyNumberFormat="1" applyFont="1" applyAlignment="1">
      <alignment horizontal="center" wrapText="1"/>
    </xf>
    <xf numFmtId="166" fontId="10" fillId="0" borderId="1" xfId="1" applyNumberFormat="1" applyFont="1" applyBorder="1" applyAlignment="1">
      <alignment horizontal="center" wrapText="1"/>
    </xf>
    <xf numFmtId="0" fontId="10" fillId="5" borderId="1" xfId="1" applyFont="1" applyFill="1" applyBorder="1" applyAlignment="1">
      <alignment horizontal="center" wrapText="1"/>
    </xf>
    <xf numFmtId="11" fontId="9" fillId="5" borderId="1" xfId="1" applyNumberFormat="1" applyFont="1" applyFill="1" applyBorder="1" applyAlignment="1">
      <alignment horizontal="center" wrapText="1"/>
    </xf>
    <xf numFmtId="2" fontId="11" fillId="5" borderId="1" xfId="1" applyNumberFormat="1" applyFont="1" applyFill="1" applyBorder="1" applyAlignment="1">
      <alignment horizontal="center" wrapText="1"/>
    </xf>
    <xf numFmtId="164" fontId="11" fillId="5" borderId="1" xfId="1" applyNumberFormat="1" applyFont="1" applyFill="1" applyBorder="1" applyAlignment="1">
      <alignment horizontal="center" wrapText="1"/>
    </xf>
    <xf numFmtId="164" fontId="9" fillId="5" borderId="0" xfId="1" applyNumberFormat="1" applyFont="1" applyFill="1" applyAlignment="1">
      <alignment horizontal="center" wrapText="1"/>
    </xf>
    <xf numFmtId="0" fontId="8" fillId="0" borderId="1" xfId="1" applyBorder="1" applyAlignment="1">
      <alignment horizontal="center" wrapText="1"/>
    </xf>
    <xf numFmtId="0" fontId="8" fillId="0" borderId="1" xfId="1" applyBorder="1"/>
    <xf numFmtId="11" fontId="8" fillId="0" borderId="1" xfId="1" applyNumberFormat="1" applyBorder="1"/>
    <xf numFmtId="11" fontId="8" fillId="2" borderId="1" xfId="1" applyNumberFormat="1" applyFill="1" applyBorder="1"/>
    <xf numFmtId="164" fontId="9" fillId="0" borderId="0" xfId="1" applyNumberFormat="1" applyFont="1" applyAlignment="1">
      <alignment horizontal="center" wrapText="1"/>
    </xf>
    <xf numFmtId="0" fontId="10" fillId="0" borderId="1" xfId="1" applyFont="1" applyBorder="1"/>
    <xf numFmtId="11" fontId="10" fillId="0" borderId="1" xfId="1" applyNumberFormat="1" applyFont="1" applyBorder="1"/>
    <xf numFmtId="164" fontId="10" fillId="0" borderId="1" xfId="1" applyNumberFormat="1" applyFont="1" applyBorder="1"/>
    <xf numFmtId="11" fontId="10" fillId="2" borderId="1" xfId="1" applyNumberFormat="1" applyFont="1" applyFill="1" applyBorder="1"/>
    <xf numFmtId="166" fontId="10" fillId="0" borderId="8" xfId="1" applyNumberFormat="1" applyFont="1" applyBorder="1"/>
    <xf numFmtId="164" fontId="10" fillId="0" borderId="0" xfId="1" applyNumberFormat="1" applyFont="1"/>
    <xf numFmtId="164" fontId="8" fillId="0" borderId="0" xfId="1" applyNumberFormat="1"/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0" fontId="0" fillId="0" borderId="1" xfId="0" applyNumberFormat="1" applyBorder="1"/>
    <xf numFmtId="10" fontId="0" fillId="0" borderId="0" xfId="0" applyNumberFormat="1"/>
    <xf numFmtId="167" fontId="0" fillId="0" borderId="1" xfId="0" applyNumberFormat="1" applyBorder="1"/>
    <xf numFmtId="168" fontId="0" fillId="0" borderId="1" xfId="0" applyNumberFormat="1" applyBorder="1"/>
    <xf numFmtId="169" fontId="7" fillId="0" borderId="1" xfId="0" applyNumberFormat="1" applyFont="1" applyBorder="1"/>
    <xf numFmtId="0" fontId="0" fillId="2" borderId="0" xfId="0" applyFill="1"/>
    <xf numFmtId="0" fontId="7" fillId="2" borderId="0" xfId="0" applyFont="1" applyFill="1"/>
    <xf numFmtId="166" fontId="7" fillId="0" borderId="1" xfId="0" applyNumberFormat="1" applyFont="1" applyBorder="1"/>
    <xf numFmtId="0" fontId="0" fillId="0" borderId="0" xfId="0" quotePrefix="1"/>
    <xf numFmtId="0" fontId="14" fillId="0" borderId="0" xfId="0" applyFont="1"/>
    <xf numFmtId="167" fontId="0" fillId="0" borderId="0" xfId="0" applyNumberFormat="1"/>
    <xf numFmtId="0" fontId="12" fillId="0" borderId="0" xfId="0" applyFont="1"/>
    <xf numFmtId="167" fontId="7" fillId="0" borderId="0" xfId="0" applyNumberFormat="1" applyFont="1"/>
    <xf numFmtId="10" fontId="0" fillId="2" borderId="1" xfId="0" applyNumberFormat="1" applyFill="1" applyBorder="1"/>
    <xf numFmtId="0" fontId="7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/>
    <xf numFmtId="0" fontId="10" fillId="3" borderId="1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0" applyFont="1" applyBorder="1"/>
    <xf numFmtId="0" fontId="7" fillId="2" borderId="1" xfId="0" applyFont="1" applyFill="1" applyBorder="1"/>
    <xf numFmtId="164" fontId="0" fillId="2" borderId="1" xfId="0" applyNumberFormat="1" applyFill="1" applyBorder="1"/>
    <xf numFmtId="164" fontId="8" fillId="0" borderId="0" xfId="1" applyNumberFormat="1" applyFill="1"/>
    <xf numFmtId="164" fontId="10" fillId="0" borderId="0" xfId="1" applyNumberFormat="1" applyFont="1" applyFill="1" applyBorder="1" applyAlignment="1">
      <alignment horizontal="center" vertical="center" wrapText="1"/>
    </xf>
    <xf numFmtId="164" fontId="9" fillId="0" borderId="0" xfId="1" applyNumberFormat="1" applyFont="1" applyFill="1" applyAlignment="1">
      <alignment horizontal="center" wrapText="1"/>
    </xf>
    <xf numFmtId="165" fontId="9" fillId="0" borderId="0" xfId="1" applyNumberFormat="1" applyFont="1" applyFill="1" applyAlignment="1">
      <alignment horizontal="center" wrapText="1"/>
    </xf>
    <xf numFmtId="11" fontId="10" fillId="0" borderId="1" xfId="1" applyNumberFormat="1" applyFont="1" applyFill="1" applyBorder="1" applyAlignment="1">
      <alignment horizontal="center" wrapText="1"/>
    </xf>
    <xf numFmtId="11" fontId="10" fillId="0" borderId="1" xfId="1" applyNumberFormat="1" applyFont="1" applyFill="1" applyBorder="1"/>
    <xf numFmtId="11" fontId="9" fillId="4" borderId="0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center" wrapText="1"/>
    </xf>
    <xf numFmtId="0" fontId="11" fillId="0" borderId="1" xfId="1" applyFont="1" applyFill="1" applyBorder="1" applyAlignment="1">
      <alignment horizontal="center" wrapText="1"/>
    </xf>
    <xf numFmtId="11" fontId="9" fillId="0" borderId="1" xfId="1" applyNumberFormat="1" applyFont="1" applyFill="1" applyBorder="1" applyAlignment="1">
      <alignment horizontal="center" wrapText="1"/>
    </xf>
    <xf numFmtId="0" fontId="6" fillId="0" borderId="0" xfId="1" applyFont="1"/>
    <xf numFmtId="170" fontId="8" fillId="0" borderId="0" xfId="1" applyNumberFormat="1"/>
    <xf numFmtId="171" fontId="7" fillId="0" borderId="1" xfId="0" applyNumberFormat="1" applyFont="1" applyBorder="1"/>
    <xf numFmtId="172" fontId="8" fillId="0" borderId="0" xfId="1" applyNumberFormat="1"/>
    <xf numFmtId="0" fontId="5" fillId="0" borderId="0" xfId="1" applyFont="1"/>
    <xf numFmtId="11" fontId="10" fillId="0" borderId="0" xfId="1" applyNumberFormat="1" applyFont="1"/>
    <xf numFmtId="0" fontId="10" fillId="2" borderId="1" xfId="1" applyFont="1" applyFill="1" applyBorder="1" applyAlignment="1">
      <alignment horizontal="center" wrapText="1"/>
    </xf>
    <xf numFmtId="0" fontId="11" fillId="2" borderId="1" xfId="1" applyFont="1" applyFill="1" applyBorder="1" applyAlignment="1">
      <alignment horizontal="center" wrapText="1"/>
    </xf>
    <xf numFmtId="0" fontId="9" fillId="2" borderId="1" xfId="1" applyFont="1" applyFill="1" applyBorder="1" applyAlignment="1">
      <alignment horizontal="center" wrapText="1"/>
    </xf>
    <xf numFmtId="0" fontId="8" fillId="2" borderId="0" xfId="1" applyFill="1"/>
    <xf numFmtId="11" fontId="9" fillId="2" borderId="0" xfId="1" applyNumberFormat="1" applyFont="1" applyFill="1" applyAlignment="1">
      <alignment horizontal="center" wrapText="1"/>
    </xf>
    <xf numFmtId="0" fontId="4" fillId="2" borderId="0" xfId="1" applyFont="1" applyFill="1"/>
    <xf numFmtId="0" fontId="4" fillId="0" borderId="0" xfId="1" applyFont="1"/>
    <xf numFmtId="2" fontId="9" fillId="0" borderId="0" xfId="1" applyNumberFormat="1" applyFont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7" fillId="0" borderId="11" xfId="0" applyFont="1" applyBorder="1"/>
    <xf numFmtId="0" fontId="0" fillId="0" borderId="12" xfId="0" applyBorder="1"/>
    <xf numFmtId="0" fontId="7" fillId="0" borderId="13" xfId="0" applyFont="1" applyBorder="1"/>
    <xf numFmtId="0" fontId="0" fillId="0" borderId="14" xfId="0" applyBorder="1"/>
    <xf numFmtId="0" fontId="0" fillId="0" borderId="15" xfId="0" applyBorder="1"/>
    <xf numFmtId="0" fontId="7" fillId="0" borderId="16" xfId="0" applyFont="1" applyBorder="1"/>
    <xf numFmtId="0" fontId="0" fillId="0" borderId="8" xfId="0" applyFill="1" applyBorder="1"/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6" borderId="1" xfId="0" applyFont="1" applyFill="1" applyBorder="1"/>
    <xf numFmtId="0" fontId="0" fillId="6" borderId="1" xfId="0" applyFill="1" applyBorder="1"/>
    <xf numFmtId="171" fontId="7" fillId="6" borderId="1" xfId="0" applyNumberFormat="1" applyFont="1" applyFill="1" applyBorder="1"/>
    <xf numFmtId="0" fontId="7" fillId="0" borderId="3" xfId="0" applyFont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173" fontId="10" fillId="0" borderId="0" xfId="1" applyNumberFormat="1" applyFont="1"/>
    <xf numFmtId="0" fontId="3" fillId="0" borderId="0" xfId="1" applyFont="1"/>
    <xf numFmtId="164" fontId="0" fillId="0" borderId="0" xfId="0" applyNumberForma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2" fillId="0" borderId="0" xfId="1" applyFont="1"/>
    <xf numFmtId="171" fontId="7" fillId="2" borderId="1" xfId="0" applyNumberFormat="1" applyFont="1" applyFill="1" applyBorder="1"/>
    <xf numFmtId="164" fontId="1" fillId="0" borderId="0" xfId="1" applyNumberFormat="1" applyFont="1"/>
    <xf numFmtId="172" fontId="7" fillId="0" borderId="1" xfId="0" applyNumberFormat="1" applyFont="1" applyBorder="1"/>
    <xf numFmtId="172" fontId="7" fillId="6" borderId="1" xfId="0" applyNumberFormat="1" applyFont="1" applyFill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3" borderId="1" xfId="1" applyFont="1" applyFill="1" applyBorder="1" applyAlignment="1">
      <alignment horizontal="center" wrapText="1"/>
    </xf>
    <xf numFmtId="0" fontId="11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164" fontId="10" fillId="3" borderId="1" xfId="1" applyNumberFormat="1" applyFont="1" applyFill="1" applyBorder="1" applyAlignment="1">
      <alignment horizontal="center" vertical="center" wrapText="1"/>
    </xf>
    <xf numFmtId="164" fontId="10" fillId="3" borderId="6" xfId="1" applyNumberFormat="1" applyFont="1" applyFill="1" applyBorder="1" applyAlignment="1">
      <alignment horizontal="center" vertical="center" wrapText="1"/>
    </xf>
    <xf numFmtId="164" fontId="10" fillId="3" borderId="0" xfId="1" applyNumberFormat="1" applyFont="1" applyFill="1" applyAlignment="1">
      <alignment horizontal="center" vertical="center" wrapText="1"/>
    </xf>
    <xf numFmtId="0" fontId="8" fillId="3" borderId="6" xfId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</cellXfs>
  <cellStyles count="2">
    <cellStyle name="Normal" xfId="0" builtinId="0"/>
    <cellStyle name="Normal 2" xfId="1" xr:uid="{50818802-5014-4A49-8FD3-ABDCCD883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Coarse!$I$4</c:f>
              <c:strCache>
                <c:ptCount val="1"/>
                <c:pt idx="0">
                  <c:v>REMOVAL CONSTANT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Coarse!$I$5:$I$11</c:f>
              <c:numCache>
                <c:formatCode>General</c:formatCode>
                <c:ptCount val="7"/>
                <c:pt idx="0">
                  <c:v>2.3596068000000005E-3</c:v>
                </c:pt>
                <c:pt idx="1">
                  <c:v>3.2430000000000002E-3</c:v>
                </c:pt>
                <c:pt idx="2">
                  <c:v>2.9187000000000002E-3</c:v>
                </c:pt>
                <c:pt idx="3">
                  <c:v>2.1236461200000007E-3</c:v>
                </c:pt>
                <c:pt idx="4">
                  <c:v>1.6517247600000002E-3</c:v>
                </c:pt>
                <c:pt idx="5">
                  <c:v>1.1798034000000002E-3</c:v>
                </c:pt>
                <c:pt idx="6">
                  <c:v>4.7192136000000012E-4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9145-BAFB-C6E9891DC920}"/>
            </c:ext>
          </c:extLst>
        </c:ser>
        <c:ser>
          <c:idx val="1"/>
          <c:order val="1"/>
          <c:tx>
            <c:strRef>
              <c:f>Coarse!$J$4</c:f>
              <c:strCache>
                <c:ptCount val="1"/>
                <c:pt idx="0">
                  <c:v>FORMULA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Coarse!$J$5:$J$11</c:f>
              <c:numCache>
                <c:formatCode>General</c:formatCode>
                <c:ptCount val="7"/>
                <c:pt idx="0">
                  <c:v>2.3387434616900567E-3</c:v>
                </c:pt>
                <c:pt idx="1">
                  <c:v>3.2157349377547389E-3</c:v>
                </c:pt>
                <c:pt idx="2">
                  <c:v>2.8936957019461097E-3</c:v>
                </c:pt>
                <c:pt idx="3">
                  <c:v>2.1046228245181521E-3</c:v>
                </c:pt>
                <c:pt idx="4">
                  <c:v>1.6365459234564921E-3</c:v>
                </c:pt>
                <c:pt idx="5">
                  <c:v>1.1686880158784563E-3</c:v>
                </c:pt>
                <c:pt idx="6">
                  <c:v>4.6731131932795637E-4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A-9145-BAFB-C6E9891DC920}"/>
            </c:ext>
          </c:extLst>
        </c:ser>
        <c:ser>
          <c:idx val="2"/>
          <c:order val="2"/>
          <c:tx>
            <c:strRef>
              <c:f>Coarse!$K$4</c:f>
              <c:strCache>
                <c:ptCount val="1"/>
                <c:pt idx="0">
                  <c:v>REMOVAL + CYCLE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Coarse!$K$5:$K$11</c:f>
              <c:numCache>
                <c:formatCode>General</c:formatCode>
                <c:ptCount val="7"/>
                <c:pt idx="0">
                  <c:v>1.1693717308450283E-4</c:v>
                </c:pt>
                <c:pt idx="1">
                  <c:v>1.6078674688773694E-4</c:v>
                </c:pt>
                <c:pt idx="2">
                  <c:v>1.4468478509730548E-4</c:v>
                </c:pt>
                <c:pt idx="3">
                  <c:v>1.0523114122590761E-4</c:v>
                </c:pt>
                <c:pt idx="4">
                  <c:v>8.1827296172824602E-5</c:v>
                </c:pt>
                <c:pt idx="5">
                  <c:v>5.8434400793922813E-5</c:v>
                </c:pt>
                <c:pt idx="6">
                  <c:v>2.3365565966397819E-5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A-9145-BAFB-C6E9891D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766896"/>
        <c:axId val="1338768576"/>
      </c:barChart>
      <c:catAx>
        <c:axId val="13387668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38768576"/>
        <c:crosses val="autoZero"/>
        <c:auto val="1"/>
        <c:lblAlgn val="ctr"/>
        <c:lblOffset val="100"/>
        <c:noMultiLvlLbl val="0"/>
      </c:catAx>
      <c:valAx>
        <c:axId val="13387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Removal Rate [/s]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818336</xdr:colOff>
      <xdr:row>12</xdr:row>
      <xdr:rowOff>115277</xdr:rowOff>
    </xdr:from>
    <xdr:to>
      <xdr:col>10</xdr:col>
      <xdr:colOff>754836</xdr:colOff>
      <xdr:row>31</xdr:row>
      <xdr:rowOff>138722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4FC2F-FBA1-664B-AFCD-F7FEAB49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781B-3B29-4350-B0E3-2C7CDB084FDE}">
  <dimension ref="B2:N33"/>
  <sheetViews>
    <sheetView topLeftCell="D3" zoomScaleNormal="100" workbookViewId="0">
      <selection activeCell="M12" sqref="M12"/>
    </sheetView>
  </sheetViews>
  <sheetFormatPr defaultColWidth="10.84765625" defaultRowHeight="15.6" x14ac:dyDescent="0.6"/>
  <cols>
    <col min="2" max="2" width="12.1484375" customWidth="1"/>
    <col min="3" max="3" width="11.6484375" bestFit="1" customWidth="1"/>
    <col min="4" max="4" width="11.1484375" bestFit="1" customWidth="1"/>
    <col min="5" max="5" width="18.75" customWidth="1"/>
    <col min="6" max="6" width="12.25" bestFit="1" customWidth="1"/>
    <col min="7" max="7" width="16.44921875" customWidth="1"/>
    <col min="8" max="8" width="11.6484375" customWidth="1"/>
    <col min="9" max="9" width="12.84765625" bestFit="1" customWidth="1"/>
    <col min="10" max="10" width="17.546875" customWidth="1"/>
    <col min="11" max="11" width="18.69921875" customWidth="1"/>
    <col min="12" max="12" width="15.75" bestFit="1" customWidth="1"/>
  </cols>
  <sheetData>
    <row r="2" spans="2:14" x14ac:dyDescent="0.6">
      <c r="B2">
        <v>134</v>
      </c>
      <c r="C2" t="s">
        <v>209</v>
      </c>
      <c r="D2" s="3" t="s">
        <v>3</v>
      </c>
      <c r="E2" s="2">
        <v>2.1464699999999999</v>
      </c>
      <c r="F2" s="3" t="s">
        <v>4</v>
      </c>
      <c r="G2">
        <f>C33</f>
        <v>39.193485000000003</v>
      </c>
      <c r="H2" t="s">
        <v>2</v>
      </c>
      <c r="I2" s="75">
        <f>(E2)/G2</f>
        <v>5.4765989806724251E-2</v>
      </c>
      <c r="J2" t="s">
        <v>264</v>
      </c>
    </row>
    <row r="4" spans="2:14" ht="15.9" thickBot="1" x14ac:dyDescent="0.65">
      <c r="D4" s="2"/>
      <c r="E4" s="2" t="s">
        <v>228</v>
      </c>
      <c r="F4" s="2" t="s">
        <v>220</v>
      </c>
      <c r="G4" s="2" t="s">
        <v>227</v>
      </c>
      <c r="H4" s="2"/>
    </row>
    <row r="5" spans="2:14" ht="15.9" thickBot="1" x14ac:dyDescent="0.65">
      <c r="B5" s="1" t="s">
        <v>14</v>
      </c>
      <c r="C5" s="1">
        <f>6*F5</f>
        <v>6.0000000000000006E-4</v>
      </c>
      <c r="D5" s="1" t="s">
        <v>2</v>
      </c>
      <c r="E5" s="118">
        <f>C5*$C$9</f>
        <v>2.1358736024622459E-5</v>
      </c>
      <c r="F5" s="4">
        <v>1E-4</v>
      </c>
      <c r="G5" s="3">
        <f>E5/$E$2</f>
        <v>9.9506333769502761E-6</v>
      </c>
      <c r="H5" s="90"/>
    </row>
    <row r="6" spans="2:14" ht="15.9" thickBot="1" x14ac:dyDescent="0.65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0.24916033509523328</v>
      </c>
      <c r="F6" s="4">
        <f>1-F5</f>
        <v>0.99990000000000001</v>
      </c>
      <c r="G6" s="3">
        <f>E6/$E$2</f>
        <v>0.11607911365881345</v>
      </c>
      <c r="H6" s="90"/>
      <c r="I6" s="3"/>
      <c r="J6" s="3" t="s">
        <v>227</v>
      </c>
      <c r="K6" s="3"/>
      <c r="L6" s="3"/>
      <c r="M6" s="3" t="s">
        <v>228</v>
      </c>
    </row>
    <row r="7" spans="2:14" x14ac:dyDescent="0.6">
      <c r="B7" s="1" t="s">
        <v>0</v>
      </c>
      <c r="C7" s="1">
        <v>19</v>
      </c>
      <c r="D7" s="1" t="s">
        <v>2</v>
      </c>
      <c r="E7" s="118">
        <f t="shared" si="0"/>
        <v>0.67635997411304449</v>
      </c>
      <c r="F7" s="1"/>
      <c r="G7" s="3">
        <f t="shared" ref="G7:G12" si="1">E7/$E$2</f>
        <v>0.3151033902700921</v>
      </c>
      <c r="H7" s="90"/>
      <c r="I7" s="1" t="s">
        <v>281</v>
      </c>
      <c r="J7" s="1">
        <f>G5</f>
        <v>9.9506333769502761E-6</v>
      </c>
      <c r="K7" s="1" t="s">
        <v>281</v>
      </c>
      <c r="L7" s="1">
        <v>1</v>
      </c>
      <c r="M7" s="1">
        <f>E5</f>
        <v>2.1358736024622459E-5</v>
      </c>
      <c r="N7" t="s">
        <v>287</v>
      </c>
    </row>
    <row r="8" spans="2:14" x14ac:dyDescent="0.6">
      <c r="B8" s="1" t="s">
        <v>5</v>
      </c>
      <c r="C8" s="92">
        <v>0.65</v>
      </c>
      <c r="D8" s="1"/>
      <c r="E8" s="1"/>
      <c r="F8" s="1"/>
      <c r="G8" s="3"/>
      <c r="H8" s="90"/>
      <c r="I8" s="1" t="s">
        <v>282</v>
      </c>
      <c r="J8" s="1">
        <f>G6</f>
        <v>0.11607911365881345</v>
      </c>
      <c r="K8" s="1" t="s">
        <v>282</v>
      </c>
      <c r="L8" s="1">
        <v>1</v>
      </c>
      <c r="M8" s="1">
        <f>E6</f>
        <v>0.24916033509523328</v>
      </c>
      <c r="N8" t="s">
        <v>287</v>
      </c>
    </row>
    <row r="9" spans="2:14" ht="15.9" thickBot="1" x14ac:dyDescent="0.65">
      <c r="B9" s="1" t="s">
        <v>6</v>
      </c>
      <c r="C9" s="1">
        <f>I2*C8</f>
        <v>3.5597893374370762E-2</v>
      </c>
      <c r="D9" s="123" t="s">
        <v>264</v>
      </c>
      <c r="E9" s="1">
        <f>SUM(E5:E8)</f>
        <v>0.92554166794430237</v>
      </c>
      <c r="F9" s="1"/>
      <c r="G9" s="3"/>
      <c r="H9" s="90"/>
      <c r="I9" s="1" t="s">
        <v>0</v>
      </c>
      <c r="J9" s="1">
        <f>G7+G12+G17+G23</f>
        <v>0.71164888756383882</v>
      </c>
      <c r="K9" s="1" t="s">
        <v>291</v>
      </c>
      <c r="L9" s="1">
        <v>1</v>
      </c>
      <c r="M9" s="1">
        <f>E7+E12+E17+E23</f>
        <v>1.5275329876891528</v>
      </c>
      <c r="N9" t="s">
        <v>287</v>
      </c>
    </row>
    <row r="10" spans="2:14" ht="15.9" thickBot="1" x14ac:dyDescent="0.65">
      <c r="G10" s="2"/>
      <c r="H10" s="90"/>
      <c r="I10" s="1" t="s">
        <v>283</v>
      </c>
      <c r="J10" s="1">
        <f>G11</f>
        <v>6.6822330292904547E-2</v>
      </c>
      <c r="K10" s="1" t="s">
        <v>283</v>
      </c>
      <c r="L10" s="1">
        <v>1</v>
      </c>
      <c r="M10" s="1">
        <f>E11</f>
        <v>0.1434321273038108</v>
      </c>
      <c r="N10" t="s">
        <v>287</v>
      </c>
    </row>
    <row r="11" spans="2:14" ht="15.9" thickBot="1" x14ac:dyDescent="0.65">
      <c r="B11" s="1" t="s">
        <v>1</v>
      </c>
      <c r="C11" s="1">
        <v>9</v>
      </c>
      <c r="D11" s="1" t="s">
        <v>2</v>
      </c>
      <c r="E11" s="118">
        <f>C11*$C$14</f>
        <v>0.1434321273038108</v>
      </c>
      <c r="F11" s="1"/>
      <c r="G11" s="3">
        <f t="shared" si="1"/>
        <v>6.6822330292904547E-2</v>
      </c>
      <c r="H11" s="2"/>
      <c r="I11" s="1" t="s">
        <v>284</v>
      </c>
      <c r="J11" s="1">
        <f>G16</f>
        <v>5.102888911256552E-2</v>
      </c>
      <c r="K11" s="1" t="s">
        <v>284</v>
      </c>
      <c r="L11" s="1">
        <v>1</v>
      </c>
      <c r="M11" s="1">
        <f>E16</f>
        <v>0.1095319796134485</v>
      </c>
      <c r="N11" t="s">
        <v>287</v>
      </c>
    </row>
    <row r="12" spans="2:14" x14ac:dyDescent="0.6">
      <c r="B12" s="1" t="s">
        <v>7</v>
      </c>
      <c r="C12" s="1">
        <f>19*2</f>
        <v>38</v>
      </c>
      <c r="D12" s="1" t="s">
        <v>2</v>
      </c>
      <c r="E12" s="118">
        <f>C12*$C$14</f>
        <v>0.60560231528275676</v>
      </c>
      <c r="F12" s="1"/>
      <c r="G12" s="3">
        <f t="shared" si="1"/>
        <v>0.28213872790337474</v>
      </c>
      <c r="H12" s="2"/>
      <c r="I12" s="1" t="s">
        <v>285</v>
      </c>
      <c r="J12" s="1">
        <f>G22</f>
        <v>3.5523761155712492E-2</v>
      </c>
      <c r="K12" s="1" t="s">
        <v>285</v>
      </c>
      <c r="L12" s="1">
        <v>1</v>
      </c>
      <c r="M12" s="1">
        <f>E22</f>
        <v>7.6250687607902184E-2</v>
      </c>
      <c r="N12" t="s">
        <v>287</v>
      </c>
    </row>
    <row r="13" spans="2:14" x14ac:dyDescent="0.6">
      <c r="B13" s="1" t="s">
        <v>5</v>
      </c>
      <c r="C13" s="92">
        <v>0.29099999999999998</v>
      </c>
      <c r="D13" s="1"/>
      <c r="E13" s="1"/>
      <c r="F13" s="1"/>
      <c r="G13" s="3"/>
      <c r="H13" s="2"/>
      <c r="I13" s="1" t="s">
        <v>286</v>
      </c>
      <c r="J13" s="1">
        <f>G21</f>
        <v>1.8887067582788311E-2</v>
      </c>
      <c r="K13" s="1" t="s">
        <v>286</v>
      </c>
      <c r="L13" s="1">
        <v>1</v>
      </c>
      <c r="M13" s="1">
        <f>E21</f>
        <v>4.0540523954427622E-2</v>
      </c>
      <c r="N13" t="s">
        <v>287</v>
      </c>
    </row>
    <row r="14" spans="2:14" ht="15.9" thickBot="1" x14ac:dyDescent="0.65">
      <c r="B14" s="1" t="s">
        <v>8</v>
      </c>
      <c r="C14" s="1">
        <f>I2*$C$13</f>
        <v>1.5936903033756757E-2</v>
      </c>
      <c r="D14" s="123" t="s">
        <v>264</v>
      </c>
      <c r="E14" s="1">
        <f>SUM(E11:E13)</f>
        <v>0.74903444258656759</v>
      </c>
      <c r="F14" s="1"/>
      <c r="G14" s="3"/>
      <c r="H14" s="2"/>
      <c r="I14" s="3" t="s">
        <v>13</v>
      </c>
      <c r="J14" s="3">
        <f>SUM(J7:J13)</f>
        <v>1.0000000000000002</v>
      </c>
      <c r="K14" s="3"/>
      <c r="L14" s="3"/>
      <c r="M14" s="3">
        <f>SUM(M7:M13)</f>
        <v>2.1464699999999994</v>
      </c>
    </row>
    <row r="15" spans="2:14" ht="15.9" thickBot="1" x14ac:dyDescent="0.65">
      <c r="G15" s="2"/>
      <c r="H15" s="2"/>
      <c r="I15" s="89"/>
      <c r="J15" s="89"/>
      <c r="K15" s="89"/>
    </row>
    <row r="16" spans="2:14" ht="15.9" thickBot="1" x14ac:dyDescent="0.65">
      <c r="B16" s="117" t="s">
        <v>9</v>
      </c>
      <c r="C16" s="118">
        <v>40</v>
      </c>
      <c r="D16" s="1" t="s">
        <v>2</v>
      </c>
      <c r="E16" s="118">
        <f>C16*C19</f>
        <v>0.1095319796134485</v>
      </c>
      <c r="F16" s="118"/>
      <c r="G16" s="119">
        <f>E16/$E$2</f>
        <v>5.102888911256552E-2</v>
      </c>
      <c r="H16" s="2"/>
    </row>
    <row r="17" spans="2:11" x14ac:dyDescent="0.6">
      <c r="B17" s="120" t="s">
        <v>10</v>
      </c>
      <c r="C17" s="1">
        <f>19*4</f>
        <v>76</v>
      </c>
      <c r="D17" s="1" t="s">
        <v>2</v>
      </c>
      <c r="E17" s="1">
        <f>C17*C19</f>
        <v>0.20811076126555217</v>
      </c>
      <c r="F17" s="118"/>
      <c r="G17" s="119">
        <f>E17/$E$2</f>
        <v>9.6954889313874498E-2</v>
      </c>
      <c r="H17" s="2"/>
    </row>
    <row r="18" spans="2:11" x14ac:dyDescent="0.6">
      <c r="B18" s="120" t="s">
        <v>5</v>
      </c>
      <c r="C18" s="92">
        <v>0.05</v>
      </c>
      <c r="D18" s="1"/>
      <c r="E18" s="1"/>
      <c r="F18" s="1"/>
      <c r="G18" s="121"/>
      <c r="H18" s="2"/>
      <c r="I18" s="3" t="s">
        <v>19</v>
      </c>
      <c r="J18" s="1">
        <v>7.5</v>
      </c>
      <c r="K18" s="1" t="s">
        <v>20</v>
      </c>
    </row>
    <row r="19" spans="2:11" ht="15.9" thickBot="1" x14ac:dyDescent="0.65">
      <c r="B19" s="122" t="s">
        <v>265</v>
      </c>
      <c r="C19" s="123">
        <f>C18*I2</f>
        <v>2.7382994903362126E-3</v>
      </c>
      <c r="D19" s="123" t="s">
        <v>264</v>
      </c>
      <c r="E19" s="123">
        <f>SUM(E16:E18)</f>
        <v>0.31764274087900068</v>
      </c>
      <c r="F19" s="123"/>
      <c r="G19" s="124"/>
      <c r="H19" s="2"/>
      <c r="I19" s="3" t="s">
        <v>21</v>
      </c>
      <c r="J19" s="1">
        <v>70.5</v>
      </c>
      <c r="K19" s="1" t="s">
        <v>22</v>
      </c>
    </row>
    <row r="20" spans="2:11" ht="15.9" thickBot="1" x14ac:dyDescent="0.65">
      <c r="G20" s="2"/>
      <c r="H20" s="2"/>
      <c r="I20" s="3"/>
      <c r="J20" s="1">
        <v>1996338</v>
      </c>
      <c r="K20" s="1" t="s">
        <v>24</v>
      </c>
    </row>
    <row r="21" spans="2:11" ht="15.9" thickBot="1" x14ac:dyDescent="0.65">
      <c r="B21" s="1" t="s">
        <v>12</v>
      </c>
      <c r="C21" s="1">
        <f>235*F21</f>
        <v>82.25</v>
      </c>
      <c r="D21" s="1" t="s">
        <v>2</v>
      </c>
      <c r="E21" s="118">
        <f>C21*$C$25</f>
        <v>4.0540523954427622E-2</v>
      </c>
      <c r="F21" s="1">
        <v>0.35</v>
      </c>
      <c r="G21" s="3">
        <f>E21/$E$2</f>
        <v>1.8887067582788311E-2</v>
      </c>
      <c r="H21" s="2"/>
      <c r="I21" s="3" t="s">
        <v>23</v>
      </c>
      <c r="J21" s="1">
        <f>E2</f>
        <v>2.1464699999999999</v>
      </c>
      <c r="K21" s="1" t="s">
        <v>4</v>
      </c>
    </row>
    <row r="22" spans="2:11" ht="15.9" thickBot="1" x14ac:dyDescent="0.65">
      <c r="B22" s="1" t="s">
        <v>11</v>
      </c>
      <c r="C22" s="1">
        <f>238*F22</f>
        <v>154.70000000000002</v>
      </c>
      <c r="D22" s="1" t="s">
        <v>2</v>
      </c>
      <c r="E22" s="118">
        <f>C22*$C$25</f>
        <v>7.6250687607902184E-2</v>
      </c>
      <c r="F22" s="1">
        <f>1-F21</f>
        <v>0.65</v>
      </c>
      <c r="G22" s="3">
        <f>E22/$E$2</f>
        <v>3.5523761155712492E-2</v>
      </c>
      <c r="H22" s="2"/>
      <c r="I22" s="3" t="s">
        <v>224</v>
      </c>
      <c r="J22" s="1">
        <f>M12+M13</f>
        <v>0.1167912115623298</v>
      </c>
      <c r="K22" s="1" t="s">
        <v>4</v>
      </c>
    </row>
    <row r="23" spans="2:11" x14ac:dyDescent="0.6">
      <c r="B23" s="1" t="s">
        <v>10</v>
      </c>
      <c r="C23" s="1">
        <f>19*4</f>
        <v>76</v>
      </c>
      <c r="D23" s="1" t="s">
        <v>2</v>
      </c>
      <c r="E23" s="118">
        <f>C23*$C$25</f>
        <v>3.7459937027799386E-2</v>
      </c>
      <c r="F23" s="1"/>
      <c r="G23" s="3">
        <f>E23/$E$2</f>
        <v>1.7451880076497405E-2</v>
      </c>
      <c r="H23" s="2"/>
      <c r="I23" s="3"/>
      <c r="J23" s="1">
        <f>J22*J20</f>
        <v>233154.73370791835</v>
      </c>
      <c r="K23" s="1" t="s">
        <v>26</v>
      </c>
    </row>
    <row r="24" spans="2:11" x14ac:dyDescent="0.6">
      <c r="B24" s="1" t="s">
        <v>5</v>
      </c>
      <c r="C24" s="92">
        <v>8.9999999999999993E-3</v>
      </c>
      <c r="D24" s="1"/>
      <c r="E24" s="1"/>
      <c r="F24" s="1"/>
      <c r="G24" s="3"/>
      <c r="H24" s="2"/>
      <c r="I24" s="3"/>
      <c r="J24" s="1">
        <f>J23*0.000001</f>
        <v>0.23315473370791834</v>
      </c>
      <c r="K24" s="1" t="s">
        <v>25</v>
      </c>
    </row>
    <row r="25" spans="2:11" ht="15.9" thickBot="1" x14ac:dyDescent="0.65">
      <c r="B25" s="1" t="s">
        <v>18</v>
      </c>
      <c r="C25" s="1">
        <f>C24*I2</f>
        <v>4.9289390826051823E-4</v>
      </c>
      <c r="D25" s="123" t="s">
        <v>264</v>
      </c>
      <c r="E25" s="1">
        <f>SUM(E21:E24)</f>
        <v>0.15425114859012917</v>
      </c>
      <c r="F25" s="1"/>
      <c r="G25" s="3"/>
      <c r="H25" s="2"/>
      <c r="I25" s="3" t="s">
        <v>229</v>
      </c>
      <c r="J25" s="3">
        <f>J18/J24</f>
        <v>32.167478998713065</v>
      </c>
      <c r="K25" s="3" t="s">
        <v>27</v>
      </c>
    </row>
    <row r="26" spans="2:11" x14ac:dyDescent="0.6">
      <c r="G26" s="2"/>
      <c r="H26" s="2"/>
    </row>
    <row r="27" spans="2:11" x14ac:dyDescent="0.6">
      <c r="C27">
        <f>C9+C14+C19+C25</f>
        <v>5.4765989806724251E-2</v>
      </c>
      <c r="D27" s="2" t="s">
        <v>13</v>
      </c>
      <c r="E27" s="2">
        <f>E25+E19+E14+E9</f>
        <v>2.1464699999999999</v>
      </c>
      <c r="G27" s="2">
        <f>SUM(G5:G26)</f>
        <v>1</v>
      </c>
      <c r="H27" s="2"/>
    </row>
    <row r="28" spans="2:11" x14ac:dyDescent="0.6">
      <c r="H28" s="2"/>
    </row>
    <row r="29" spans="2:11" x14ac:dyDescent="0.6">
      <c r="B29" t="s">
        <v>267</v>
      </c>
      <c r="C29" t="s">
        <v>268</v>
      </c>
      <c r="D29" t="s">
        <v>265</v>
      </c>
      <c r="E29" t="s">
        <v>269</v>
      </c>
      <c r="H29" s="2"/>
    </row>
    <row r="30" spans="2:11" x14ac:dyDescent="0.6">
      <c r="B30">
        <f>C5+C6+C7</f>
        <v>25.9999</v>
      </c>
      <c r="C30">
        <f>SUM(C11:C12)</f>
        <v>47</v>
      </c>
      <c r="D30">
        <f>SUM(C16:C17)</f>
        <v>116</v>
      </c>
      <c r="E30">
        <f>SUM(C21:C23)</f>
        <v>312.95000000000005</v>
      </c>
      <c r="H30" s="2"/>
    </row>
    <row r="31" spans="2:11" x14ac:dyDescent="0.6">
      <c r="B31">
        <f>C8*B30</f>
        <v>16.899934999999999</v>
      </c>
      <c r="C31">
        <f>C13*C30</f>
        <v>13.677</v>
      </c>
      <c r="D31">
        <f>C18*D30</f>
        <v>5.8000000000000007</v>
      </c>
      <c r="E31">
        <f>C24*E30</f>
        <v>2.8165500000000003</v>
      </c>
      <c r="H31" s="2"/>
    </row>
    <row r="33" spans="2:3" x14ac:dyDescent="0.6">
      <c r="B33" t="s">
        <v>270</v>
      </c>
      <c r="C33">
        <f>SUM(B31:E31)</f>
        <v>39.193485000000003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6743-87F0-D54F-8609-1896898EBC0B}">
  <dimension ref="B2:O75"/>
  <sheetViews>
    <sheetView workbookViewId="0">
      <selection activeCell="H31" activeCellId="1" sqref="H26 H31"/>
    </sheetView>
  </sheetViews>
  <sheetFormatPr defaultColWidth="8.84765625" defaultRowHeight="15.6" x14ac:dyDescent="0.6"/>
  <cols>
    <col min="2" max="2" width="18.5" bestFit="1" customWidth="1"/>
    <col min="3" max="3" width="14.1484375" customWidth="1"/>
    <col min="5" max="5" width="18.1484375" bestFit="1" customWidth="1"/>
    <col min="8" max="8" width="23.34765625" customWidth="1"/>
    <col min="9" max="9" width="11.84765625" customWidth="1"/>
    <col min="12" max="12" width="16.1484375" customWidth="1"/>
  </cols>
  <sheetData>
    <row r="2" spans="2:14" x14ac:dyDescent="0.6">
      <c r="B2" s="146" t="s">
        <v>106</v>
      </c>
      <c r="C2" s="148"/>
      <c r="E2" s="146" t="s">
        <v>107</v>
      </c>
      <c r="F2" s="148"/>
      <c r="H2" s="161" t="s">
        <v>108</v>
      </c>
      <c r="I2" s="161"/>
      <c r="L2" s="2" t="s">
        <v>109</v>
      </c>
    </row>
    <row r="3" spans="2:14" x14ac:dyDescent="0.6">
      <c r="B3" s="1" t="s">
        <v>110</v>
      </c>
      <c r="C3" s="1" t="s">
        <v>5</v>
      </c>
      <c r="E3" s="1" t="s">
        <v>111</v>
      </c>
      <c r="F3" s="1" t="s">
        <v>5</v>
      </c>
      <c r="H3" t="s">
        <v>112</v>
      </c>
      <c r="I3" t="s">
        <v>5</v>
      </c>
      <c r="L3" t="s">
        <v>113</v>
      </c>
    </row>
    <row r="4" spans="2:14" x14ac:dyDescent="0.6">
      <c r="B4" s="1" t="s">
        <v>114</v>
      </c>
      <c r="C4" s="70">
        <v>1</v>
      </c>
      <c r="E4" s="1" t="s">
        <v>115</v>
      </c>
      <c r="F4" s="70">
        <v>1.1631</v>
      </c>
      <c r="H4" t="s">
        <v>116</v>
      </c>
      <c r="I4" s="71">
        <f>I24</f>
        <v>1.1632210983526097</v>
      </c>
      <c r="J4" t="s">
        <v>117</v>
      </c>
      <c r="L4" t="s">
        <v>118</v>
      </c>
      <c r="M4" t="s">
        <v>119</v>
      </c>
    </row>
    <row r="5" spans="2:14" x14ac:dyDescent="0.6">
      <c r="B5" s="1" t="s">
        <v>120</v>
      </c>
      <c r="C5" s="70">
        <v>0.1</v>
      </c>
      <c r="E5" s="1" t="s">
        <v>91</v>
      </c>
      <c r="F5" s="70">
        <v>0.1</v>
      </c>
      <c r="H5" t="s">
        <v>91</v>
      </c>
      <c r="I5" s="71">
        <v>0.1</v>
      </c>
      <c r="L5" t="s">
        <v>121</v>
      </c>
      <c r="M5" t="s">
        <v>119</v>
      </c>
    </row>
    <row r="6" spans="2:14" ht="16" customHeight="1" x14ac:dyDescent="0.6">
      <c r="B6" s="1" t="s">
        <v>93</v>
      </c>
      <c r="C6" s="72">
        <v>1</v>
      </c>
      <c r="E6" s="1" t="s">
        <v>122</v>
      </c>
      <c r="F6" s="70">
        <v>1.0810999999999999E-2</v>
      </c>
      <c r="H6" t="s">
        <v>94</v>
      </c>
      <c r="I6" s="71">
        <v>0.01</v>
      </c>
      <c r="L6" t="s">
        <v>123</v>
      </c>
      <c r="M6" t="s">
        <v>119</v>
      </c>
    </row>
    <row r="7" spans="2:14" ht="16" customHeight="1" x14ac:dyDescent="0.6">
      <c r="B7" s="1" t="s">
        <v>124</v>
      </c>
      <c r="C7" s="73">
        <v>1</v>
      </c>
      <c r="E7" s="1" t="s">
        <v>125</v>
      </c>
      <c r="F7" s="70">
        <v>0.99</v>
      </c>
      <c r="H7" t="s">
        <v>126</v>
      </c>
      <c r="I7" s="71">
        <v>0.5</v>
      </c>
    </row>
    <row r="8" spans="2:14" x14ac:dyDescent="0.6">
      <c r="B8" s="1" t="s">
        <v>127</v>
      </c>
      <c r="C8" s="70">
        <v>1</v>
      </c>
      <c r="E8" s="1" t="s">
        <v>93</v>
      </c>
      <c r="F8" s="1">
        <v>3</v>
      </c>
      <c r="H8" s="1" t="s">
        <v>125</v>
      </c>
      <c r="I8" s="70">
        <v>0.99</v>
      </c>
      <c r="L8" t="s">
        <v>128</v>
      </c>
      <c r="M8" t="s">
        <v>129</v>
      </c>
    </row>
    <row r="9" spans="2:14" x14ac:dyDescent="0.6">
      <c r="B9" s="1" t="s">
        <v>94</v>
      </c>
      <c r="C9" s="70">
        <v>0.8</v>
      </c>
      <c r="E9" s="3" t="s">
        <v>130</v>
      </c>
      <c r="F9" s="74">
        <f>F5*F6*F8*F7*F4</f>
        <v>3.7345594077000002E-3</v>
      </c>
      <c r="H9" s="75" t="s">
        <v>93</v>
      </c>
      <c r="I9" s="75">
        <v>3</v>
      </c>
      <c r="J9" s="76" t="s">
        <v>131</v>
      </c>
    </row>
    <row r="10" spans="2:14" ht="15.55" customHeight="1" x14ac:dyDescent="0.6">
      <c r="B10" s="3" t="s">
        <v>130</v>
      </c>
      <c r="C10" s="77">
        <f>C5*C6*C9*C4*C8*C7</f>
        <v>8.0000000000000016E-2</v>
      </c>
      <c r="H10" t="s">
        <v>132</v>
      </c>
      <c r="I10">
        <f>I4*I5*I6*I9*I8*I7</f>
        <v>1.7273833310536256E-3</v>
      </c>
      <c r="J10" s="2" t="s">
        <v>133</v>
      </c>
      <c r="L10" s="162" t="s">
        <v>134</v>
      </c>
      <c r="M10" s="162"/>
      <c r="N10" s="162"/>
    </row>
    <row r="11" spans="2:14" x14ac:dyDescent="0.6">
      <c r="E11" s="163" t="s">
        <v>135</v>
      </c>
      <c r="F11" s="163"/>
      <c r="H11" t="s">
        <v>136</v>
      </c>
      <c r="I11">
        <f>1/I10</f>
        <v>578.91029861336301</v>
      </c>
      <c r="J11" t="s">
        <v>29</v>
      </c>
      <c r="L11" s="162"/>
      <c r="M11" s="162"/>
      <c r="N11" s="162"/>
    </row>
    <row r="12" spans="2:14" x14ac:dyDescent="0.6">
      <c r="B12" s="163" t="s">
        <v>137</v>
      </c>
      <c r="C12" s="163"/>
      <c r="E12" s="163"/>
      <c r="F12" s="163"/>
      <c r="H12" s="75" t="s">
        <v>43</v>
      </c>
      <c r="I12" s="75">
        <v>2.0928350000000001E-5</v>
      </c>
      <c r="J12" s="75" t="s">
        <v>133</v>
      </c>
      <c r="L12" s="162"/>
      <c r="M12" s="162"/>
      <c r="N12" s="162"/>
    </row>
    <row r="13" spans="2:14" x14ac:dyDescent="0.6">
      <c r="B13" s="163"/>
      <c r="C13" s="163"/>
      <c r="E13" s="163"/>
      <c r="F13" s="163"/>
      <c r="H13" s="2" t="s">
        <v>138</v>
      </c>
      <c r="I13" s="2">
        <f>I12*I11</f>
        <v>1.2115637347984976E-2</v>
      </c>
      <c r="L13" t="s">
        <v>139</v>
      </c>
      <c r="M13">
        <v>138541.35999999999</v>
      </c>
    </row>
    <row r="14" spans="2:14" x14ac:dyDescent="0.6">
      <c r="B14" s="163"/>
      <c r="C14" s="163"/>
      <c r="E14" s="163"/>
      <c r="F14" s="163"/>
      <c r="I14">
        <f>I12*25*M17</f>
        <v>2.161502119730125E-2</v>
      </c>
      <c r="L14" t="s">
        <v>140</v>
      </c>
      <c r="M14">
        <v>100802.38</v>
      </c>
    </row>
    <row r="15" spans="2:14" x14ac:dyDescent="0.6">
      <c r="B15" s="163"/>
      <c r="C15" s="163"/>
      <c r="E15" s="163"/>
      <c r="F15" s="163"/>
      <c r="H15" s="164" t="s">
        <v>141</v>
      </c>
      <c r="I15" s="164"/>
      <c r="J15" s="164"/>
      <c r="L15" s="2" t="s">
        <v>142</v>
      </c>
      <c r="M15" s="2">
        <f>M14/M13</f>
        <v>0.72759773687799811</v>
      </c>
    </row>
    <row r="16" spans="2:14" x14ac:dyDescent="0.6">
      <c r="B16" s="163"/>
      <c r="C16" s="163"/>
      <c r="E16" s="163"/>
      <c r="F16" s="163"/>
      <c r="H16" s="1" t="s">
        <v>143</v>
      </c>
      <c r="I16" s="1">
        <v>1665</v>
      </c>
      <c r="J16" s="1" t="s">
        <v>144</v>
      </c>
    </row>
    <row r="17" spans="2:15" x14ac:dyDescent="0.6">
      <c r="B17" s="163"/>
      <c r="C17" s="163"/>
      <c r="H17" s="1" t="s">
        <v>145</v>
      </c>
      <c r="I17" s="1">
        <v>3353.33</v>
      </c>
      <c r="J17" s="1" t="s">
        <v>146</v>
      </c>
      <c r="L17" t="s">
        <v>147</v>
      </c>
      <c r="M17">
        <v>41.312423000000003</v>
      </c>
    </row>
    <row r="18" spans="2:15" x14ac:dyDescent="0.6">
      <c r="B18" s="165" t="s">
        <v>148</v>
      </c>
      <c r="C18" s="165"/>
      <c r="H18" s="1" t="s">
        <v>149</v>
      </c>
      <c r="I18" s="1">
        <v>0.15240000000000001</v>
      </c>
      <c r="J18" s="1" t="s">
        <v>150</v>
      </c>
      <c r="L18" t="s">
        <v>151</v>
      </c>
      <c r="M18">
        <v>30.060400000000001</v>
      </c>
    </row>
    <row r="19" spans="2:15" x14ac:dyDescent="0.6">
      <c r="H19" s="1" t="s">
        <v>152</v>
      </c>
      <c r="I19" s="1">
        <f>I18/2</f>
        <v>7.6200000000000004E-2</v>
      </c>
      <c r="J19" s="1" t="s">
        <v>150</v>
      </c>
      <c r="L19" s="2" t="s">
        <v>142</v>
      </c>
      <c r="M19" s="2">
        <f>M18/M17</f>
        <v>0.72763584939087211</v>
      </c>
    </row>
    <row r="20" spans="2:15" x14ac:dyDescent="0.6">
      <c r="B20" t="s">
        <v>153</v>
      </c>
      <c r="H20" s="1" t="s">
        <v>154</v>
      </c>
      <c r="I20" s="1">
        <f>3.14159265358979*(I19^2)</f>
        <v>1.8241469247509901E-2</v>
      </c>
      <c r="J20" s="1" t="s">
        <v>155</v>
      </c>
    </row>
    <row r="21" spans="2:15" x14ac:dyDescent="0.6">
      <c r="B21" t="s">
        <v>110</v>
      </c>
      <c r="C21" s="78" t="s">
        <v>156</v>
      </c>
      <c r="H21" s="3" t="s">
        <v>157</v>
      </c>
      <c r="I21" s="3">
        <f>I16/(I17*I20)</f>
        <v>27.219373701451065</v>
      </c>
      <c r="J21" s="3" t="s">
        <v>158</v>
      </c>
      <c r="L21" s="2" t="s">
        <v>130</v>
      </c>
      <c r="M21" s="2">
        <f>M19</f>
        <v>0.72763584939087211</v>
      </c>
      <c r="N21" s="2"/>
    </row>
    <row r="22" spans="2:15" x14ac:dyDescent="0.6">
      <c r="B22" s="2" t="s">
        <v>159</v>
      </c>
      <c r="H22" s="166" t="s">
        <v>160</v>
      </c>
      <c r="I22" s="167"/>
      <c r="J22" s="168"/>
    </row>
    <row r="23" spans="2:15" x14ac:dyDescent="0.6">
      <c r="B23" s="79" t="s">
        <v>161</v>
      </c>
      <c r="C23" s="80">
        <f>C10</f>
        <v>8.0000000000000016E-2</v>
      </c>
      <c r="H23" s="1" t="s">
        <v>162</v>
      </c>
      <c r="I23" s="1">
        <f>17.4+6</f>
        <v>23.4</v>
      </c>
      <c r="J23" s="1" t="s">
        <v>150</v>
      </c>
      <c r="L23" s="2" t="s">
        <v>130</v>
      </c>
      <c r="M23" s="2">
        <f>1-M21</f>
        <v>0.27236415060912789</v>
      </c>
    </row>
    <row r="24" spans="2:15" x14ac:dyDescent="0.6">
      <c r="B24" s="79" t="s">
        <v>163</v>
      </c>
      <c r="C24">
        <f>F9</f>
        <v>3.7345594077000002E-3</v>
      </c>
      <c r="H24" s="1" t="s">
        <v>93</v>
      </c>
      <c r="I24" s="1">
        <f>I21/I23</f>
        <v>1.1632210983526097</v>
      </c>
      <c r="J24" s="1" t="s">
        <v>164</v>
      </c>
    </row>
    <row r="25" spans="2:15" x14ac:dyDescent="0.6">
      <c r="B25" s="79" t="s">
        <v>165</v>
      </c>
      <c r="C25">
        <f>I13</f>
        <v>1.2115637347984976E-2</v>
      </c>
    </row>
    <row r="26" spans="2:15" x14ac:dyDescent="0.6">
      <c r="B26" s="81" t="s">
        <v>166</v>
      </c>
      <c r="C26" s="82">
        <f>SUM(C23:C25)</f>
        <v>9.5850196755684985E-2</v>
      </c>
      <c r="H26" s="2">
        <f>185/3353.33</f>
        <v>5.5169040923499925E-2</v>
      </c>
      <c r="I26" s="2"/>
      <c r="L26" t="s">
        <v>167</v>
      </c>
      <c r="M26" t="s">
        <v>168</v>
      </c>
    </row>
    <row r="27" spans="2:15" x14ac:dyDescent="0.6">
      <c r="B27" s="79" t="s">
        <v>169</v>
      </c>
      <c r="C27">
        <f>M23</f>
        <v>0.27236415060912789</v>
      </c>
    </row>
    <row r="28" spans="2:15" x14ac:dyDescent="0.6">
      <c r="B28" s="81" t="s">
        <v>13</v>
      </c>
      <c r="C28" s="82">
        <f>C26+C27</f>
        <v>0.36821434736481284</v>
      </c>
      <c r="H28" s="2"/>
      <c r="I28" s="2"/>
      <c r="J28" s="2"/>
      <c r="L28">
        <v>859.68179344084399</v>
      </c>
      <c r="M28" t="s">
        <v>29</v>
      </c>
    </row>
    <row r="29" spans="2:15" x14ac:dyDescent="0.6">
      <c r="C29" s="78"/>
      <c r="H29" s="75" t="s">
        <v>43</v>
      </c>
      <c r="I29" s="75">
        <v>3</v>
      </c>
      <c r="J29" s="75" t="s">
        <v>133</v>
      </c>
    </row>
    <row r="30" spans="2:15" x14ac:dyDescent="0.6">
      <c r="C30" s="80"/>
      <c r="H30" s="2" t="s">
        <v>138</v>
      </c>
      <c r="I30" s="2">
        <f>I29/I11</f>
        <v>5.1821499931608761E-3</v>
      </c>
      <c r="L30" t="s">
        <v>43</v>
      </c>
      <c r="M30">
        <v>2.0928350000000001E-5</v>
      </c>
      <c r="N30" t="s">
        <v>41</v>
      </c>
      <c r="O30">
        <f>M30*L28</f>
        <v>1.799172146175769E-2</v>
      </c>
    </row>
    <row r="31" spans="2:15" x14ac:dyDescent="0.6">
      <c r="I31">
        <f>I29*I11</f>
        <v>1736.730895840089</v>
      </c>
      <c r="L31" t="s">
        <v>47</v>
      </c>
      <c r="M31">
        <f>LN(2)/M30</f>
        <v>33120.010921068562</v>
      </c>
      <c r="N31" t="s">
        <v>29</v>
      </c>
      <c r="O31">
        <f>L28/M31</f>
        <v>2.5956567329933348E-2</v>
      </c>
    </row>
    <row r="32" spans="2:15" x14ac:dyDescent="0.6">
      <c r="O32">
        <f>M31/L28</f>
        <v>38.525895481055805</v>
      </c>
    </row>
    <row r="36" spans="2:8" x14ac:dyDescent="0.6">
      <c r="B36" s="146" t="s">
        <v>106</v>
      </c>
      <c r="C36" s="148"/>
    </row>
    <row r="37" spans="2:8" x14ac:dyDescent="0.6">
      <c r="B37" s="1" t="s">
        <v>110</v>
      </c>
      <c r="C37" s="1" t="s">
        <v>5</v>
      </c>
    </row>
    <row r="38" spans="2:8" x14ac:dyDescent="0.6">
      <c r="B38" s="1" t="s">
        <v>114</v>
      </c>
      <c r="C38" s="70">
        <v>1.1631</v>
      </c>
      <c r="E38">
        <v>6.9099999999999999E-4</v>
      </c>
      <c r="F38" t="s">
        <v>170</v>
      </c>
      <c r="G38" t="s">
        <v>171</v>
      </c>
      <c r="H38">
        <f>1/E38</f>
        <v>1447.178002894356</v>
      </c>
    </row>
    <row r="39" spans="2:8" x14ac:dyDescent="0.6">
      <c r="B39" s="1" t="s">
        <v>172</v>
      </c>
      <c r="C39" s="70">
        <v>1</v>
      </c>
      <c r="F39" t="s">
        <v>88</v>
      </c>
    </row>
    <row r="40" spans="2:8" x14ac:dyDescent="0.6">
      <c r="B40" s="1" t="s">
        <v>93</v>
      </c>
      <c r="C40" s="72">
        <v>3</v>
      </c>
    </row>
    <row r="41" spans="2:8" x14ac:dyDescent="0.6">
      <c r="B41" s="1" t="s">
        <v>124</v>
      </c>
      <c r="C41" s="73">
        <v>0.99990000000000001</v>
      </c>
    </row>
    <row r="42" spans="2:8" x14ac:dyDescent="0.6">
      <c r="B42" s="1" t="s">
        <v>127</v>
      </c>
      <c r="C42" s="70">
        <v>0.99</v>
      </c>
    </row>
    <row r="43" spans="2:8" x14ac:dyDescent="0.6">
      <c r="B43" s="1" t="s">
        <v>173</v>
      </c>
      <c r="C43" s="70">
        <v>1E-3</v>
      </c>
      <c r="D43" t="s">
        <v>174</v>
      </c>
    </row>
    <row r="44" spans="2:8" x14ac:dyDescent="0.6">
      <c r="B44" s="1" t="s">
        <v>94</v>
      </c>
      <c r="C44" s="83">
        <v>0.2</v>
      </c>
      <c r="E44" t="s">
        <v>175</v>
      </c>
      <c r="G44" t="s">
        <v>176</v>
      </c>
    </row>
    <row r="45" spans="2:8" x14ac:dyDescent="0.6">
      <c r="B45" s="3" t="s">
        <v>130</v>
      </c>
      <c r="C45" s="77">
        <f>C39*C40*C44*C38*C42*C41*C43</f>
        <v>6.9081231186000013E-4</v>
      </c>
      <c r="E45" t="s">
        <v>177</v>
      </c>
      <c r="G45" t="s">
        <v>178</v>
      </c>
    </row>
    <row r="48" spans="2:8" x14ac:dyDescent="0.6">
      <c r="B48" s="146" t="s">
        <v>106</v>
      </c>
      <c r="C48" s="148"/>
    </row>
    <row r="49" spans="2:10" x14ac:dyDescent="0.6">
      <c r="B49" s="1" t="s">
        <v>110</v>
      </c>
      <c r="C49" s="1" t="s">
        <v>5</v>
      </c>
    </row>
    <row r="50" spans="2:10" x14ac:dyDescent="0.6">
      <c r="B50" s="1" t="s">
        <v>114</v>
      </c>
      <c r="C50" s="70">
        <v>1.1631</v>
      </c>
    </row>
    <row r="51" spans="2:10" x14ac:dyDescent="0.6">
      <c r="B51" s="1" t="s">
        <v>172</v>
      </c>
      <c r="C51" s="70">
        <v>1</v>
      </c>
    </row>
    <row r="52" spans="2:10" x14ac:dyDescent="0.6">
      <c r="B52" s="1" t="s">
        <v>93</v>
      </c>
      <c r="C52" s="72">
        <v>3</v>
      </c>
    </row>
    <row r="53" spans="2:10" x14ac:dyDescent="0.6">
      <c r="B53" s="1" t="s">
        <v>124</v>
      </c>
      <c r="C53" s="73">
        <v>0.1</v>
      </c>
      <c r="H53" s="161" t="s">
        <v>108</v>
      </c>
      <c r="I53" s="161"/>
    </row>
    <row r="54" spans="2:10" x14ac:dyDescent="0.6">
      <c r="B54" s="1" t="s">
        <v>127</v>
      </c>
      <c r="C54" s="70">
        <v>0.9</v>
      </c>
      <c r="H54" t="s">
        <v>112</v>
      </c>
      <c r="I54" t="s">
        <v>5</v>
      </c>
    </row>
    <row r="55" spans="2:10" x14ac:dyDescent="0.6">
      <c r="B55" s="1" t="s">
        <v>173</v>
      </c>
      <c r="C55" s="70">
        <v>1</v>
      </c>
      <c r="H55" t="s">
        <v>116</v>
      </c>
      <c r="I55" s="71">
        <v>1.1599999999999999</v>
      </c>
      <c r="J55" t="s">
        <v>117</v>
      </c>
    </row>
    <row r="56" spans="2:10" x14ac:dyDescent="0.6">
      <c r="B56" s="1" t="s">
        <v>179</v>
      </c>
      <c r="C56" s="70">
        <f>1-0.009</f>
        <v>0.99099999999999999</v>
      </c>
      <c r="H56" t="s">
        <v>91</v>
      </c>
      <c r="I56" s="71">
        <v>0.1</v>
      </c>
    </row>
    <row r="57" spans="2:10" x14ac:dyDescent="0.6">
      <c r="B57" s="1" t="s">
        <v>180</v>
      </c>
      <c r="C57" s="70">
        <f>1-0.647</f>
        <v>0.35299999999999998</v>
      </c>
      <c r="H57" t="s">
        <v>94</v>
      </c>
      <c r="I57" s="71">
        <v>1</v>
      </c>
    </row>
    <row r="58" spans="2:10" x14ac:dyDescent="0.6">
      <c r="B58" s="1" t="s">
        <v>181</v>
      </c>
      <c r="C58" s="70">
        <f>1-0.034</f>
        <v>0.96599999999999997</v>
      </c>
      <c r="H58" t="s">
        <v>126</v>
      </c>
      <c r="I58" s="71">
        <v>0.5</v>
      </c>
    </row>
    <row r="59" spans="2:10" x14ac:dyDescent="0.6">
      <c r="B59" s="1" t="s">
        <v>94</v>
      </c>
      <c r="C59" s="83">
        <v>0.5</v>
      </c>
      <c r="H59" s="1" t="s">
        <v>125</v>
      </c>
      <c r="I59" s="70">
        <v>1</v>
      </c>
    </row>
    <row r="60" spans="2:10" x14ac:dyDescent="0.6">
      <c r="B60" s="3" t="s">
        <v>130</v>
      </c>
      <c r="C60" s="77">
        <f>PRODUCT(C50:C59)</f>
        <v>5.3061107512832995E-2</v>
      </c>
      <c r="H60" s="75" t="s">
        <v>93</v>
      </c>
      <c r="I60" s="75">
        <v>3</v>
      </c>
      <c r="J60" s="76" t="s">
        <v>131</v>
      </c>
    </row>
    <row r="61" spans="2:10" x14ac:dyDescent="0.6">
      <c r="H61" t="s">
        <v>132</v>
      </c>
      <c r="I61">
        <f>I55*I56*I57*I60*I59*I58</f>
        <v>0.17399999999999999</v>
      </c>
      <c r="J61" s="2" t="s">
        <v>133</v>
      </c>
    </row>
    <row r="62" spans="2:10" x14ac:dyDescent="0.6">
      <c r="H62" t="s">
        <v>136</v>
      </c>
      <c r="I62">
        <f>1/I61</f>
        <v>5.7471264367816097</v>
      </c>
      <c r="J62" t="s">
        <v>29</v>
      </c>
    </row>
    <row r="63" spans="2:10" x14ac:dyDescent="0.6">
      <c r="B63" s="146" t="s">
        <v>106</v>
      </c>
      <c r="C63" s="148"/>
      <c r="H63" s="75" t="s">
        <v>43</v>
      </c>
      <c r="I63" s="75">
        <v>2.0928350000000001E-5</v>
      </c>
      <c r="J63" s="75" t="s">
        <v>133</v>
      </c>
    </row>
    <row r="64" spans="2:10" x14ac:dyDescent="0.6">
      <c r="B64" s="1" t="s">
        <v>110</v>
      </c>
      <c r="C64" s="1" t="s">
        <v>5</v>
      </c>
      <c r="H64" s="2" t="s">
        <v>138</v>
      </c>
      <c r="I64" s="2">
        <f>I63*I62</f>
        <v>1.2027787356321841E-4</v>
      </c>
    </row>
    <row r="65" spans="2:9" x14ac:dyDescent="0.6">
      <c r="B65" s="1" t="s">
        <v>182</v>
      </c>
      <c r="C65" s="70"/>
      <c r="I65">
        <f>I63*25*M68</f>
        <v>0</v>
      </c>
    </row>
    <row r="66" spans="2:9" x14ac:dyDescent="0.6">
      <c r="B66" s="1" t="s">
        <v>172</v>
      </c>
      <c r="C66" s="70"/>
    </row>
    <row r="67" spans="2:9" x14ac:dyDescent="0.6">
      <c r="B67" s="1" t="s">
        <v>93</v>
      </c>
      <c r="C67" s="72"/>
    </row>
    <row r="68" spans="2:9" x14ac:dyDescent="0.6">
      <c r="B68" s="1" t="s">
        <v>124</v>
      </c>
      <c r="C68" s="73"/>
    </row>
    <row r="69" spans="2:9" x14ac:dyDescent="0.6">
      <c r="B69" s="1" t="s">
        <v>127</v>
      </c>
      <c r="C69" s="70"/>
    </row>
    <row r="70" spans="2:9" x14ac:dyDescent="0.6">
      <c r="B70" s="1" t="s">
        <v>173</v>
      </c>
      <c r="C70" s="70"/>
    </row>
    <row r="71" spans="2:9" x14ac:dyDescent="0.6">
      <c r="B71" s="1" t="s">
        <v>179</v>
      </c>
      <c r="C71" s="70"/>
    </row>
    <row r="72" spans="2:9" x14ac:dyDescent="0.6">
      <c r="B72" s="1" t="s">
        <v>180</v>
      </c>
      <c r="C72" s="70"/>
    </row>
    <row r="73" spans="2:9" x14ac:dyDescent="0.6">
      <c r="B73" s="1" t="s">
        <v>181</v>
      </c>
      <c r="C73" s="70"/>
    </row>
    <row r="74" spans="2:9" x14ac:dyDescent="0.6">
      <c r="B74" s="1" t="s">
        <v>94</v>
      </c>
      <c r="C74" s="83"/>
    </row>
    <row r="75" spans="2:9" x14ac:dyDescent="0.6">
      <c r="B75" s="3" t="s">
        <v>130</v>
      </c>
      <c r="C75" s="77">
        <f>PRODUCT(C65:C74)</f>
        <v>0</v>
      </c>
    </row>
  </sheetData>
  <mergeCells count="13">
    <mergeCell ref="B63:C63"/>
    <mergeCell ref="B2:C2"/>
    <mergeCell ref="E2:F2"/>
    <mergeCell ref="H2:I2"/>
    <mergeCell ref="L10:N12"/>
    <mergeCell ref="E11:F16"/>
    <mergeCell ref="B12:C17"/>
    <mergeCell ref="H15:J15"/>
    <mergeCell ref="B18:C18"/>
    <mergeCell ref="H22:J22"/>
    <mergeCell ref="B36:C36"/>
    <mergeCell ref="B48:C48"/>
    <mergeCell ref="H53:I5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FACD-2748-A148-A176-CF9BB8ABCEA4}">
  <dimension ref="A2:L31"/>
  <sheetViews>
    <sheetView zoomScale="90" zoomScaleNormal="90" workbookViewId="0">
      <selection activeCell="I11" sqref="I11"/>
    </sheetView>
  </sheetViews>
  <sheetFormatPr defaultColWidth="10.84765625" defaultRowHeight="15.6" x14ac:dyDescent="0.6"/>
  <cols>
    <col min="1" max="1" width="20.6484375" customWidth="1"/>
    <col min="3" max="3" width="14.84765625" customWidth="1"/>
    <col min="4" max="8" width="18.5" customWidth="1"/>
    <col min="9" max="9" width="21.34765625" customWidth="1"/>
    <col min="11" max="11" width="18" customWidth="1"/>
    <col min="12" max="12" width="14.5" customWidth="1"/>
  </cols>
  <sheetData>
    <row r="2" spans="1:12" x14ac:dyDescent="0.6">
      <c r="A2" t="s">
        <v>87</v>
      </c>
      <c r="B2">
        <v>20</v>
      </c>
      <c r="C2" t="s">
        <v>88</v>
      </c>
    </row>
    <row r="4" spans="1:12" x14ac:dyDescent="0.6">
      <c r="A4" s="64" t="s">
        <v>89</v>
      </c>
      <c r="B4" s="64" t="s">
        <v>90</v>
      </c>
      <c r="C4" s="64" t="s">
        <v>91</v>
      </c>
      <c r="D4" s="64" t="s">
        <v>92</v>
      </c>
      <c r="E4" s="64" t="s">
        <v>93</v>
      </c>
      <c r="F4" s="64" t="s">
        <v>94</v>
      </c>
      <c r="G4" s="64" t="s">
        <v>95</v>
      </c>
      <c r="H4" s="64" t="s">
        <v>96</v>
      </c>
      <c r="I4" s="64" t="s">
        <v>97</v>
      </c>
      <c r="J4" s="64" t="s">
        <v>98</v>
      </c>
      <c r="K4" s="64" t="s">
        <v>99</v>
      </c>
      <c r="L4" s="64" t="s">
        <v>100</v>
      </c>
    </row>
    <row r="5" spans="1:12" x14ac:dyDescent="0.6">
      <c r="A5" s="65">
        <v>1</v>
      </c>
      <c r="B5" s="66">
        <v>0.72760000000000002</v>
      </c>
      <c r="C5" s="66">
        <v>0.1</v>
      </c>
      <c r="D5" s="66">
        <v>1.081E-2</v>
      </c>
      <c r="E5" s="66">
        <v>3</v>
      </c>
      <c r="F5" s="66">
        <v>0.5</v>
      </c>
      <c r="G5" s="66">
        <v>1</v>
      </c>
      <c r="H5" s="66">
        <f>A22*A24</f>
        <v>2.9306070546251704E-2</v>
      </c>
      <c r="I5" s="66">
        <f>B5*C5*D5*E5*G5</f>
        <v>2.3596068000000005E-3</v>
      </c>
      <c r="J5" s="66">
        <f t="shared" ref="J5:J11" si="0">ABS((LN(1-(0.99*I5)))/(1))</f>
        <v>2.3387434616900567E-3</v>
      </c>
      <c r="K5">
        <f t="shared" ref="K5:K11" si="1">ABS((LN(1-(0.99*I5)))/(20))</f>
        <v>1.1693717308450283E-4</v>
      </c>
      <c r="L5">
        <f>ABS((LN(1-(0.999*1)))/(20))</f>
        <v>0.34538776394910681</v>
      </c>
    </row>
    <row r="6" spans="1:12" x14ac:dyDescent="0.6">
      <c r="A6" s="65">
        <v>2</v>
      </c>
      <c r="B6" s="65" t="s">
        <v>65</v>
      </c>
      <c r="C6" s="66">
        <v>0.1</v>
      </c>
      <c r="D6" s="66">
        <v>1.081E-2</v>
      </c>
      <c r="E6" s="66">
        <v>3</v>
      </c>
      <c r="F6" s="66">
        <v>0.5</v>
      </c>
      <c r="G6" s="66">
        <v>1</v>
      </c>
      <c r="H6" s="66">
        <f>A22*A24</f>
        <v>2.9306070546251704E-2</v>
      </c>
      <c r="I6" s="66">
        <f>C6*D6*E6*G6</f>
        <v>3.2430000000000002E-3</v>
      </c>
      <c r="J6" s="66">
        <f t="shared" si="0"/>
        <v>3.2157349377547389E-3</v>
      </c>
      <c r="K6">
        <f t="shared" si="1"/>
        <v>1.6078674688773694E-4</v>
      </c>
      <c r="L6">
        <f t="shared" ref="L6:L11" si="2">ABS((LN(1-(0.999*1)))/(20))</f>
        <v>0.34538776394910681</v>
      </c>
    </row>
    <row r="7" spans="1:12" x14ac:dyDescent="0.6">
      <c r="A7" s="67">
        <v>3</v>
      </c>
      <c r="B7" s="67" t="s">
        <v>65</v>
      </c>
      <c r="C7" s="68">
        <v>0.1</v>
      </c>
      <c r="D7" s="66">
        <v>1.081E-2</v>
      </c>
      <c r="E7" s="68">
        <v>3</v>
      </c>
      <c r="F7" s="68">
        <v>0.5</v>
      </c>
      <c r="G7" s="67">
        <v>0.9</v>
      </c>
      <c r="H7" s="66">
        <f>A22*A24</f>
        <v>2.9306070546251704E-2</v>
      </c>
      <c r="I7" s="68">
        <f>C7*D7*E7*G7</f>
        <v>2.9187000000000002E-3</v>
      </c>
      <c r="J7" s="66">
        <f t="shared" si="0"/>
        <v>2.8936957019461097E-3</v>
      </c>
      <c r="K7">
        <f t="shared" si="1"/>
        <v>1.4468478509730548E-4</v>
      </c>
      <c r="L7">
        <f t="shared" si="2"/>
        <v>0.34538776394910681</v>
      </c>
    </row>
    <row r="8" spans="1:12" x14ac:dyDescent="0.6">
      <c r="A8" s="67">
        <v>4</v>
      </c>
      <c r="B8" s="65">
        <v>0.72760000000000002</v>
      </c>
      <c r="C8" s="68">
        <v>0.1</v>
      </c>
      <c r="D8" s="68">
        <v>1.081E-2</v>
      </c>
      <c r="E8" s="68">
        <v>3</v>
      </c>
      <c r="F8" s="68">
        <v>0.5</v>
      </c>
      <c r="G8" s="67">
        <v>0.9</v>
      </c>
      <c r="H8" s="66">
        <f>A22*A24</f>
        <v>2.9306070546251704E-2</v>
      </c>
      <c r="I8" s="68">
        <f>B8*C8*D8*E8*G8</f>
        <v>2.1236461200000007E-3</v>
      </c>
      <c r="J8" s="66">
        <f t="shared" si="0"/>
        <v>2.1046228245181521E-3</v>
      </c>
      <c r="K8">
        <f t="shared" si="1"/>
        <v>1.0523114122590761E-4</v>
      </c>
      <c r="L8">
        <f t="shared" si="2"/>
        <v>0.34538776394910681</v>
      </c>
    </row>
    <row r="9" spans="1:12" x14ac:dyDescent="0.6">
      <c r="A9" s="67">
        <v>5</v>
      </c>
      <c r="B9" s="68">
        <v>0.72760000000000002</v>
      </c>
      <c r="C9" s="68">
        <v>0.1</v>
      </c>
      <c r="D9" s="68">
        <v>1.081E-2</v>
      </c>
      <c r="E9" s="68">
        <v>3</v>
      </c>
      <c r="F9" s="68">
        <v>0.5</v>
      </c>
      <c r="G9" s="67">
        <v>0.7</v>
      </c>
      <c r="H9" s="66">
        <f>A22*A24</f>
        <v>2.9306070546251704E-2</v>
      </c>
      <c r="I9" s="68">
        <f>B9*C9*D9*E9*G9</f>
        <v>1.6517247600000002E-3</v>
      </c>
      <c r="J9" s="66">
        <f t="shared" si="0"/>
        <v>1.6365459234564921E-3</v>
      </c>
      <c r="K9">
        <f t="shared" si="1"/>
        <v>8.1827296172824602E-5</v>
      </c>
      <c r="L9">
        <f t="shared" si="2"/>
        <v>0.34538776394910681</v>
      </c>
    </row>
    <row r="10" spans="1:12" x14ac:dyDescent="0.6">
      <c r="A10" s="67">
        <v>6</v>
      </c>
      <c r="B10" s="68">
        <v>0.72760000000000002</v>
      </c>
      <c r="C10" s="68">
        <v>0.1</v>
      </c>
      <c r="D10" s="68">
        <v>1.081E-2</v>
      </c>
      <c r="E10" s="68">
        <v>3</v>
      </c>
      <c r="F10" s="68">
        <v>0.5</v>
      </c>
      <c r="G10" s="67">
        <v>0.5</v>
      </c>
      <c r="H10" s="66">
        <f>A22*A24</f>
        <v>2.9306070546251704E-2</v>
      </c>
      <c r="I10" s="68">
        <f>B10*C10*D10*E10*G10</f>
        <v>1.1798034000000002E-3</v>
      </c>
      <c r="J10" s="66">
        <f t="shared" si="0"/>
        <v>1.1686880158784563E-3</v>
      </c>
      <c r="K10">
        <f t="shared" si="1"/>
        <v>5.8434400793922813E-5</v>
      </c>
      <c r="L10">
        <f t="shared" si="2"/>
        <v>0.34538776394910681</v>
      </c>
    </row>
    <row r="11" spans="1:12" x14ac:dyDescent="0.6">
      <c r="A11" s="67">
        <v>7</v>
      </c>
      <c r="B11" s="68">
        <v>0.72760000000000002</v>
      </c>
      <c r="C11" s="68">
        <v>0.1</v>
      </c>
      <c r="D11" s="68">
        <v>1.081E-2</v>
      </c>
      <c r="E11" s="68">
        <v>3</v>
      </c>
      <c r="F11" s="68">
        <v>0.5</v>
      </c>
      <c r="G11" s="67">
        <v>0.2</v>
      </c>
      <c r="H11" s="66">
        <f>A22*A24</f>
        <v>2.9306070546251704E-2</v>
      </c>
      <c r="I11" s="68">
        <f>B11*C11*D11*E11*G11</f>
        <v>4.7192136000000012E-4</v>
      </c>
      <c r="J11" s="66">
        <f t="shared" si="0"/>
        <v>4.6731131932795637E-4</v>
      </c>
      <c r="K11">
        <f t="shared" si="1"/>
        <v>2.3365565966397819E-5</v>
      </c>
      <c r="L11">
        <f t="shared" si="2"/>
        <v>0.34538776394910681</v>
      </c>
    </row>
    <row r="15" spans="1:12" x14ac:dyDescent="0.6">
      <c r="A15" t="s">
        <v>43</v>
      </c>
    </row>
    <row r="16" spans="1:12" x14ac:dyDescent="0.6">
      <c r="A16" t="s">
        <v>101</v>
      </c>
      <c r="L16" s="69"/>
    </row>
    <row r="17" spans="1:12" x14ac:dyDescent="0.6">
      <c r="L17" s="69"/>
    </row>
    <row r="18" spans="1:12" x14ac:dyDescent="0.6">
      <c r="L18" s="69"/>
    </row>
    <row r="19" spans="1:12" x14ac:dyDescent="0.6">
      <c r="L19" s="69"/>
    </row>
    <row r="20" spans="1:12" x14ac:dyDescent="0.6">
      <c r="L20" s="69"/>
    </row>
    <row r="21" spans="1:12" x14ac:dyDescent="0.6">
      <c r="A21" t="s">
        <v>102</v>
      </c>
    </row>
    <row r="22" spans="1:12" x14ac:dyDescent="0.6">
      <c r="A22">
        <v>1000</v>
      </c>
      <c r="B22" t="s">
        <v>103</v>
      </c>
    </row>
    <row r="23" spans="1:12" x14ac:dyDescent="0.6">
      <c r="A23" t="s">
        <v>104</v>
      </c>
    </row>
    <row r="24" spans="1:12" x14ac:dyDescent="0.6">
      <c r="A24">
        <f>LN(2)/23652</f>
        <v>2.9306070546251702E-5</v>
      </c>
      <c r="B24" t="s">
        <v>105</v>
      </c>
    </row>
    <row r="31" spans="1:12" x14ac:dyDescent="0.6">
      <c r="A31">
        <f>41.312423/30.0604</f>
        <v>1.3743138148527632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0CD9-D73A-442A-AFFC-D9FAB0DE207C}">
  <dimension ref="B2:N33"/>
  <sheetViews>
    <sheetView topLeftCell="A2" zoomScaleNormal="100" workbookViewId="0">
      <selection activeCell="L15" sqref="L15"/>
    </sheetView>
  </sheetViews>
  <sheetFormatPr defaultColWidth="10.84765625" defaultRowHeight="15.6" x14ac:dyDescent="0.6"/>
  <cols>
    <col min="2" max="2" width="12.1484375" customWidth="1"/>
    <col min="3" max="3" width="11.6484375" bestFit="1" customWidth="1"/>
    <col min="4" max="4" width="11.1484375" bestFit="1" customWidth="1"/>
    <col min="5" max="5" width="18.75" customWidth="1"/>
    <col min="6" max="6" width="12.25" bestFit="1" customWidth="1"/>
    <col min="7" max="7" width="16.44921875" customWidth="1"/>
    <col min="8" max="8" width="11.6484375" customWidth="1"/>
    <col min="9" max="9" width="12.84765625" bestFit="1" customWidth="1"/>
    <col min="10" max="10" width="17.546875" customWidth="1"/>
    <col min="11" max="11" width="18.69921875" customWidth="1"/>
    <col min="12" max="12" width="15.75" bestFit="1" customWidth="1"/>
  </cols>
  <sheetData>
    <row r="2" spans="2:14" x14ac:dyDescent="0.6">
      <c r="B2">
        <v>130</v>
      </c>
      <c r="C2" t="s">
        <v>209</v>
      </c>
      <c r="D2" s="3" t="s">
        <v>3</v>
      </c>
      <c r="E2" s="91">
        <v>2.0823999999999998</v>
      </c>
      <c r="F2" s="3" t="s">
        <v>4</v>
      </c>
      <c r="G2">
        <f>C33</f>
        <v>36.260353199999997</v>
      </c>
      <c r="H2" t="s">
        <v>2</v>
      </c>
      <c r="I2" s="75">
        <f>(E2)/G2</f>
        <v>5.7429115169236683E-2</v>
      </c>
      <c r="J2" t="s">
        <v>264</v>
      </c>
    </row>
    <row r="4" spans="2:14" ht="15.9" thickBot="1" x14ac:dyDescent="0.65">
      <c r="D4" s="2"/>
      <c r="E4" s="2" t="s">
        <v>228</v>
      </c>
      <c r="F4" s="2" t="s">
        <v>220</v>
      </c>
      <c r="G4" s="2" t="s">
        <v>227</v>
      </c>
      <c r="H4" s="2"/>
    </row>
    <row r="5" spans="2:14" ht="15.9" thickBot="1" x14ac:dyDescent="0.65">
      <c r="B5" s="1" t="s">
        <v>14</v>
      </c>
      <c r="C5" s="1">
        <f>6*F5</f>
        <v>6.0000000000000006E-4</v>
      </c>
      <c r="D5" s="1" t="s">
        <v>2</v>
      </c>
      <c r="E5" s="118">
        <f>C5*$C$9</f>
        <v>2.3017589359830067E-5</v>
      </c>
      <c r="F5" s="4">
        <v>1E-4</v>
      </c>
      <c r="G5" s="3">
        <f>E5/$E$2</f>
        <v>1.1053394813594924E-5</v>
      </c>
      <c r="H5" s="90"/>
    </row>
    <row r="6" spans="2:14" ht="15.9" thickBot="1" x14ac:dyDescent="0.65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0.26851168867709763</v>
      </c>
      <c r="F6" s="4">
        <f>1-F5</f>
        <v>0.99990000000000001</v>
      </c>
      <c r="G6" s="3">
        <f>E6/$E$2</f>
        <v>0.12894337719799157</v>
      </c>
      <c r="H6" s="90"/>
      <c r="I6" s="3"/>
      <c r="J6" s="3" t="s">
        <v>227</v>
      </c>
      <c r="K6" s="3" t="s">
        <v>228</v>
      </c>
      <c r="M6" s="1" t="s">
        <v>16</v>
      </c>
      <c r="N6">
        <v>2.3017589359830067E-5</v>
      </c>
    </row>
    <row r="7" spans="2:14" x14ac:dyDescent="0.6">
      <c r="B7" s="1" t="s">
        <v>0</v>
      </c>
      <c r="C7" s="1">
        <v>19</v>
      </c>
      <c r="D7" s="1" t="s">
        <v>2</v>
      </c>
      <c r="E7" s="118">
        <f t="shared" si="0"/>
        <v>0.72889032972795209</v>
      </c>
      <c r="F7" s="1"/>
      <c r="G7" s="3">
        <f t="shared" ref="G7:G12" si="1">E7/$E$2</f>
        <v>0.35002416909717254</v>
      </c>
      <c r="H7" s="90"/>
      <c r="I7" s="1" t="s">
        <v>16</v>
      </c>
      <c r="J7" s="1">
        <f>G5</f>
        <v>1.1053394813594924E-5</v>
      </c>
      <c r="K7" s="1">
        <f>E5</f>
        <v>2.3017589359830067E-5</v>
      </c>
      <c r="M7" s="1" t="s">
        <v>17</v>
      </c>
      <c r="N7">
        <v>0.26851168867709763</v>
      </c>
    </row>
    <row r="8" spans="2:14" x14ac:dyDescent="0.6">
      <c r="B8" s="1" t="s">
        <v>5</v>
      </c>
      <c r="C8" s="92">
        <v>0.66800000000000004</v>
      </c>
      <c r="D8" s="1"/>
      <c r="E8" s="1"/>
      <c r="F8" s="1"/>
      <c r="G8" s="3"/>
      <c r="H8" s="90"/>
      <c r="I8" s="1" t="s">
        <v>17</v>
      </c>
      <c r="J8" s="1">
        <f>G6</f>
        <v>0.12894337719799157</v>
      </c>
      <c r="K8" s="1">
        <f>E6</f>
        <v>0.26851168867709763</v>
      </c>
      <c r="M8" s="1" t="s">
        <v>0</v>
      </c>
      <c r="N8">
        <v>1.5450729145131439</v>
      </c>
    </row>
    <row r="9" spans="2:14" ht="15.9" thickBot="1" x14ac:dyDescent="0.65">
      <c r="B9" s="1" t="s">
        <v>6</v>
      </c>
      <c r="C9" s="1">
        <f>I2*C8</f>
        <v>3.8362648933050109E-2</v>
      </c>
      <c r="D9" s="123" t="s">
        <v>264</v>
      </c>
      <c r="E9" s="1">
        <f>SUM(E5:E8)</f>
        <v>0.99742503599440957</v>
      </c>
      <c r="F9" s="1"/>
      <c r="G9" s="3"/>
      <c r="H9" s="90"/>
      <c r="I9" s="1" t="s">
        <v>0</v>
      </c>
      <c r="J9" s="1">
        <f>G7+G12+G17+G23</f>
        <v>0.74196740036167108</v>
      </c>
      <c r="K9" s="1">
        <f>E7+E12+E17+E23</f>
        <v>1.5450729145131439</v>
      </c>
      <c r="M9" s="1" t="s">
        <v>1</v>
      </c>
      <c r="N9">
        <v>0.14988999059170771</v>
      </c>
    </row>
    <row r="10" spans="2:14" ht="15.9" thickBot="1" x14ac:dyDescent="0.65">
      <c r="G10" s="2"/>
      <c r="H10" s="90"/>
      <c r="I10" s="1" t="s">
        <v>1</v>
      </c>
      <c r="J10" s="1">
        <f>G11</f>
        <v>7.1979442274158534E-2</v>
      </c>
      <c r="K10" s="1">
        <f>E11</f>
        <v>0.14988999059170771</v>
      </c>
      <c r="M10" s="1" t="s">
        <v>9</v>
      </c>
      <c r="N10">
        <v>9.1886584270778698E-2</v>
      </c>
    </row>
    <row r="11" spans="2:14" ht="15.9" thickBot="1" x14ac:dyDescent="0.65">
      <c r="B11" s="1" t="s">
        <v>1</v>
      </c>
      <c r="C11" s="1">
        <v>9</v>
      </c>
      <c r="D11" s="1" t="s">
        <v>2</v>
      </c>
      <c r="E11" s="118">
        <f>C11*$C$14</f>
        <v>0.14988999059170771</v>
      </c>
      <c r="F11" s="1"/>
      <c r="G11" s="3">
        <f t="shared" si="1"/>
        <v>7.1979442274158534E-2</v>
      </c>
      <c r="H11" s="2"/>
      <c r="I11" s="1" t="s">
        <v>9</v>
      </c>
      <c r="J11" s="1">
        <f>G16</f>
        <v>4.412532859718532E-2</v>
      </c>
      <c r="K11" s="1">
        <f>E16</f>
        <v>9.1886584270778698E-2</v>
      </c>
      <c r="M11" s="1" t="s">
        <v>11</v>
      </c>
      <c r="N11">
        <v>1.913538117438965E-3</v>
      </c>
    </row>
    <row r="12" spans="2:14" x14ac:dyDescent="0.6">
      <c r="B12" s="1" t="s">
        <v>7</v>
      </c>
      <c r="C12" s="1">
        <f>19*2</f>
        <v>38</v>
      </c>
      <c r="D12" s="1" t="s">
        <v>2</v>
      </c>
      <c r="E12" s="118">
        <f>C12*$C$14</f>
        <v>0.6328688491649882</v>
      </c>
      <c r="F12" s="1"/>
      <c r="G12" s="3">
        <f t="shared" si="1"/>
        <v>0.30391320071311384</v>
      </c>
      <c r="H12" s="2"/>
      <c r="I12" s="1" t="s">
        <v>11</v>
      </c>
      <c r="J12" s="1">
        <f>G22</f>
        <v>9.1890996803638356E-4</v>
      </c>
      <c r="K12" s="1">
        <f>E22</f>
        <v>1.913538117438965E-3</v>
      </c>
      <c r="M12" s="1" t="s">
        <v>12</v>
      </c>
      <c r="N12">
        <v>2.5102266240473355E-2</v>
      </c>
    </row>
    <row r="13" spans="2:14" x14ac:dyDescent="0.6">
      <c r="B13" s="1" t="s">
        <v>5</v>
      </c>
      <c r="C13" s="92">
        <v>0.28999999999999998</v>
      </c>
      <c r="D13" s="1"/>
      <c r="E13" s="1"/>
      <c r="F13" s="1"/>
      <c r="G13" s="3"/>
      <c r="H13" s="2"/>
      <c r="I13" s="1" t="s">
        <v>12</v>
      </c>
      <c r="J13" s="1">
        <f>G21</f>
        <v>1.2054488206143564E-2</v>
      </c>
      <c r="K13" s="1">
        <f>E21</f>
        <v>2.5102266240473355E-2</v>
      </c>
    </row>
    <row r="14" spans="2:14" ht="15.9" thickBot="1" x14ac:dyDescent="0.65">
      <c r="B14" s="1" t="s">
        <v>8</v>
      </c>
      <c r="C14" s="1">
        <f>I2*$C$13</f>
        <v>1.6654443399078636E-2</v>
      </c>
      <c r="D14" s="123" t="s">
        <v>264</v>
      </c>
      <c r="E14" s="1">
        <f>SUM(E11:E13)</f>
        <v>0.78275883975669591</v>
      </c>
      <c r="F14" s="1"/>
      <c r="G14" s="3"/>
      <c r="H14" s="2"/>
      <c r="I14" s="3" t="s">
        <v>13</v>
      </c>
      <c r="J14" s="3">
        <f>SUM(J7:J13)</f>
        <v>0.99999999999999989</v>
      </c>
      <c r="K14" s="3">
        <f>SUM(K7:K13)</f>
        <v>2.0823999999999998</v>
      </c>
    </row>
    <row r="15" spans="2:14" ht="15.9" thickBot="1" x14ac:dyDescent="0.65">
      <c r="G15" s="2"/>
      <c r="H15" s="2"/>
      <c r="I15" s="89"/>
      <c r="J15" s="89"/>
      <c r="K15" s="89"/>
    </row>
    <row r="16" spans="2:14" ht="15.9" thickBot="1" x14ac:dyDescent="0.65">
      <c r="B16" s="117" t="s">
        <v>9</v>
      </c>
      <c r="C16" s="118">
        <v>40</v>
      </c>
      <c r="D16" s="1" t="s">
        <v>2</v>
      </c>
      <c r="E16" s="118">
        <f>C16*C19</f>
        <v>9.1886584270778698E-2</v>
      </c>
      <c r="F16" s="118"/>
      <c r="G16" s="119">
        <f>E16/$E$2</f>
        <v>4.412532859718532E-2</v>
      </c>
      <c r="H16" s="2"/>
    </row>
    <row r="17" spans="2:11" x14ac:dyDescent="0.6">
      <c r="B17" s="120" t="s">
        <v>10</v>
      </c>
      <c r="C17" s="1">
        <f>19*4</f>
        <v>76</v>
      </c>
      <c r="D17" s="1" t="s">
        <v>2</v>
      </c>
      <c r="E17" s="1">
        <f>C17*C19</f>
        <v>0.17458451011447954</v>
      </c>
      <c r="F17" s="118"/>
      <c r="G17" s="119">
        <f>E17/$E$2</f>
        <v>8.3838124334652112E-2</v>
      </c>
      <c r="H17" s="2"/>
    </row>
    <row r="18" spans="2:11" x14ac:dyDescent="0.6">
      <c r="B18" s="120" t="s">
        <v>5</v>
      </c>
      <c r="C18" s="92">
        <v>0.04</v>
      </c>
      <c r="D18" s="1"/>
      <c r="E18" s="1"/>
      <c r="F18" s="1"/>
      <c r="G18" s="121"/>
      <c r="H18" s="2"/>
      <c r="I18" s="3" t="s">
        <v>19</v>
      </c>
      <c r="J18" s="1">
        <v>7.5</v>
      </c>
      <c r="K18" s="1" t="s">
        <v>20</v>
      </c>
    </row>
    <row r="19" spans="2:11" ht="15.9" thickBot="1" x14ac:dyDescent="0.65">
      <c r="B19" s="122" t="s">
        <v>265</v>
      </c>
      <c r="C19" s="123">
        <f>C18*I2</f>
        <v>2.2971646067694675E-3</v>
      </c>
      <c r="D19" s="123" t="s">
        <v>264</v>
      </c>
      <c r="E19" s="123">
        <f>SUM(E16:E18)</f>
        <v>0.26647109438525823</v>
      </c>
      <c r="F19" s="123"/>
      <c r="G19" s="124"/>
      <c r="H19" s="2"/>
      <c r="I19" s="3" t="s">
        <v>21</v>
      </c>
      <c r="J19" s="1">
        <v>70.5</v>
      </c>
      <c r="K19" s="1" t="s">
        <v>22</v>
      </c>
    </row>
    <row r="20" spans="2:11" ht="15.9" thickBot="1" x14ac:dyDescent="0.65">
      <c r="G20" s="2"/>
      <c r="H20" s="2"/>
      <c r="I20" s="3"/>
      <c r="J20" s="1">
        <v>1996338</v>
      </c>
      <c r="K20" s="1" t="s">
        <v>24</v>
      </c>
    </row>
    <row r="21" spans="2:11" ht="15.9" thickBot="1" x14ac:dyDescent="0.65">
      <c r="B21" s="1" t="s">
        <v>12</v>
      </c>
      <c r="C21" s="1">
        <f>235*F21</f>
        <v>218.55</v>
      </c>
      <c r="D21" s="1" t="s">
        <v>2</v>
      </c>
      <c r="E21" s="118">
        <f>C21*$C$25</f>
        <v>2.5102266240473355E-2</v>
      </c>
      <c r="F21" s="1">
        <v>0.93</v>
      </c>
      <c r="G21" s="3">
        <f>E21/$E$2</f>
        <v>1.2054488206143564E-2</v>
      </c>
      <c r="H21" s="2"/>
      <c r="I21" s="3" t="s">
        <v>23</v>
      </c>
      <c r="J21" s="1">
        <f>E2</f>
        <v>2.0823999999999998</v>
      </c>
      <c r="K21" s="1" t="s">
        <v>4</v>
      </c>
    </row>
    <row r="22" spans="2:11" ht="15.9" thickBot="1" x14ac:dyDescent="0.65">
      <c r="B22" s="1" t="s">
        <v>11</v>
      </c>
      <c r="C22" s="1">
        <f>238*F22</f>
        <v>16.659999999999989</v>
      </c>
      <c r="D22" s="1" t="s">
        <v>2</v>
      </c>
      <c r="E22" s="118">
        <f>C22*$C$25</f>
        <v>1.913538117438965E-3</v>
      </c>
      <c r="F22" s="1">
        <f>1-F21</f>
        <v>6.9999999999999951E-2</v>
      </c>
      <c r="G22" s="3">
        <f>E22/$E$2</f>
        <v>9.1890996803638356E-4</v>
      </c>
      <c r="H22" s="2"/>
      <c r="I22" s="3" t="s">
        <v>224</v>
      </c>
      <c r="J22" s="1">
        <f>K12+K13</f>
        <v>2.7015804357912319E-2</v>
      </c>
      <c r="K22" s="1" t="s">
        <v>4</v>
      </c>
    </row>
    <row r="23" spans="2:11" x14ac:dyDescent="0.6">
      <c r="B23" s="1" t="s">
        <v>10</v>
      </c>
      <c r="C23" s="1">
        <f>19*4</f>
        <v>76</v>
      </c>
      <c r="D23" s="1" t="s">
        <v>2</v>
      </c>
      <c r="E23" s="118">
        <f>C23*$C$25</f>
        <v>8.7292255057239768E-3</v>
      </c>
      <c r="F23" s="1"/>
      <c r="G23" s="3">
        <f>E23/$E$2</f>
        <v>4.1919062167326054E-3</v>
      </c>
      <c r="H23" s="2"/>
      <c r="I23" s="3"/>
      <c r="J23" s="1">
        <f>J22*J20</f>
        <v>53932.676840265965</v>
      </c>
      <c r="K23" s="1" t="s">
        <v>26</v>
      </c>
    </row>
    <row r="24" spans="2:11" x14ac:dyDescent="0.6">
      <c r="B24" s="1" t="s">
        <v>5</v>
      </c>
      <c r="C24" s="92">
        <v>2E-3</v>
      </c>
      <c r="D24" s="1"/>
      <c r="E24" s="1"/>
      <c r="F24" s="1"/>
      <c r="G24" s="3"/>
      <c r="H24" s="2"/>
      <c r="I24" s="3"/>
      <c r="J24" s="1">
        <f>J23*0.000001</f>
        <v>5.393267684026596E-2</v>
      </c>
      <c r="K24" s="1" t="s">
        <v>25</v>
      </c>
    </row>
    <row r="25" spans="2:11" ht="15.9" thickBot="1" x14ac:dyDescent="0.65">
      <c r="B25" s="1" t="s">
        <v>18</v>
      </c>
      <c r="C25" s="1">
        <f>C24*I2</f>
        <v>1.1485823033847337E-4</v>
      </c>
      <c r="D25" s="123" t="s">
        <v>264</v>
      </c>
      <c r="E25" s="1">
        <f>SUM(E21:E24)</f>
        <v>3.5745029863636299E-2</v>
      </c>
      <c r="F25" s="1"/>
      <c r="G25" s="3"/>
      <c r="H25" s="2"/>
      <c r="I25" s="3" t="s">
        <v>229</v>
      </c>
      <c r="J25" s="3">
        <f>J18/J24</f>
        <v>139.06226131169007</v>
      </c>
      <c r="K25" s="3" t="s">
        <v>27</v>
      </c>
    </row>
    <row r="26" spans="2:11" x14ac:dyDescent="0.6">
      <c r="C26" s="135">
        <f>C24+C18+C13+C8</f>
        <v>1</v>
      </c>
      <c r="G26" s="2"/>
      <c r="H26" s="2"/>
    </row>
    <row r="27" spans="2:11" x14ac:dyDescent="0.6">
      <c r="C27">
        <f>C9+C14+C19+C25</f>
        <v>5.7429115169236683E-2</v>
      </c>
      <c r="D27" s="2" t="s">
        <v>13</v>
      </c>
      <c r="E27" s="2">
        <f>E25+E19+E14+E9</f>
        <v>2.0823999999999998</v>
      </c>
      <c r="G27" s="2">
        <f>SUM(G5:G26)</f>
        <v>0.99999999999999989</v>
      </c>
      <c r="H27" s="2"/>
    </row>
    <row r="28" spans="2:11" x14ac:dyDescent="0.6">
      <c r="H28" s="2"/>
    </row>
    <row r="29" spans="2:11" x14ac:dyDescent="0.6">
      <c r="B29" t="s">
        <v>267</v>
      </c>
      <c r="C29" t="s">
        <v>268</v>
      </c>
      <c r="D29" t="s">
        <v>265</v>
      </c>
      <c r="E29" t="s">
        <v>269</v>
      </c>
      <c r="H29" s="2"/>
    </row>
    <row r="30" spans="2:11" x14ac:dyDescent="0.6">
      <c r="B30">
        <f>C5+C6+C7</f>
        <v>25.9999</v>
      </c>
      <c r="C30">
        <f>SUM(C11:C12)</f>
        <v>47</v>
      </c>
      <c r="D30">
        <f>SUM(C16:C17)</f>
        <v>116</v>
      </c>
      <c r="E30">
        <f>SUM(C21:C23)</f>
        <v>311.21000000000004</v>
      </c>
      <c r="H30" s="2"/>
    </row>
    <row r="31" spans="2:11" x14ac:dyDescent="0.6">
      <c r="B31">
        <f>C8*B30</f>
        <v>17.3679332</v>
      </c>
      <c r="C31">
        <f>C13*C30</f>
        <v>13.629999999999999</v>
      </c>
      <c r="D31">
        <f>C18*D30</f>
        <v>4.6399999999999997</v>
      </c>
      <c r="E31">
        <f>C24*E30</f>
        <v>0.62242000000000008</v>
      </c>
      <c r="H31" s="2"/>
    </row>
    <row r="33" spans="2:3" x14ac:dyDescent="0.6">
      <c r="B33" t="s">
        <v>270</v>
      </c>
      <c r="C33">
        <f>SUM(B31:E31)</f>
        <v>36.260353199999997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814C-AC2F-41C6-B418-D3EA93351470}">
  <dimension ref="B2:N33"/>
  <sheetViews>
    <sheetView topLeftCell="C1" zoomScaleNormal="100" workbookViewId="0">
      <selection activeCell="J24" sqref="J24"/>
    </sheetView>
  </sheetViews>
  <sheetFormatPr defaultColWidth="10.84765625" defaultRowHeight="15.6" x14ac:dyDescent="0.6"/>
  <cols>
    <col min="2" max="2" width="12.1484375" customWidth="1"/>
    <col min="3" max="3" width="11.6484375" bestFit="1" customWidth="1"/>
    <col min="4" max="4" width="11.1484375" bestFit="1" customWidth="1"/>
    <col min="5" max="5" width="18.75" customWidth="1"/>
    <col min="6" max="6" width="12.25" bestFit="1" customWidth="1"/>
    <col min="7" max="7" width="16.44921875" customWidth="1"/>
    <col min="8" max="8" width="11.6484375" customWidth="1"/>
    <col min="9" max="9" width="12.84765625" bestFit="1" customWidth="1"/>
    <col min="10" max="12" width="17.546875" customWidth="1"/>
    <col min="13" max="13" width="18.69921875" customWidth="1"/>
    <col min="14" max="14" width="15.75" bestFit="1" customWidth="1"/>
  </cols>
  <sheetData>
    <row r="2" spans="2:14" x14ac:dyDescent="0.6">
      <c r="D2" s="3" t="s">
        <v>3</v>
      </c>
      <c r="E2" s="91">
        <v>3.2787999999999999</v>
      </c>
      <c r="F2" s="3" t="s">
        <v>4</v>
      </c>
      <c r="G2">
        <f>C33</f>
        <v>64.0489283</v>
      </c>
      <c r="H2" t="s">
        <v>2</v>
      </c>
      <c r="I2" s="75">
        <f>(E2)/G2</f>
        <v>5.1192113389350806E-2</v>
      </c>
      <c r="J2" t="s">
        <v>264</v>
      </c>
    </row>
    <row r="4" spans="2:14" ht="15.9" thickBot="1" x14ac:dyDescent="0.65">
      <c r="D4" s="2"/>
      <c r="E4" s="2" t="s">
        <v>228</v>
      </c>
      <c r="F4" s="2" t="s">
        <v>220</v>
      </c>
      <c r="G4" s="2" t="s">
        <v>227</v>
      </c>
      <c r="H4" s="2"/>
    </row>
    <row r="5" spans="2:14" ht="15.9" thickBot="1" x14ac:dyDescent="0.65">
      <c r="B5" s="1" t="s">
        <v>14</v>
      </c>
      <c r="C5" s="1">
        <f>6*F5</f>
        <v>6.0000000000000006E-4</v>
      </c>
      <c r="D5" s="1" t="s">
        <v>2</v>
      </c>
      <c r="E5" s="118">
        <f>C5*$C$9</f>
        <v>2.2022847180098721E-5</v>
      </c>
      <c r="F5" s="4">
        <v>1E-4</v>
      </c>
      <c r="G5" s="3">
        <f>E5/$E$2</f>
        <v>6.7167400207694036E-6</v>
      </c>
      <c r="H5" s="90"/>
    </row>
    <row r="6" spans="2:14" ht="15.9" thickBot="1" x14ac:dyDescent="0.65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0.25690752377944159</v>
      </c>
      <c r="F6" s="4">
        <f>1-F5</f>
        <v>0.99990000000000001</v>
      </c>
      <c r="G6" s="3">
        <f>E6/$E$2</f>
        <v>7.8354130712285475E-2</v>
      </c>
      <c r="H6" s="90"/>
      <c r="I6" s="3"/>
      <c r="J6" s="3" t="s">
        <v>227</v>
      </c>
      <c r="K6" s="3"/>
      <c r="L6" s="3"/>
      <c r="M6" s="3" t="s">
        <v>228</v>
      </c>
    </row>
    <row r="7" spans="2:14" x14ac:dyDescent="0.6">
      <c r="B7" s="1" t="s">
        <v>0</v>
      </c>
      <c r="C7" s="1">
        <v>19</v>
      </c>
      <c r="D7" s="1" t="s">
        <v>2</v>
      </c>
      <c r="E7" s="118">
        <f t="shared" si="0"/>
        <v>0.69739016070312609</v>
      </c>
      <c r="F7" s="1"/>
      <c r="G7" s="3">
        <f t="shared" ref="G7:G12" si="1">E7/$E$2</f>
        <v>0.21269676732436443</v>
      </c>
      <c r="H7" s="90"/>
      <c r="I7" s="1" t="s">
        <v>16</v>
      </c>
      <c r="J7" s="1">
        <f>G5</f>
        <v>6.7167400207694036E-6</v>
      </c>
      <c r="K7" s="1" t="s">
        <v>281</v>
      </c>
      <c r="L7" s="1">
        <v>1</v>
      </c>
      <c r="M7" s="1">
        <f>E5</f>
        <v>2.2022847180098721E-5</v>
      </c>
      <c r="N7" t="s">
        <v>290</v>
      </c>
    </row>
    <row r="8" spans="2:14" x14ac:dyDescent="0.6">
      <c r="B8" s="1" t="s">
        <v>5</v>
      </c>
      <c r="C8" s="92">
        <v>0.71699999999999997</v>
      </c>
      <c r="D8" s="1"/>
      <c r="E8" s="1"/>
      <c r="F8" s="1"/>
      <c r="G8" s="3"/>
      <c r="H8" s="90"/>
      <c r="I8" s="1" t="s">
        <v>17</v>
      </c>
      <c r="J8" s="1">
        <f>G6</f>
        <v>7.8354130712285475E-2</v>
      </c>
      <c r="K8" s="1" t="s">
        <v>282</v>
      </c>
      <c r="L8" s="1">
        <v>1</v>
      </c>
      <c r="M8" s="1">
        <f>E6</f>
        <v>0.25690752377944159</v>
      </c>
      <c r="N8" t="s">
        <v>290</v>
      </c>
    </row>
    <row r="9" spans="2:14" ht="15.9" thickBot="1" x14ac:dyDescent="0.65">
      <c r="B9" s="1" t="s">
        <v>6</v>
      </c>
      <c r="C9" s="1">
        <f>I2*C8</f>
        <v>3.6704745300164529E-2</v>
      </c>
      <c r="D9" s="123" t="s">
        <v>264</v>
      </c>
      <c r="E9" s="1">
        <f>SUM(E5:E8)</f>
        <v>0.9543197073297478</v>
      </c>
      <c r="F9" s="1"/>
      <c r="G9" s="3"/>
      <c r="H9" s="90"/>
      <c r="I9" s="1" t="s">
        <v>0</v>
      </c>
      <c r="J9" s="1">
        <f>G7+G12+G17+G22</f>
        <v>0.4535751146986795</v>
      </c>
      <c r="K9" s="1" t="s">
        <v>291</v>
      </c>
      <c r="L9" s="1">
        <v>1</v>
      </c>
      <c r="M9" s="1">
        <f>E7+E12+E17+E22</f>
        <v>1.4871820860740304</v>
      </c>
      <c r="N9" t="s">
        <v>290</v>
      </c>
    </row>
    <row r="10" spans="2:14" ht="15.9" thickBot="1" x14ac:dyDescent="0.65">
      <c r="G10" s="2"/>
      <c r="H10" s="90"/>
      <c r="I10" s="1" t="s">
        <v>1</v>
      </c>
      <c r="J10" s="1">
        <f>G11</f>
        <v>2.2482811785002183E-2</v>
      </c>
      <c r="K10" s="1" t="s">
        <v>283</v>
      </c>
      <c r="L10" s="1">
        <v>1</v>
      </c>
      <c r="M10" s="1">
        <f>E11</f>
        <v>7.3716643280665156E-2</v>
      </c>
      <c r="N10" t="s">
        <v>290</v>
      </c>
    </row>
    <row r="11" spans="2:14" ht="15.9" thickBot="1" x14ac:dyDescent="0.65">
      <c r="B11" s="1" t="s">
        <v>1</v>
      </c>
      <c r="C11" s="1">
        <v>9</v>
      </c>
      <c r="D11" s="1" t="s">
        <v>2</v>
      </c>
      <c r="E11" s="118">
        <f>C11*$C$14</f>
        <v>7.3716643280665156E-2</v>
      </c>
      <c r="F11" s="1"/>
      <c r="G11" s="3">
        <f t="shared" si="1"/>
        <v>2.2482811785002183E-2</v>
      </c>
      <c r="H11" s="2"/>
      <c r="I11" s="1" t="s">
        <v>266</v>
      </c>
      <c r="J11" s="1">
        <f>G16</f>
        <v>0.43466769451004217</v>
      </c>
      <c r="K11" s="1" t="s">
        <v>289</v>
      </c>
      <c r="L11" s="1">
        <v>1</v>
      </c>
      <c r="M11" s="1">
        <f>E16</f>
        <v>1.4251884367595262</v>
      </c>
      <c r="N11" t="s">
        <v>290</v>
      </c>
    </row>
    <row r="12" spans="2:14" x14ac:dyDescent="0.6">
      <c r="B12" s="1" t="s">
        <v>7</v>
      </c>
      <c r="C12" s="1">
        <f>19*2</f>
        <v>38</v>
      </c>
      <c r="D12" s="1" t="s">
        <v>2</v>
      </c>
      <c r="E12" s="118">
        <f>C12*$C$14</f>
        <v>0.31124804940725292</v>
      </c>
      <c r="F12" s="1"/>
      <c r="G12" s="3">
        <f t="shared" si="1"/>
        <v>9.4927427536675893E-2</v>
      </c>
      <c r="H12" s="2"/>
      <c r="I12" s="1" t="s">
        <v>226</v>
      </c>
      <c r="J12" s="1">
        <f>G21</f>
        <v>1.091353155396981E-2</v>
      </c>
      <c r="K12" s="1" t="s">
        <v>288</v>
      </c>
      <c r="L12" s="1">
        <v>1</v>
      </c>
      <c r="M12" s="1">
        <f>E21</f>
        <v>3.5783287259156214E-2</v>
      </c>
      <c r="N12" t="s">
        <v>290</v>
      </c>
    </row>
    <row r="13" spans="2:14" x14ac:dyDescent="0.6">
      <c r="B13" s="1" t="s">
        <v>5</v>
      </c>
      <c r="C13" s="92">
        <v>0.16</v>
      </c>
      <c r="D13" s="1"/>
      <c r="E13" s="1"/>
      <c r="F13" s="1"/>
      <c r="G13" s="3"/>
      <c r="H13" s="2"/>
      <c r="I13" s="3" t="s">
        <v>13</v>
      </c>
      <c r="J13" s="3">
        <f>SUM(J7:J12)</f>
        <v>0.99999999999999989</v>
      </c>
      <c r="K13" s="1"/>
      <c r="L13" s="1"/>
      <c r="M13" s="3">
        <f>SUM(M7:M12)</f>
        <v>3.2787999999999995</v>
      </c>
    </row>
    <row r="14" spans="2:14" ht="15.9" thickBot="1" x14ac:dyDescent="0.65">
      <c r="B14" s="1" t="s">
        <v>8</v>
      </c>
      <c r="C14" s="1">
        <f>I2*$C$13</f>
        <v>8.1907381422961292E-3</v>
      </c>
      <c r="D14" s="123" t="s">
        <v>264</v>
      </c>
      <c r="E14" s="1">
        <f>SUM(E11:E13)</f>
        <v>0.38496469268791811</v>
      </c>
      <c r="F14" s="1"/>
      <c r="G14" s="3"/>
      <c r="H14" s="2"/>
      <c r="I14" s="89"/>
      <c r="J14" s="89"/>
      <c r="K14" s="89"/>
      <c r="L14" s="89"/>
      <c r="M14" s="89"/>
    </row>
    <row r="15" spans="2:14" ht="15.9" thickBot="1" x14ac:dyDescent="0.65">
      <c r="G15" s="2"/>
      <c r="H15" s="2"/>
    </row>
    <row r="16" spans="2:14" ht="15.9" thickBot="1" x14ac:dyDescent="0.65">
      <c r="B16" s="117" t="s">
        <v>225</v>
      </c>
      <c r="C16" s="118">
        <v>232</v>
      </c>
      <c r="D16" s="1" t="s">
        <v>2</v>
      </c>
      <c r="E16" s="118">
        <f>C16*C19</f>
        <v>1.4251884367595262</v>
      </c>
      <c r="F16" s="118"/>
      <c r="G16" s="119">
        <f>E16/$E$2</f>
        <v>0.43466769451004217</v>
      </c>
      <c r="H16" s="2"/>
    </row>
    <row r="17" spans="2:13" x14ac:dyDescent="0.6">
      <c r="B17" s="120" t="s">
        <v>10</v>
      </c>
      <c r="C17" s="1">
        <f>19*4</f>
        <v>76</v>
      </c>
      <c r="D17" s="1" t="s">
        <v>2</v>
      </c>
      <c r="E17" s="1">
        <f>C17*C19</f>
        <v>0.46687207411087928</v>
      </c>
      <c r="F17" s="118"/>
      <c r="G17" s="119">
        <f>E17/$E$2</f>
        <v>0.14239114130501382</v>
      </c>
      <c r="H17" s="2"/>
      <c r="I17" s="3" t="s">
        <v>19</v>
      </c>
      <c r="J17" s="1">
        <v>2250</v>
      </c>
      <c r="K17" s="1"/>
      <c r="L17" s="1"/>
      <c r="M17" s="1" t="s">
        <v>20</v>
      </c>
    </row>
    <row r="18" spans="2:13" x14ac:dyDescent="0.6">
      <c r="B18" s="120" t="s">
        <v>5</v>
      </c>
      <c r="C18" s="92">
        <v>0.12</v>
      </c>
      <c r="D18" s="1"/>
      <c r="E18" s="1"/>
      <c r="F18" s="1"/>
      <c r="G18" s="121"/>
      <c r="H18" s="2"/>
      <c r="I18" s="3" t="s">
        <v>21</v>
      </c>
      <c r="J18" s="1"/>
      <c r="K18" s="1"/>
      <c r="L18" s="1"/>
      <c r="M18" s="1" t="s">
        <v>22</v>
      </c>
    </row>
    <row r="19" spans="2:13" ht="15.9" thickBot="1" x14ac:dyDescent="0.65">
      <c r="B19" s="122" t="s">
        <v>263</v>
      </c>
      <c r="C19" s="123">
        <f>C18*I2</f>
        <v>6.1430536067220961E-3</v>
      </c>
      <c r="D19" s="123" t="s">
        <v>264</v>
      </c>
      <c r="E19" s="123">
        <f>SUM(E16:E18)</f>
        <v>1.8920605108704054</v>
      </c>
      <c r="F19" s="123"/>
      <c r="G19" s="124"/>
      <c r="H19" s="2"/>
      <c r="I19" s="3"/>
      <c r="J19" s="1">
        <v>40096650</v>
      </c>
      <c r="K19" s="1"/>
      <c r="L19" s="1"/>
      <c r="M19" s="1" t="s">
        <v>24</v>
      </c>
    </row>
    <row r="20" spans="2:13" ht="15.9" thickBot="1" x14ac:dyDescent="0.65">
      <c r="G20" s="2"/>
      <c r="H20" s="2"/>
      <c r="I20" s="3" t="s">
        <v>23</v>
      </c>
      <c r="J20" s="1">
        <v>3.2787999999999999</v>
      </c>
      <c r="K20" s="1"/>
      <c r="L20" s="1"/>
      <c r="M20" s="1" t="s">
        <v>4</v>
      </c>
    </row>
    <row r="21" spans="2:13" ht="15.9" thickBot="1" x14ac:dyDescent="0.65">
      <c r="B21" s="1" t="s">
        <v>226</v>
      </c>
      <c r="C21" s="1">
        <f>233*F21</f>
        <v>233</v>
      </c>
      <c r="D21" s="1" t="s">
        <v>2</v>
      </c>
      <c r="E21" s="118">
        <f>C21*$C$24</f>
        <v>3.5783287259156214E-2</v>
      </c>
      <c r="F21" s="1">
        <v>1</v>
      </c>
      <c r="G21" s="3">
        <f>E21/$E$2</f>
        <v>1.091353155396981E-2</v>
      </c>
      <c r="H21" s="2"/>
      <c r="I21" s="3" t="s">
        <v>224</v>
      </c>
      <c r="J21" s="1">
        <f>M11+M12</f>
        <v>1.4609717240186824</v>
      </c>
      <c r="K21" s="1"/>
      <c r="L21" s="1"/>
      <c r="M21" s="1" t="s">
        <v>4</v>
      </c>
    </row>
    <row r="22" spans="2:13" x14ac:dyDescent="0.6">
      <c r="B22" s="1" t="s">
        <v>10</v>
      </c>
      <c r="C22" s="1">
        <f>19*4</f>
        <v>76</v>
      </c>
      <c r="D22" s="1" t="s">
        <v>2</v>
      </c>
      <c r="E22" s="118">
        <f>C22*$C$24</f>
        <v>1.1671801852771984E-2</v>
      </c>
      <c r="F22" s="1"/>
      <c r="G22" s="3">
        <f>E22/$E$2</f>
        <v>3.5597785326253457E-3</v>
      </c>
      <c r="H22" s="2"/>
      <c r="I22" s="3"/>
      <c r="J22" s="1">
        <f>J21*J19</f>
        <v>58580071.877873696</v>
      </c>
      <c r="K22" s="1"/>
      <c r="L22" s="1"/>
      <c r="M22" s="1" t="s">
        <v>26</v>
      </c>
    </row>
    <row r="23" spans="2:13" x14ac:dyDescent="0.6">
      <c r="B23" s="1" t="s">
        <v>5</v>
      </c>
      <c r="C23" s="92">
        <v>3.0000000000000001E-3</v>
      </c>
      <c r="D23" s="1"/>
      <c r="E23" s="1"/>
      <c r="F23" s="1"/>
      <c r="G23" s="3"/>
      <c r="H23" s="2"/>
      <c r="I23" s="3"/>
      <c r="J23" s="1">
        <f>J22*0.000001</f>
        <v>58.580071877873692</v>
      </c>
      <c r="K23" s="1"/>
      <c r="L23" s="1"/>
      <c r="M23" s="1" t="s">
        <v>25</v>
      </c>
    </row>
    <row r="24" spans="2:13" ht="15.9" thickBot="1" x14ac:dyDescent="0.65">
      <c r="B24" s="1" t="s">
        <v>18</v>
      </c>
      <c r="C24" s="1">
        <f>C23*I2</f>
        <v>1.5357634016805241E-4</v>
      </c>
      <c r="D24" s="123" t="s">
        <v>264</v>
      </c>
      <c r="E24" s="1">
        <f>SUM(E21:E23)</f>
        <v>4.7455089111928195E-2</v>
      </c>
      <c r="F24" s="1"/>
      <c r="G24" s="3"/>
      <c r="H24" s="2"/>
      <c r="I24" s="3" t="s">
        <v>229</v>
      </c>
      <c r="J24" s="3">
        <f>J17/J23</f>
        <v>38.40896618718299</v>
      </c>
      <c r="K24" s="3"/>
      <c r="L24" s="3"/>
      <c r="M24" s="3" t="s">
        <v>27</v>
      </c>
    </row>
    <row r="25" spans="2:13" x14ac:dyDescent="0.6">
      <c r="G25" s="2"/>
      <c r="H25" s="2"/>
      <c r="J25">
        <f>J24/1000000</f>
        <v>3.840896618718299E-5</v>
      </c>
      <c r="M25" s="125" t="s">
        <v>272</v>
      </c>
    </row>
    <row r="26" spans="2:13" x14ac:dyDescent="0.6">
      <c r="C26">
        <f>C9+C14+C19+C24</f>
        <v>5.1192113389350806E-2</v>
      </c>
      <c r="D26" s="2" t="s">
        <v>13</v>
      </c>
      <c r="E26" s="2">
        <f>E24+E19+E14+E9</f>
        <v>3.2787999999999995</v>
      </c>
      <c r="G26" s="2">
        <f>SUM(G5:G25)</f>
        <v>0.99999999999999989</v>
      </c>
      <c r="H26" s="2"/>
      <c r="J26">
        <f>J25*1000</f>
        <v>3.8408966187182987E-2</v>
      </c>
      <c r="M26" s="125" t="s">
        <v>273</v>
      </c>
    </row>
    <row r="27" spans="2:13" x14ac:dyDescent="0.6">
      <c r="H27" s="2"/>
    </row>
    <row r="28" spans="2:13" x14ac:dyDescent="0.6">
      <c r="H28" s="2"/>
    </row>
    <row r="29" spans="2:13" x14ac:dyDescent="0.6">
      <c r="B29" t="s">
        <v>267</v>
      </c>
      <c r="C29" t="s">
        <v>268</v>
      </c>
      <c r="D29" t="s">
        <v>263</v>
      </c>
      <c r="E29" t="s">
        <v>269</v>
      </c>
      <c r="H29" s="2"/>
    </row>
    <row r="30" spans="2:13" x14ac:dyDescent="0.6">
      <c r="B30">
        <f>C5+C6+C7</f>
        <v>25.9999</v>
      </c>
      <c r="C30">
        <f>SUM(C11:C12)</f>
        <v>47</v>
      </c>
      <c r="D30">
        <f>SUM(C16:C17)</f>
        <v>308</v>
      </c>
      <c r="E30">
        <f>SUM(C21:C22)</f>
        <v>309</v>
      </c>
      <c r="H30" s="2"/>
    </row>
    <row r="31" spans="2:13" x14ac:dyDescent="0.6">
      <c r="B31">
        <f>C8*B30</f>
        <v>18.6419283</v>
      </c>
      <c r="C31">
        <f>C13*C30</f>
        <v>7.5200000000000005</v>
      </c>
      <c r="D31">
        <f>C18*D30</f>
        <v>36.96</v>
      </c>
      <c r="E31">
        <f>C23*E30</f>
        <v>0.92700000000000005</v>
      </c>
      <c r="H31" s="2"/>
    </row>
    <row r="33" spans="2:3" x14ac:dyDescent="0.6">
      <c r="B33" t="s">
        <v>270</v>
      </c>
      <c r="C33">
        <f>SUM(B31:E31)</f>
        <v>64.0489283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1EAC-42E0-44CC-BC23-93C5295727BF}">
  <dimension ref="B2:K33"/>
  <sheetViews>
    <sheetView zoomScaleNormal="100" workbookViewId="0">
      <selection activeCell="I9" sqref="I9"/>
    </sheetView>
  </sheetViews>
  <sheetFormatPr defaultColWidth="10.84765625" defaultRowHeight="15.6" x14ac:dyDescent="0.6"/>
  <cols>
    <col min="2" max="2" width="12.1484375" customWidth="1"/>
    <col min="3" max="3" width="11.6484375" bestFit="1" customWidth="1"/>
    <col min="4" max="4" width="11.1484375" bestFit="1" customWidth="1"/>
    <col min="5" max="5" width="18.75" customWidth="1"/>
    <col min="6" max="6" width="12.25" bestFit="1" customWidth="1"/>
    <col min="7" max="7" width="16.44921875" customWidth="1"/>
    <col min="8" max="8" width="11.6484375" customWidth="1"/>
    <col min="9" max="9" width="12.84765625" bestFit="1" customWidth="1"/>
    <col min="10" max="10" width="17.546875" customWidth="1"/>
    <col min="11" max="11" width="18.69921875" customWidth="1"/>
    <col min="12" max="12" width="15.75" bestFit="1" customWidth="1"/>
  </cols>
  <sheetData>
    <row r="2" spans="2:11" x14ac:dyDescent="0.6">
      <c r="B2">
        <v>130</v>
      </c>
      <c r="C2" t="s">
        <v>209</v>
      </c>
      <c r="D2" s="3" t="s">
        <v>3</v>
      </c>
      <c r="E2" s="91">
        <v>4.71</v>
      </c>
      <c r="F2" s="3" t="s">
        <v>4</v>
      </c>
      <c r="G2">
        <f>C33</f>
        <v>34.939933199999999</v>
      </c>
      <c r="H2" t="s">
        <v>2</v>
      </c>
      <c r="I2" s="75">
        <f>(E2)/G2</f>
        <v>0.13480277632585744</v>
      </c>
      <c r="J2" t="s">
        <v>264</v>
      </c>
    </row>
    <row r="4" spans="2:11" ht="15.9" thickBot="1" x14ac:dyDescent="0.65">
      <c r="D4" s="2"/>
      <c r="E4" s="2" t="s">
        <v>228</v>
      </c>
      <c r="F4" s="2" t="s">
        <v>220</v>
      </c>
      <c r="G4" s="2" t="s">
        <v>227</v>
      </c>
      <c r="H4" s="2"/>
    </row>
    <row r="5" spans="2:11" ht="15.9" thickBot="1" x14ac:dyDescent="0.65">
      <c r="B5" s="1" t="s">
        <v>14</v>
      </c>
      <c r="C5" s="1">
        <f>6*F5</f>
        <v>6.0000000000000006E-4</v>
      </c>
      <c r="D5" s="1" t="s">
        <v>2</v>
      </c>
      <c r="E5" s="118">
        <f>C5*$C$9</f>
        <v>5.4028952751403669E-5</v>
      </c>
      <c r="F5" s="4">
        <v>1E-4</v>
      </c>
      <c r="G5" s="3">
        <f>E5/$E$2</f>
        <v>1.1471115233843666E-5</v>
      </c>
      <c r="H5" s="90"/>
    </row>
    <row r="6" spans="2:11" ht="15.9" thickBot="1" x14ac:dyDescent="0.65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0.63027474832149943</v>
      </c>
      <c r="F6" s="4">
        <f>1-F5</f>
        <v>0.99990000000000001</v>
      </c>
      <c r="G6" s="3">
        <f>E6/$E$2</f>
        <v>0.13381629476040327</v>
      </c>
      <c r="H6" s="90"/>
      <c r="I6" s="3"/>
      <c r="J6" s="3" t="s">
        <v>227</v>
      </c>
      <c r="K6" s="3" t="s">
        <v>228</v>
      </c>
    </row>
    <row r="7" spans="2:11" x14ac:dyDescent="0.6">
      <c r="B7" s="1" t="s">
        <v>0</v>
      </c>
      <c r="C7" s="1">
        <v>19</v>
      </c>
      <c r="D7" s="1" t="s">
        <v>2</v>
      </c>
      <c r="E7" s="118">
        <f t="shared" si="0"/>
        <v>1.7109168371277825</v>
      </c>
      <c r="F7" s="1"/>
      <c r="G7" s="3">
        <f t="shared" ref="G7:G12" si="1">E7/$E$2</f>
        <v>0.36325198240504936</v>
      </c>
      <c r="H7" s="90">
        <v>6</v>
      </c>
      <c r="I7" s="1" t="s">
        <v>16</v>
      </c>
      <c r="J7" s="1">
        <f>G5</f>
        <v>1.1471115233843666E-5</v>
      </c>
      <c r="K7" s="1">
        <f>E5</f>
        <v>5.4028952751403669E-5</v>
      </c>
    </row>
    <row r="8" spans="2:11" x14ac:dyDescent="0.6">
      <c r="B8" s="1" t="s">
        <v>5</v>
      </c>
      <c r="C8" s="92">
        <v>0.66800000000000004</v>
      </c>
      <c r="D8" s="1"/>
      <c r="E8" s="1"/>
      <c r="F8" s="1"/>
      <c r="G8" s="3"/>
      <c r="H8" s="90">
        <v>7</v>
      </c>
      <c r="I8" s="1" t="s">
        <v>17</v>
      </c>
      <c r="J8" s="1">
        <f>G6</f>
        <v>0.13381629476040327</v>
      </c>
      <c r="K8" s="1">
        <f>E6</f>
        <v>0.63027474832149943</v>
      </c>
    </row>
    <row r="9" spans="2:11" ht="15.9" thickBot="1" x14ac:dyDescent="0.65">
      <c r="B9" s="1" t="s">
        <v>6</v>
      </c>
      <c r="C9" s="1">
        <f>I2*C8</f>
        <v>9.0048254585672768E-2</v>
      </c>
      <c r="D9" s="123" t="s">
        <v>264</v>
      </c>
      <c r="E9" s="1">
        <f>SUM(E5:E8)</f>
        <v>2.3412456144020335</v>
      </c>
      <c r="F9" s="1"/>
      <c r="G9" s="3"/>
      <c r="H9" s="90">
        <v>19</v>
      </c>
      <c r="I9" s="1" t="s">
        <v>0</v>
      </c>
      <c r="J9" s="1">
        <f>G7+G12+G17+G23</f>
        <v>0.77000719623585312</v>
      </c>
      <c r="K9" s="1">
        <f>E7+E12+E17+E23</f>
        <v>3.6267338942708682</v>
      </c>
    </row>
    <row r="10" spans="2:11" ht="15.9" thickBot="1" x14ac:dyDescent="0.65">
      <c r="G10" s="2"/>
      <c r="H10" s="90">
        <v>9</v>
      </c>
      <c r="I10" s="1" t="s">
        <v>1</v>
      </c>
      <c r="J10" s="1">
        <f>G11</f>
        <v>7.4699627645538835E-2</v>
      </c>
      <c r="K10" s="1">
        <f>E11</f>
        <v>0.3518352462104879</v>
      </c>
    </row>
    <row r="11" spans="2:11" ht="15.9" thickBot="1" x14ac:dyDescent="0.65">
      <c r="B11" s="1" t="s">
        <v>1</v>
      </c>
      <c r="C11" s="1">
        <v>9</v>
      </c>
      <c r="D11" s="1" t="s">
        <v>2</v>
      </c>
      <c r="E11" s="118">
        <f>C11*$C$14</f>
        <v>0.3518352462104879</v>
      </c>
      <c r="F11" s="1"/>
      <c r="G11" s="3">
        <f t="shared" si="1"/>
        <v>7.4699627645538835E-2</v>
      </c>
      <c r="H11" s="2">
        <v>7</v>
      </c>
      <c r="I11" s="1" t="s">
        <v>9</v>
      </c>
      <c r="J11" s="1">
        <f>G16</f>
        <v>8.013753157375814E-3</v>
      </c>
      <c r="K11" s="1">
        <f>E16</f>
        <v>3.7744777371240081E-2</v>
      </c>
    </row>
    <row r="12" spans="2:11" x14ac:dyDescent="0.6">
      <c r="B12" s="1" t="s">
        <v>7</v>
      </c>
      <c r="C12" s="1">
        <f>19*2</f>
        <v>38</v>
      </c>
      <c r="D12" s="1" t="s">
        <v>2</v>
      </c>
      <c r="E12" s="118">
        <f>C12*$C$14</f>
        <v>1.4855265951109489</v>
      </c>
      <c r="F12" s="1"/>
      <c r="G12" s="3">
        <f t="shared" si="1"/>
        <v>0.31539842783671951</v>
      </c>
      <c r="H12" s="2">
        <v>238</v>
      </c>
      <c r="I12" s="1" t="s">
        <v>11</v>
      </c>
      <c r="J12" s="1">
        <f>G22</f>
        <v>1.2779074231315361E-2</v>
      </c>
      <c r="K12" s="1">
        <f>E22</f>
        <v>6.0189439629495349E-2</v>
      </c>
    </row>
    <row r="13" spans="2:11" x14ac:dyDescent="0.6">
      <c r="B13" s="1" t="s">
        <v>5</v>
      </c>
      <c r="C13" s="92">
        <v>0.28999999999999998</v>
      </c>
      <c r="D13" s="1"/>
      <c r="E13" s="1"/>
      <c r="F13" s="1"/>
      <c r="G13" s="3"/>
      <c r="H13" s="2">
        <v>233</v>
      </c>
      <c r="I13" s="1" t="s">
        <v>226</v>
      </c>
      <c r="J13" s="1">
        <f>G21</f>
        <v>6.7258285427975579E-4</v>
      </c>
      <c r="K13" s="1">
        <f>E21</f>
        <v>3.1678652436576498E-3</v>
      </c>
    </row>
    <row r="14" spans="2:11" ht="15.9" thickBot="1" x14ac:dyDescent="0.65">
      <c r="B14" s="1" t="s">
        <v>8</v>
      </c>
      <c r="C14" s="1">
        <f>I2*$C$13</f>
        <v>3.9092805134498657E-2</v>
      </c>
      <c r="D14" s="123" t="s">
        <v>264</v>
      </c>
      <c r="E14" s="1">
        <f>SUM(E11:E13)</f>
        <v>1.8373618413214368</v>
      </c>
      <c r="F14" s="1"/>
      <c r="G14" s="3"/>
      <c r="H14" s="2"/>
      <c r="I14" s="3" t="s">
        <v>13</v>
      </c>
      <c r="J14" s="3">
        <f>SUM(J7:J13)</f>
        <v>1.0000000000000002</v>
      </c>
      <c r="K14" s="3">
        <f>SUM(K7:K13)</f>
        <v>4.7100000000000009</v>
      </c>
    </row>
    <row r="15" spans="2:11" ht="15.9" thickBot="1" x14ac:dyDescent="0.65">
      <c r="G15" s="2"/>
      <c r="H15" s="2"/>
      <c r="I15" s="89"/>
      <c r="J15" s="89"/>
      <c r="K15" s="89"/>
    </row>
    <row r="16" spans="2:11" ht="15.9" thickBot="1" x14ac:dyDescent="0.65">
      <c r="B16" s="117" t="s">
        <v>9</v>
      </c>
      <c r="C16" s="118">
        <v>7</v>
      </c>
      <c r="D16" s="1" t="s">
        <v>2</v>
      </c>
      <c r="E16" s="118">
        <f>C16*C19</f>
        <v>3.7744777371240081E-2</v>
      </c>
      <c r="F16" s="118"/>
      <c r="G16" s="119">
        <f>E16/$E$2</f>
        <v>8.013753157375814E-3</v>
      </c>
      <c r="H16" s="2"/>
    </row>
    <row r="17" spans="2:11" x14ac:dyDescent="0.6">
      <c r="B17" s="120" t="s">
        <v>10</v>
      </c>
      <c r="C17" s="1">
        <f>19*4</f>
        <v>76</v>
      </c>
      <c r="D17" s="1" t="s">
        <v>2</v>
      </c>
      <c r="E17" s="1">
        <f>C17*C19</f>
        <v>0.40980044003060656</v>
      </c>
      <c r="F17" s="118"/>
      <c r="G17" s="119">
        <f>E17/$E$2</f>
        <v>8.7006462851508828E-2</v>
      </c>
      <c r="H17" s="2"/>
    </row>
    <row r="18" spans="2:11" x14ac:dyDescent="0.6">
      <c r="B18" s="120" t="s">
        <v>5</v>
      </c>
      <c r="C18" s="92">
        <v>0.04</v>
      </c>
      <c r="D18" s="1"/>
      <c r="E18" s="1"/>
      <c r="F18" s="1"/>
      <c r="G18" s="121"/>
      <c r="H18" s="2"/>
      <c r="I18" s="3" t="s">
        <v>19</v>
      </c>
      <c r="J18" s="1">
        <v>7.5</v>
      </c>
      <c r="K18" s="1" t="s">
        <v>20</v>
      </c>
    </row>
    <row r="19" spans="2:11" ht="15.9" thickBot="1" x14ac:dyDescent="0.65">
      <c r="B19" s="122" t="s">
        <v>265</v>
      </c>
      <c r="C19" s="123">
        <f>C18*I2</f>
        <v>5.3921110530342972E-3</v>
      </c>
      <c r="D19" s="123" t="s">
        <v>264</v>
      </c>
      <c r="E19" s="123">
        <f>SUM(E16:E18)</f>
        <v>0.44754521740184666</v>
      </c>
      <c r="F19" s="123"/>
      <c r="G19" s="124"/>
      <c r="H19" s="2"/>
      <c r="I19" s="3" t="s">
        <v>21</v>
      </c>
      <c r="J19" s="1">
        <v>70.5</v>
      </c>
      <c r="K19" s="1" t="s">
        <v>22</v>
      </c>
    </row>
    <row r="20" spans="2:11" ht="15.9" thickBot="1" x14ac:dyDescent="0.65">
      <c r="G20" s="2"/>
      <c r="H20" s="2"/>
      <c r="I20" s="3"/>
      <c r="J20" s="1">
        <v>1996338</v>
      </c>
      <c r="K20" s="1" t="s">
        <v>24</v>
      </c>
    </row>
    <row r="21" spans="2:11" ht="15.9" thickBot="1" x14ac:dyDescent="0.65">
      <c r="B21" s="1" t="s">
        <v>226</v>
      </c>
      <c r="C21" s="1">
        <f>235*F21</f>
        <v>11.75</v>
      </c>
      <c r="D21" s="1" t="s">
        <v>2</v>
      </c>
      <c r="E21" s="118">
        <f>C21*$C$25</f>
        <v>3.1678652436576498E-3</v>
      </c>
      <c r="F21" s="1">
        <v>0.05</v>
      </c>
      <c r="G21" s="3">
        <f>E21/$E$2</f>
        <v>6.7258285427975579E-4</v>
      </c>
      <c r="H21" s="2"/>
      <c r="I21" s="3" t="s">
        <v>23</v>
      </c>
      <c r="J21" s="1">
        <f>E2</f>
        <v>4.71</v>
      </c>
      <c r="K21" s="1" t="s">
        <v>4</v>
      </c>
    </row>
    <row r="22" spans="2:11" ht="15.9" thickBot="1" x14ac:dyDescent="0.65">
      <c r="B22" s="1" t="s">
        <v>11</v>
      </c>
      <c r="C22" s="1">
        <f>235*F22</f>
        <v>223.25</v>
      </c>
      <c r="D22" s="1" t="s">
        <v>2</v>
      </c>
      <c r="E22" s="118">
        <f>C22*$C$25</f>
        <v>6.0189439629495349E-2</v>
      </c>
      <c r="F22" s="1">
        <f>1-F21</f>
        <v>0.95</v>
      </c>
      <c r="G22" s="3">
        <f>E22/$E$2</f>
        <v>1.2779074231315361E-2</v>
      </c>
      <c r="H22" s="2"/>
      <c r="I22" s="3" t="s">
        <v>224</v>
      </c>
      <c r="J22" s="1">
        <f>K12+K13</f>
        <v>6.3357304873152998E-2</v>
      </c>
      <c r="K22" s="1" t="s">
        <v>4</v>
      </c>
    </row>
    <row r="23" spans="2:11" x14ac:dyDescent="0.6">
      <c r="B23" s="1" t="s">
        <v>10</v>
      </c>
      <c r="C23" s="1">
        <f>19*4</f>
        <v>76</v>
      </c>
      <c r="D23" s="1" t="s">
        <v>2</v>
      </c>
      <c r="E23" s="118">
        <f>C23*$C$25</f>
        <v>2.0490022001530332E-2</v>
      </c>
      <c r="F23" s="1"/>
      <c r="G23" s="3">
        <f>E23/$E$2</f>
        <v>4.3503231425754416E-3</v>
      </c>
      <c r="H23" s="2"/>
      <c r="I23" s="3"/>
      <c r="J23" s="1">
        <f>J22*J20</f>
        <v>126482.5952958605</v>
      </c>
      <c r="K23" s="1" t="s">
        <v>26</v>
      </c>
    </row>
    <row r="24" spans="2:11" x14ac:dyDescent="0.6">
      <c r="B24" s="1" t="s">
        <v>5</v>
      </c>
      <c r="C24" s="92">
        <v>2E-3</v>
      </c>
      <c r="D24" s="1"/>
      <c r="E24" s="1"/>
      <c r="F24" s="1"/>
      <c r="G24" s="3"/>
      <c r="H24" s="2"/>
      <c r="I24" s="3"/>
      <c r="J24" s="1">
        <f>J23*0.000001</f>
        <v>0.12648259529586051</v>
      </c>
      <c r="K24" s="1" t="s">
        <v>25</v>
      </c>
    </row>
    <row r="25" spans="2:11" ht="15.9" thickBot="1" x14ac:dyDescent="0.65">
      <c r="B25" s="1" t="s">
        <v>18</v>
      </c>
      <c r="C25" s="1">
        <f>C24*I2</f>
        <v>2.6960555265171488E-4</v>
      </c>
      <c r="D25" s="123" t="s">
        <v>264</v>
      </c>
      <c r="E25" s="1">
        <f>SUM(E21:E24)</f>
        <v>8.3847326874683326E-2</v>
      </c>
      <c r="F25" s="1"/>
      <c r="G25" s="3"/>
      <c r="H25" s="2"/>
      <c r="I25" s="3" t="s">
        <v>229</v>
      </c>
      <c r="J25" s="3">
        <f>J18/J24</f>
        <v>59.296695979841729</v>
      </c>
      <c r="K25" s="3" t="s">
        <v>27</v>
      </c>
    </row>
    <row r="26" spans="2:11" x14ac:dyDescent="0.6">
      <c r="G26" s="2"/>
      <c r="H26" s="2"/>
    </row>
    <row r="27" spans="2:11" x14ac:dyDescent="0.6">
      <c r="C27">
        <f>C9+C14+C19+C25</f>
        <v>0.13480277632585744</v>
      </c>
      <c r="D27" s="2" t="s">
        <v>13</v>
      </c>
      <c r="E27" s="2">
        <f>E25+E19+E14+E9</f>
        <v>4.7100000000000009</v>
      </c>
      <c r="G27" s="2">
        <f>SUM(G5:G26)</f>
        <v>1</v>
      </c>
      <c r="H27" s="2"/>
    </row>
    <row r="28" spans="2:11" x14ac:dyDescent="0.6">
      <c r="H28" s="2"/>
    </row>
    <row r="29" spans="2:11" x14ac:dyDescent="0.6">
      <c r="B29" t="s">
        <v>267</v>
      </c>
      <c r="C29" t="s">
        <v>268</v>
      </c>
      <c r="D29" t="s">
        <v>265</v>
      </c>
      <c r="E29" t="s">
        <v>269</v>
      </c>
      <c r="H29" s="2"/>
    </row>
    <row r="30" spans="2:11" x14ac:dyDescent="0.6">
      <c r="B30">
        <f>C5+C6+C7</f>
        <v>25.9999</v>
      </c>
      <c r="C30">
        <f>SUM(C11:C12)</f>
        <v>47</v>
      </c>
      <c r="D30">
        <f>SUM(C16:C17)</f>
        <v>83</v>
      </c>
      <c r="E30">
        <f>SUM(C21:C23)</f>
        <v>311</v>
      </c>
      <c r="H30" s="2"/>
    </row>
    <row r="31" spans="2:11" x14ac:dyDescent="0.6">
      <c r="B31">
        <f>C8*B30</f>
        <v>17.3679332</v>
      </c>
      <c r="C31">
        <f>C13*C30</f>
        <v>13.629999999999999</v>
      </c>
      <c r="D31">
        <f>C18*D30</f>
        <v>3.3200000000000003</v>
      </c>
      <c r="E31">
        <f>C24*E30</f>
        <v>0.622</v>
      </c>
      <c r="H31" s="2"/>
    </row>
    <row r="33" spans="2:3" x14ac:dyDescent="0.6">
      <c r="B33" t="s">
        <v>270</v>
      </c>
      <c r="C33">
        <f>SUM(B31:E31)</f>
        <v>34.939933199999999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4EC3-E24A-4B80-9B22-D5E2E94310AA}">
  <dimension ref="B1:T81"/>
  <sheetViews>
    <sheetView tabSelected="1" topLeftCell="E24" workbookViewId="0">
      <selection activeCell="T37" sqref="T37"/>
    </sheetView>
  </sheetViews>
  <sheetFormatPr defaultColWidth="8.84765625" defaultRowHeight="14.4" x14ac:dyDescent="0.55000000000000004"/>
  <cols>
    <col min="1" max="3" width="8.84765625" style="8"/>
    <col min="4" max="4" width="9.546875" style="8" bestFit="1" customWidth="1"/>
    <col min="5" max="8" width="8.84765625" style="8"/>
    <col min="9" max="12" width="8.75" style="8" customWidth="1"/>
    <col min="13" max="13" width="12.6484375" style="63" customWidth="1"/>
    <col min="14" max="14" width="21.1484375" style="8" customWidth="1"/>
    <col min="15" max="17" width="11.796875" style="8" bestFit="1" customWidth="1"/>
    <col min="18" max="18" width="15" style="8" customWidth="1"/>
    <col min="19" max="16384" width="8.84765625" style="8"/>
  </cols>
  <sheetData>
    <row r="1" spans="2:18" x14ac:dyDescent="0.55000000000000004">
      <c r="M1" s="93"/>
    </row>
    <row r="2" spans="2:18" ht="23.7" customHeight="1" x14ac:dyDescent="0.55000000000000004">
      <c r="B2" s="149" t="s">
        <v>46</v>
      </c>
      <c r="C2" s="149"/>
      <c r="D2" s="150" t="s">
        <v>230</v>
      </c>
      <c r="E2" s="150" t="s">
        <v>48</v>
      </c>
      <c r="F2" s="150" t="s">
        <v>231</v>
      </c>
      <c r="G2" s="150" t="s">
        <v>232</v>
      </c>
      <c r="H2" s="150" t="s">
        <v>233</v>
      </c>
      <c r="I2" s="150" t="s">
        <v>234</v>
      </c>
      <c r="J2" s="150" t="s">
        <v>235</v>
      </c>
      <c r="K2" s="150" t="s">
        <v>236</v>
      </c>
      <c r="L2" s="150" t="s">
        <v>237</v>
      </c>
      <c r="M2" s="94"/>
      <c r="N2" s="10"/>
    </row>
    <row r="3" spans="2:18" ht="25.5" customHeight="1" x14ac:dyDescent="0.55000000000000004">
      <c r="B3" s="87" t="s">
        <v>54</v>
      </c>
      <c r="C3" s="87" t="s">
        <v>55</v>
      </c>
      <c r="D3" s="150"/>
      <c r="E3" s="150"/>
      <c r="F3" s="150"/>
      <c r="G3" s="150"/>
      <c r="H3" s="150"/>
      <c r="I3" s="150"/>
      <c r="J3" s="150"/>
      <c r="K3" s="150"/>
      <c r="L3" s="150"/>
      <c r="M3" s="94"/>
      <c r="N3" s="14"/>
    </row>
    <row r="4" spans="2:18" ht="14.4" customHeight="1" x14ac:dyDescent="0.55000000000000004">
      <c r="B4" s="100" t="s">
        <v>60</v>
      </c>
      <c r="C4" s="101">
        <v>3</v>
      </c>
      <c r="D4" s="18">
        <f>LN(2)/E4</f>
        <v>107464.67915658066</v>
      </c>
      <c r="E4" s="102">
        <v>6.4500000000000001E-6</v>
      </c>
      <c r="F4" s="18">
        <f>E4/3600</f>
        <v>1.7916666666666668E-9</v>
      </c>
      <c r="G4" s="18">
        <f>F4*$O$8</f>
        <v>7.401808583333334E-8</v>
      </c>
      <c r="H4" s="18">
        <f>F4*$P$8</f>
        <v>3.5767722500000001E-9</v>
      </c>
      <c r="I4" s="18">
        <f>F4*$Q$8</f>
        <v>7.1839831249999997E-8</v>
      </c>
      <c r="J4" s="18">
        <f>(($O$13/$O$8)+(G4/$O$8))*3</f>
        <v>4.0062823853595362E-4</v>
      </c>
      <c r="K4" s="20">
        <f>(($P$13/$P$8)+(H4/$P$8))</f>
        <v>1.5801660779499765E-4</v>
      </c>
      <c r="L4" s="18">
        <f>(($Q$13/$Q$8)+(I4/$Q$8))*4</f>
        <v>9.9742715063041434E-4</v>
      </c>
      <c r="M4" s="95"/>
      <c r="N4" s="14"/>
      <c r="O4" s="14"/>
    </row>
    <row r="5" spans="2:18" ht="14.4" customHeight="1" x14ac:dyDescent="0.55000000000000004">
      <c r="B5" s="28"/>
      <c r="C5" s="29"/>
      <c r="D5" s="30"/>
      <c r="E5" s="31"/>
      <c r="F5" s="31"/>
      <c r="G5" s="31"/>
      <c r="H5" s="30"/>
      <c r="I5" s="31"/>
      <c r="J5" s="31"/>
      <c r="K5" s="99"/>
      <c r="L5" s="31"/>
      <c r="M5" s="95"/>
      <c r="N5" s="14"/>
    </row>
    <row r="6" spans="2:18" x14ac:dyDescent="0.55000000000000004">
      <c r="B6" s="15" t="s">
        <v>63</v>
      </c>
      <c r="C6" s="16">
        <v>82</v>
      </c>
      <c r="D6" s="18">
        <f>LN(2)/E6</f>
        <v>69314.718055994526</v>
      </c>
      <c r="E6" s="18">
        <v>1.0000000000000001E-5</v>
      </c>
      <c r="F6" s="18">
        <f>E6/3600</f>
        <v>2.777777777777778E-9</v>
      </c>
      <c r="G6" s="18">
        <f>F6*$O$8</f>
        <v>1.1475672222222224E-7</v>
      </c>
      <c r="H6" s="18">
        <f>F6*$P$8</f>
        <v>5.5453833333333338E-9</v>
      </c>
      <c r="I6" s="18">
        <f>F6*$Q$8</f>
        <v>1.1137958333333333E-7</v>
      </c>
      <c r="J6" s="18">
        <f t="shared" ref="J6:J19" si="0">(($O$13/$O$8)+(G6/$O$8))*3</f>
        <v>4.0063119686928697E-4</v>
      </c>
      <c r="K6" s="20">
        <f>(($P$13/$P$8)+(H6/$P$8))</f>
        <v>1.5801759390610877E-4</v>
      </c>
      <c r="L6" s="18">
        <f>(($Q$13/$Q$8)+(I6/$Q$8))*4</f>
        <v>9.9743109507485881E-4</v>
      </c>
      <c r="M6" s="96"/>
      <c r="N6" s="14"/>
    </row>
    <row r="7" spans="2:18" ht="15.6" x14ac:dyDescent="0.6">
      <c r="B7" s="15"/>
      <c r="C7" s="16">
        <v>83</v>
      </c>
      <c r="D7" s="18">
        <f t="shared" ref="D7:D19" si="1">LN(2)/E7</f>
        <v>69314.718055994526</v>
      </c>
      <c r="E7" s="18">
        <v>1.0000000000000001E-5</v>
      </c>
      <c r="F7" s="18">
        <f t="shared" ref="F7:F19" si="2">E7/3600</f>
        <v>2.777777777777778E-9</v>
      </c>
      <c r="G7" s="18">
        <f t="shared" ref="G7:G19" si="3">F7*$O$8</f>
        <v>1.1475672222222224E-7</v>
      </c>
      <c r="H7" s="18">
        <f>F7*$P$8</f>
        <v>5.5453833333333338E-9</v>
      </c>
      <c r="I7" s="18">
        <f>F7*$Q$8</f>
        <v>1.1137958333333333E-7</v>
      </c>
      <c r="J7" s="18">
        <f t="shared" si="0"/>
        <v>4.0063119686928697E-4</v>
      </c>
      <c r="K7" s="20">
        <f t="shared" ref="K7:K19" si="4">(($P$13/$P$8)+(H7/$P$8))</f>
        <v>1.5801759390610877E-4</v>
      </c>
      <c r="L7" s="18">
        <f t="shared" ref="L7:L19" si="5">(($Q$13/$Q$8)+(I7/$Q$8))*4</f>
        <v>9.9743109507485881E-4</v>
      </c>
      <c r="M7" s="96"/>
      <c r="N7" s="1"/>
      <c r="O7" s="1" t="s">
        <v>30</v>
      </c>
      <c r="P7" s="1" t="s">
        <v>31</v>
      </c>
      <c r="Q7" s="1" t="s">
        <v>221</v>
      </c>
      <c r="R7" s="1" t="s">
        <v>44</v>
      </c>
    </row>
    <row r="8" spans="2:18" ht="15.6" x14ac:dyDescent="0.6">
      <c r="B8" s="15"/>
      <c r="C8" s="16">
        <v>84</v>
      </c>
      <c r="D8" s="18">
        <f t="shared" si="1"/>
        <v>69314.718055994526</v>
      </c>
      <c r="E8" s="18">
        <v>1.0000000000000001E-5</v>
      </c>
      <c r="F8" s="18">
        <f t="shared" si="2"/>
        <v>2.777777777777778E-9</v>
      </c>
      <c r="G8" s="18">
        <f t="shared" si="3"/>
        <v>1.1475672222222224E-7</v>
      </c>
      <c r="H8" s="18">
        <f>F8*$P$8</f>
        <v>5.5453833333333338E-9</v>
      </c>
      <c r="I8" s="18">
        <f t="shared" ref="I8:I19" si="6">F8*$Q$8</f>
        <v>1.1137958333333333E-7</v>
      </c>
      <c r="J8" s="18">
        <f t="shared" si="0"/>
        <v>4.0063119686928697E-4</v>
      </c>
      <c r="K8" s="20">
        <f t="shared" si="4"/>
        <v>1.5801759390610877E-4</v>
      </c>
      <c r="L8" s="18">
        <f t="shared" si="5"/>
        <v>9.9743109507485881E-4</v>
      </c>
      <c r="M8" s="96"/>
      <c r="N8" s="1" t="s">
        <v>32</v>
      </c>
      <c r="O8" s="1">
        <v>41.312420000000003</v>
      </c>
      <c r="P8" s="1">
        <v>1.9963379999999999</v>
      </c>
      <c r="Q8" s="1">
        <v>40.096649999999997</v>
      </c>
      <c r="R8" s="1" t="s">
        <v>33</v>
      </c>
    </row>
    <row r="9" spans="2:18" ht="15.6" x14ac:dyDescent="0.6">
      <c r="B9" s="15"/>
      <c r="C9" s="16">
        <v>85</v>
      </c>
      <c r="D9" s="18">
        <f t="shared" si="1"/>
        <v>94305.738851693241</v>
      </c>
      <c r="E9" s="18">
        <v>7.3499999999999999E-6</v>
      </c>
      <c r="F9" s="18">
        <f t="shared" si="2"/>
        <v>2.0416666666666668E-9</v>
      </c>
      <c r="G9" s="18">
        <f t="shared" si="3"/>
        <v>8.4346190833333348E-8</v>
      </c>
      <c r="H9" s="18">
        <f t="shared" ref="H9:H19" si="7">F9*$P$8</f>
        <v>4.0758567500000002E-9</v>
      </c>
      <c r="I9" s="18">
        <f t="shared" si="6"/>
        <v>8.1863993750000002E-8</v>
      </c>
      <c r="J9" s="18">
        <f t="shared" si="0"/>
        <v>4.006289885359536E-4</v>
      </c>
      <c r="K9" s="20">
        <f t="shared" si="4"/>
        <v>1.5801685779499766E-4</v>
      </c>
      <c r="L9" s="18">
        <f t="shared" si="5"/>
        <v>9.9742815063041446E-4</v>
      </c>
      <c r="M9" s="96"/>
      <c r="N9" s="1" t="s">
        <v>238</v>
      </c>
      <c r="O9" s="1">
        <v>5.5169000000000003E-2</v>
      </c>
      <c r="P9" s="1">
        <v>3.15450982E-3</v>
      </c>
      <c r="Q9" s="1">
        <v>9.9983000000000002E-2</v>
      </c>
      <c r="R9" s="1" t="s">
        <v>35</v>
      </c>
    </row>
    <row r="10" spans="2:18" ht="15.6" x14ac:dyDescent="0.6">
      <c r="B10" s="15"/>
      <c r="C10" s="16">
        <v>86</v>
      </c>
      <c r="D10" s="18">
        <f t="shared" si="1"/>
        <v>69314.718055994526</v>
      </c>
      <c r="E10" s="18">
        <v>1.0000000000000001E-5</v>
      </c>
      <c r="F10" s="18">
        <f t="shared" si="2"/>
        <v>2.777777777777778E-9</v>
      </c>
      <c r="G10" s="18">
        <f t="shared" si="3"/>
        <v>1.1475672222222224E-7</v>
      </c>
      <c r="H10" s="18">
        <f t="shared" si="7"/>
        <v>5.5453833333333338E-9</v>
      </c>
      <c r="I10" s="18">
        <f t="shared" si="6"/>
        <v>1.1137958333333333E-7</v>
      </c>
      <c r="J10" s="18">
        <f t="shared" si="0"/>
        <v>4.0063119686928697E-4</v>
      </c>
      <c r="K10" s="20">
        <f t="shared" si="4"/>
        <v>1.5801759390610877E-4</v>
      </c>
      <c r="L10" s="18">
        <f t="shared" si="5"/>
        <v>9.9743109507485881E-4</v>
      </c>
      <c r="M10" s="96"/>
      <c r="N10" s="1" t="s">
        <v>38</v>
      </c>
      <c r="O10" s="1">
        <v>0.1</v>
      </c>
      <c r="P10" s="1">
        <v>0.1</v>
      </c>
      <c r="Q10" s="1">
        <v>0.1</v>
      </c>
      <c r="R10" s="1" t="s">
        <v>5</v>
      </c>
    </row>
    <row r="11" spans="2:18" ht="15.6" x14ac:dyDescent="0.6">
      <c r="B11" s="15"/>
      <c r="C11" s="16">
        <v>87</v>
      </c>
      <c r="D11" s="18">
        <f t="shared" si="1"/>
        <v>1.2671794891406678</v>
      </c>
      <c r="E11" s="17">
        <v>0.54700000000000004</v>
      </c>
      <c r="F11" s="18">
        <f t="shared" si="2"/>
        <v>1.5194444444444446E-4</v>
      </c>
      <c r="G11" s="18">
        <f t="shared" si="3"/>
        <v>6.2771927055555567E-3</v>
      </c>
      <c r="H11" s="18">
        <f t="shared" si="7"/>
        <v>3.0333246833333334E-4</v>
      </c>
      <c r="I11" s="18">
        <f t="shared" si="6"/>
        <v>6.0924632083333334E-3</v>
      </c>
      <c r="J11" s="18">
        <f t="shared" si="0"/>
        <v>8.5645619686928705E-4</v>
      </c>
      <c r="K11" s="20">
        <f t="shared" si="4"/>
        <v>3.0995926057277544E-4</v>
      </c>
      <c r="L11" s="18">
        <f t="shared" si="5"/>
        <v>1.6051977617415256E-3</v>
      </c>
      <c r="M11" s="96"/>
      <c r="N11" s="4" t="s">
        <v>39</v>
      </c>
      <c r="O11" s="4">
        <v>1</v>
      </c>
      <c r="P11" s="4">
        <v>1</v>
      </c>
      <c r="Q11" s="4">
        <v>1</v>
      </c>
      <c r="R11" s="4" t="s">
        <v>5</v>
      </c>
    </row>
    <row r="12" spans="2:18" ht="15.6" x14ac:dyDescent="0.6">
      <c r="B12" s="15"/>
      <c r="C12" s="16">
        <v>88</v>
      </c>
      <c r="D12" s="18">
        <f t="shared" si="1"/>
        <v>2.8062638889066611</v>
      </c>
      <c r="E12" s="17">
        <v>0.247</v>
      </c>
      <c r="F12" s="18">
        <f t="shared" si="2"/>
        <v>6.8611111111111113E-5</v>
      </c>
      <c r="G12" s="18">
        <f t="shared" si="3"/>
        <v>2.8344910388888893E-3</v>
      </c>
      <c r="H12" s="18">
        <f t="shared" si="7"/>
        <v>1.3697096833333334E-4</v>
      </c>
      <c r="I12" s="18">
        <f t="shared" si="6"/>
        <v>2.7510757083333334E-3</v>
      </c>
      <c r="J12" s="18">
        <f t="shared" si="0"/>
        <v>6.0645619686928694E-4</v>
      </c>
      <c r="K12" s="20">
        <f t="shared" si="4"/>
        <v>2.2662592723944209E-4</v>
      </c>
      <c r="L12" s="18">
        <f t="shared" si="5"/>
        <v>1.2718644284081923E-3</v>
      </c>
      <c r="M12" s="96"/>
      <c r="N12" s="1" t="s">
        <v>34</v>
      </c>
      <c r="O12" s="86">
        <f>G30</f>
        <v>8.6411811833333346E-4</v>
      </c>
      <c r="P12" s="86">
        <f>H30</f>
        <v>4.1756736500000003E-5</v>
      </c>
      <c r="Q12" s="86">
        <f>I30</f>
        <v>8.3868826250000001E-4</v>
      </c>
      <c r="R12" s="1" t="s">
        <v>35</v>
      </c>
    </row>
    <row r="13" spans="2:18" ht="15.6" x14ac:dyDescent="0.6">
      <c r="B13" s="15"/>
      <c r="C13" s="16">
        <v>89</v>
      </c>
      <c r="D13" s="18">
        <f t="shared" si="1"/>
        <v>5.3319013889226559E-2</v>
      </c>
      <c r="E13" s="17">
        <v>13</v>
      </c>
      <c r="F13" s="18">
        <f t="shared" si="2"/>
        <v>3.6111111111111109E-3</v>
      </c>
      <c r="G13" s="18">
        <f t="shared" si="3"/>
        <v>0.14918373888888889</v>
      </c>
      <c r="H13" s="18">
        <f t="shared" si="7"/>
        <v>7.2089983333333326E-3</v>
      </c>
      <c r="I13" s="18">
        <f t="shared" si="6"/>
        <v>0.14479345833333332</v>
      </c>
      <c r="J13" s="18">
        <f t="shared" si="0"/>
        <v>1.1233956196869286E-2</v>
      </c>
      <c r="K13" s="20">
        <f t="shared" si="4"/>
        <v>3.7691259272394418E-3</v>
      </c>
      <c r="L13" s="18">
        <f t="shared" si="5"/>
        <v>1.5441864428408192E-2</v>
      </c>
      <c r="M13" s="96"/>
      <c r="N13" s="1" t="s">
        <v>36</v>
      </c>
      <c r="O13" s="1">
        <f>O10*O9</f>
        <v>5.5169000000000008E-3</v>
      </c>
      <c r="P13" s="1">
        <f>P10*P9</f>
        <v>3.1545098200000003E-4</v>
      </c>
      <c r="Q13" s="1">
        <f>Q10*Q9</f>
        <v>9.9983000000000016E-3</v>
      </c>
      <c r="R13" s="1" t="s">
        <v>35</v>
      </c>
    </row>
    <row r="14" spans="2:18" ht="15.6" x14ac:dyDescent="0.6">
      <c r="B14" s="15"/>
      <c r="C14" s="16">
        <v>90</v>
      </c>
      <c r="D14" s="18">
        <f t="shared" si="1"/>
        <v>9.1686134994701761E-3</v>
      </c>
      <c r="E14" s="17">
        <v>75.599999999999994</v>
      </c>
      <c r="F14" s="18">
        <f t="shared" si="2"/>
        <v>2.0999999999999998E-2</v>
      </c>
      <c r="G14" s="18">
        <f t="shared" si="3"/>
        <v>0.86756082000000001</v>
      </c>
      <c r="H14" s="18">
        <f t="shared" si="7"/>
        <v>4.1923097999999992E-2</v>
      </c>
      <c r="I14" s="18">
        <f t="shared" si="6"/>
        <v>0.84202964999999985</v>
      </c>
      <c r="J14" s="18">
        <f t="shared" si="0"/>
        <v>6.3400622863535955E-2</v>
      </c>
      <c r="K14" s="20">
        <f t="shared" si="4"/>
        <v>2.1158014816128327E-2</v>
      </c>
      <c r="L14" s="18">
        <f t="shared" si="5"/>
        <v>8.4997419983963735E-2</v>
      </c>
      <c r="M14" s="96"/>
      <c r="N14" s="1" t="s">
        <v>93</v>
      </c>
      <c r="O14" s="1">
        <v>3</v>
      </c>
      <c r="P14" s="1">
        <v>1</v>
      </c>
      <c r="Q14" s="1">
        <v>4</v>
      </c>
      <c r="R14" s="1"/>
    </row>
    <row r="15" spans="2:18" ht="15.6" x14ac:dyDescent="0.6">
      <c r="B15" s="15"/>
      <c r="C15" s="16">
        <v>91</v>
      </c>
      <c r="D15" s="18">
        <f t="shared" si="1"/>
        <v>2.7837236167066078E-3</v>
      </c>
      <c r="E15" s="17">
        <v>249</v>
      </c>
      <c r="F15" s="18">
        <f t="shared" si="2"/>
        <v>6.9166666666666668E-2</v>
      </c>
      <c r="G15" s="18">
        <f t="shared" si="3"/>
        <v>2.8574423833333338</v>
      </c>
      <c r="H15" s="18">
        <f t="shared" si="7"/>
        <v>0.13808004500000001</v>
      </c>
      <c r="I15" s="18">
        <f t="shared" si="6"/>
        <v>2.7733516249999997</v>
      </c>
      <c r="J15" s="18">
        <f t="shared" si="0"/>
        <v>0.20790062286353594</v>
      </c>
      <c r="K15" s="20">
        <f t="shared" si="4"/>
        <v>6.9324681482794998E-2</v>
      </c>
      <c r="L15" s="18">
        <f t="shared" si="5"/>
        <v>0.27766408665063042</v>
      </c>
      <c r="M15" s="96"/>
      <c r="N15" s="1" t="s">
        <v>45</v>
      </c>
      <c r="O15" s="1">
        <f>O12+O13</f>
        <v>6.381018118333334E-3</v>
      </c>
      <c r="P15" s="1">
        <f>P12+P13</f>
        <v>3.5720771850000001E-4</v>
      </c>
      <c r="Q15" s="1">
        <f>Q12+Q13</f>
        <v>1.0836988262500001E-2</v>
      </c>
      <c r="R15" s="1" t="s">
        <v>35</v>
      </c>
    </row>
    <row r="16" spans="2:18" ht="15.6" x14ac:dyDescent="0.6">
      <c r="B16" s="15"/>
      <c r="C16" s="16">
        <v>92</v>
      </c>
      <c r="D16" s="18">
        <f t="shared" si="1"/>
        <v>8.3310959201916498E-4</v>
      </c>
      <c r="E16" s="17">
        <v>832</v>
      </c>
      <c r="F16" s="18">
        <f t="shared" si="2"/>
        <v>0.2311111111111111</v>
      </c>
      <c r="G16" s="18">
        <f t="shared" si="3"/>
        <v>9.5477592888888889</v>
      </c>
      <c r="H16" s="18">
        <f t="shared" si="7"/>
        <v>0.46137589333333329</v>
      </c>
      <c r="I16" s="18">
        <f t="shared" si="6"/>
        <v>9.2667813333333324</v>
      </c>
      <c r="J16" s="18">
        <f t="shared" si="0"/>
        <v>0.69373395619686928</v>
      </c>
      <c r="K16" s="20">
        <f t="shared" si="4"/>
        <v>0.23126912592723944</v>
      </c>
      <c r="L16" s="18">
        <f t="shared" si="5"/>
        <v>0.92544186442840815</v>
      </c>
      <c r="M16" s="96"/>
      <c r="N16" s="5" t="s">
        <v>40</v>
      </c>
      <c r="O16" s="1">
        <f>(O15/O8)*O14*O11</f>
        <v>4.6337286353595361E-4</v>
      </c>
      <c r="P16" s="1">
        <f t="shared" ref="P16:Q16" si="8">(P15/P8)*P14*P11</f>
        <v>1.7893148279499765E-4</v>
      </c>
      <c r="Q16" s="1">
        <f t="shared" si="8"/>
        <v>1.0810866506304145E-3</v>
      </c>
      <c r="R16" s="5" t="s">
        <v>41</v>
      </c>
    </row>
    <row r="17" spans="2:20" ht="15.6" x14ac:dyDescent="0.6">
      <c r="B17" s="15"/>
      <c r="C17" s="16">
        <v>93</v>
      </c>
      <c r="D17" s="18">
        <f t="shared" si="1"/>
        <v>5.6353429313816693E-4</v>
      </c>
      <c r="E17" s="17">
        <v>1230</v>
      </c>
      <c r="F17" s="18">
        <f t="shared" si="2"/>
        <v>0.34166666666666667</v>
      </c>
      <c r="G17" s="18">
        <f t="shared" si="3"/>
        <v>14.115076833333335</v>
      </c>
      <c r="H17" s="18">
        <f t="shared" si="7"/>
        <v>0.68208214999999994</v>
      </c>
      <c r="I17" s="18">
        <f t="shared" si="6"/>
        <v>13.69968875</v>
      </c>
      <c r="J17" s="18">
        <f t="shared" si="0"/>
        <v>1.0254006228635359</v>
      </c>
      <c r="K17" s="20">
        <f t="shared" si="4"/>
        <v>0.34182468148279499</v>
      </c>
      <c r="L17" s="18">
        <f t="shared" si="5"/>
        <v>1.3676640866506304</v>
      </c>
      <c r="M17" s="96"/>
      <c r="N17"/>
      <c r="O17"/>
      <c r="P17"/>
      <c r="Q17"/>
      <c r="R17"/>
    </row>
    <row r="18" spans="2:20" x14ac:dyDescent="0.55000000000000004">
      <c r="B18" s="15"/>
      <c r="C18" s="16">
        <v>94</v>
      </c>
      <c r="D18" s="18">
        <f t="shared" si="1"/>
        <v>2.7770319733972168E-4</v>
      </c>
      <c r="E18" s="17">
        <v>2496</v>
      </c>
      <c r="F18" s="18">
        <f t="shared" si="2"/>
        <v>0.69333333333333336</v>
      </c>
      <c r="G18" s="18">
        <f t="shared" si="3"/>
        <v>28.643277866666669</v>
      </c>
      <c r="H18" s="18">
        <f t="shared" si="7"/>
        <v>1.38412768</v>
      </c>
      <c r="I18" s="18">
        <f t="shared" si="6"/>
        <v>27.800343999999999</v>
      </c>
      <c r="J18" s="18">
        <f t="shared" si="0"/>
        <v>2.0804006228635359</v>
      </c>
      <c r="K18" s="20">
        <f t="shared" si="4"/>
        <v>0.69349134814946167</v>
      </c>
      <c r="L18" s="18">
        <f t="shared" si="5"/>
        <v>2.7743307533172974</v>
      </c>
      <c r="M18" s="96"/>
      <c r="N18" s="14"/>
    </row>
    <row r="19" spans="2:20" x14ac:dyDescent="0.55000000000000004">
      <c r="B19" s="15"/>
      <c r="C19" s="16">
        <v>95</v>
      </c>
      <c r="D19" s="18">
        <f t="shared" si="1"/>
        <v>2.7837236167066074E-4</v>
      </c>
      <c r="E19" s="17">
        <v>2490</v>
      </c>
      <c r="F19" s="18">
        <f t="shared" si="2"/>
        <v>0.69166666666666665</v>
      </c>
      <c r="G19" s="18">
        <f t="shared" si="3"/>
        <v>28.574423833333334</v>
      </c>
      <c r="H19" s="18">
        <f t="shared" si="7"/>
        <v>1.38080045</v>
      </c>
      <c r="I19" s="18">
        <f t="shared" si="6"/>
        <v>27.733516249999997</v>
      </c>
      <c r="J19" s="18">
        <f t="shared" si="0"/>
        <v>2.075400622863536</v>
      </c>
      <c r="K19" s="20">
        <f t="shared" si="4"/>
        <v>0.69182468148279497</v>
      </c>
      <c r="L19" s="18">
        <f t="shared" si="5"/>
        <v>2.7676640866506306</v>
      </c>
      <c r="M19" s="96"/>
      <c r="N19" s="14" t="s">
        <v>239</v>
      </c>
      <c r="Q19" s="20"/>
    </row>
    <row r="20" spans="2:20" s="25" customFormat="1" x14ac:dyDescent="0.55000000000000004">
      <c r="B20" s="15" t="s">
        <v>86</v>
      </c>
      <c r="C20" s="15"/>
      <c r="D20" s="15"/>
      <c r="E20" s="26"/>
      <c r="F20" s="26"/>
      <c r="G20" s="26"/>
      <c r="H20" s="26"/>
      <c r="I20" s="26"/>
      <c r="J20" s="26"/>
      <c r="K20" s="26"/>
      <c r="L20" s="26"/>
      <c r="M20" s="97"/>
      <c r="N20" s="14" t="s">
        <v>240</v>
      </c>
      <c r="O20" s="106">
        <f>O16/O46</f>
        <v>1.1072390415212521</v>
      </c>
      <c r="P20" s="106">
        <f>P16/P46</f>
        <v>0.7905576202617568</v>
      </c>
      <c r="Q20" s="106">
        <f>Q16/Q46</f>
        <v>1.0616227552638069</v>
      </c>
      <c r="R20" s="8"/>
    </row>
    <row r="21" spans="2:20" x14ac:dyDescent="0.55000000000000004">
      <c r="B21" s="47"/>
      <c r="C21" s="47"/>
      <c r="D21" s="47"/>
      <c r="E21" s="47"/>
      <c r="F21" s="47"/>
      <c r="G21" s="47"/>
      <c r="H21" s="47"/>
      <c r="I21" s="48"/>
      <c r="J21" s="48"/>
      <c r="K21" s="48"/>
      <c r="L21" s="48"/>
      <c r="M21" s="95"/>
      <c r="N21" s="14"/>
    </row>
    <row r="22" spans="2:20" x14ac:dyDescent="0.55000000000000004">
      <c r="B22" s="15" t="s">
        <v>74</v>
      </c>
      <c r="C22" s="15">
        <v>126</v>
      </c>
      <c r="D22" s="18">
        <f>LN(2)/E22</f>
        <v>69314.718055994526</v>
      </c>
      <c r="E22" s="18">
        <v>1.0000000000000001E-5</v>
      </c>
      <c r="F22" s="18">
        <f>E22/3600</f>
        <v>2.777777777777778E-9</v>
      </c>
      <c r="G22" s="18">
        <f>F22*$O$8</f>
        <v>1.1475672222222224E-7</v>
      </c>
      <c r="H22" s="18">
        <f t="shared" ref="H22:H39" si="9">F22*$P$8</f>
        <v>5.5453833333333338E-9</v>
      </c>
      <c r="I22" s="18">
        <f t="shared" ref="I22:I39" si="10">F22*$Q$8</f>
        <v>1.1137958333333333E-7</v>
      </c>
      <c r="J22" s="18">
        <f t="shared" ref="J22:J39" si="11">(($O$13/$O$8)+(G22/$O$8))*3</f>
        <v>4.0063119686928697E-4</v>
      </c>
      <c r="K22" s="20">
        <f>(($P$13/$P$8)+(H22/$P$8))</f>
        <v>1.5801759390610877E-4</v>
      </c>
      <c r="L22" s="18">
        <f>(($Q$13/$Q$8)+(I22/$Q$8))*4</f>
        <v>9.9743109507485881E-4</v>
      </c>
      <c r="M22" s="96"/>
      <c r="N22" s="14"/>
    </row>
    <row r="23" spans="2:20" x14ac:dyDescent="0.55000000000000004">
      <c r="B23" s="15"/>
      <c r="C23" s="16">
        <v>128</v>
      </c>
      <c r="D23" s="18">
        <f t="shared" ref="D23:D39" si="12">LN(2)/E23</f>
        <v>69314.718055994526</v>
      </c>
      <c r="E23" s="18">
        <v>1.0000000000000001E-5</v>
      </c>
      <c r="F23" s="18">
        <f t="shared" ref="F23:F39" si="13">E23/3600</f>
        <v>2.777777777777778E-9</v>
      </c>
      <c r="G23" s="18">
        <f t="shared" ref="G23:G39" si="14">F23*$O$8</f>
        <v>1.1475672222222224E-7</v>
      </c>
      <c r="H23" s="18">
        <f t="shared" si="9"/>
        <v>5.5453833333333338E-9</v>
      </c>
      <c r="I23" s="18">
        <f t="shared" si="10"/>
        <v>1.1137958333333333E-7</v>
      </c>
      <c r="J23" s="18">
        <f t="shared" si="11"/>
        <v>4.0063119686928697E-4</v>
      </c>
      <c r="K23" s="20">
        <f t="shared" ref="K23:K39" si="15">(($P$13/$P$8)+(H23/$P$8))</f>
        <v>1.5801759390610877E-4</v>
      </c>
      <c r="L23" s="18">
        <f t="shared" ref="L23:L39" si="16">(($Q$13/$Q$8)+(I23/$Q$8))*4</f>
        <v>9.9743109507485881E-4</v>
      </c>
      <c r="M23" s="96"/>
      <c r="N23" s="14"/>
    </row>
    <row r="24" spans="2:20" ht="15.6" x14ac:dyDescent="0.6">
      <c r="B24" s="15"/>
      <c r="C24" s="16">
        <v>129</v>
      </c>
      <c r="D24" s="18">
        <f t="shared" si="12"/>
        <v>69314.718055994526</v>
      </c>
      <c r="E24" s="18">
        <v>1.0000000000000001E-5</v>
      </c>
      <c r="F24" s="18">
        <f t="shared" si="13"/>
        <v>2.777777777777778E-9</v>
      </c>
      <c r="G24" s="18">
        <f t="shared" si="14"/>
        <v>1.1475672222222224E-7</v>
      </c>
      <c r="H24" s="18">
        <f t="shared" si="9"/>
        <v>5.5453833333333338E-9</v>
      </c>
      <c r="I24" s="18">
        <f t="shared" si="10"/>
        <v>1.1137958333333333E-7</v>
      </c>
      <c r="J24" s="18">
        <f t="shared" si="11"/>
        <v>4.0063119686928697E-4</v>
      </c>
      <c r="K24" s="20">
        <f t="shared" si="15"/>
        <v>1.5801759390610877E-4</v>
      </c>
      <c r="L24" s="18">
        <f t="shared" si="16"/>
        <v>9.9743109507485881E-4</v>
      </c>
      <c r="M24" s="96"/>
      <c r="N24" s="3"/>
      <c r="O24" s="3" t="s">
        <v>30</v>
      </c>
      <c r="P24" s="128" t="s">
        <v>31</v>
      </c>
      <c r="Q24" s="3" t="s">
        <v>221</v>
      </c>
      <c r="R24" s="3"/>
    </row>
    <row r="25" spans="2:20" ht="15.6" x14ac:dyDescent="0.6">
      <c r="B25" s="15"/>
      <c r="C25" s="16">
        <v>130</v>
      </c>
      <c r="D25" s="18">
        <f t="shared" si="12"/>
        <v>69314.718055994526</v>
      </c>
      <c r="E25" s="18">
        <v>1.0000000000000001E-5</v>
      </c>
      <c r="F25" s="18">
        <f t="shared" si="13"/>
        <v>2.777777777777778E-9</v>
      </c>
      <c r="G25" s="18">
        <f t="shared" si="14"/>
        <v>1.1475672222222224E-7</v>
      </c>
      <c r="H25" s="18">
        <f t="shared" si="9"/>
        <v>5.5453833333333338E-9</v>
      </c>
      <c r="I25" s="18">
        <f t="shared" si="10"/>
        <v>1.1137958333333333E-7</v>
      </c>
      <c r="J25" s="18">
        <f t="shared" si="11"/>
        <v>4.0063119686928697E-4</v>
      </c>
      <c r="K25" s="20">
        <f t="shared" si="15"/>
        <v>1.5801759390610877E-4</v>
      </c>
      <c r="L25" s="18">
        <f t="shared" si="16"/>
        <v>9.9743109507485881E-4</v>
      </c>
      <c r="M25" s="96"/>
      <c r="N25" s="1" t="s">
        <v>32</v>
      </c>
      <c r="O25" s="1">
        <v>41.312420000000003</v>
      </c>
      <c r="P25" s="129">
        <v>1.9963379999999999</v>
      </c>
      <c r="Q25" s="1">
        <v>40.096649999999997</v>
      </c>
      <c r="R25" s="1" t="s">
        <v>33</v>
      </c>
    </row>
    <row r="26" spans="2:20" ht="15.6" x14ac:dyDescent="0.6">
      <c r="B26" s="15"/>
      <c r="C26" s="16">
        <v>131</v>
      </c>
      <c r="D26" s="18">
        <f t="shared" si="12"/>
        <v>69314.718055994526</v>
      </c>
      <c r="E26" s="18">
        <v>1.0000000000000001E-5</v>
      </c>
      <c r="F26" s="18">
        <f t="shared" si="13"/>
        <v>2.777777777777778E-9</v>
      </c>
      <c r="G26" s="18">
        <f t="shared" si="14"/>
        <v>1.1475672222222224E-7</v>
      </c>
      <c r="H26" s="18">
        <f t="shared" si="9"/>
        <v>5.5453833333333338E-9</v>
      </c>
      <c r="I26" s="18">
        <f t="shared" si="10"/>
        <v>1.1137958333333333E-7</v>
      </c>
      <c r="J26" s="18">
        <f t="shared" si="11"/>
        <v>4.0063119686928697E-4</v>
      </c>
      <c r="K26" s="20">
        <f t="shared" si="15"/>
        <v>1.5801759390610877E-4</v>
      </c>
      <c r="L26" s="18">
        <f t="shared" si="16"/>
        <v>9.9743109507485881E-4</v>
      </c>
      <c r="M26" s="96"/>
      <c r="N26" s="1" t="s">
        <v>250</v>
      </c>
      <c r="O26" s="1">
        <f>185</f>
        <v>185</v>
      </c>
      <c r="P26" s="129"/>
      <c r="Q26" s="1">
        <v>2955</v>
      </c>
      <c r="R26" s="1" t="s">
        <v>144</v>
      </c>
    </row>
    <row r="27" spans="2:20" ht="15.6" x14ac:dyDescent="0.6">
      <c r="B27" s="15"/>
      <c r="C27" s="16">
        <v>132</v>
      </c>
      <c r="D27" s="18">
        <f t="shared" si="12"/>
        <v>69314.718055994526</v>
      </c>
      <c r="E27" s="18">
        <v>1.0000000000000001E-5</v>
      </c>
      <c r="F27" s="18">
        <f t="shared" si="13"/>
        <v>2.777777777777778E-9</v>
      </c>
      <c r="G27" s="18">
        <f t="shared" si="14"/>
        <v>1.1475672222222224E-7</v>
      </c>
      <c r="H27" s="18">
        <f t="shared" si="9"/>
        <v>5.5453833333333338E-9</v>
      </c>
      <c r="I27" s="18">
        <f t="shared" si="10"/>
        <v>1.1137958333333333E-7</v>
      </c>
      <c r="J27" s="18">
        <f t="shared" si="11"/>
        <v>4.0063119686928697E-4</v>
      </c>
      <c r="K27" s="20">
        <f t="shared" si="15"/>
        <v>1.5801759390610877E-4</v>
      </c>
      <c r="L27" s="18">
        <f t="shared" si="16"/>
        <v>9.9743109507485881E-4</v>
      </c>
      <c r="M27" s="96"/>
      <c r="N27" s="1" t="s">
        <v>3</v>
      </c>
      <c r="O27" s="1">
        <v>3379.02</v>
      </c>
      <c r="P27" s="129">
        <v>2146.4699999999998</v>
      </c>
      <c r="Q27" s="1">
        <v>3283.9</v>
      </c>
      <c r="R27" s="1" t="s">
        <v>146</v>
      </c>
    </row>
    <row r="28" spans="2:20" ht="15.6" x14ac:dyDescent="0.6">
      <c r="B28" s="15"/>
      <c r="C28" s="16">
        <v>133</v>
      </c>
      <c r="D28" s="18">
        <f t="shared" si="12"/>
        <v>126.48671178101192</v>
      </c>
      <c r="E28" s="18">
        <v>5.4799999999999996E-3</v>
      </c>
      <c r="F28" s="18">
        <f t="shared" si="13"/>
        <v>1.5222222222222222E-6</v>
      </c>
      <c r="G28" s="18">
        <f t="shared" si="14"/>
        <v>6.2886683777777788E-5</v>
      </c>
      <c r="H28" s="18">
        <f t="shared" si="9"/>
        <v>3.0388700666666665E-6</v>
      </c>
      <c r="I28" s="18">
        <f t="shared" si="10"/>
        <v>6.1036011666666659E-5</v>
      </c>
      <c r="J28" s="18">
        <f t="shared" si="11"/>
        <v>4.0518953020262033E-4</v>
      </c>
      <c r="K28" s="20">
        <f t="shared" si="15"/>
        <v>1.5953703835055322E-4</v>
      </c>
      <c r="L28" s="18">
        <f t="shared" si="16"/>
        <v>1.0035088728526367E-3</v>
      </c>
      <c r="M28" s="96"/>
      <c r="N28" s="1" t="s">
        <v>65</v>
      </c>
      <c r="O28" s="1" t="s">
        <v>249</v>
      </c>
      <c r="P28" s="129" t="s">
        <v>249</v>
      </c>
      <c r="Q28" s="1">
        <f>Q26/Q27</f>
        <v>0.89984469685434998</v>
      </c>
      <c r="R28" s="1" t="s">
        <v>241</v>
      </c>
    </row>
    <row r="29" spans="2:20" ht="15.6" x14ac:dyDescent="0.6">
      <c r="B29" s="15"/>
      <c r="C29" s="16">
        <v>134</v>
      </c>
      <c r="D29" s="18">
        <f t="shared" si="12"/>
        <v>69314.718055994526</v>
      </c>
      <c r="E29" s="18">
        <v>1.0000000000000001E-5</v>
      </c>
      <c r="F29" s="18">
        <f t="shared" si="13"/>
        <v>2.777777777777778E-9</v>
      </c>
      <c r="G29" s="18">
        <f t="shared" si="14"/>
        <v>1.1475672222222224E-7</v>
      </c>
      <c r="H29" s="18">
        <f t="shared" si="9"/>
        <v>5.5453833333333338E-9</v>
      </c>
      <c r="I29" s="18">
        <f t="shared" si="10"/>
        <v>1.1137958333333333E-7</v>
      </c>
      <c r="J29" s="18">
        <f t="shared" si="11"/>
        <v>4.0063119686928697E-4</v>
      </c>
      <c r="K29" s="20">
        <f t="shared" si="15"/>
        <v>1.5801759390610877E-4</v>
      </c>
      <c r="L29" s="18">
        <f t="shared" si="16"/>
        <v>9.9743109507485881E-4</v>
      </c>
      <c r="M29" s="96"/>
      <c r="N29" s="1" t="s">
        <v>65</v>
      </c>
      <c r="O29" s="1" t="s">
        <v>249</v>
      </c>
      <c r="P29" s="129" t="s">
        <v>249</v>
      </c>
      <c r="Q29" s="1">
        <f>Q28/0.9</f>
        <v>0.99982744094927778</v>
      </c>
      <c r="R29" s="1" t="s">
        <v>242</v>
      </c>
      <c r="T29" s="129">
        <v>3.1545100000000001E-3</v>
      </c>
    </row>
    <row r="30" spans="2:20" ht="15.6" x14ac:dyDescent="0.6">
      <c r="B30" s="15"/>
      <c r="C30" s="16">
        <v>135</v>
      </c>
      <c r="D30" s="18">
        <f t="shared" si="12"/>
        <v>9.2051418401055152</v>
      </c>
      <c r="E30" s="17">
        <v>7.5300000000000006E-2</v>
      </c>
      <c r="F30" s="18">
        <f>E30/3600</f>
        <v>2.0916666666666669E-5</v>
      </c>
      <c r="G30" s="18">
        <f>F30*$O$8</f>
        <v>8.6411811833333346E-4</v>
      </c>
      <c r="H30" s="18">
        <f t="shared" si="9"/>
        <v>4.1756736500000003E-5</v>
      </c>
      <c r="I30" s="18">
        <f t="shared" si="10"/>
        <v>8.3868826250000001E-4</v>
      </c>
      <c r="J30" s="18">
        <f t="shared" si="11"/>
        <v>4.6337286353595361E-4</v>
      </c>
      <c r="K30" s="20">
        <f t="shared" si="15"/>
        <v>1.7893148279499765E-4</v>
      </c>
      <c r="L30" s="18">
        <f t="shared" si="16"/>
        <v>1.0810866506304143E-3</v>
      </c>
      <c r="M30" s="96"/>
      <c r="N30" s="1" t="s">
        <v>248</v>
      </c>
      <c r="O30" s="1">
        <f>O26/O27</f>
        <v>5.4749601955596597E-2</v>
      </c>
      <c r="P30" s="129">
        <v>4.1008599999999996E-3</v>
      </c>
      <c r="Q30" s="1">
        <f>Q29*0.1</f>
        <v>9.9982744094927786E-2</v>
      </c>
      <c r="R30" s="1" t="s">
        <v>243</v>
      </c>
      <c r="T30" s="129">
        <v>4.1008599999999996E-3</v>
      </c>
    </row>
    <row r="31" spans="2:20" ht="15.6" x14ac:dyDescent="0.6">
      <c r="B31" s="15"/>
      <c r="C31" s="16">
        <v>136</v>
      </c>
      <c r="D31" s="18">
        <f t="shared" si="12"/>
        <v>69314.718055994526</v>
      </c>
      <c r="E31" s="18">
        <v>1.0000000000000001E-5</v>
      </c>
      <c r="F31" s="18">
        <f t="shared" si="13"/>
        <v>2.777777777777778E-9</v>
      </c>
      <c r="G31" s="18">
        <f t="shared" si="14"/>
        <v>1.1475672222222224E-7</v>
      </c>
      <c r="H31" s="18">
        <f t="shared" si="9"/>
        <v>5.5453833333333338E-9</v>
      </c>
      <c r="I31" s="18">
        <f t="shared" si="10"/>
        <v>1.1137958333333333E-7</v>
      </c>
      <c r="J31" s="18">
        <f t="shared" si="11"/>
        <v>4.0063119686928697E-4</v>
      </c>
      <c r="K31" s="20">
        <f t="shared" si="15"/>
        <v>1.5801759390610877E-4</v>
      </c>
      <c r="L31" s="18">
        <f t="shared" si="16"/>
        <v>9.9743109507485881E-4</v>
      </c>
      <c r="M31" s="96"/>
      <c r="N31" s="1" t="s">
        <v>93</v>
      </c>
      <c r="O31" s="1">
        <v>3</v>
      </c>
      <c r="P31" s="129">
        <v>1</v>
      </c>
      <c r="Q31" s="1">
        <v>4</v>
      </c>
      <c r="R31" s="1" t="s">
        <v>279</v>
      </c>
    </row>
    <row r="32" spans="2:20" ht="15.6" x14ac:dyDescent="0.6">
      <c r="B32" s="15"/>
      <c r="C32" s="16">
        <v>137</v>
      </c>
      <c r="D32" s="18">
        <f t="shared" si="12"/>
        <v>7.0014866723226793E-2</v>
      </c>
      <c r="E32" s="17">
        <v>9.9</v>
      </c>
      <c r="F32" s="18">
        <f t="shared" si="13"/>
        <v>2.7500000000000003E-3</v>
      </c>
      <c r="G32" s="18">
        <f t="shared" si="14"/>
        <v>0.11360915500000002</v>
      </c>
      <c r="H32" s="18">
        <f t="shared" si="9"/>
        <v>5.4899295000000008E-3</v>
      </c>
      <c r="I32" s="18">
        <f t="shared" si="10"/>
        <v>0.1102657875</v>
      </c>
      <c r="J32" s="18">
        <f t="shared" si="11"/>
        <v>8.6506228635359547E-3</v>
      </c>
      <c r="K32" s="20">
        <f t="shared" si="15"/>
        <v>2.9080148161283311E-3</v>
      </c>
      <c r="L32" s="18">
        <f t="shared" si="16"/>
        <v>1.199741998396375E-2</v>
      </c>
      <c r="M32" s="96"/>
      <c r="N32" s="91" t="s">
        <v>271</v>
      </c>
      <c r="O32" s="91">
        <f>(O30/O25)*O31</f>
        <v>3.975773045171156E-3</v>
      </c>
      <c r="P32" s="91">
        <f>(P30/P25)*P31</f>
        <v>2.0541912241313844E-3</v>
      </c>
      <c r="Q32" s="91">
        <f>(Q30/Q25)*Q31</f>
        <v>9.9741743108142742E-3</v>
      </c>
      <c r="R32" s="91" t="s">
        <v>41</v>
      </c>
      <c r="S32" s="134"/>
    </row>
    <row r="33" spans="2:19" ht="15.6" x14ac:dyDescent="0.6">
      <c r="B33" s="15"/>
      <c r="C33" s="16">
        <v>138</v>
      </c>
      <c r="D33" s="18">
        <f t="shared" si="12"/>
        <v>0.28337987757969962</v>
      </c>
      <c r="E33" s="17">
        <v>2.4460000000000002</v>
      </c>
      <c r="F33" s="18">
        <f t="shared" si="13"/>
        <v>6.7944444444444454E-4</v>
      </c>
      <c r="G33" s="18">
        <f t="shared" si="14"/>
        <v>2.8069494255555563E-2</v>
      </c>
      <c r="H33" s="18">
        <f t="shared" si="9"/>
        <v>1.3564007633333334E-3</v>
      </c>
      <c r="I33" s="18">
        <f t="shared" si="10"/>
        <v>2.7243446083333334E-2</v>
      </c>
      <c r="J33" s="18">
        <f t="shared" si="11"/>
        <v>2.4389561968692873E-3</v>
      </c>
      <c r="K33" s="20">
        <f t="shared" si="15"/>
        <v>8.3745926057277552E-4</v>
      </c>
      <c r="L33" s="18">
        <f t="shared" si="16"/>
        <v>3.7151977617415257E-3</v>
      </c>
      <c r="M33" s="96"/>
      <c r="N33" s="1" t="s">
        <v>274</v>
      </c>
      <c r="O33" s="1">
        <v>0.1</v>
      </c>
      <c r="P33" s="129">
        <v>0.1</v>
      </c>
      <c r="Q33" s="1">
        <v>0.1</v>
      </c>
      <c r="R33" s="1" t="s">
        <v>5</v>
      </c>
    </row>
    <row r="34" spans="2:19" ht="15.6" x14ac:dyDescent="0.6">
      <c r="B34" s="15"/>
      <c r="C34" s="15">
        <v>139</v>
      </c>
      <c r="D34" s="18">
        <f t="shared" si="12"/>
        <v>1.1391079384715617E-2</v>
      </c>
      <c r="E34" s="52">
        <v>60.85</v>
      </c>
      <c r="F34" s="18">
        <f t="shared" si="13"/>
        <v>1.6902777777777777E-2</v>
      </c>
      <c r="G34" s="18">
        <f t="shared" si="14"/>
        <v>0.69829465472222219</v>
      </c>
      <c r="H34" s="18">
        <f t="shared" si="9"/>
        <v>3.3743657583333329E-2</v>
      </c>
      <c r="I34" s="18">
        <f t="shared" si="10"/>
        <v>0.67774476458333321</v>
      </c>
      <c r="J34" s="18">
        <f t="shared" si="11"/>
        <v>5.1108956196869282E-2</v>
      </c>
      <c r="K34" s="20">
        <f t="shared" si="15"/>
        <v>1.7060792593906107E-2</v>
      </c>
      <c r="L34" s="18">
        <f t="shared" si="16"/>
        <v>6.8608531095074851E-2</v>
      </c>
      <c r="M34" s="96"/>
      <c r="N34" s="3" t="s">
        <v>275</v>
      </c>
      <c r="O34" s="3">
        <f>(O30/O25)*O31*O33</f>
        <v>3.975773045171156E-4</v>
      </c>
      <c r="P34" s="3">
        <f>(P30/P25)*P31*P33</f>
        <v>2.0541912241313844E-4</v>
      </c>
      <c r="Q34" s="3">
        <f>(Q30/Q25)*Q31*Q33</f>
        <v>9.9741743108142751E-4</v>
      </c>
      <c r="R34" s="3" t="s">
        <v>41</v>
      </c>
    </row>
    <row r="35" spans="2:19" ht="15.6" x14ac:dyDescent="0.6">
      <c r="B35" s="53"/>
      <c r="C35" s="15">
        <v>140</v>
      </c>
      <c r="D35" s="18">
        <f t="shared" si="12"/>
        <v>4.4432511574355469E-3</v>
      </c>
      <c r="E35" s="17">
        <v>156</v>
      </c>
      <c r="F35" s="18">
        <f t="shared" si="13"/>
        <v>4.3333333333333335E-2</v>
      </c>
      <c r="G35" s="18">
        <f t="shared" si="14"/>
        <v>1.7902048666666668</v>
      </c>
      <c r="H35" s="18">
        <f t="shared" si="9"/>
        <v>8.6507979999999998E-2</v>
      </c>
      <c r="I35" s="18">
        <f t="shared" si="10"/>
        <v>1.7375214999999999</v>
      </c>
      <c r="J35" s="18">
        <f t="shared" si="11"/>
        <v>0.13040062286353596</v>
      </c>
      <c r="K35" s="20">
        <f t="shared" si="15"/>
        <v>4.3491348149461664E-2</v>
      </c>
      <c r="L35" s="18">
        <f t="shared" si="16"/>
        <v>0.17433075331729708</v>
      </c>
      <c r="M35" s="96"/>
      <c r="N35" s="139" t="s">
        <v>292</v>
      </c>
      <c r="O35" s="140">
        <v>1</v>
      </c>
      <c r="P35" s="140">
        <v>1</v>
      </c>
      <c r="Q35" s="140">
        <v>1</v>
      </c>
      <c r="R35" s="139"/>
    </row>
    <row r="36" spans="2:19" ht="15.6" x14ac:dyDescent="0.6">
      <c r="B36" s="53"/>
      <c r="C36" s="16">
        <v>141</v>
      </c>
      <c r="D36" s="18">
        <f t="shared" si="12"/>
        <v>5.5451774444795622E-4</v>
      </c>
      <c r="E36" s="17">
        <v>1250</v>
      </c>
      <c r="F36" s="18">
        <f t="shared" si="13"/>
        <v>0.34722222222222221</v>
      </c>
      <c r="G36" s="18">
        <f t="shared" si="14"/>
        <v>14.344590277777778</v>
      </c>
      <c r="H36" s="18">
        <f t="shared" si="9"/>
        <v>0.69317291666666658</v>
      </c>
      <c r="I36" s="18">
        <f t="shared" si="10"/>
        <v>13.922447916666664</v>
      </c>
      <c r="J36" s="18">
        <f t="shared" si="11"/>
        <v>1.0420672895302026</v>
      </c>
      <c r="K36" s="20">
        <f t="shared" si="15"/>
        <v>0.34738023703835053</v>
      </c>
      <c r="L36" s="18">
        <f t="shared" si="16"/>
        <v>1.3898863088728526</v>
      </c>
      <c r="M36" s="96"/>
      <c r="N36" s="3" t="s">
        <v>293</v>
      </c>
      <c r="O36" s="90">
        <f>O34*O35</f>
        <v>3.975773045171156E-4</v>
      </c>
      <c r="P36" s="90">
        <f t="shared" ref="P36:Q36" si="17">P34*P35</f>
        <v>2.0541912241313844E-4</v>
      </c>
      <c r="Q36" s="90">
        <f t="shared" si="17"/>
        <v>9.9741743108142751E-4</v>
      </c>
      <c r="R36" s="3"/>
    </row>
    <row r="37" spans="2:19" ht="15.6" x14ac:dyDescent="0.6">
      <c r="B37" s="53"/>
      <c r="C37" s="16">
        <v>142</v>
      </c>
      <c r="D37" s="18">
        <f t="shared" si="12"/>
        <v>4.1755854250599114E-4</v>
      </c>
      <c r="E37" s="17">
        <v>1660</v>
      </c>
      <c r="F37" s="18">
        <f t="shared" si="13"/>
        <v>0.46111111111111114</v>
      </c>
      <c r="G37" s="18">
        <f t="shared" si="14"/>
        <v>19.049615888888891</v>
      </c>
      <c r="H37" s="18">
        <f t="shared" si="9"/>
        <v>0.92053363333333338</v>
      </c>
      <c r="I37" s="18">
        <f t="shared" si="10"/>
        <v>18.489010833333332</v>
      </c>
      <c r="J37" s="18">
        <f t="shared" si="11"/>
        <v>1.3837339561968693</v>
      </c>
      <c r="K37" s="20">
        <f t="shared" si="15"/>
        <v>0.46126912592723945</v>
      </c>
      <c r="L37" s="18">
        <f t="shared" si="16"/>
        <v>1.8454418644284081</v>
      </c>
      <c r="M37" s="96"/>
      <c r="N37" s="3" t="s">
        <v>280</v>
      </c>
      <c r="O37" s="133">
        <f>O36+$F$30</f>
        <v>4.184939711837823E-4</v>
      </c>
      <c r="P37" s="133">
        <f t="shared" ref="P37" si="18">P36+$F$30</f>
        <v>2.2633578907980511E-4</v>
      </c>
      <c r="Q37" s="133">
        <f>Q36+$F$30</f>
        <v>1.0183340977480942E-3</v>
      </c>
      <c r="R37" s="3" t="s">
        <v>41</v>
      </c>
      <c r="S37" s="103" t="s">
        <v>253</v>
      </c>
    </row>
    <row r="38" spans="2:19" ht="15.6" x14ac:dyDescent="0.6">
      <c r="B38" s="53"/>
      <c r="C38" s="16">
        <v>143</v>
      </c>
      <c r="D38" s="18">
        <f t="shared" si="12"/>
        <v>2.7837236167066074E-4</v>
      </c>
      <c r="E38" s="17">
        <v>2490</v>
      </c>
      <c r="F38" s="18">
        <f t="shared" si="13"/>
        <v>0.69166666666666665</v>
      </c>
      <c r="G38" s="18">
        <f t="shared" si="14"/>
        <v>28.574423833333334</v>
      </c>
      <c r="H38" s="18">
        <f t="shared" si="9"/>
        <v>1.38080045</v>
      </c>
      <c r="I38" s="18">
        <f t="shared" si="10"/>
        <v>27.733516249999997</v>
      </c>
      <c r="J38" s="18">
        <f t="shared" si="11"/>
        <v>2.075400622863536</v>
      </c>
      <c r="K38" s="20">
        <f t="shared" si="15"/>
        <v>0.69182468148279497</v>
      </c>
      <c r="L38" s="18">
        <f t="shared" si="16"/>
        <v>2.7676640866506306</v>
      </c>
      <c r="M38" s="96"/>
      <c r="N38" s="146" t="s">
        <v>276</v>
      </c>
      <c r="O38" s="147"/>
      <c r="P38" s="147"/>
      <c r="Q38" s="147"/>
      <c r="R38" s="148"/>
    </row>
    <row r="39" spans="2:19" ht="15.6" x14ac:dyDescent="0.6">
      <c r="B39" s="53"/>
      <c r="C39" s="16">
        <v>144</v>
      </c>
      <c r="D39" s="18">
        <f t="shared" si="12"/>
        <v>2.7837236167066074E-4</v>
      </c>
      <c r="E39" s="17">
        <v>2490</v>
      </c>
      <c r="F39" s="18">
        <f t="shared" si="13"/>
        <v>0.69166666666666665</v>
      </c>
      <c r="G39" s="18">
        <f t="shared" si="14"/>
        <v>28.574423833333334</v>
      </c>
      <c r="H39" s="18">
        <f t="shared" si="9"/>
        <v>1.38080045</v>
      </c>
      <c r="I39" s="18">
        <f t="shared" si="10"/>
        <v>27.733516249999997</v>
      </c>
      <c r="J39" s="18">
        <f t="shared" si="11"/>
        <v>2.075400622863536</v>
      </c>
      <c r="K39" s="20">
        <f t="shared" si="15"/>
        <v>0.69182468148279497</v>
      </c>
      <c r="L39" s="18">
        <f t="shared" si="16"/>
        <v>2.7676640866506306</v>
      </c>
      <c r="M39" s="96"/>
      <c r="N39" s="126" t="s">
        <v>277</v>
      </c>
      <c r="O39" s="131">
        <v>0.01</v>
      </c>
      <c r="P39" s="132">
        <v>0</v>
      </c>
      <c r="Q39" s="131">
        <v>0.01</v>
      </c>
      <c r="R39" s="127"/>
    </row>
    <row r="40" spans="2:19" s="25" customFormat="1" ht="15.6" x14ac:dyDescent="0.6">
      <c r="B40" s="57"/>
      <c r="C40" s="57"/>
      <c r="D40" s="57"/>
      <c r="E40" s="58">
        <f>SUM(E22:E39)</f>
        <v>8119.2768599999999</v>
      </c>
      <c r="F40" s="58"/>
      <c r="G40" s="58"/>
      <c r="H40" s="58">
        <f t="shared" ref="H40:I40" si="19">SUM(H22:H39)</f>
        <v>4.5024502578162995</v>
      </c>
      <c r="I40" s="58">
        <f t="shared" si="19"/>
        <v>90.43216736347749</v>
      </c>
      <c r="J40" s="58"/>
      <c r="K40" s="58"/>
      <c r="L40" s="58"/>
      <c r="M40" s="98"/>
      <c r="N40" s="1" t="s">
        <v>278</v>
      </c>
      <c r="O40" s="1">
        <f>O30*O39</f>
        <v>5.4749601955596597E-4</v>
      </c>
      <c r="P40" s="129">
        <f>P30*P39</f>
        <v>0</v>
      </c>
      <c r="Q40" s="1">
        <f>Q30*Q39</f>
        <v>9.9982744094927797E-4</v>
      </c>
      <c r="R40" s="1" t="s">
        <v>247</v>
      </c>
      <c r="S40" s="8"/>
    </row>
    <row r="41" spans="2:19" ht="15.6" x14ac:dyDescent="0.6">
      <c r="M41" s="93"/>
      <c r="N41" s="1"/>
      <c r="O41" s="1">
        <f>O40*O31</f>
        <v>1.6424880586678979E-3</v>
      </c>
      <c r="P41" s="129">
        <f>P40*P31</f>
        <v>0</v>
      </c>
      <c r="Q41" s="1">
        <f>Q40*Q31</f>
        <v>3.9993097637971119E-3</v>
      </c>
      <c r="R41" s="1" t="s">
        <v>244</v>
      </c>
    </row>
    <row r="42" spans="2:19" ht="15.6" x14ac:dyDescent="0.6">
      <c r="M42" s="93"/>
      <c r="N42" s="1" t="s">
        <v>254</v>
      </c>
      <c r="O42" s="1">
        <v>0.99</v>
      </c>
      <c r="P42" s="129">
        <v>0.99</v>
      </c>
      <c r="Q42" s="1">
        <v>0.99</v>
      </c>
      <c r="R42" s="1"/>
      <c r="S42" s="25"/>
    </row>
    <row r="43" spans="2:19" ht="15.6" x14ac:dyDescent="0.6">
      <c r="N43" s="3" t="s">
        <v>246</v>
      </c>
      <c r="O43" s="105">
        <f>(O41/O25)*O42</f>
        <v>3.9360153147194446E-5</v>
      </c>
      <c r="P43" s="130">
        <f>(P41/P25)*P42</f>
        <v>0</v>
      </c>
      <c r="Q43" s="105">
        <f>(Q41/Q25)*Q42</f>
        <v>9.8744325677061317E-5</v>
      </c>
      <c r="R43" s="3" t="s">
        <v>41</v>
      </c>
    </row>
    <row r="44" spans="2:19" ht="15.6" x14ac:dyDescent="0.6">
      <c r="N44" s="3" t="s">
        <v>252</v>
      </c>
      <c r="O44" s="3" t="s">
        <v>43</v>
      </c>
      <c r="P44" s="128" t="s">
        <v>43</v>
      </c>
      <c r="Q44" s="3" t="s">
        <v>43</v>
      </c>
      <c r="R44" s="3" t="s">
        <v>41</v>
      </c>
    </row>
    <row r="46" spans="2:19" x14ac:dyDescent="0.55000000000000004">
      <c r="N46" s="104"/>
      <c r="O46" s="106">
        <f>O34+$F$30</f>
        <v>4.184939711837823E-4</v>
      </c>
      <c r="P46" s="106">
        <f>P34+$F$30</f>
        <v>2.2633578907980511E-4</v>
      </c>
      <c r="Q46" s="106">
        <f>Q34+$F$30</f>
        <v>1.0183340977480942E-3</v>
      </c>
    </row>
    <row r="48" spans="2:19" x14ac:dyDescent="0.55000000000000004">
      <c r="N48" s="141" t="s">
        <v>296</v>
      </c>
    </row>
    <row r="49" spans="11:18" ht="15.6" x14ac:dyDescent="0.6">
      <c r="N49" s="3"/>
      <c r="O49" s="3" t="s">
        <v>30</v>
      </c>
      <c r="P49" s="128" t="s">
        <v>31</v>
      </c>
      <c r="Q49" s="3" t="s">
        <v>221</v>
      </c>
      <c r="R49" s="3"/>
    </row>
    <row r="50" spans="11:18" ht="15.6" x14ac:dyDescent="0.6">
      <c r="N50" s="1" t="s">
        <v>32</v>
      </c>
      <c r="O50" s="1">
        <v>41.312420000000003</v>
      </c>
      <c r="P50" s="129">
        <v>1.9963379999999999</v>
      </c>
      <c r="Q50" s="1">
        <v>40.096649999999997</v>
      </c>
      <c r="R50" s="1" t="s">
        <v>33</v>
      </c>
    </row>
    <row r="51" spans="11:18" ht="15.6" x14ac:dyDescent="0.6">
      <c r="N51" s="1" t="s">
        <v>250</v>
      </c>
      <c r="O51" s="1">
        <f>185</f>
        <v>185</v>
      </c>
      <c r="P51" s="129"/>
      <c r="Q51" s="1">
        <v>2955</v>
      </c>
      <c r="R51" s="1" t="s">
        <v>144</v>
      </c>
    </row>
    <row r="52" spans="11:18" ht="15.6" x14ac:dyDescent="0.6">
      <c r="N52" s="1" t="s">
        <v>3</v>
      </c>
      <c r="O52" s="1">
        <v>3379.02</v>
      </c>
      <c r="P52" s="129">
        <v>2146.4699999999998</v>
      </c>
      <c r="Q52" s="1">
        <v>3283.9</v>
      </c>
      <c r="R52" s="1" t="s">
        <v>146</v>
      </c>
    </row>
    <row r="53" spans="11:18" ht="15.6" x14ac:dyDescent="0.6">
      <c r="N53" s="1" t="s">
        <v>65</v>
      </c>
      <c r="O53" s="1" t="s">
        <v>249</v>
      </c>
      <c r="P53" s="129" t="s">
        <v>249</v>
      </c>
      <c r="Q53" s="1">
        <f>Q51/Q52</f>
        <v>0.89984469685434998</v>
      </c>
      <c r="R53" s="1" t="s">
        <v>241</v>
      </c>
    </row>
    <row r="54" spans="11:18" ht="15.6" x14ac:dyDescent="0.6">
      <c r="N54" s="1" t="s">
        <v>65</v>
      </c>
      <c r="O54" s="1" t="s">
        <v>249</v>
      </c>
      <c r="P54" s="129" t="s">
        <v>249</v>
      </c>
      <c r="Q54" s="1">
        <f>Q53/0.9</f>
        <v>0.99982744094927778</v>
      </c>
      <c r="R54" s="1" t="s">
        <v>242</v>
      </c>
    </row>
    <row r="55" spans="11:18" ht="15.6" x14ac:dyDescent="0.6">
      <c r="N55" s="3" t="s">
        <v>248</v>
      </c>
      <c r="O55" s="3">
        <f>O51/O52</f>
        <v>5.4749601955596597E-2</v>
      </c>
      <c r="P55" s="128">
        <v>3.1545100000000001E-3</v>
      </c>
      <c r="Q55" s="3">
        <f>Q54*0.1</f>
        <v>9.9982744094927786E-2</v>
      </c>
      <c r="R55" s="3" t="s">
        <v>243</v>
      </c>
    </row>
    <row r="56" spans="11:18" ht="15.6" x14ac:dyDescent="0.6">
      <c r="N56" s="1" t="s">
        <v>93</v>
      </c>
      <c r="O56" s="1">
        <v>3</v>
      </c>
      <c r="P56" s="129">
        <v>1</v>
      </c>
      <c r="Q56" s="1">
        <v>4</v>
      </c>
      <c r="R56" s="1" t="s">
        <v>279</v>
      </c>
    </row>
    <row r="57" spans="11:18" ht="15.6" x14ac:dyDescent="0.6">
      <c r="N57" s="91" t="s">
        <v>271</v>
      </c>
      <c r="O57" s="91">
        <f>(O55/O50)*O56</f>
        <v>3.975773045171156E-3</v>
      </c>
      <c r="P57" s="91">
        <f>(P55/P50)*P56</f>
        <v>1.5801482514484022E-3</v>
      </c>
      <c r="Q57" s="91">
        <f>(Q55/Q50)*Q56</f>
        <v>9.9741743108142742E-3</v>
      </c>
      <c r="R57" s="91" t="s">
        <v>41</v>
      </c>
    </row>
    <row r="58" spans="11:18" ht="15.6" x14ac:dyDescent="0.6">
      <c r="N58" s="1" t="s">
        <v>294</v>
      </c>
      <c r="O58" s="1">
        <v>0.1</v>
      </c>
      <c r="P58" s="129">
        <v>0.1</v>
      </c>
      <c r="Q58" s="1">
        <v>0.1</v>
      </c>
      <c r="R58" s="1" t="s">
        <v>5</v>
      </c>
    </row>
    <row r="59" spans="11:18" ht="15.6" x14ac:dyDescent="0.6">
      <c r="N59" s="3" t="s">
        <v>275</v>
      </c>
      <c r="O59" s="3">
        <f>(O55/O50)*O56*O58</f>
        <v>3.975773045171156E-4</v>
      </c>
      <c r="P59" s="3">
        <f>(P55/P50)*P56*P58</f>
        <v>1.5801482514484023E-4</v>
      </c>
      <c r="Q59" s="3">
        <f>(Q55/Q50)*Q56*Q58</f>
        <v>9.9741743108142751E-4</v>
      </c>
      <c r="R59" s="3" t="s">
        <v>41</v>
      </c>
    </row>
    <row r="60" spans="11:18" ht="15.6" x14ac:dyDescent="0.6">
      <c r="N60" s="139" t="s">
        <v>292</v>
      </c>
      <c r="O60" s="140">
        <v>1</v>
      </c>
      <c r="P60" s="140">
        <v>1</v>
      </c>
      <c r="Q60" s="140">
        <v>1</v>
      </c>
      <c r="R60" s="139"/>
    </row>
    <row r="61" spans="11:18" ht="15.6" x14ac:dyDescent="0.6">
      <c r="K61" s="141" t="s">
        <v>295</v>
      </c>
      <c r="N61" s="3" t="s">
        <v>293</v>
      </c>
      <c r="O61" s="90">
        <f>O59*O60</f>
        <v>3.975773045171156E-4</v>
      </c>
      <c r="P61" s="90">
        <f t="shared" ref="P61:Q61" si="20">P59*P60</f>
        <v>1.5801482514484023E-4</v>
      </c>
      <c r="Q61" s="90">
        <f t="shared" si="20"/>
        <v>9.9741743108142751E-4</v>
      </c>
      <c r="R61" s="3"/>
    </row>
    <row r="62" spans="11:18" ht="15.6" x14ac:dyDescent="0.6">
      <c r="K62" s="20">
        <v>2.9206040000000002E-6</v>
      </c>
      <c r="N62" s="3" t="s">
        <v>280</v>
      </c>
      <c r="O62" s="133">
        <f>O61+$F$30</f>
        <v>4.184939711837823E-4</v>
      </c>
      <c r="P62" s="133">
        <f t="shared" ref="P62" si="21">P61+$F$30</f>
        <v>1.789314918115069E-4</v>
      </c>
      <c r="Q62" s="133">
        <f>Q61+$F$30</f>
        <v>1.0183340977480942E-3</v>
      </c>
      <c r="R62" s="3" t="s">
        <v>41</v>
      </c>
    </row>
    <row r="63" spans="11:18" ht="15.6" x14ac:dyDescent="0.6">
      <c r="N63" s="146" t="s">
        <v>276</v>
      </c>
      <c r="O63" s="147"/>
      <c r="P63" s="147"/>
      <c r="Q63" s="147"/>
      <c r="R63" s="148"/>
    </row>
    <row r="64" spans="11:18" ht="15.6" x14ac:dyDescent="0.6">
      <c r="N64" s="136" t="s">
        <v>277</v>
      </c>
      <c r="O64" s="137">
        <v>0.01</v>
      </c>
      <c r="P64" s="132">
        <v>0.01</v>
      </c>
      <c r="Q64" s="137">
        <v>0.01</v>
      </c>
      <c r="R64" s="138"/>
    </row>
    <row r="65" spans="9:18" ht="15.6" x14ac:dyDescent="0.6">
      <c r="L65" s="133"/>
      <c r="N65" s="1" t="s">
        <v>278</v>
      </c>
      <c r="O65" s="1">
        <f>O55*O64</f>
        <v>5.4749601955596597E-4</v>
      </c>
      <c r="P65" s="129">
        <f>P55*P64</f>
        <v>3.1545100000000004E-5</v>
      </c>
      <c r="Q65" s="1">
        <f>Q55*Q64</f>
        <v>9.9982744094927797E-4</v>
      </c>
      <c r="R65" s="1" t="s">
        <v>247</v>
      </c>
    </row>
    <row r="66" spans="9:18" ht="15.6" x14ac:dyDescent="0.6">
      <c r="N66" s="1"/>
      <c r="O66" s="1">
        <f>O65*O56</f>
        <v>1.6424880586678979E-3</v>
      </c>
      <c r="P66" s="129">
        <f>P65*P56</f>
        <v>3.1545100000000004E-5</v>
      </c>
      <c r="Q66" s="1">
        <f>Q65*Q56</f>
        <v>3.9993097637971119E-3</v>
      </c>
      <c r="R66" s="1" t="s">
        <v>244</v>
      </c>
    </row>
    <row r="67" spans="9:18" ht="15.6" x14ac:dyDescent="0.6">
      <c r="I67" s="8">
        <v>6.3090200000000003E-4</v>
      </c>
      <c r="J67" s="8">
        <f>I67*3</f>
        <v>1.8927060000000001E-3</v>
      </c>
      <c r="N67" s="1" t="s">
        <v>254</v>
      </c>
      <c r="O67" s="1">
        <v>1</v>
      </c>
      <c r="P67" s="129">
        <v>1</v>
      </c>
      <c r="Q67" s="1">
        <v>1</v>
      </c>
      <c r="R67" s="1"/>
    </row>
    <row r="68" spans="9:18" ht="15.6" x14ac:dyDescent="0.6">
      <c r="N68" s="3" t="s">
        <v>246</v>
      </c>
      <c r="O68" s="144">
        <f>(O66/O50)*O67</f>
        <v>3.975773045171156E-5</v>
      </c>
      <c r="P68" s="145">
        <f>(P66/P50)*P67</f>
        <v>1.5801482514484023E-5</v>
      </c>
      <c r="Q68" s="144">
        <f>(Q66/Q50)*Q67</f>
        <v>9.9741743108142748E-5</v>
      </c>
      <c r="R68" s="3" t="s">
        <v>41</v>
      </c>
    </row>
    <row r="69" spans="9:18" ht="15.6" x14ac:dyDescent="0.6">
      <c r="M69" s="143" t="s">
        <v>303</v>
      </c>
      <c r="N69" s="91" t="s">
        <v>252</v>
      </c>
      <c r="O69" s="142">
        <f>O68+$K$62</f>
        <v>4.2678334451711558E-5</v>
      </c>
      <c r="P69" s="142">
        <f t="shared" ref="P69:Q69" si="22">P68+$K$62</f>
        <v>1.8722086514484024E-5</v>
      </c>
      <c r="Q69" s="142">
        <f t="shared" si="22"/>
        <v>1.0266234710814275E-4</v>
      </c>
      <c r="R69" s="91" t="s">
        <v>41</v>
      </c>
    </row>
    <row r="71" spans="9:18" x14ac:dyDescent="0.55000000000000004">
      <c r="N71" s="141" t="s">
        <v>297</v>
      </c>
    </row>
    <row r="72" spans="9:18" ht="15.6" x14ac:dyDescent="0.6">
      <c r="N72" s="3"/>
      <c r="O72" s="3" t="s">
        <v>30</v>
      </c>
      <c r="P72" s="128" t="s">
        <v>31</v>
      </c>
      <c r="Q72" s="3" t="s">
        <v>221</v>
      </c>
      <c r="R72" s="3"/>
    </row>
    <row r="73" spans="9:18" ht="15.6" x14ac:dyDescent="0.6">
      <c r="N73" s="1" t="s">
        <v>32</v>
      </c>
      <c r="O73" s="1">
        <v>41.312420000000003</v>
      </c>
      <c r="P73" s="129">
        <v>1.9963379999999999</v>
      </c>
      <c r="Q73" s="1">
        <v>40.096649999999997</v>
      </c>
      <c r="R73" s="1" t="s">
        <v>33</v>
      </c>
    </row>
    <row r="74" spans="9:18" ht="15.6" x14ac:dyDescent="0.6">
      <c r="N74" s="1" t="s">
        <v>250</v>
      </c>
      <c r="O74" s="1">
        <f>2*831.585</f>
        <v>1663.17</v>
      </c>
      <c r="P74" s="129" t="s">
        <v>65</v>
      </c>
      <c r="Q74" s="1">
        <v>2955</v>
      </c>
      <c r="R74" s="1" t="s">
        <v>299</v>
      </c>
    </row>
    <row r="75" spans="9:18" ht="15.6" x14ac:dyDescent="0.6">
      <c r="N75" s="1" t="s">
        <v>3</v>
      </c>
      <c r="O75" s="1">
        <v>3379.02</v>
      </c>
      <c r="P75" s="129">
        <v>2146.4699999999998</v>
      </c>
      <c r="Q75" s="1">
        <v>3283.9</v>
      </c>
      <c r="R75" s="1" t="s">
        <v>146</v>
      </c>
    </row>
    <row r="76" spans="9:18" ht="15.6" x14ac:dyDescent="0.6">
      <c r="N76" s="1" t="s">
        <v>65</v>
      </c>
      <c r="O76" s="1">
        <f>O74/O75</f>
        <v>0.49220484045670049</v>
      </c>
      <c r="P76" s="129">
        <v>7.5708230000000001E-2</v>
      </c>
      <c r="Q76" s="1">
        <f>Q74/Q75</f>
        <v>0.89984469685434998</v>
      </c>
      <c r="R76" s="1" t="s">
        <v>241</v>
      </c>
    </row>
    <row r="77" spans="9:18" ht="15.6" x14ac:dyDescent="0.6">
      <c r="N77" s="3" t="s">
        <v>298</v>
      </c>
      <c r="O77" s="128">
        <f>O76/1</f>
        <v>0.49220484045670049</v>
      </c>
      <c r="P77" s="128">
        <f>P76/1</f>
        <v>7.5708230000000001E-2</v>
      </c>
      <c r="Q77" s="128">
        <f>Q76/1</f>
        <v>0.89984469685434998</v>
      </c>
      <c r="R77" s="3" t="s">
        <v>35</v>
      </c>
    </row>
    <row r="78" spans="9:18" ht="15.6" x14ac:dyDescent="0.6">
      <c r="N78" s="1" t="s">
        <v>93</v>
      </c>
      <c r="O78" s="1">
        <v>3</v>
      </c>
      <c r="P78" s="129">
        <v>1</v>
      </c>
      <c r="Q78" s="1">
        <v>4</v>
      </c>
      <c r="R78" s="1" t="s">
        <v>279</v>
      </c>
    </row>
    <row r="79" spans="9:18" ht="15.6" x14ac:dyDescent="0.6">
      <c r="M79" s="143" t="s">
        <v>304</v>
      </c>
      <c r="N79" s="91" t="s">
        <v>301</v>
      </c>
      <c r="O79" s="91">
        <f>(O77/O73)*O78</f>
        <v>3.5742629489390873E-2</v>
      </c>
      <c r="P79" s="91">
        <f>(P77/P73)*P78</f>
        <v>3.7923553025589855E-2</v>
      </c>
      <c r="Q79" s="91">
        <f>(Q77/Q73)*Q78</f>
        <v>8.9767568797328459E-2</v>
      </c>
      <c r="R79" s="91" t="s">
        <v>41</v>
      </c>
    </row>
    <row r="80" spans="9:18" ht="15.6" x14ac:dyDescent="0.6">
      <c r="N80" s="1" t="s">
        <v>300</v>
      </c>
      <c r="O80" s="1">
        <v>0.99</v>
      </c>
      <c r="P80" s="129">
        <v>0.99</v>
      </c>
      <c r="Q80" s="1">
        <v>0.99</v>
      </c>
      <c r="R80" s="1" t="s">
        <v>5</v>
      </c>
    </row>
    <row r="81" spans="14:18" ht="15.6" x14ac:dyDescent="0.6">
      <c r="N81" s="3" t="s">
        <v>302</v>
      </c>
      <c r="O81" s="3">
        <f>(O77/O73)*O78*O80</f>
        <v>3.5385203194496964E-2</v>
      </c>
      <c r="P81" s="3">
        <f>(P77/P73)*P78*P80</f>
        <v>3.7544317495333955E-2</v>
      </c>
      <c r="Q81" s="3">
        <f>(Q77/Q73)*Q78*Q80</f>
        <v>8.8869893109355169E-2</v>
      </c>
      <c r="R81" s="3" t="s">
        <v>41</v>
      </c>
    </row>
  </sheetData>
  <mergeCells count="12">
    <mergeCell ref="N63:R63"/>
    <mergeCell ref="N38:R38"/>
    <mergeCell ref="B2:C2"/>
    <mergeCell ref="D2:D3"/>
    <mergeCell ref="E2:E3"/>
    <mergeCell ref="H2:H3"/>
    <mergeCell ref="I2:I3"/>
    <mergeCell ref="L2:L3"/>
    <mergeCell ref="J2:J3"/>
    <mergeCell ref="F2:F3"/>
    <mergeCell ref="G2:G3"/>
    <mergeCell ref="K2:K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5D53-608C-8A48-A265-05C1F527573E}">
  <dimension ref="B2:W39"/>
  <sheetViews>
    <sheetView topLeftCell="A4" workbookViewId="0">
      <selection activeCell="S16" sqref="S16"/>
    </sheetView>
  </sheetViews>
  <sheetFormatPr defaultColWidth="8.84765625" defaultRowHeight="14.4" x14ac:dyDescent="0.55000000000000004"/>
  <cols>
    <col min="1" max="7" width="8.84765625" style="8"/>
    <col min="8" max="8" width="10.34765625" style="8" customWidth="1"/>
    <col min="9" max="9" width="10.6484375" style="8" customWidth="1"/>
    <col min="10" max="13" width="8.84765625" style="8"/>
    <col min="14" max="14" width="10.34765625" style="62" customWidth="1"/>
    <col min="15" max="15" width="12.6484375" style="63" bestFit="1" customWidth="1"/>
    <col min="16" max="17" width="8.84765625" style="63"/>
    <col min="18" max="18" width="10.1484375" style="8" bestFit="1" customWidth="1"/>
    <col min="19" max="16384" width="8.84765625" style="8"/>
  </cols>
  <sheetData>
    <row r="2" spans="2:23" ht="14.5" customHeight="1" x14ac:dyDescent="0.55000000000000004">
      <c r="B2" s="149" t="s">
        <v>46</v>
      </c>
      <c r="C2" s="149"/>
      <c r="D2" s="150" t="s">
        <v>47</v>
      </c>
      <c r="E2" s="150" t="s">
        <v>44</v>
      </c>
      <c r="F2" s="150" t="s">
        <v>48</v>
      </c>
      <c r="G2" s="151" t="s">
        <v>49</v>
      </c>
      <c r="H2" s="151" t="s">
        <v>50</v>
      </c>
      <c r="I2" s="151" t="s">
        <v>51</v>
      </c>
      <c r="J2" s="151" t="s">
        <v>78</v>
      </c>
      <c r="K2" s="151"/>
      <c r="L2" s="151"/>
      <c r="M2" s="151"/>
      <c r="N2" s="152" t="s">
        <v>79</v>
      </c>
      <c r="O2" s="153" t="s">
        <v>80</v>
      </c>
      <c r="P2" s="154" t="s">
        <v>81</v>
      </c>
      <c r="Q2" s="27"/>
      <c r="R2" s="10"/>
    </row>
    <row r="3" spans="2:23" ht="39" x14ac:dyDescent="0.55000000000000004">
      <c r="B3" s="11" t="s">
        <v>54</v>
      </c>
      <c r="C3" s="11" t="s">
        <v>55</v>
      </c>
      <c r="D3" s="150"/>
      <c r="E3" s="150"/>
      <c r="F3" s="150"/>
      <c r="G3" s="151"/>
      <c r="H3" s="151"/>
      <c r="I3" s="151"/>
      <c r="J3" s="13" t="s">
        <v>82</v>
      </c>
      <c r="K3" s="13" t="s">
        <v>83</v>
      </c>
      <c r="L3" s="13" t="s">
        <v>84</v>
      </c>
      <c r="M3" s="13" t="s">
        <v>85</v>
      </c>
      <c r="N3" s="152"/>
      <c r="O3" s="153"/>
      <c r="P3" s="154"/>
      <c r="Q3" s="27"/>
      <c r="R3" s="14"/>
    </row>
    <row r="4" spans="2:23" x14ac:dyDescent="0.55000000000000004">
      <c r="B4" s="28" t="s">
        <v>60</v>
      </c>
      <c r="C4" s="29">
        <v>3</v>
      </c>
      <c r="D4" s="30">
        <v>12.26</v>
      </c>
      <c r="E4" s="30" t="s">
        <v>61</v>
      </c>
      <c r="F4" s="31">
        <v>6.4500000000000001E-6</v>
      </c>
      <c r="G4" s="30">
        <v>8.0000000000000002E-3</v>
      </c>
      <c r="H4" s="31">
        <f t="shared" ref="H4:H18" si="0">G4*S$6</f>
        <v>5.6173584E+17</v>
      </c>
      <c r="I4" s="31">
        <f>H4*3600</f>
        <v>2.022249024E+21</v>
      </c>
      <c r="J4" s="32">
        <v>0.21</v>
      </c>
      <c r="K4" s="31">
        <v>0.21</v>
      </c>
      <c r="L4" s="31">
        <v>0.21</v>
      </c>
      <c r="M4" s="31"/>
      <c r="N4" s="33" t="e">
        <f>J4/#REF!</f>
        <v>#REF!</v>
      </c>
      <c r="O4" s="34"/>
      <c r="P4" s="34"/>
      <c r="Q4" s="34"/>
      <c r="R4" s="14" t="s">
        <v>19</v>
      </c>
      <c r="S4" s="14">
        <v>2250</v>
      </c>
      <c r="T4" s="8" t="s">
        <v>62</v>
      </c>
    </row>
    <row r="5" spans="2:23" x14ac:dyDescent="0.55000000000000004">
      <c r="B5" s="15" t="s">
        <v>63</v>
      </c>
      <c r="C5" s="16">
        <v>82</v>
      </c>
      <c r="D5" s="17" t="s">
        <v>64</v>
      </c>
      <c r="E5" s="17" t="s">
        <v>65</v>
      </c>
      <c r="F5" s="18">
        <v>1.0000000000000001E-5</v>
      </c>
      <c r="G5" s="17">
        <v>3.0000000000000001E-3</v>
      </c>
      <c r="H5" s="18">
        <f>G5*S$6</f>
        <v>2.1065094E+17</v>
      </c>
      <c r="I5" s="18">
        <f t="shared" ref="I5:I33" si="1">H5*3600</f>
        <v>7.5834338400000003E+20</v>
      </c>
      <c r="J5" s="18">
        <v>1.24E+18</v>
      </c>
      <c r="K5" s="18">
        <v>2.11E+21</v>
      </c>
      <c r="L5" s="18">
        <v>1.0499999999999999E+22</v>
      </c>
      <c r="M5" s="18">
        <v>2.11E+21</v>
      </c>
      <c r="N5" s="35">
        <f>M5/L5</f>
        <v>0.20095238095238097</v>
      </c>
      <c r="O5" s="36">
        <f>K5-L5</f>
        <v>-8.3899999999999984E+21</v>
      </c>
      <c r="P5" s="36">
        <f>O5/I5</f>
        <v>-11.06358963105294</v>
      </c>
      <c r="Q5" s="36"/>
      <c r="R5" s="14"/>
      <c r="S5" s="20">
        <v>1.4043396E+22</v>
      </c>
      <c r="T5" s="8" t="s">
        <v>66</v>
      </c>
    </row>
    <row r="6" spans="2:23" x14ac:dyDescent="0.55000000000000004">
      <c r="B6" s="15"/>
      <c r="C6" s="16">
        <v>83</v>
      </c>
      <c r="D6" s="17" t="s">
        <v>67</v>
      </c>
      <c r="E6" s="17" t="s">
        <v>65</v>
      </c>
      <c r="F6" s="18">
        <v>1.0000000000000001E-5</v>
      </c>
      <c r="G6" s="17">
        <v>1.14E-2</v>
      </c>
      <c r="H6" s="18">
        <f t="shared" si="0"/>
        <v>8.00473572E+17</v>
      </c>
      <c r="I6" s="18">
        <f t="shared" si="1"/>
        <v>2.8817048592000001E+21</v>
      </c>
      <c r="J6" s="18">
        <v>2.85E+17</v>
      </c>
      <c r="K6" s="18">
        <v>3E+21</v>
      </c>
      <c r="L6" s="18">
        <v>1.5E+22</v>
      </c>
      <c r="M6" s="18">
        <v>3E+21</v>
      </c>
      <c r="N6" s="35">
        <f t="shared" ref="N6:N18" si="2">M6/L6</f>
        <v>0.2</v>
      </c>
      <c r="O6" s="36">
        <f t="shared" ref="O6:O18" si="3">K6-L6</f>
        <v>-1.2E+22</v>
      </c>
      <c r="P6" s="36">
        <f t="shared" ref="P6:P18" si="4">O6/I6</f>
        <v>-4.1642016050635249</v>
      </c>
      <c r="Q6" s="36"/>
      <c r="R6" s="14" t="s">
        <v>68</v>
      </c>
      <c r="S6" s="20">
        <f>S5/200</f>
        <v>7.021698E+19</v>
      </c>
      <c r="T6" s="8" t="s">
        <v>69</v>
      </c>
    </row>
    <row r="7" spans="2:23" x14ac:dyDescent="0.55000000000000004">
      <c r="B7" s="15"/>
      <c r="C7" s="16">
        <v>84</v>
      </c>
      <c r="D7" s="17" t="s">
        <v>64</v>
      </c>
      <c r="E7" s="17" t="s">
        <v>65</v>
      </c>
      <c r="F7" s="18">
        <v>1.0000000000000001E-5</v>
      </c>
      <c r="G7" s="17">
        <v>1.0999999999999999E-2</v>
      </c>
      <c r="H7" s="18">
        <f t="shared" si="0"/>
        <v>7.7238678E+17</v>
      </c>
      <c r="I7" s="18">
        <f t="shared" si="1"/>
        <v>2.7805924079999999E+21</v>
      </c>
      <c r="J7" s="18">
        <v>2.81E+17</v>
      </c>
      <c r="K7" s="18">
        <v>2.9E+21</v>
      </c>
      <c r="L7" s="18">
        <v>1.4499999999999999E+22</v>
      </c>
      <c r="M7" s="18">
        <v>2.9E+21</v>
      </c>
      <c r="N7" s="35">
        <f t="shared" si="2"/>
        <v>0.2</v>
      </c>
      <c r="O7" s="36">
        <f t="shared" si="3"/>
        <v>-1.16E+22</v>
      </c>
      <c r="P7" s="36">
        <f t="shared" si="4"/>
        <v>-4.1717728807090957</v>
      </c>
      <c r="Q7" s="36"/>
      <c r="R7" s="10"/>
    </row>
    <row r="8" spans="2:23" x14ac:dyDescent="0.55000000000000004">
      <c r="B8" s="15"/>
      <c r="C8" s="16">
        <v>85</v>
      </c>
      <c r="D8" s="17">
        <v>10.76</v>
      </c>
      <c r="E8" s="17" t="s">
        <v>61</v>
      </c>
      <c r="F8" s="18">
        <v>7.3499999999999999E-6</v>
      </c>
      <c r="G8" s="17">
        <v>2.4899999999999999E-2</v>
      </c>
      <c r="H8" s="18">
        <f t="shared" si="0"/>
        <v>1.748402802E+18</v>
      </c>
      <c r="I8" s="18">
        <f t="shared" si="1"/>
        <v>6.2942500871999995E+21</v>
      </c>
      <c r="J8" s="18">
        <v>1.67E+17</v>
      </c>
      <c r="K8" s="18">
        <v>6.56E+21</v>
      </c>
      <c r="L8" s="37">
        <v>3.28E+22</v>
      </c>
      <c r="M8" s="37">
        <v>6.56E+21</v>
      </c>
      <c r="N8" s="35">
        <f>M8/L8</f>
        <v>0.2</v>
      </c>
      <c r="O8" s="36">
        <f t="shared" si="3"/>
        <v>-2.624E+22</v>
      </c>
      <c r="P8" s="36">
        <f t="shared" si="4"/>
        <v>-4.1688842414065688</v>
      </c>
      <c r="Q8" s="36"/>
      <c r="R8" s="14" t="s">
        <v>70</v>
      </c>
      <c r="S8" s="20">
        <v>1E-22</v>
      </c>
    </row>
    <row r="9" spans="2:23" s="112" customFormat="1" x14ac:dyDescent="0.55000000000000004">
      <c r="B9" s="109"/>
      <c r="C9" s="110">
        <v>86</v>
      </c>
      <c r="D9" s="111" t="s">
        <v>64</v>
      </c>
      <c r="E9" s="111" t="s">
        <v>65</v>
      </c>
      <c r="F9" s="38">
        <v>1.0000000000000001E-5</v>
      </c>
      <c r="G9" s="111">
        <v>3.2800000000000003E-2</v>
      </c>
      <c r="H9" s="38">
        <f t="shared" si="0"/>
        <v>2.3031169440000003E+18</v>
      </c>
      <c r="I9" s="38">
        <f t="shared" si="1"/>
        <v>8.2912209984000014E+21</v>
      </c>
      <c r="J9" s="38">
        <v>8.27E+17</v>
      </c>
      <c r="K9" s="38">
        <v>8.64E+21</v>
      </c>
      <c r="L9" s="38">
        <v>4.32E+22</v>
      </c>
      <c r="M9" s="38">
        <v>8.64E+21</v>
      </c>
      <c r="N9" s="35">
        <f>M9/L9</f>
        <v>0.2</v>
      </c>
      <c r="O9" s="40">
        <f t="shared" si="3"/>
        <v>-3.456E+22</v>
      </c>
      <c r="P9" s="40">
        <f t="shared" si="4"/>
        <v>-4.1682642407757813</v>
      </c>
      <c r="Q9" s="40"/>
      <c r="R9" s="113">
        <f>M9/3600</f>
        <v>2.4E+18</v>
      </c>
      <c r="S9" s="114" t="s">
        <v>262</v>
      </c>
    </row>
    <row r="10" spans="2:23" x14ac:dyDescent="0.55000000000000004">
      <c r="B10" s="15"/>
      <c r="C10" s="16">
        <v>87</v>
      </c>
      <c r="D10" s="17">
        <v>76</v>
      </c>
      <c r="E10" s="17" t="s">
        <v>71</v>
      </c>
      <c r="F10" s="17">
        <v>0.54700000000000004</v>
      </c>
      <c r="G10" s="17">
        <v>4.4999999999999998E-2</v>
      </c>
      <c r="H10" s="18">
        <f t="shared" si="0"/>
        <v>3.1597641E+18</v>
      </c>
      <c r="I10" s="18">
        <f t="shared" si="1"/>
        <v>1.1375150760000001E+22</v>
      </c>
      <c r="J10" s="18">
        <v>7.15E+19</v>
      </c>
      <c r="K10" s="18">
        <v>1.1E+22</v>
      </c>
      <c r="L10" s="18">
        <v>1.1100000000000001E+22</v>
      </c>
      <c r="M10" s="18">
        <v>8.35E+19</v>
      </c>
      <c r="N10" s="35">
        <f t="shared" si="2"/>
        <v>7.522522522522522E-3</v>
      </c>
      <c r="O10" s="36">
        <f t="shared" si="3"/>
        <v>-1.0000000000000105E+20</v>
      </c>
      <c r="P10" s="36">
        <f t="shared" si="4"/>
        <v>-8.7910922773564229E-3</v>
      </c>
      <c r="Q10" s="36"/>
      <c r="R10" s="116">
        <f>(R9*86*S19)/(6.022E+23)</f>
        <v>106606.86815011624</v>
      </c>
      <c r="S10" s="115" t="s">
        <v>260</v>
      </c>
    </row>
    <row r="11" spans="2:23" x14ac:dyDescent="0.55000000000000004">
      <c r="B11" s="15"/>
      <c r="C11" s="16">
        <v>88</v>
      </c>
      <c r="D11" s="17">
        <v>2.8</v>
      </c>
      <c r="E11" s="17" t="s">
        <v>72</v>
      </c>
      <c r="F11" s="17">
        <v>0.247</v>
      </c>
      <c r="G11" s="17">
        <v>5.7000000000000002E-2</v>
      </c>
      <c r="H11" s="18">
        <f t="shared" si="0"/>
        <v>4.00236786E+18</v>
      </c>
      <c r="I11" s="18">
        <f t="shared" si="1"/>
        <v>1.4408524295999999E+22</v>
      </c>
      <c r="J11" s="18">
        <v>8.81E+20</v>
      </c>
      <c r="K11" s="18">
        <v>1.4E+22</v>
      </c>
      <c r="L11" s="18">
        <v>1.7E+22</v>
      </c>
      <c r="M11" s="18">
        <v>7.72E+20</v>
      </c>
      <c r="N11" s="35">
        <f t="shared" si="2"/>
        <v>4.5411764705882353E-2</v>
      </c>
      <c r="O11" s="36">
        <f t="shared" si="3"/>
        <v>-3E+21</v>
      </c>
      <c r="P11" s="36">
        <f t="shared" si="4"/>
        <v>-0.20821008025317628</v>
      </c>
      <c r="Q11" s="36"/>
      <c r="R11" s="14"/>
    </row>
    <row r="12" spans="2:23" x14ac:dyDescent="0.55000000000000004">
      <c r="B12" s="15"/>
      <c r="C12" s="16">
        <v>89</v>
      </c>
      <c r="D12" s="17"/>
      <c r="E12" s="17"/>
      <c r="F12" s="17">
        <v>13</v>
      </c>
      <c r="G12" s="17">
        <v>6.2300000000000001E-2</v>
      </c>
      <c r="H12" s="18">
        <f t="shared" si="0"/>
        <v>4.374517854E+18</v>
      </c>
      <c r="I12" s="18">
        <f t="shared" si="1"/>
        <v>1.5748264274399999E+22</v>
      </c>
      <c r="J12" s="18">
        <v>9.49E+20</v>
      </c>
      <c r="K12" s="18">
        <v>1.14E+22</v>
      </c>
      <c r="L12" s="18">
        <v>8.16E+21</v>
      </c>
      <c r="M12" s="38">
        <v>0</v>
      </c>
      <c r="N12" s="39">
        <f t="shared" si="2"/>
        <v>0</v>
      </c>
      <c r="O12" s="40">
        <f>K12-L12</f>
        <v>3.24E+21</v>
      </c>
      <c r="P12" s="41">
        <f t="shared" si="4"/>
        <v>0.20573695891469554</v>
      </c>
      <c r="Q12" s="36"/>
      <c r="R12" s="14" t="s">
        <v>19</v>
      </c>
      <c r="S12" s="14">
        <v>2250</v>
      </c>
      <c r="T12" s="14">
        <v>2250</v>
      </c>
      <c r="U12" s="8" t="s">
        <v>62</v>
      </c>
    </row>
    <row r="13" spans="2:23" x14ac:dyDescent="0.55000000000000004">
      <c r="B13" s="15"/>
      <c r="C13" s="16">
        <v>90</v>
      </c>
      <c r="D13" s="17"/>
      <c r="E13" s="17"/>
      <c r="F13" s="17">
        <v>75.599999999999994</v>
      </c>
      <c r="G13" s="17">
        <v>5.5500000000000001E-2</v>
      </c>
      <c r="H13" s="18">
        <f t="shared" si="0"/>
        <v>3.89704239E+18</v>
      </c>
      <c r="I13" s="18">
        <f t="shared" si="1"/>
        <v>1.4029352604000001E+22</v>
      </c>
      <c r="J13" s="18">
        <v>5.66E+20</v>
      </c>
      <c r="K13" s="18">
        <v>4.74E+21</v>
      </c>
      <c r="L13" s="18">
        <v>1.43E+21</v>
      </c>
      <c r="M13" s="38">
        <v>0</v>
      </c>
      <c r="N13" s="39">
        <f t="shared" si="2"/>
        <v>0</v>
      </c>
      <c r="O13" s="40">
        <f t="shared" si="3"/>
        <v>3.31E+21</v>
      </c>
      <c r="P13" s="41">
        <f t="shared" si="4"/>
        <v>0.23593390895715774</v>
      </c>
      <c r="Q13" s="36"/>
      <c r="R13" s="14"/>
      <c r="S13" s="20">
        <v>1.4043396E+22</v>
      </c>
      <c r="T13" s="20">
        <f>S13</f>
        <v>1.4043396E+22</v>
      </c>
      <c r="U13" s="8" t="s">
        <v>66</v>
      </c>
      <c r="W13" s="20">
        <v>4.6811299999999999E+21</v>
      </c>
    </row>
    <row r="14" spans="2:23" x14ac:dyDescent="0.55000000000000004">
      <c r="B14" s="15"/>
      <c r="C14" s="16">
        <v>91</v>
      </c>
      <c r="D14" s="17"/>
      <c r="E14" s="17"/>
      <c r="F14" s="17">
        <v>249</v>
      </c>
      <c r="G14" s="17">
        <v>4.1000000000000002E-2</v>
      </c>
      <c r="H14" s="18">
        <f t="shared" si="0"/>
        <v>2.87889618E+18</v>
      </c>
      <c r="I14" s="18">
        <f t="shared" si="1"/>
        <v>1.0364026248E+22</v>
      </c>
      <c r="J14" s="18">
        <v>2.28E+20</v>
      </c>
      <c r="K14" s="18">
        <v>1.44E+21</v>
      </c>
      <c r="L14" s="18">
        <v>1.67E+20</v>
      </c>
      <c r="M14" s="38">
        <v>0</v>
      </c>
      <c r="N14" s="39">
        <f t="shared" si="2"/>
        <v>0</v>
      </c>
      <c r="O14" s="40">
        <f t="shared" si="3"/>
        <v>1.273E+21</v>
      </c>
      <c r="P14" s="41">
        <f t="shared" si="4"/>
        <v>0.12282871246545303</v>
      </c>
      <c r="Q14" s="36"/>
      <c r="R14" s="14" t="s">
        <v>68</v>
      </c>
      <c r="S14" s="20">
        <f>S13/200</f>
        <v>7.021698E+19</v>
      </c>
      <c r="T14" s="20">
        <f>S14</f>
        <v>7.021698E+19</v>
      </c>
      <c r="U14" s="8" t="s">
        <v>69</v>
      </c>
    </row>
    <row r="15" spans="2:23" x14ac:dyDescent="0.55000000000000004">
      <c r="B15" s="15"/>
      <c r="C15" s="16">
        <v>92</v>
      </c>
      <c r="D15" s="17"/>
      <c r="E15" s="17"/>
      <c r="F15" s="17">
        <v>832</v>
      </c>
      <c r="G15" s="17">
        <v>2.9600000000000001E-2</v>
      </c>
      <c r="H15" s="18">
        <f t="shared" si="0"/>
        <v>2.078422608E+18</v>
      </c>
      <c r="I15" s="18">
        <f t="shared" si="1"/>
        <v>7.4823213887999999E+21</v>
      </c>
      <c r="J15" s="18">
        <v>6.96E+19</v>
      </c>
      <c r="K15" s="18">
        <v>3.53E+20</v>
      </c>
      <c r="L15" s="18">
        <v>1.33E+19</v>
      </c>
      <c r="M15" s="38">
        <v>0</v>
      </c>
      <c r="N15" s="39">
        <f t="shared" si="2"/>
        <v>0</v>
      </c>
      <c r="O15" s="40">
        <f t="shared" si="3"/>
        <v>3.397E+20</v>
      </c>
      <c r="P15" s="41">
        <f t="shared" si="4"/>
        <v>4.5400348681691745E-2</v>
      </c>
      <c r="Q15" s="36"/>
      <c r="R15" s="14" t="s">
        <v>261</v>
      </c>
      <c r="S15" s="20">
        <f>S14*G9</f>
        <v>2.3031169440000003E+18</v>
      </c>
      <c r="T15" s="20">
        <f>T14*G29</f>
        <v>4.325365968E+18</v>
      </c>
      <c r="U15" s="107" t="s">
        <v>41</v>
      </c>
    </row>
    <row r="16" spans="2:23" x14ac:dyDescent="0.55000000000000004">
      <c r="B16" s="15"/>
      <c r="C16" s="16">
        <v>93</v>
      </c>
      <c r="D16" s="17"/>
      <c r="E16" s="17"/>
      <c r="F16" s="17">
        <v>1230</v>
      </c>
      <c r="G16" s="17">
        <v>1.4200000000000001E-2</v>
      </c>
      <c r="H16" s="18">
        <f t="shared" si="0"/>
        <v>9.97081116E+17</v>
      </c>
      <c r="I16" s="18">
        <f t="shared" si="1"/>
        <v>3.5894920175999999E+21</v>
      </c>
      <c r="J16" s="18">
        <v>2.43E+19</v>
      </c>
      <c r="K16" s="18">
        <v>1.17E+20</v>
      </c>
      <c r="L16" s="18">
        <v>3.02E+18</v>
      </c>
      <c r="M16" s="38">
        <v>0</v>
      </c>
      <c r="N16" s="39">
        <f t="shared" si="2"/>
        <v>0</v>
      </c>
      <c r="O16" s="40">
        <f t="shared" si="3"/>
        <v>1.1398E+20</v>
      </c>
      <c r="P16" s="41">
        <f t="shared" si="4"/>
        <v>3.1753796760414336E-2</v>
      </c>
      <c r="Q16" s="36"/>
      <c r="R16" s="14" t="s">
        <v>255</v>
      </c>
      <c r="S16" s="8">
        <v>9.9950909774809416E-3</v>
      </c>
      <c r="U16" s="107" t="s">
        <v>41</v>
      </c>
    </row>
    <row r="17" spans="2:21" x14ac:dyDescent="0.55000000000000004">
      <c r="B17" s="15"/>
      <c r="C17" s="16">
        <v>94</v>
      </c>
      <c r="D17" s="17"/>
      <c r="E17" s="17"/>
      <c r="F17" s="17">
        <v>2496</v>
      </c>
      <c r="G17" s="17">
        <v>6.1999999999999998E-3</v>
      </c>
      <c r="H17" s="18">
        <f t="shared" si="0"/>
        <v>4.35345276E+17</v>
      </c>
      <c r="I17" s="18">
        <f t="shared" si="1"/>
        <v>1.5672429935999999E+21</v>
      </c>
      <c r="J17" s="18">
        <v>5.82E+18</v>
      </c>
      <c r="K17" s="18">
        <v>2.57E+19</v>
      </c>
      <c r="L17" s="18">
        <v>3.32E+17</v>
      </c>
      <c r="M17" s="38">
        <v>0</v>
      </c>
      <c r="N17" s="39">
        <f t="shared" si="2"/>
        <v>0</v>
      </c>
      <c r="O17" s="40">
        <f t="shared" si="3"/>
        <v>2.5368E+19</v>
      </c>
      <c r="P17" s="41">
        <f t="shared" si="4"/>
        <v>1.6186385967965958E-2</v>
      </c>
      <c r="Q17" s="36"/>
      <c r="R17" s="42" t="s">
        <v>256</v>
      </c>
      <c r="S17" s="20">
        <f>S16*S15</f>
        <v>2.301986338705788E+16</v>
      </c>
      <c r="T17" s="20"/>
      <c r="U17" s="107" t="s">
        <v>41</v>
      </c>
    </row>
    <row r="18" spans="2:21" x14ac:dyDescent="0.55000000000000004">
      <c r="B18" s="15"/>
      <c r="C18" s="16">
        <v>95</v>
      </c>
      <c r="D18" s="17">
        <v>3.18</v>
      </c>
      <c r="E18" s="17" t="s">
        <v>71</v>
      </c>
      <c r="F18" s="17">
        <v>2490</v>
      </c>
      <c r="G18" s="17">
        <v>1.9E-3</v>
      </c>
      <c r="H18" s="18">
        <f t="shared" si="0"/>
        <v>1.33412262E+17</v>
      </c>
      <c r="I18" s="18">
        <f t="shared" si="1"/>
        <v>4.8028414320000002E+20</v>
      </c>
      <c r="J18" s="18">
        <v>1.78E+18</v>
      </c>
      <c r="K18" s="18">
        <v>7.87E+18</v>
      </c>
      <c r="L18" s="18">
        <v>1.02E+17</v>
      </c>
      <c r="M18" s="38">
        <v>0</v>
      </c>
      <c r="N18" s="39">
        <f t="shared" si="2"/>
        <v>0</v>
      </c>
      <c r="O18" s="40">
        <f t="shared" si="3"/>
        <v>7.768E+18</v>
      </c>
      <c r="P18" s="41">
        <f t="shared" si="4"/>
        <v>1.6173759034066731E-2</v>
      </c>
      <c r="Q18" s="36"/>
      <c r="R18" s="43" t="s">
        <v>257</v>
      </c>
      <c r="S18" s="8">
        <v>3600</v>
      </c>
      <c r="U18" s="107" t="s">
        <v>76</v>
      </c>
    </row>
    <row r="19" spans="2:21" s="25" customFormat="1" x14ac:dyDescent="0.55000000000000004">
      <c r="B19" s="15" t="s">
        <v>86</v>
      </c>
      <c r="C19" s="15"/>
      <c r="D19" s="15"/>
      <c r="E19" s="15"/>
      <c r="F19" s="26">
        <f>AVERAGE(F5:F18)</f>
        <v>527.59957481071422</v>
      </c>
      <c r="G19" s="26">
        <f>AVERAGE(G5:G18)</f>
        <v>2.8271428571428569E-2</v>
      </c>
      <c r="H19" s="26">
        <f t="shared" ref="H19:M19" si="5">AVERAGE(H5:H18)</f>
        <v>1.9851343345714294E+18</v>
      </c>
      <c r="I19" s="26">
        <f t="shared" si="5"/>
        <v>7.1464836044571416E+21</v>
      </c>
      <c r="J19" s="26">
        <f t="shared" si="5"/>
        <v>1.9998571428571431E+20</v>
      </c>
      <c r="K19" s="26">
        <f t="shared" si="5"/>
        <v>4.7352549999999996E+21</v>
      </c>
      <c r="L19" s="26">
        <f t="shared" si="5"/>
        <v>1.0990982428571428E+22</v>
      </c>
      <c r="M19" s="26">
        <f t="shared" si="5"/>
        <v>1.7189642857142857E+21</v>
      </c>
      <c r="N19" s="44">
        <f>AVERAGE(N5:N11)</f>
        <v>0.1505552383115408</v>
      </c>
      <c r="O19" s="26">
        <f>AVERAGE(O12:O18)</f>
        <v>1.1871165714285716E+21</v>
      </c>
      <c r="P19" s="44">
        <f>AVERAGE(P12:P18)</f>
        <v>9.6287695825920713E-2</v>
      </c>
      <c r="Q19" s="45"/>
      <c r="R19" s="46"/>
      <c r="S19" s="108">
        <f>S18*86400</f>
        <v>311040000</v>
      </c>
      <c r="T19" s="108"/>
      <c r="U19" s="25" t="s">
        <v>103</v>
      </c>
    </row>
    <row r="20" spans="2:21" x14ac:dyDescent="0.55000000000000004">
      <c r="B20" s="47"/>
      <c r="C20" s="47"/>
      <c r="D20" s="47"/>
      <c r="E20" s="47"/>
      <c r="F20" s="47"/>
      <c r="G20" s="47"/>
      <c r="H20" s="48"/>
      <c r="I20" s="48"/>
      <c r="J20" s="49"/>
      <c r="K20" s="49"/>
      <c r="L20" s="49"/>
      <c r="M20" s="49"/>
      <c r="N20" s="50"/>
      <c r="O20" s="51"/>
      <c r="P20" s="51"/>
      <c r="Q20" s="51"/>
      <c r="R20" s="24" t="s">
        <v>259</v>
      </c>
      <c r="S20" s="108">
        <f>S17*S19</f>
        <v>7.1600983079104827E+24</v>
      </c>
      <c r="T20" s="108"/>
      <c r="U20" s="25" t="s">
        <v>258</v>
      </c>
    </row>
    <row r="21" spans="2:21" x14ac:dyDescent="0.55000000000000004">
      <c r="B21" s="15" t="s">
        <v>74</v>
      </c>
      <c r="C21" s="15">
        <v>126</v>
      </c>
      <c r="D21" s="15"/>
      <c r="E21" s="15"/>
      <c r="F21" s="18">
        <v>1.0000000000000001E-5</v>
      </c>
      <c r="G21" s="52">
        <v>2E-3</v>
      </c>
      <c r="H21" s="18">
        <f t="shared" ref="H21:H38" si="6">G21*S$6</f>
        <v>1.4043396E+17</v>
      </c>
      <c r="I21" s="18">
        <f>H21*3600</f>
        <v>5.05562256E+20</v>
      </c>
      <c r="J21" s="18">
        <v>1.3E+17</v>
      </c>
      <c r="K21" s="18">
        <v>5.27E+20</v>
      </c>
      <c r="L21" s="18">
        <v>2.6300000000000001E+22</v>
      </c>
      <c r="M21" s="18">
        <v>5.26E+20</v>
      </c>
      <c r="N21" s="35">
        <f>M21/L21</f>
        <v>0.02</v>
      </c>
      <c r="O21" s="36">
        <f>K21-L21</f>
        <v>-2.5773000000000003E+22</v>
      </c>
      <c r="P21" s="36">
        <f>O21/I21</f>
        <v>-50.978884784468569</v>
      </c>
      <c r="Q21" s="36"/>
      <c r="R21" s="24"/>
      <c r="S21" s="108">
        <f>(S20*86)/(6.022E+23)</f>
        <v>1022.5314753907364</v>
      </c>
      <c r="T21" s="108"/>
      <c r="U21" s="25" t="s">
        <v>260</v>
      </c>
    </row>
    <row r="22" spans="2:21" x14ac:dyDescent="0.55000000000000004">
      <c r="B22" s="15"/>
      <c r="C22" s="16">
        <v>128</v>
      </c>
      <c r="D22" s="17" t="s">
        <v>64</v>
      </c>
      <c r="E22" s="17" t="s">
        <v>65</v>
      </c>
      <c r="F22" s="18">
        <v>1.0000000000000001E-5</v>
      </c>
      <c r="G22" s="17">
        <v>2.0000000000000001E-4</v>
      </c>
      <c r="H22" s="18">
        <f t="shared" si="6"/>
        <v>1.4043396E+16</v>
      </c>
      <c r="I22" s="18">
        <f>H22*3600</f>
        <v>5.05562256E+19</v>
      </c>
      <c r="J22" s="18">
        <v>1.36E+16</v>
      </c>
      <c r="K22" s="18">
        <v>5E+19</v>
      </c>
      <c r="L22" s="18">
        <v>2.5E+20</v>
      </c>
      <c r="M22" s="18">
        <v>4.99E+19</v>
      </c>
      <c r="N22" s="35">
        <f t="shared" ref="N22:N37" si="7">M22/L22</f>
        <v>0.1996</v>
      </c>
      <c r="O22" s="36">
        <f t="shared" ref="O22:O38" si="8">K22-L22</f>
        <v>-2E+20</v>
      </c>
      <c r="P22" s="36">
        <f t="shared" ref="P22:P38" si="9">O22/I22</f>
        <v>-3.955991524810349</v>
      </c>
      <c r="Q22" s="36"/>
      <c r="R22" s="14"/>
    </row>
    <row r="23" spans="2:21" x14ac:dyDescent="0.55000000000000004">
      <c r="B23" s="15"/>
      <c r="C23" s="16">
        <v>129</v>
      </c>
      <c r="D23" s="17" t="s">
        <v>64</v>
      </c>
      <c r="E23" s="17" t="s">
        <v>65</v>
      </c>
      <c r="F23" s="18">
        <v>1.0000000000000001E-5</v>
      </c>
      <c r="G23" s="17">
        <v>2.1000000000000001E-2</v>
      </c>
      <c r="H23" s="18">
        <f t="shared" si="6"/>
        <v>1.47455658E+18</v>
      </c>
      <c r="I23" s="18">
        <f t="shared" si="1"/>
        <v>5.3084036879999996E+21</v>
      </c>
      <c r="J23" s="18">
        <v>1.16E+18</v>
      </c>
      <c r="K23" s="18">
        <v>5.5299999999999995E+21</v>
      </c>
      <c r="L23" s="18">
        <v>2.76E+22</v>
      </c>
      <c r="M23" s="18">
        <v>5.52E+21</v>
      </c>
      <c r="N23" s="35">
        <f t="shared" si="7"/>
        <v>0.2</v>
      </c>
      <c r="O23" s="36">
        <f>K23-L23</f>
        <v>-2.2069999999999998E+22</v>
      </c>
      <c r="P23" s="36">
        <f t="shared" si="9"/>
        <v>-4.1575587120268764</v>
      </c>
      <c r="Q23" s="36"/>
      <c r="R23" s="14"/>
    </row>
    <row r="24" spans="2:21" x14ac:dyDescent="0.55000000000000004">
      <c r="B24" s="15"/>
      <c r="C24" s="16">
        <v>130</v>
      </c>
      <c r="D24" s="17" t="s">
        <v>75</v>
      </c>
      <c r="E24" s="17" t="s">
        <v>65</v>
      </c>
      <c r="F24" s="18">
        <v>1.0000000000000001E-5</v>
      </c>
      <c r="G24" s="17">
        <v>1E-3</v>
      </c>
      <c r="H24" s="18">
        <f t="shared" si="6"/>
        <v>7.021698E+16</v>
      </c>
      <c r="I24" s="18">
        <f t="shared" si="1"/>
        <v>2.52781128E+20</v>
      </c>
      <c r="J24" s="18">
        <v>7.38E+20</v>
      </c>
      <c r="K24" s="18">
        <v>2.71E+20</v>
      </c>
      <c r="L24" s="18">
        <v>1.35E+21</v>
      </c>
      <c r="M24" s="18">
        <v>2.71E+20</v>
      </c>
      <c r="N24" s="35">
        <f t="shared" si="7"/>
        <v>0.20074074074074075</v>
      </c>
      <c r="O24" s="36">
        <f t="shared" si="8"/>
        <v>-1.079E+21</v>
      </c>
      <c r="P24" s="36">
        <f t="shared" si="9"/>
        <v>-4.2685148552703662</v>
      </c>
      <c r="Q24" s="36"/>
      <c r="R24" s="14"/>
    </row>
    <row r="25" spans="2:21" x14ac:dyDescent="0.55000000000000004">
      <c r="B25" s="15"/>
      <c r="C25" s="16">
        <v>131</v>
      </c>
      <c r="D25" s="17" t="s">
        <v>64</v>
      </c>
      <c r="E25" s="17" t="s">
        <v>65</v>
      </c>
      <c r="F25" s="18">
        <v>1.0000000000000001E-5</v>
      </c>
      <c r="G25" s="17">
        <v>3.85E-2</v>
      </c>
      <c r="H25" s="18">
        <f t="shared" si="6"/>
        <v>2.70335373E+18</v>
      </c>
      <c r="I25" s="18">
        <f t="shared" si="1"/>
        <v>9.7320734279999999E+21</v>
      </c>
      <c r="J25" s="18">
        <v>3.16E+19</v>
      </c>
      <c r="K25" s="18">
        <v>1.0099999999999999E+22</v>
      </c>
      <c r="L25" s="18">
        <v>5.0499999999999999E+22</v>
      </c>
      <c r="M25" s="18">
        <v>1.0099999999999999E+22</v>
      </c>
      <c r="N25" s="35">
        <f t="shared" si="7"/>
        <v>0.19999999999999998</v>
      </c>
      <c r="O25" s="36">
        <f t="shared" si="8"/>
        <v>-4.0399999999999996E+22</v>
      </c>
      <c r="P25" s="36">
        <f t="shared" si="9"/>
        <v>-4.1512222753854049</v>
      </c>
      <c r="Q25" s="36"/>
      <c r="R25" s="14"/>
    </row>
    <row r="26" spans="2:21" x14ac:dyDescent="0.55000000000000004">
      <c r="B26" s="15"/>
      <c r="C26" s="16">
        <v>132</v>
      </c>
      <c r="D26" s="17" t="s">
        <v>64</v>
      </c>
      <c r="E26" s="17" t="s">
        <v>65</v>
      </c>
      <c r="F26" s="18">
        <v>1.0000000000000001E-5</v>
      </c>
      <c r="G26" s="17">
        <v>5.4800000000000001E-2</v>
      </c>
      <c r="H26" s="18">
        <f t="shared" si="6"/>
        <v>3.847890504E+18</v>
      </c>
      <c r="I26" s="18">
        <f t="shared" si="1"/>
        <v>1.3852405814399999E+22</v>
      </c>
      <c r="J26" s="18">
        <v>3.1E+18</v>
      </c>
      <c r="K26" s="18">
        <v>1.44E+22</v>
      </c>
      <c r="L26" s="18">
        <v>7.2E+22</v>
      </c>
      <c r="M26" s="18">
        <v>1.44E+22</v>
      </c>
      <c r="N26" s="35">
        <f t="shared" si="7"/>
        <v>0.2</v>
      </c>
      <c r="O26" s="36">
        <f t="shared" si="8"/>
        <v>-5.76E+22</v>
      </c>
      <c r="P26" s="36">
        <f t="shared" si="9"/>
        <v>-4.1581224786327757</v>
      </c>
      <c r="Q26" s="36"/>
      <c r="R26" s="14"/>
    </row>
    <row r="27" spans="2:21" x14ac:dyDescent="0.55000000000000004">
      <c r="B27" s="15"/>
      <c r="C27" s="16">
        <v>133</v>
      </c>
      <c r="D27" s="17">
        <v>5.27</v>
      </c>
      <c r="E27" s="17" t="s">
        <v>76</v>
      </c>
      <c r="F27" s="18">
        <v>5.4799999999999996E-3</v>
      </c>
      <c r="G27" s="17">
        <v>6.4799999999999996E-2</v>
      </c>
      <c r="H27" s="18">
        <f t="shared" si="6"/>
        <v>4.550060304E+18</v>
      </c>
      <c r="I27" s="18">
        <f t="shared" si="1"/>
        <v>1.6380217094399999E+22</v>
      </c>
      <c r="J27" s="18">
        <v>8.68E+20</v>
      </c>
      <c r="K27" s="18">
        <v>1.62E+22</v>
      </c>
      <c r="L27" s="18">
        <v>4.2100000000000003E+22</v>
      </c>
      <c r="M27" s="18">
        <v>6.4700000000000005E+21</v>
      </c>
      <c r="N27" s="35">
        <f t="shared" si="7"/>
        <v>0.15368171021377672</v>
      </c>
      <c r="O27" s="36">
        <f t="shared" si="8"/>
        <v>-2.5900000000000005E+22</v>
      </c>
      <c r="P27" s="36">
        <f t="shared" si="9"/>
        <v>-1.5811756248856184</v>
      </c>
      <c r="Q27" s="36"/>
      <c r="R27" s="14"/>
    </row>
    <row r="28" spans="2:21" x14ac:dyDescent="0.55000000000000004">
      <c r="B28" s="15"/>
      <c r="C28" s="16">
        <v>134</v>
      </c>
      <c r="D28" s="17" t="s">
        <v>64</v>
      </c>
      <c r="E28" s="17" t="s">
        <v>65</v>
      </c>
      <c r="F28" s="18">
        <v>1.0000000000000001E-5</v>
      </c>
      <c r="G28" s="17">
        <v>6.83E-2</v>
      </c>
      <c r="H28" s="18">
        <f t="shared" si="6"/>
        <v>4.795819734E+18</v>
      </c>
      <c r="I28" s="18">
        <f t="shared" si="1"/>
        <v>1.7264951042400001E+22</v>
      </c>
      <c r="J28" s="18">
        <v>3.87E+18</v>
      </c>
      <c r="K28" s="18">
        <v>1.8E+22</v>
      </c>
      <c r="L28" s="18">
        <v>8.9799999999999998E+22</v>
      </c>
      <c r="M28" s="18">
        <v>1.7900000000000001E+22</v>
      </c>
      <c r="N28" s="35">
        <f t="shared" si="7"/>
        <v>0.19933184855233854</v>
      </c>
      <c r="O28" s="36">
        <f t="shared" si="8"/>
        <v>-7.1800000000000002E+22</v>
      </c>
      <c r="P28" s="36">
        <f t="shared" si="9"/>
        <v>-4.1587143701520217</v>
      </c>
      <c r="Q28" s="36"/>
      <c r="R28" s="14"/>
    </row>
    <row r="29" spans="2:21" s="112" customFormat="1" x14ac:dyDescent="0.55000000000000004">
      <c r="B29" s="109"/>
      <c r="C29" s="110">
        <v>135</v>
      </c>
      <c r="D29" s="111">
        <v>9.14</v>
      </c>
      <c r="E29" s="111" t="s">
        <v>77</v>
      </c>
      <c r="F29" s="111">
        <v>7.5300000000000006E-2</v>
      </c>
      <c r="G29" s="111">
        <v>6.1600000000000002E-2</v>
      </c>
      <c r="H29" s="38">
        <f>G29*S$6</f>
        <v>4.325365968E+18</v>
      </c>
      <c r="I29" s="38">
        <f t="shared" si="1"/>
        <v>1.55713174848E+22</v>
      </c>
      <c r="J29" s="38">
        <v>1.93E+21</v>
      </c>
      <c r="K29" s="38">
        <v>1.4099999999999999E+22</v>
      </c>
      <c r="L29" s="38">
        <v>1.4300000000000001E+22</v>
      </c>
      <c r="M29" s="38">
        <v>7.68E+19</v>
      </c>
      <c r="N29" s="35">
        <f>M29/L29</f>
        <v>5.3706293706293701E-3</v>
      </c>
      <c r="O29" s="40">
        <f t="shared" si="8"/>
        <v>-2.000000000000021E+20</v>
      </c>
      <c r="P29" s="40">
        <f t="shared" si="9"/>
        <v>-1.2844128327306463E-2</v>
      </c>
      <c r="Q29" s="40">
        <f>K29+J29-5*M29</f>
        <v>1.5645999999999998E+22</v>
      </c>
      <c r="R29" s="113">
        <f>L29/3600</f>
        <v>3.9722222222222223E+18</v>
      </c>
    </row>
    <row r="30" spans="2:21" x14ac:dyDescent="0.55000000000000004">
      <c r="B30" s="15"/>
      <c r="C30" s="16">
        <v>136</v>
      </c>
      <c r="D30" s="17" t="s">
        <v>64</v>
      </c>
      <c r="E30" s="17" t="s">
        <v>65</v>
      </c>
      <c r="F30" s="18">
        <v>1.0000000000000001E-5</v>
      </c>
      <c r="G30" s="17">
        <v>7.0000000000000007E-2</v>
      </c>
      <c r="H30" s="18">
        <f t="shared" si="6"/>
        <v>4.9151886E+18</v>
      </c>
      <c r="I30" s="18">
        <f t="shared" si="1"/>
        <v>1.7694678959999999E+22</v>
      </c>
      <c r="J30" s="18">
        <v>3.94E+18</v>
      </c>
      <c r="K30" s="18">
        <v>1.84E+22</v>
      </c>
      <c r="L30" s="18">
        <v>9.2000000000000008E+22</v>
      </c>
      <c r="M30" s="18">
        <v>1.84E+22</v>
      </c>
      <c r="N30" s="35">
        <f t="shared" si="7"/>
        <v>0.19999999999999998</v>
      </c>
      <c r="O30" s="36">
        <f t="shared" si="8"/>
        <v>-7.3600000000000008E+22</v>
      </c>
      <c r="P30" s="36">
        <f t="shared" si="9"/>
        <v>-4.1594425175148819</v>
      </c>
      <c r="Q30" s="36"/>
      <c r="R30" s="116">
        <f>(R29*86*S19)/(6.022E+23)</f>
        <v>176444.23779475258</v>
      </c>
    </row>
    <row r="31" spans="2:21" x14ac:dyDescent="0.55000000000000004">
      <c r="B31" s="15"/>
      <c r="C31" s="16">
        <v>137</v>
      </c>
      <c r="D31" s="17">
        <v>4.2</v>
      </c>
      <c r="E31" s="17" t="s">
        <v>71</v>
      </c>
      <c r="F31" s="17">
        <v>9.9</v>
      </c>
      <c r="G31" s="17">
        <v>7.1599999999999997E-2</v>
      </c>
      <c r="H31" s="18">
        <f t="shared" si="6"/>
        <v>5.027535768E+18</v>
      </c>
      <c r="I31" s="18">
        <f t="shared" si="1"/>
        <v>1.80991287648E+22</v>
      </c>
      <c r="J31" s="18">
        <v>2.04E+21</v>
      </c>
      <c r="K31" s="18">
        <v>1.34E+22</v>
      </c>
      <c r="L31" s="18">
        <v>1.0300000000000001E+22</v>
      </c>
      <c r="M31" s="38">
        <v>0</v>
      </c>
      <c r="N31" s="39">
        <f t="shared" si="7"/>
        <v>0</v>
      </c>
      <c r="O31" s="40">
        <f t="shared" si="8"/>
        <v>3.099999999999999E+21</v>
      </c>
      <c r="P31" s="40">
        <f t="shared" si="9"/>
        <v>0.1712789626663698</v>
      </c>
      <c r="Q31" s="36"/>
      <c r="R31" s="14"/>
    </row>
    <row r="32" spans="2:21" x14ac:dyDescent="0.55000000000000004">
      <c r="B32" s="15"/>
      <c r="C32" s="16">
        <v>138</v>
      </c>
      <c r="D32" s="17">
        <v>17</v>
      </c>
      <c r="E32" s="17" t="s">
        <v>71</v>
      </c>
      <c r="F32" s="17">
        <v>2.4460000000000002</v>
      </c>
      <c r="G32" s="17">
        <v>6.6299999999999998E-2</v>
      </c>
      <c r="H32" s="18">
        <f t="shared" si="6"/>
        <v>4.655385774E+18</v>
      </c>
      <c r="I32" s="18">
        <f t="shared" si="1"/>
        <v>1.67593887864E+22</v>
      </c>
      <c r="J32" s="18">
        <v>2.02E+21</v>
      </c>
      <c r="K32" s="18">
        <v>1.4499999999999999E+22</v>
      </c>
      <c r="L32" s="18">
        <v>1.3500000000000001E+22</v>
      </c>
      <c r="M32" s="38">
        <v>0</v>
      </c>
      <c r="N32" s="39">
        <f t="shared" si="7"/>
        <v>0</v>
      </c>
      <c r="O32" s="40">
        <f t="shared" si="8"/>
        <v>9.999999999999979E+20</v>
      </c>
      <c r="P32" s="40">
        <f t="shared" si="9"/>
        <v>5.9668047131377688E-2</v>
      </c>
      <c r="Q32" s="36"/>
      <c r="R32" s="14"/>
    </row>
    <row r="33" spans="2:20" x14ac:dyDescent="0.55000000000000004">
      <c r="B33" s="15"/>
      <c r="C33" s="15">
        <v>139</v>
      </c>
      <c r="D33" s="15"/>
      <c r="E33" s="15"/>
      <c r="F33" s="52">
        <v>60.85</v>
      </c>
      <c r="G33" s="52">
        <v>4.9299999999999997E-2</v>
      </c>
      <c r="H33" s="18">
        <f t="shared" si="6"/>
        <v>3.461697114E+18</v>
      </c>
      <c r="I33" s="18">
        <f t="shared" si="1"/>
        <v>1.2462109610399999E+22</v>
      </c>
      <c r="J33" s="18">
        <v>9.01E+20</v>
      </c>
      <c r="K33" s="18">
        <v>4.7500000000000005E+21</v>
      </c>
      <c r="L33" s="18">
        <v>1.66E+21</v>
      </c>
      <c r="M33" s="38">
        <v>0</v>
      </c>
      <c r="N33" s="39">
        <f t="shared" si="7"/>
        <v>0</v>
      </c>
      <c r="O33" s="40">
        <f t="shared" si="8"/>
        <v>3.0900000000000005E+21</v>
      </c>
      <c r="P33" s="40">
        <f t="shared" si="9"/>
        <v>0.24795159861387386</v>
      </c>
      <c r="Q33" s="36"/>
      <c r="R33" s="24"/>
      <c r="S33" s="25"/>
      <c r="T33" s="25"/>
    </row>
    <row r="34" spans="2:20" x14ac:dyDescent="0.55000000000000004">
      <c r="B34" s="53"/>
      <c r="C34" s="15">
        <v>140</v>
      </c>
      <c r="D34" s="53"/>
      <c r="E34" s="53"/>
      <c r="F34" s="17">
        <v>156</v>
      </c>
      <c r="G34" s="17">
        <v>3.5200000000000002E-2</v>
      </c>
      <c r="H34" s="18">
        <f t="shared" si="6"/>
        <v>2.471637696E+18</v>
      </c>
      <c r="I34" s="18">
        <f>H34*3600</f>
        <v>8.8978957056000005E+21</v>
      </c>
      <c r="J34" s="54">
        <v>3.87E+20</v>
      </c>
      <c r="K34" s="54">
        <v>1.8E+21</v>
      </c>
      <c r="L34" s="54">
        <v>3.12E+20</v>
      </c>
      <c r="M34" s="55">
        <v>0</v>
      </c>
      <c r="N34" s="39">
        <f t="shared" si="7"/>
        <v>0</v>
      </c>
      <c r="O34" s="40">
        <f t="shared" si="8"/>
        <v>1.488E+21</v>
      </c>
      <c r="P34" s="40">
        <f t="shared" si="9"/>
        <v>0.16723055082152838</v>
      </c>
      <c r="Q34" s="36"/>
    </row>
    <row r="35" spans="2:20" x14ac:dyDescent="0.55000000000000004">
      <c r="B35" s="53"/>
      <c r="C35" s="16">
        <v>141</v>
      </c>
      <c r="D35" s="53"/>
      <c r="E35" s="53"/>
      <c r="F35" s="17">
        <v>1250</v>
      </c>
      <c r="G35" s="17">
        <v>1.7999999999999999E-2</v>
      </c>
      <c r="H35" s="18">
        <f t="shared" si="6"/>
        <v>1.26390564E+18</v>
      </c>
      <c r="I35" s="18">
        <f>H35*3600</f>
        <v>4.5500603039999999E+21</v>
      </c>
      <c r="J35" s="54">
        <v>3.73E+19</v>
      </c>
      <c r="K35" s="54">
        <v>1.46E+20</v>
      </c>
      <c r="L35" s="54">
        <v>3.71E+18</v>
      </c>
      <c r="M35" s="55">
        <v>0</v>
      </c>
      <c r="N35" s="39">
        <f t="shared" si="7"/>
        <v>0</v>
      </c>
      <c r="O35" s="40">
        <f>K35-L35</f>
        <v>1.4229E+20</v>
      </c>
      <c r="P35" s="40">
        <f>O35/I35</f>
        <v>3.1272113003625812E-2</v>
      </c>
      <c r="Q35" s="36"/>
    </row>
    <row r="36" spans="2:20" x14ac:dyDescent="0.55000000000000004">
      <c r="B36" s="53"/>
      <c r="C36" s="16">
        <v>142</v>
      </c>
      <c r="D36" s="53"/>
      <c r="E36" s="53"/>
      <c r="F36" s="17">
        <v>1660</v>
      </c>
      <c r="G36" s="17">
        <v>1.6299999999999999E-2</v>
      </c>
      <c r="H36" s="18">
        <f t="shared" si="6"/>
        <v>1.1445367739999999E+18</v>
      </c>
      <c r="I36" s="18">
        <f t="shared" ref="I36:I38" si="10">H36*3600</f>
        <v>4.1203323863999998E+21</v>
      </c>
      <c r="J36" s="54">
        <v>2.6E+19</v>
      </c>
      <c r="K36" s="54">
        <v>1E+20</v>
      </c>
      <c r="L36" s="54">
        <v>1.94E+18</v>
      </c>
      <c r="M36" s="55">
        <v>0</v>
      </c>
      <c r="N36" s="39">
        <f t="shared" si="7"/>
        <v>0</v>
      </c>
      <c r="O36" s="40">
        <f t="shared" si="8"/>
        <v>9.806E+19</v>
      </c>
      <c r="P36" s="40">
        <f t="shared" si="9"/>
        <v>2.379905085416582E-2</v>
      </c>
      <c r="Q36" s="36"/>
    </row>
    <row r="37" spans="2:20" x14ac:dyDescent="0.55000000000000004">
      <c r="B37" s="53"/>
      <c r="C37" s="16">
        <v>143</v>
      </c>
      <c r="D37" s="53"/>
      <c r="E37" s="53"/>
      <c r="F37" s="17">
        <v>2490</v>
      </c>
      <c r="G37" s="17">
        <v>1.6999999999999999E-3</v>
      </c>
      <c r="H37" s="18">
        <f t="shared" si="6"/>
        <v>1.19368866E+17</v>
      </c>
      <c r="I37" s="18">
        <f t="shared" si="10"/>
        <v>4.2972791759999998E+20</v>
      </c>
      <c r="J37" s="54">
        <v>1.84E+18</v>
      </c>
      <c r="K37" s="54">
        <v>6.96E+18</v>
      </c>
      <c r="L37" s="54">
        <v>9.01E+16</v>
      </c>
      <c r="M37" s="55">
        <v>0</v>
      </c>
      <c r="N37" s="39">
        <f t="shared" si="7"/>
        <v>0</v>
      </c>
      <c r="O37" s="40">
        <f t="shared" si="8"/>
        <v>6.8699E+18</v>
      </c>
      <c r="P37" s="40">
        <f>O37/I37</f>
        <v>1.5986627162526246E-2</v>
      </c>
      <c r="Q37" s="36"/>
      <c r="R37" s="56"/>
    </row>
    <row r="38" spans="2:20" x14ac:dyDescent="0.55000000000000004">
      <c r="B38" s="53"/>
      <c r="C38" s="16">
        <v>144</v>
      </c>
      <c r="D38" s="53"/>
      <c r="E38" s="53"/>
      <c r="F38" s="17">
        <v>2490</v>
      </c>
      <c r="G38" s="17">
        <v>1E-4</v>
      </c>
      <c r="H38" s="18">
        <f t="shared" si="6"/>
        <v>7021698000000000</v>
      </c>
      <c r="I38" s="18">
        <f t="shared" si="10"/>
        <v>2.52781128E+19</v>
      </c>
      <c r="J38" s="54">
        <v>7.56E+16</v>
      </c>
      <c r="K38" s="54">
        <v>2.9E+17</v>
      </c>
      <c r="L38" s="54">
        <v>3760000000000000</v>
      </c>
      <c r="M38" s="55">
        <v>0</v>
      </c>
      <c r="N38" s="39">
        <f>M38/L38</f>
        <v>0</v>
      </c>
      <c r="O38" s="40">
        <f t="shared" si="8"/>
        <v>2.8624E+17</v>
      </c>
      <c r="P38" s="40">
        <f t="shared" si="9"/>
        <v>1.1323630140617142E-2</v>
      </c>
      <c r="Q38" s="36"/>
      <c r="R38" s="36"/>
    </row>
    <row r="39" spans="2:20" s="25" customFormat="1" x14ac:dyDescent="0.55000000000000004">
      <c r="B39" s="57"/>
      <c r="C39" s="57"/>
      <c r="D39" s="57"/>
      <c r="E39" s="57"/>
      <c r="F39" s="58">
        <f>SUM(F21:F38)</f>
        <v>8119.2768599999999</v>
      </c>
      <c r="G39" s="58">
        <f t="shared" ref="G39:K39" si="11">SUM(G21:G38)</f>
        <v>0.64070000000000005</v>
      </c>
      <c r="H39" s="58">
        <f t="shared" si="11"/>
        <v>4.4988019086000013E+19</v>
      </c>
      <c r="I39" s="58">
        <f t="shared" si="11"/>
        <v>1.6195686870959998E+23</v>
      </c>
      <c r="J39" s="58">
        <f t="shared" si="11"/>
        <v>8.9930291999999986E+21</v>
      </c>
      <c r="K39" s="58">
        <f t="shared" si="11"/>
        <v>1.3228125E+23</v>
      </c>
      <c r="L39" s="58">
        <f>SUM(L21:L38)</f>
        <v>4.4197774385999992E+23</v>
      </c>
      <c r="M39" s="58">
        <f>SUM(M21:M30)</f>
        <v>7.3713699999999993E+22</v>
      </c>
      <c r="N39" s="59">
        <f>AVERAGE(N21:N30)</f>
        <v>0.15787249288774852</v>
      </c>
      <c r="O39" s="60">
        <f>SUM(O31:O38)</f>
        <v>8.9255061399999967E+21</v>
      </c>
      <c r="P39" s="42">
        <f>AVERAGE(P31:P38)</f>
        <v>9.1063822549260584E-2</v>
      </c>
      <c r="Q39" s="61"/>
      <c r="R39" s="46"/>
    </row>
  </sheetData>
  <mergeCells count="11">
    <mergeCell ref="I2:I3"/>
    <mergeCell ref="J2:M2"/>
    <mergeCell ref="N2:N3"/>
    <mergeCell ref="O2:O3"/>
    <mergeCell ref="P2:P3"/>
    <mergeCell ref="H2:H3"/>
    <mergeCell ref="B2:C2"/>
    <mergeCell ref="D2:D3"/>
    <mergeCell ref="E2:E3"/>
    <mergeCell ref="F2:F3"/>
    <mergeCell ref="G2:G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7495-2875-E042-AA89-646F0CDACF90}">
  <dimension ref="A1:Q26"/>
  <sheetViews>
    <sheetView zoomScale="115" zoomScaleNormal="115" zoomScaleSheetLayoutView="100" workbookViewId="0">
      <selection activeCell="F6" sqref="F6"/>
    </sheetView>
  </sheetViews>
  <sheetFormatPr defaultColWidth="8.84765625" defaultRowHeight="14.4" x14ac:dyDescent="0.55000000000000004"/>
  <cols>
    <col min="1" max="3" width="8.84765625" style="8"/>
    <col min="4" max="4" width="9.5" style="8" bestFit="1" customWidth="1"/>
    <col min="5" max="5" width="9.5" style="8" customWidth="1"/>
    <col min="6" max="6" width="8.84765625" style="8"/>
    <col min="7" max="7" width="8.84765625" style="8" bestFit="1" customWidth="1"/>
    <col min="8" max="10" width="11.1484375" style="8" customWidth="1"/>
    <col min="11" max="11" width="10" style="8" customWidth="1"/>
    <col min="12" max="13" width="8.84765625" style="8"/>
    <col min="14" max="14" width="13.1484375" style="8" customWidth="1"/>
    <col min="15" max="16384" width="8.84765625" style="8"/>
  </cols>
  <sheetData>
    <row r="1" spans="1:17" x14ac:dyDescent="0.55000000000000004">
      <c r="A1" s="6"/>
      <c r="B1" s="6"/>
      <c r="C1" s="6"/>
      <c r="D1" s="6"/>
      <c r="E1" s="6"/>
      <c r="F1" s="6"/>
      <c r="G1" s="7"/>
      <c r="H1" s="7"/>
      <c r="I1" s="7"/>
      <c r="J1" s="7"/>
      <c r="K1" s="6"/>
      <c r="L1" s="7"/>
      <c r="M1" s="7"/>
      <c r="N1" s="7"/>
      <c r="O1" s="6"/>
    </row>
    <row r="2" spans="1:17" ht="26.05" customHeight="1" x14ac:dyDescent="0.55000000000000004">
      <c r="A2" s="6"/>
      <c r="B2" s="149" t="s">
        <v>46</v>
      </c>
      <c r="C2" s="149"/>
      <c r="D2" s="150" t="s">
        <v>47</v>
      </c>
      <c r="E2" s="150" t="s">
        <v>44</v>
      </c>
      <c r="F2" s="150" t="s">
        <v>48</v>
      </c>
      <c r="G2" s="151" t="s">
        <v>49</v>
      </c>
      <c r="H2" s="151" t="s">
        <v>50</v>
      </c>
      <c r="I2" s="156" t="s">
        <v>51</v>
      </c>
      <c r="J2" s="9"/>
      <c r="K2" s="151" t="s">
        <v>52</v>
      </c>
      <c r="L2" s="151"/>
      <c r="M2" s="151"/>
      <c r="N2" s="155" t="s">
        <v>53</v>
      </c>
      <c r="O2" s="10"/>
    </row>
    <row r="3" spans="1:17" ht="43.2" x14ac:dyDescent="0.55000000000000004">
      <c r="A3" s="6"/>
      <c r="B3" s="11" t="s">
        <v>54</v>
      </c>
      <c r="C3" s="11" t="s">
        <v>55</v>
      </c>
      <c r="D3" s="150"/>
      <c r="E3" s="150"/>
      <c r="F3" s="150"/>
      <c r="G3" s="151"/>
      <c r="H3" s="151"/>
      <c r="I3" s="157"/>
      <c r="J3" s="12" t="s">
        <v>56</v>
      </c>
      <c r="K3" s="13" t="s">
        <v>57</v>
      </c>
      <c r="L3" s="13" t="s">
        <v>58</v>
      </c>
      <c r="M3" s="13" t="s">
        <v>59</v>
      </c>
      <c r="N3" s="155"/>
      <c r="O3" s="14"/>
    </row>
    <row r="4" spans="1:17" x14ac:dyDescent="0.55000000000000004">
      <c r="A4" s="7"/>
      <c r="B4" s="15" t="s">
        <v>60</v>
      </c>
      <c r="C4" s="16">
        <v>3</v>
      </c>
      <c r="D4" s="17">
        <v>12.26</v>
      </c>
      <c r="E4" s="17" t="s">
        <v>61</v>
      </c>
      <c r="F4" s="18">
        <v>6.4500000000000001E-6</v>
      </c>
      <c r="G4" s="17">
        <v>0.8</v>
      </c>
      <c r="H4" s="18">
        <f t="shared" ref="H4:H24" si="0">G4*P$6/100</f>
        <v>5.6173584E+17</v>
      </c>
      <c r="I4" s="18">
        <f>H4*3600</f>
        <v>2.022249024E+21</v>
      </c>
      <c r="J4" s="19">
        <f>I4*$P$8</f>
        <v>0.20222490240000002</v>
      </c>
      <c r="K4" s="19">
        <v>0.21</v>
      </c>
      <c r="L4" s="19">
        <v>0.21</v>
      </c>
      <c r="M4" s="19">
        <v>0.21</v>
      </c>
      <c r="N4" s="14">
        <f>K4/J4</f>
        <v>1.0384477752627166</v>
      </c>
      <c r="O4" s="14" t="s">
        <v>19</v>
      </c>
      <c r="P4" s="14">
        <v>2250</v>
      </c>
      <c r="Q4" s="8" t="s">
        <v>62</v>
      </c>
    </row>
    <row r="5" spans="1:17" x14ac:dyDescent="0.55000000000000004">
      <c r="A5" s="7"/>
      <c r="B5" s="15" t="s">
        <v>63</v>
      </c>
      <c r="C5" s="16">
        <v>82</v>
      </c>
      <c r="D5" s="17" t="s">
        <v>64</v>
      </c>
      <c r="E5" s="17" t="s">
        <v>65</v>
      </c>
      <c r="F5" s="17">
        <v>0</v>
      </c>
      <c r="G5" s="17">
        <v>0.3</v>
      </c>
      <c r="H5" s="18">
        <f t="shared" si="0"/>
        <v>2.1065094E+17</v>
      </c>
      <c r="I5" s="18">
        <f t="shared" ref="I5:I25" si="1">H5*3600</f>
        <v>7.5834338400000003E+20</v>
      </c>
      <c r="J5" s="19">
        <f t="shared" ref="J5:J25" si="2">I5*$P$8</f>
        <v>7.5834338400000006E-2</v>
      </c>
      <c r="K5" s="19">
        <v>0.35</v>
      </c>
      <c r="L5" s="19">
        <v>0.35</v>
      </c>
      <c r="M5" s="19">
        <v>0.35</v>
      </c>
      <c r="N5" s="14">
        <f>K5/J5</f>
        <v>4.6153234456120735</v>
      </c>
      <c r="O5" s="14"/>
      <c r="P5" s="20">
        <v>1.4043396E+22</v>
      </c>
      <c r="Q5" s="8" t="s">
        <v>66</v>
      </c>
    </row>
    <row r="6" spans="1:17" x14ac:dyDescent="0.55000000000000004">
      <c r="A6" s="6"/>
      <c r="B6" s="15"/>
      <c r="C6" s="16">
        <v>83</v>
      </c>
      <c r="D6" s="17" t="s">
        <v>67</v>
      </c>
      <c r="E6" s="17" t="s">
        <v>65</v>
      </c>
      <c r="F6" s="17">
        <v>0</v>
      </c>
      <c r="G6" s="17">
        <v>1.1399999999999999</v>
      </c>
      <c r="H6" s="18">
        <f t="shared" si="0"/>
        <v>8.0047357199999987E+17</v>
      </c>
      <c r="I6" s="18">
        <f t="shared" si="1"/>
        <v>2.8817048591999996E+21</v>
      </c>
      <c r="J6" s="19">
        <f t="shared" si="2"/>
        <v>0.28817048592</v>
      </c>
      <c r="K6" s="19">
        <v>1.5</v>
      </c>
      <c r="L6" s="19">
        <v>1.5</v>
      </c>
      <c r="M6" s="19">
        <v>1.5</v>
      </c>
      <c r="N6" s="14">
        <f t="shared" ref="N6:N25" si="3">K6/J6</f>
        <v>5.205252006329407</v>
      </c>
      <c r="O6" s="14" t="s">
        <v>68</v>
      </c>
      <c r="P6" s="20">
        <f>P5/200</f>
        <v>7.021698E+19</v>
      </c>
      <c r="Q6" s="8" t="s">
        <v>69</v>
      </c>
    </row>
    <row r="7" spans="1:17" x14ac:dyDescent="0.55000000000000004">
      <c r="A7" s="6"/>
      <c r="B7" s="15"/>
      <c r="C7" s="16">
        <v>84</v>
      </c>
      <c r="D7" s="17" t="s">
        <v>64</v>
      </c>
      <c r="E7" s="17" t="s">
        <v>65</v>
      </c>
      <c r="F7" s="17">
        <v>0</v>
      </c>
      <c r="G7" s="17">
        <v>1.1000000000000001</v>
      </c>
      <c r="H7" s="18">
        <f t="shared" si="0"/>
        <v>7.7238678000000013E+17</v>
      </c>
      <c r="I7" s="18">
        <f t="shared" si="1"/>
        <v>2.7805924080000004E+21</v>
      </c>
      <c r="J7" s="19">
        <f t="shared" si="2"/>
        <v>0.27805924080000005</v>
      </c>
      <c r="K7" s="19">
        <v>1.45</v>
      </c>
      <c r="L7" s="19">
        <v>1.45</v>
      </c>
      <c r="M7" s="19">
        <v>1.45</v>
      </c>
      <c r="N7" s="14">
        <f t="shared" si="3"/>
        <v>5.2147161008863678</v>
      </c>
      <c r="O7" s="10"/>
    </row>
    <row r="8" spans="1:17" x14ac:dyDescent="0.55000000000000004">
      <c r="A8" s="6"/>
      <c r="B8" s="15"/>
      <c r="C8" s="16">
        <v>85</v>
      </c>
      <c r="D8" s="17">
        <v>10.76</v>
      </c>
      <c r="E8" s="17" t="s">
        <v>61</v>
      </c>
      <c r="F8" s="18">
        <v>7.3499999999999999E-6</v>
      </c>
      <c r="G8" s="17">
        <v>2.4900000000000002</v>
      </c>
      <c r="H8" s="18">
        <f t="shared" si="0"/>
        <v>1.748402802E+18</v>
      </c>
      <c r="I8" s="18">
        <f t="shared" si="1"/>
        <v>6.2942500871999995E+21</v>
      </c>
      <c r="J8" s="19">
        <f t="shared" si="2"/>
        <v>0.62942500871999996</v>
      </c>
      <c r="K8" s="19">
        <v>3.28</v>
      </c>
      <c r="L8" s="19">
        <v>3.28</v>
      </c>
      <c r="M8" s="21">
        <v>3.28</v>
      </c>
      <c r="N8" s="14">
        <f t="shared" si="3"/>
        <v>5.2111053017582112</v>
      </c>
      <c r="O8" s="14" t="s">
        <v>70</v>
      </c>
      <c r="P8" s="20">
        <v>1E-22</v>
      </c>
    </row>
    <row r="9" spans="1:17" x14ac:dyDescent="0.55000000000000004">
      <c r="A9" s="6"/>
      <c r="B9" s="15"/>
      <c r="C9" s="16">
        <v>86</v>
      </c>
      <c r="D9" s="17" t="s">
        <v>64</v>
      </c>
      <c r="E9" s="17" t="s">
        <v>65</v>
      </c>
      <c r="F9" s="17">
        <v>0</v>
      </c>
      <c r="G9" s="17">
        <v>3.28</v>
      </c>
      <c r="H9" s="18">
        <f t="shared" si="0"/>
        <v>2.303116944E+18</v>
      </c>
      <c r="I9" s="18">
        <f t="shared" si="1"/>
        <v>8.2912209984000004E+21</v>
      </c>
      <c r="J9" s="19">
        <f t="shared" si="2"/>
        <v>0.82912209984000007</v>
      </c>
      <c r="K9" s="19">
        <v>4.32</v>
      </c>
      <c r="L9" s="19">
        <v>4.32</v>
      </c>
      <c r="M9" s="19">
        <v>4.32</v>
      </c>
      <c r="N9" s="14">
        <f t="shared" si="3"/>
        <v>5.2103303009697282</v>
      </c>
      <c r="O9" s="14"/>
    </row>
    <row r="10" spans="1:17" x14ac:dyDescent="0.55000000000000004">
      <c r="A10" s="6"/>
      <c r="B10" s="15"/>
      <c r="C10" s="16">
        <v>87</v>
      </c>
      <c r="D10" s="17">
        <v>76</v>
      </c>
      <c r="E10" s="17" t="s">
        <v>71</v>
      </c>
      <c r="F10" s="17">
        <v>0.55000000000000004</v>
      </c>
      <c r="G10" s="17">
        <v>4.5</v>
      </c>
      <c r="H10" s="18">
        <f t="shared" si="0"/>
        <v>3.1597641E+18</v>
      </c>
      <c r="I10" s="18">
        <f t="shared" si="1"/>
        <v>1.1375150760000001E+22</v>
      </c>
      <c r="J10" s="19">
        <f t="shared" si="2"/>
        <v>1.1375150760000001</v>
      </c>
      <c r="K10" s="19">
        <v>1.1499999999999999</v>
      </c>
      <c r="L10" s="19">
        <v>0.63</v>
      </c>
      <c r="M10" s="18">
        <v>3E-9</v>
      </c>
      <c r="N10" s="14">
        <f t="shared" si="3"/>
        <v>1.0109756118959778</v>
      </c>
      <c r="O10" s="14"/>
    </row>
    <row r="11" spans="1:17" x14ac:dyDescent="0.55000000000000004">
      <c r="A11" s="6"/>
      <c r="B11" s="15"/>
      <c r="C11" s="16">
        <v>88</v>
      </c>
      <c r="D11" s="17">
        <v>2.8</v>
      </c>
      <c r="E11" s="17" t="s">
        <v>72</v>
      </c>
      <c r="F11" s="17">
        <v>0.25</v>
      </c>
      <c r="G11" s="17">
        <v>5.7</v>
      </c>
      <c r="H11" s="18">
        <f t="shared" si="0"/>
        <v>4.00236786E+18</v>
      </c>
      <c r="I11" s="18">
        <f t="shared" si="1"/>
        <v>1.4408524295999999E+22</v>
      </c>
      <c r="J11" s="19">
        <f t="shared" si="2"/>
        <v>1.4408524296</v>
      </c>
      <c r="K11" s="19">
        <v>1.75</v>
      </c>
      <c r="L11" s="19">
        <v>1.33</v>
      </c>
      <c r="M11" s="19">
        <v>0.4</v>
      </c>
      <c r="N11" s="14">
        <f t="shared" si="3"/>
        <v>1.2145588014768616</v>
      </c>
      <c r="O11" s="14"/>
    </row>
    <row r="12" spans="1:17" ht="14.5" customHeight="1" x14ac:dyDescent="0.55000000000000004">
      <c r="A12" s="6"/>
      <c r="B12" s="15"/>
      <c r="C12" s="16">
        <v>89</v>
      </c>
      <c r="D12" s="17">
        <v>3.18</v>
      </c>
      <c r="E12" s="17" t="s">
        <v>71</v>
      </c>
      <c r="F12" s="17">
        <v>13</v>
      </c>
      <c r="G12" s="17">
        <v>6.23</v>
      </c>
      <c r="H12" s="18">
        <f t="shared" si="0"/>
        <v>4.3745178540000005E+18</v>
      </c>
      <c r="I12" s="18">
        <f t="shared" si="1"/>
        <v>1.5748264274400001E+22</v>
      </c>
      <c r="J12" s="19">
        <f t="shared" si="2"/>
        <v>1.5748264274400001</v>
      </c>
      <c r="K12" s="19">
        <v>0.92</v>
      </c>
      <c r="L12" s="18">
        <v>1.1999999999999999E-12</v>
      </c>
      <c r="M12" s="19">
        <v>0</v>
      </c>
      <c r="N12" s="14">
        <f t="shared" si="3"/>
        <v>0.58419136481950573</v>
      </c>
      <c r="O12" s="14"/>
    </row>
    <row r="13" spans="1:17" s="25" customFormat="1" ht="14.5" customHeight="1" x14ac:dyDescent="0.55000000000000004">
      <c r="A13" s="22"/>
      <c r="B13" s="15" t="s">
        <v>73</v>
      </c>
      <c r="C13" s="15"/>
      <c r="D13" s="15"/>
      <c r="E13" s="15"/>
      <c r="F13" s="15"/>
      <c r="G13" s="15">
        <f>SUM(G4:G12)</f>
        <v>25.54</v>
      </c>
      <c r="H13" s="18">
        <f t="shared" si="0"/>
        <v>1.7933416692E+19</v>
      </c>
      <c r="I13" s="18">
        <f t="shared" si="1"/>
        <v>6.45603000912E+22</v>
      </c>
      <c r="J13" s="19">
        <f t="shared" si="2"/>
        <v>6.45603000912</v>
      </c>
      <c r="K13" s="23">
        <f>SUM(K4:K12)</f>
        <v>14.93</v>
      </c>
      <c r="L13" s="23">
        <f>SUM(L4:L12)</f>
        <v>13.070000000001201</v>
      </c>
      <c r="M13" s="23">
        <f>SUM(M4:M12)</f>
        <v>11.510000003</v>
      </c>
      <c r="N13" s="14">
        <f t="shared" si="3"/>
        <v>2.3125666979412101</v>
      </c>
      <c r="O13" s="24"/>
    </row>
    <row r="14" spans="1:17" ht="14.5" customHeight="1" x14ac:dyDescent="0.55000000000000004">
      <c r="A14" s="7"/>
      <c r="B14" s="15" t="s">
        <v>74</v>
      </c>
      <c r="C14" s="16">
        <v>128</v>
      </c>
      <c r="D14" s="17" t="s">
        <v>64</v>
      </c>
      <c r="E14" s="17" t="s">
        <v>65</v>
      </c>
      <c r="F14" s="17">
        <v>0</v>
      </c>
      <c r="G14" s="17">
        <v>0.02</v>
      </c>
      <c r="H14" s="18">
        <f t="shared" si="0"/>
        <v>1.4043396E+16</v>
      </c>
      <c r="I14" s="18">
        <f t="shared" si="1"/>
        <v>5.05562256E+19</v>
      </c>
      <c r="J14" s="19">
        <f t="shared" si="2"/>
        <v>5.0556225600000004E-3</v>
      </c>
      <c r="K14" s="19">
        <v>2.5000000000000001E-2</v>
      </c>
      <c r="L14" s="19">
        <v>2.5000000000000001E-2</v>
      </c>
      <c r="M14" s="19">
        <v>2.5000000000000001E-2</v>
      </c>
      <c r="N14" s="14">
        <f t="shared" si="3"/>
        <v>4.9449894060129358</v>
      </c>
      <c r="O14" s="14"/>
    </row>
    <row r="15" spans="1:17" ht="14.5" customHeight="1" x14ac:dyDescent="0.55000000000000004">
      <c r="A15" s="6"/>
      <c r="B15" s="15"/>
      <c r="C15" s="16">
        <v>129</v>
      </c>
      <c r="D15" s="17" t="s">
        <v>64</v>
      </c>
      <c r="E15" s="17" t="s">
        <v>65</v>
      </c>
      <c r="F15" s="17">
        <v>0</v>
      </c>
      <c r="G15" s="17">
        <v>2.1</v>
      </c>
      <c r="H15" s="18">
        <f t="shared" si="0"/>
        <v>1.47455658E+18</v>
      </c>
      <c r="I15" s="18">
        <f t="shared" si="1"/>
        <v>5.3084036879999996E+21</v>
      </c>
      <c r="J15" s="19">
        <f t="shared" si="2"/>
        <v>0.53084036879999996</v>
      </c>
      <c r="K15" s="19">
        <v>2.76</v>
      </c>
      <c r="L15" s="19">
        <v>2.76</v>
      </c>
      <c r="M15" s="19">
        <v>2.76</v>
      </c>
      <c r="N15" s="14">
        <f t="shared" si="3"/>
        <v>5.1993031468936017</v>
      </c>
      <c r="O15" s="14"/>
    </row>
    <row r="16" spans="1:17" ht="14.5" customHeight="1" x14ac:dyDescent="0.55000000000000004">
      <c r="A16" s="6"/>
      <c r="B16" s="15"/>
      <c r="C16" s="16">
        <v>130</v>
      </c>
      <c r="D16" s="17" t="s">
        <v>75</v>
      </c>
      <c r="E16" s="17" t="s">
        <v>65</v>
      </c>
      <c r="F16" s="17">
        <v>0</v>
      </c>
      <c r="G16" s="17">
        <v>0.1</v>
      </c>
      <c r="H16" s="18">
        <f t="shared" si="0"/>
        <v>7.021698E+16</v>
      </c>
      <c r="I16" s="18">
        <f t="shared" si="1"/>
        <v>2.52781128E+20</v>
      </c>
      <c r="J16" s="19">
        <f t="shared" si="2"/>
        <v>2.5278112800000002E-2</v>
      </c>
      <c r="K16" s="19">
        <v>0.13</v>
      </c>
      <c r="L16" s="19">
        <v>0.13</v>
      </c>
      <c r="M16" s="19">
        <v>0.13</v>
      </c>
      <c r="N16" s="14">
        <f t="shared" si="3"/>
        <v>5.1427889822534532</v>
      </c>
      <c r="O16" s="14"/>
    </row>
    <row r="17" spans="1:15" ht="14.5" customHeight="1" x14ac:dyDescent="0.55000000000000004">
      <c r="A17" s="6"/>
      <c r="B17" s="15"/>
      <c r="C17" s="16">
        <v>131</v>
      </c>
      <c r="D17" s="17" t="s">
        <v>64</v>
      </c>
      <c r="E17" s="17" t="s">
        <v>65</v>
      </c>
      <c r="F17" s="17">
        <v>0</v>
      </c>
      <c r="G17" s="17">
        <v>3.85</v>
      </c>
      <c r="H17" s="18">
        <f t="shared" si="0"/>
        <v>2.70335373E+18</v>
      </c>
      <c r="I17" s="18">
        <f t="shared" si="1"/>
        <v>9.7320734279999999E+21</v>
      </c>
      <c r="J17" s="19">
        <f t="shared" si="2"/>
        <v>0.97320734279999999</v>
      </c>
      <c r="K17" s="19">
        <v>5.05</v>
      </c>
      <c r="L17" s="19">
        <v>5.05</v>
      </c>
      <c r="M17" s="19">
        <v>5.05</v>
      </c>
      <c r="N17" s="14">
        <f t="shared" si="3"/>
        <v>5.1890278442317568</v>
      </c>
      <c r="O17" s="14"/>
    </row>
    <row r="18" spans="1:15" ht="14.5" customHeight="1" x14ac:dyDescent="0.55000000000000004">
      <c r="A18" s="6"/>
      <c r="B18" s="15"/>
      <c r="C18" s="16">
        <v>132</v>
      </c>
      <c r="D18" s="17" t="s">
        <v>64</v>
      </c>
      <c r="E18" s="17" t="s">
        <v>65</v>
      </c>
      <c r="F18" s="17">
        <v>0</v>
      </c>
      <c r="G18" s="17">
        <v>5.48</v>
      </c>
      <c r="H18" s="18">
        <f t="shared" si="0"/>
        <v>3.8478905040000005E+18</v>
      </c>
      <c r="I18" s="18">
        <f t="shared" si="1"/>
        <v>1.3852405814400001E+22</v>
      </c>
      <c r="J18" s="19">
        <f t="shared" si="2"/>
        <v>1.3852405814400002</v>
      </c>
      <c r="K18" s="19">
        <v>7.2</v>
      </c>
      <c r="L18" s="19">
        <v>7.2</v>
      </c>
      <c r="M18" s="19">
        <v>7.2</v>
      </c>
      <c r="N18" s="14">
        <f t="shared" si="3"/>
        <v>5.197653098290969</v>
      </c>
      <c r="O18" s="14"/>
    </row>
    <row r="19" spans="1:15" ht="14.5" customHeight="1" x14ac:dyDescent="0.55000000000000004">
      <c r="A19" s="6"/>
      <c r="B19" s="15"/>
      <c r="C19" s="16">
        <v>133</v>
      </c>
      <c r="D19" s="17">
        <v>5.27</v>
      </c>
      <c r="E19" s="17" t="s">
        <v>76</v>
      </c>
      <c r="F19" s="18">
        <v>5.4799999999999996E-3</v>
      </c>
      <c r="G19" s="17">
        <v>6.48</v>
      </c>
      <c r="H19" s="18">
        <f t="shared" si="0"/>
        <v>4.5500603040000005E+18</v>
      </c>
      <c r="I19" s="18">
        <f t="shared" si="1"/>
        <v>1.6380217094400001E+22</v>
      </c>
      <c r="J19" s="19">
        <f t="shared" si="2"/>
        <v>1.6380217094400003</v>
      </c>
      <c r="K19" s="19">
        <v>4.3</v>
      </c>
      <c r="L19" s="19">
        <v>4.25</v>
      </c>
      <c r="M19" s="19">
        <v>3.3</v>
      </c>
      <c r="N19" s="14">
        <f t="shared" si="3"/>
        <v>2.6251178328216818</v>
      </c>
      <c r="O19" s="14"/>
    </row>
    <row r="20" spans="1:15" ht="14.5" customHeight="1" x14ac:dyDescent="0.55000000000000004">
      <c r="A20" s="6"/>
      <c r="B20" s="15"/>
      <c r="C20" s="16">
        <v>134</v>
      </c>
      <c r="D20" s="17" t="s">
        <v>64</v>
      </c>
      <c r="E20" s="17" t="s">
        <v>65</v>
      </c>
      <c r="F20" s="17">
        <v>0</v>
      </c>
      <c r="G20" s="17">
        <v>6.83</v>
      </c>
      <c r="H20" s="18">
        <f t="shared" si="0"/>
        <v>4.795819734E+18</v>
      </c>
      <c r="I20" s="18">
        <f t="shared" si="1"/>
        <v>1.7264951042400001E+22</v>
      </c>
      <c r="J20" s="19">
        <f t="shared" si="2"/>
        <v>1.7264951042400001</v>
      </c>
      <c r="K20" s="19">
        <v>9</v>
      </c>
      <c r="L20" s="19">
        <v>9</v>
      </c>
      <c r="M20" s="19">
        <v>9</v>
      </c>
      <c r="N20" s="14">
        <f t="shared" si="3"/>
        <v>5.2128731659287171</v>
      </c>
      <c r="O20" s="14"/>
    </row>
    <row r="21" spans="1:15" ht="14.5" customHeight="1" x14ac:dyDescent="0.55000000000000004">
      <c r="A21" s="6"/>
      <c r="B21" s="15"/>
      <c r="C21" s="16">
        <v>135</v>
      </c>
      <c r="D21" s="17">
        <v>9.14</v>
      </c>
      <c r="E21" s="17" t="s">
        <v>77</v>
      </c>
      <c r="F21" s="17">
        <v>7.5300000000000006E-2</v>
      </c>
      <c r="G21" s="17">
        <v>6.16</v>
      </c>
      <c r="H21" s="18">
        <f t="shared" si="0"/>
        <v>4.3253659680000005E+18</v>
      </c>
      <c r="I21" s="18">
        <f t="shared" si="1"/>
        <v>1.5571317484800002E+22</v>
      </c>
      <c r="J21" s="19">
        <f t="shared" si="2"/>
        <v>1.5571317484800002</v>
      </c>
      <c r="K21" s="19">
        <v>1.5</v>
      </c>
      <c r="L21" s="19">
        <v>1.29</v>
      </c>
      <c r="M21" s="19">
        <v>0.04</v>
      </c>
      <c r="N21" s="14">
        <f t="shared" si="3"/>
        <v>0.96330962454797442</v>
      </c>
      <c r="O21" s="14"/>
    </row>
    <row r="22" spans="1:15" ht="14.5" customHeight="1" x14ac:dyDescent="0.55000000000000004">
      <c r="A22" s="6"/>
      <c r="B22" s="15"/>
      <c r="C22" s="16">
        <v>136</v>
      </c>
      <c r="D22" s="17" t="s">
        <v>64</v>
      </c>
      <c r="E22" s="17" t="s">
        <v>65</v>
      </c>
      <c r="F22" s="17">
        <v>0</v>
      </c>
      <c r="G22" s="17">
        <v>7</v>
      </c>
      <c r="H22" s="18">
        <f t="shared" si="0"/>
        <v>4.9151886E+18</v>
      </c>
      <c r="I22" s="18">
        <f t="shared" si="1"/>
        <v>1.7694678959999999E+22</v>
      </c>
      <c r="J22" s="19">
        <f t="shared" si="2"/>
        <v>1.7694678960000001</v>
      </c>
      <c r="K22" s="19">
        <v>9.1999999999999993</v>
      </c>
      <c r="L22" s="19">
        <v>9.1999999999999993</v>
      </c>
      <c r="M22" s="19">
        <v>9.1999999999999993</v>
      </c>
      <c r="N22" s="14">
        <f t="shared" si="3"/>
        <v>5.1993031468936008</v>
      </c>
      <c r="O22" s="14"/>
    </row>
    <row r="23" spans="1:15" x14ac:dyDescent="0.55000000000000004">
      <c r="A23" s="6"/>
      <c r="B23" s="15"/>
      <c r="C23" s="16">
        <v>137</v>
      </c>
      <c r="D23" s="17">
        <v>4.2</v>
      </c>
      <c r="E23" s="17" t="s">
        <v>71</v>
      </c>
      <c r="F23" s="17">
        <v>9.9</v>
      </c>
      <c r="G23" s="17">
        <v>7.16</v>
      </c>
      <c r="H23" s="18">
        <f t="shared" si="0"/>
        <v>5.027535768E+18</v>
      </c>
      <c r="I23" s="18">
        <f t="shared" si="1"/>
        <v>1.80991287648E+22</v>
      </c>
      <c r="J23" s="19">
        <f t="shared" si="2"/>
        <v>1.8099128764800001</v>
      </c>
      <c r="K23" s="19">
        <v>1.1599999999999999</v>
      </c>
      <c r="L23" s="18">
        <v>5.1E-10</v>
      </c>
      <c r="M23" s="19">
        <v>0</v>
      </c>
      <c r="N23" s="14">
        <f t="shared" si="3"/>
        <v>0.64091482804190003</v>
      </c>
      <c r="O23" s="14"/>
    </row>
    <row r="24" spans="1:15" x14ac:dyDescent="0.55000000000000004">
      <c r="A24" s="6"/>
      <c r="B24" s="15"/>
      <c r="C24" s="16">
        <v>138</v>
      </c>
      <c r="D24" s="17">
        <v>17</v>
      </c>
      <c r="E24" s="17" t="s">
        <v>71</v>
      </c>
      <c r="F24" s="17">
        <v>2.4500000000000002</v>
      </c>
      <c r="G24" s="17">
        <v>6.63</v>
      </c>
      <c r="H24" s="18">
        <f t="shared" si="0"/>
        <v>4.655385774E+18</v>
      </c>
      <c r="I24" s="18">
        <f t="shared" si="1"/>
        <v>1.67593887864E+22</v>
      </c>
      <c r="J24" s="19">
        <f t="shared" si="2"/>
        <v>1.67593887864</v>
      </c>
      <c r="K24" s="19">
        <v>1.45</v>
      </c>
      <c r="L24" s="19">
        <v>0.01</v>
      </c>
      <c r="M24" s="19">
        <v>0</v>
      </c>
      <c r="N24" s="14">
        <f t="shared" si="3"/>
        <v>0.86518668340497829</v>
      </c>
      <c r="O24" s="14"/>
    </row>
    <row r="25" spans="1:15" s="25" customFormat="1" x14ac:dyDescent="0.55000000000000004">
      <c r="A25" s="22"/>
      <c r="B25" s="15"/>
      <c r="C25" s="16" t="s">
        <v>73</v>
      </c>
      <c r="D25" s="15"/>
      <c r="E25" s="15"/>
      <c r="F25" s="15"/>
      <c r="G25" s="15">
        <f>SUM(G14:G24)</f>
        <v>51.809999999999995</v>
      </c>
      <c r="H25" s="26">
        <f>SUM(H14:H24)</f>
        <v>3.6379417338000003E+19</v>
      </c>
      <c r="I25" s="18">
        <f t="shared" si="1"/>
        <v>1.3096590241680001E+23</v>
      </c>
      <c r="J25" s="19">
        <f t="shared" si="2"/>
        <v>13.096590241680001</v>
      </c>
      <c r="K25" s="23">
        <f>SUM(K14:K24)</f>
        <v>41.774999999999999</v>
      </c>
      <c r="L25" s="23">
        <f>SUM(L14:L24)</f>
        <v>38.915000000509998</v>
      </c>
      <c r="M25" s="23">
        <f>SUM(M14:M24)</f>
        <v>36.704999999999998</v>
      </c>
      <c r="N25" s="14">
        <f t="shared" si="3"/>
        <v>3.1897615508386856</v>
      </c>
      <c r="O25" s="24"/>
    </row>
    <row r="26" spans="1:15" x14ac:dyDescent="0.55000000000000004">
      <c r="M26" s="14"/>
    </row>
  </sheetData>
  <mergeCells count="9">
    <mergeCell ref="N2:N3"/>
    <mergeCell ref="B2:C2"/>
    <mergeCell ref="D2:D3"/>
    <mergeCell ref="E2:E3"/>
    <mergeCell ref="F2:F3"/>
    <mergeCell ref="G2:G3"/>
    <mergeCell ref="H2:H3"/>
    <mergeCell ref="I2:I3"/>
    <mergeCell ref="K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9D06-4CF2-9345-B05F-F35F559031EE}">
  <dimension ref="C4:M26"/>
  <sheetViews>
    <sheetView workbookViewId="0">
      <selection activeCell="H37" sqref="H37"/>
    </sheetView>
  </sheetViews>
  <sheetFormatPr defaultColWidth="8.84765625" defaultRowHeight="15.6" x14ac:dyDescent="0.6"/>
  <cols>
    <col min="3" max="3" width="22" bestFit="1" customWidth="1"/>
    <col min="4" max="4" width="10.5" customWidth="1"/>
    <col min="5" max="5" width="10.34765625" customWidth="1"/>
    <col min="9" max="9" width="22.6484375" bestFit="1" customWidth="1"/>
    <col min="10" max="10" width="9" bestFit="1" customWidth="1"/>
    <col min="11" max="11" width="11.6484375" bestFit="1" customWidth="1"/>
    <col min="13" max="13" width="10.5" bestFit="1" customWidth="1"/>
  </cols>
  <sheetData>
    <row r="4" spans="3:13" x14ac:dyDescent="0.6">
      <c r="C4" s="84"/>
      <c r="D4" s="84" t="s">
        <v>183</v>
      </c>
      <c r="E4" s="84" t="s">
        <v>184</v>
      </c>
      <c r="K4" t="s">
        <v>185</v>
      </c>
      <c r="L4" s="85">
        <v>6.242E+18</v>
      </c>
      <c r="M4" t="s">
        <v>186</v>
      </c>
    </row>
    <row r="5" spans="3:13" x14ac:dyDescent="0.6">
      <c r="C5" s="1" t="s">
        <v>187</v>
      </c>
      <c r="D5" s="1">
        <v>750</v>
      </c>
      <c r="E5" s="1">
        <v>7.5</v>
      </c>
      <c r="K5" t="s">
        <v>185</v>
      </c>
      <c r="L5">
        <v>200</v>
      </c>
      <c r="M5" t="s">
        <v>188</v>
      </c>
    </row>
    <row r="6" spans="3:13" x14ac:dyDescent="0.6">
      <c r="C6" s="1" t="s">
        <v>182</v>
      </c>
      <c r="D6" s="86">
        <f>D5*$L$4/$L$5</f>
        <v>2.34075E+19</v>
      </c>
      <c r="E6" s="86">
        <f>E5*$L$4/$L$5</f>
        <v>2.34075E+17</v>
      </c>
      <c r="K6" t="s">
        <v>189</v>
      </c>
      <c r="L6">
        <v>6.4000000000000001E-2</v>
      </c>
      <c r="M6" t="s">
        <v>5</v>
      </c>
    </row>
    <row r="7" spans="3:13" x14ac:dyDescent="0.6">
      <c r="C7" s="1" t="s">
        <v>190</v>
      </c>
      <c r="D7" s="86">
        <f>D6*$L$6</f>
        <v>1.49808E+18</v>
      </c>
      <c r="E7" s="86">
        <f>E6*$L$6</f>
        <v>1.49808E+16</v>
      </c>
      <c r="K7" t="s">
        <v>191</v>
      </c>
      <c r="L7">
        <v>32904</v>
      </c>
      <c r="M7" t="s">
        <v>103</v>
      </c>
    </row>
    <row r="8" spans="3:13" x14ac:dyDescent="0.6">
      <c r="C8" s="1" t="s">
        <v>192</v>
      </c>
      <c r="D8" s="1" t="s">
        <v>193</v>
      </c>
      <c r="E8" s="1" t="s">
        <v>193</v>
      </c>
    </row>
    <row r="9" spans="3:13" x14ac:dyDescent="0.6">
      <c r="C9" s="1" t="s">
        <v>194</v>
      </c>
      <c r="D9" s="1">
        <f>((LN(2)/$L$7))*J11</f>
        <v>8.702767883876823E-4</v>
      </c>
      <c r="E9" s="1">
        <f>((LN(2)/$L$7))*K11</f>
        <v>4.2131484352051136E-5</v>
      </c>
    </row>
    <row r="10" spans="3:13" x14ac:dyDescent="0.6">
      <c r="C10" s="1" t="s">
        <v>195</v>
      </c>
      <c r="D10" s="1" t="s">
        <v>196</v>
      </c>
      <c r="E10" s="1" t="s">
        <v>196</v>
      </c>
      <c r="J10" t="s">
        <v>197</v>
      </c>
      <c r="K10" t="s">
        <v>184</v>
      </c>
    </row>
    <row r="11" spans="3:13" x14ac:dyDescent="0.6">
      <c r="C11" s="1" t="s">
        <v>198</v>
      </c>
      <c r="D11" s="1" t="s">
        <v>196</v>
      </c>
      <c r="E11" s="1" t="s">
        <v>196</v>
      </c>
      <c r="I11" t="s">
        <v>199</v>
      </c>
      <c r="J11">
        <v>41.312420000000003</v>
      </c>
      <c r="K11">
        <v>2</v>
      </c>
      <c r="L11" t="s">
        <v>33</v>
      </c>
    </row>
    <row r="12" spans="3:13" x14ac:dyDescent="0.6">
      <c r="C12" s="1" t="s">
        <v>38</v>
      </c>
      <c r="D12" s="1">
        <f>J13*J14</f>
        <v>5.5169040923499927E-3</v>
      </c>
      <c r="E12" s="1">
        <f>K13*K14</f>
        <v>3.1545100000000001E-4</v>
      </c>
      <c r="I12" t="s">
        <v>200</v>
      </c>
      <c r="J12">
        <v>30.060400000000001</v>
      </c>
      <c r="K12">
        <v>0.70792100000000002</v>
      </c>
    </row>
    <row r="13" spans="3:13" x14ac:dyDescent="0.6">
      <c r="C13" s="3" t="s">
        <v>201</v>
      </c>
      <c r="D13" s="3">
        <f>D9+D12</f>
        <v>6.3871808807376747E-3</v>
      </c>
      <c r="E13" s="3">
        <f>E9+E12</f>
        <v>3.5758248435205115E-4</v>
      </c>
      <c r="I13" t="s">
        <v>202</v>
      </c>
      <c r="J13">
        <v>5.5169040923499925E-2</v>
      </c>
      <c r="K13">
        <v>3.1545100000000001E-3</v>
      </c>
      <c r="L13" t="s">
        <v>35</v>
      </c>
    </row>
    <row r="14" spans="3:13" x14ac:dyDescent="0.6">
      <c r="C14" s="3" t="s">
        <v>203</v>
      </c>
      <c r="D14" s="3">
        <f>D13/J12</f>
        <v>2.1247823983505456E-4</v>
      </c>
      <c r="E14" s="3">
        <f>E13/K12</f>
        <v>5.0511636800158657E-4</v>
      </c>
      <c r="I14" t="s">
        <v>38</v>
      </c>
      <c r="J14">
        <v>0.1</v>
      </c>
      <c r="K14">
        <v>0.1</v>
      </c>
      <c r="L14" t="s">
        <v>204</v>
      </c>
    </row>
    <row r="15" spans="3:13" x14ac:dyDescent="0.6">
      <c r="D15">
        <f>D14*3</f>
        <v>6.3743471950516366E-4</v>
      </c>
    </row>
    <row r="17" spans="3:10" x14ac:dyDescent="0.6">
      <c r="C17" t="s">
        <v>205</v>
      </c>
      <c r="E17">
        <v>14</v>
      </c>
      <c r="F17" t="s">
        <v>206</v>
      </c>
    </row>
    <row r="18" spans="3:10" x14ac:dyDescent="0.6">
      <c r="C18" t="s">
        <v>207</v>
      </c>
      <c r="E18">
        <v>31</v>
      </c>
      <c r="F18" t="s">
        <v>206</v>
      </c>
    </row>
    <row r="19" spans="3:10" x14ac:dyDescent="0.6">
      <c r="C19" t="s">
        <v>208</v>
      </c>
      <c r="E19">
        <v>134</v>
      </c>
      <c r="F19" t="s">
        <v>209</v>
      </c>
    </row>
    <row r="20" spans="3:10" x14ac:dyDescent="0.6">
      <c r="E20">
        <f>E19*F20</f>
        <v>4.7321697999999994</v>
      </c>
      <c r="F20">
        <v>3.5314699999999997E-2</v>
      </c>
      <c r="G20" t="s">
        <v>210</v>
      </c>
      <c r="H20" t="s">
        <v>211</v>
      </c>
    </row>
    <row r="21" spans="3:10" x14ac:dyDescent="0.6">
      <c r="E21">
        <v>2.1464756999999999</v>
      </c>
      <c r="F21" t="s">
        <v>212</v>
      </c>
      <c r="I21" t="s">
        <v>213</v>
      </c>
    </row>
    <row r="22" spans="3:10" x14ac:dyDescent="0.6">
      <c r="E22">
        <f>E17/E21</f>
        <v>6.5223193535337955</v>
      </c>
      <c r="F22" t="s">
        <v>214</v>
      </c>
      <c r="I22" t="s">
        <v>215</v>
      </c>
      <c r="J22" t="s">
        <v>216</v>
      </c>
    </row>
    <row r="23" spans="3:10" x14ac:dyDescent="0.6">
      <c r="E23">
        <f>E22/0.001</f>
        <v>6522.319353533795</v>
      </c>
      <c r="F23" t="s">
        <v>217</v>
      </c>
      <c r="I23" t="s">
        <v>218</v>
      </c>
    </row>
    <row r="24" spans="3:10" x14ac:dyDescent="0.6">
      <c r="E24">
        <f>E23/0.001</f>
        <v>6522319.3535337951</v>
      </c>
      <c r="F24" t="s">
        <v>27</v>
      </c>
    </row>
    <row r="26" spans="3:10" x14ac:dyDescent="0.6">
      <c r="C26" t="s">
        <v>219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EAE5-7375-B542-A0AF-757E712ED108}">
  <dimension ref="C3:M38"/>
  <sheetViews>
    <sheetView zoomScaleNormal="100" workbookViewId="0">
      <selection activeCell="K33" sqref="K33"/>
    </sheetView>
  </sheetViews>
  <sheetFormatPr defaultColWidth="10.796875" defaultRowHeight="15.6" x14ac:dyDescent="0.6"/>
  <cols>
    <col min="3" max="3" width="17.84765625" customWidth="1"/>
    <col min="4" max="4" width="12.1484375" bestFit="1" customWidth="1"/>
    <col min="5" max="6" width="11.6484375" bestFit="1" customWidth="1"/>
    <col min="10" max="10" width="11.6484375" bestFit="1" customWidth="1"/>
    <col min="11" max="11" width="13.84765625" customWidth="1"/>
  </cols>
  <sheetData>
    <row r="3" spans="3:8" x14ac:dyDescent="0.6">
      <c r="C3" s="158" t="s">
        <v>28</v>
      </c>
      <c r="D3" s="159"/>
      <c r="E3" s="160"/>
      <c r="F3" s="88"/>
    </row>
    <row r="4" spans="3:8" x14ac:dyDescent="0.6">
      <c r="C4" s="1" t="s">
        <v>42</v>
      </c>
      <c r="D4" s="1">
        <v>32904</v>
      </c>
      <c r="E4" s="1" t="s">
        <v>29</v>
      </c>
      <c r="F4" s="89"/>
    </row>
    <row r="5" spans="3:8" x14ac:dyDescent="0.6">
      <c r="C5" s="1" t="s">
        <v>43</v>
      </c>
      <c r="D5" s="1">
        <f>LN(2)/D4</f>
        <v>2.1065742176025568E-5</v>
      </c>
      <c r="E5" s="1" t="s">
        <v>41</v>
      </c>
      <c r="F5" s="89"/>
    </row>
    <row r="8" spans="3:8" x14ac:dyDescent="0.6">
      <c r="C8" s="1"/>
      <c r="D8" s="1" t="s">
        <v>30</v>
      </c>
      <c r="E8" s="1" t="s">
        <v>31</v>
      </c>
      <c r="F8" s="1" t="s">
        <v>221</v>
      </c>
      <c r="G8" s="1" t="s">
        <v>44</v>
      </c>
    </row>
    <row r="9" spans="3:8" x14ac:dyDescent="0.6">
      <c r="C9" s="1" t="s">
        <v>32</v>
      </c>
      <c r="D9" s="1">
        <v>41.312420000000003</v>
      </c>
      <c r="E9" s="1">
        <v>1.9963379999999999</v>
      </c>
      <c r="F9" s="1">
        <v>40.096649999999997</v>
      </c>
      <c r="G9" s="1" t="s">
        <v>33</v>
      </c>
    </row>
    <row r="10" spans="3:8" x14ac:dyDescent="0.6">
      <c r="C10" s="1" t="s">
        <v>37</v>
      </c>
      <c r="D10" s="1">
        <v>5.5169000000000003E-2</v>
      </c>
      <c r="E10" s="1">
        <v>3.15450982E-3</v>
      </c>
      <c r="F10" s="1">
        <v>9.9983000000000002E-2</v>
      </c>
      <c r="G10" s="1" t="s">
        <v>35</v>
      </c>
      <c r="H10" t="s">
        <v>222</v>
      </c>
    </row>
    <row r="11" spans="3:8" x14ac:dyDescent="0.6">
      <c r="C11" s="1" t="s">
        <v>38</v>
      </c>
      <c r="D11" s="1">
        <v>0.1</v>
      </c>
      <c r="E11" s="1">
        <v>0.1</v>
      </c>
      <c r="F11" s="1">
        <v>1</v>
      </c>
      <c r="G11" s="1" t="s">
        <v>5</v>
      </c>
      <c r="H11" t="s">
        <v>223</v>
      </c>
    </row>
    <row r="12" spans="3:8" x14ac:dyDescent="0.6">
      <c r="C12" s="4" t="s">
        <v>39</v>
      </c>
      <c r="D12" s="4">
        <v>1</v>
      </c>
      <c r="E12" s="4">
        <v>1</v>
      </c>
      <c r="F12" s="4">
        <v>1</v>
      </c>
      <c r="G12" s="4" t="s">
        <v>5</v>
      </c>
    </row>
    <row r="13" spans="3:8" x14ac:dyDescent="0.6">
      <c r="C13" s="1" t="s">
        <v>34</v>
      </c>
      <c r="D13" s="1">
        <f>D9*D5</f>
        <v>8.702767883876823E-4</v>
      </c>
      <c r="E13" s="1">
        <f>E9*D5</f>
        <v>4.2054341604202527E-5</v>
      </c>
      <c r="F13" s="1">
        <f>F9*D5</f>
        <v>8.4466569102233558E-4</v>
      </c>
      <c r="G13" s="1" t="s">
        <v>35</v>
      </c>
    </row>
    <row r="14" spans="3:8" x14ac:dyDescent="0.6">
      <c r="C14" s="1" t="s">
        <v>36</v>
      </c>
      <c r="D14" s="1">
        <f>D11*D10</f>
        <v>5.5169000000000008E-3</v>
      </c>
      <c r="E14" s="1">
        <f>E11*E10</f>
        <v>3.1545098200000003E-4</v>
      </c>
      <c r="F14" s="1">
        <f>F11*F10</f>
        <v>9.9983000000000002E-2</v>
      </c>
      <c r="G14" s="1" t="s">
        <v>35</v>
      </c>
    </row>
    <row r="15" spans="3:8" x14ac:dyDescent="0.6">
      <c r="C15" s="1" t="s">
        <v>45</v>
      </c>
      <c r="D15" s="1">
        <f>D13+D14</f>
        <v>6.3871767883876829E-3</v>
      </c>
      <c r="E15" s="1">
        <f>E13+E14</f>
        <v>3.5750532360420256E-4</v>
      </c>
      <c r="F15" s="1">
        <f>F13+F14</f>
        <v>0.10082766569102233</v>
      </c>
      <c r="G15" s="1" t="s">
        <v>35</v>
      </c>
    </row>
    <row r="16" spans="3:8" x14ac:dyDescent="0.6">
      <c r="C16" s="5" t="s">
        <v>40</v>
      </c>
      <c r="D16" s="1">
        <f>(D15/D9)*3</f>
        <v>4.6382009006403033E-4</v>
      </c>
      <c r="E16" s="1">
        <f>E15/E9</f>
        <v>1.7908055830435655E-4</v>
      </c>
      <c r="F16" s="1">
        <f>(F15/F9)*4</f>
        <v>1.0058462808341578E-2</v>
      </c>
      <c r="G16" s="5" t="s">
        <v>41</v>
      </c>
    </row>
    <row r="17" spans="3:13" x14ac:dyDescent="0.6">
      <c r="D17">
        <f>D16/E16</f>
        <v>2.5900080637214926</v>
      </c>
      <c r="F17">
        <f>D16/F16</f>
        <v>4.6112422832580338E-2</v>
      </c>
      <c r="K17">
        <v>1200</v>
      </c>
    </row>
    <row r="18" spans="3:13" x14ac:dyDescent="0.6">
      <c r="K18">
        <v>65</v>
      </c>
    </row>
    <row r="20" spans="3:13" x14ac:dyDescent="0.6">
      <c r="C20" s="158" t="s">
        <v>28</v>
      </c>
      <c r="D20" s="159"/>
      <c r="E20" s="160"/>
      <c r="F20" s="88"/>
      <c r="K20">
        <f>K18/K17</f>
        <v>5.4166666666666669E-2</v>
      </c>
    </row>
    <row r="21" spans="3:13" x14ac:dyDescent="0.6">
      <c r="C21" s="1" t="s">
        <v>42</v>
      </c>
      <c r="D21" s="1">
        <v>32904</v>
      </c>
      <c r="E21" s="1" t="s">
        <v>29</v>
      </c>
      <c r="F21" s="89"/>
    </row>
    <row r="22" spans="3:13" x14ac:dyDescent="0.6">
      <c r="C22" s="1" t="s">
        <v>43</v>
      </c>
      <c r="D22" s="1">
        <f>LN(2)/D21</f>
        <v>2.1065742176025568E-5</v>
      </c>
      <c r="E22" s="1" t="s">
        <v>41</v>
      </c>
      <c r="F22" s="89"/>
      <c r="K22">
        <f>0.041666667</f>
        <v>4.1666666999999998E-2</v>
      </c>
    </row>
    <row r="25" spans="3:13" x14ac:dyDescent="0.6">
      <c r="C25" s="1"/>
      <c r="D25" s="1" t="s">
        <v>30</v>
      </c>
      <c r="E25" s="1" t="s">
        <v>31</v>
      </c>
      <c r="F25" s="1" t="s">
        <v>221</v>
      </c>
      <c r="G25" s="1" t="s">
        <v>44</v>
      </c>
      <c r="I25" s="3"/>
      <c r="J25" s="3" t="s">
        <v>30</v>
      </c>
      <c r="K25" s="3" t="s">
        <v>31</v>
      </c>
      <c r="L25" s="3" t="s">
        <v>221</v>
      </c>
      <c r="M25" s="3"/>
    </row>
    <row r="26" spans="3:13" x14ac:dyDescent="0.6">
      <c r="C26" s="1" t="s">
        <v>32</v>
      </c>
      <c r="D26" s="1">
        <v>41.312420000000003</v>
      </c>
      <c r="E26" s="1">
        <v>1.9963379999999999</v>
      </c>
      <c r="F26" s="1">
        <v>40.096649999999997</v>
      </c>
      <c r="G26" s="1" t="s">
        <v>33</v>
      </c>
      <c r="I26" s="1" t="s">
        <v>32</v>
      </c>
      <c r="J26" s="1">
        <v>41.312420000000003</v>
      </c>
      <c r="K26" s="1">
        <v>1.9963379999999999</v>
      </c>
      <c r="L26" s="1">
        <v>40.096649999999997</v>
      </c>
      <c r="M26" s="1" t="s">
        <v>33</v>
      </c>
    </row>
    <row r="27" spans="3:13" x14ac:dyDescent="0.6">
      <c r="C27" s="1" t="s">
        <v>37</v>
      </c>
      <c r="D27" s="1">
        <v>5.5169000000000003E-2</v>
      </c>
      <c r="E27" s="1">
        <v>3.15450982E-3</v>
      </c>
      <c r="F27" s="1">
        <v>9.9983000000000002E-2</v>
      </c>
      <c r="G27" s="1" t="s">
        <v>35</v>
      </c>
      <c r="I27" s="1" t="s">
        <v>250</v>
      </c>
      <c r="J27" s="1">
        <f>185</f>
        <v>185</v>
      </c>
      <c r="K27" s="1">
        <v>7.5708235700000001E-2</v>
      </c>
      <c r="L27" s="1">
        <v>2955</v>
      </c>
      <c r="M27" s="1" t="s">
        <v>144</v>
      </c>
    </row>
    <row r="28" spans="3:13" x14ac:dyDescent="0.6">
      <c r="C28" s="1" t="s">
        <v>38</v>
      </c>
      <c r="D28" s="1">
        <v>0.1</v>
      </c>
      <c r="E28" s="1">
        <v>0.1</v>
      </c>
      <c r="F28" s="1">
        <v>0.01</v>
      </c>
      <c r="G28" s="1" t="s">
        <v>5</v>
      </c>
      <c r="I28" s="1" t="s">
        <v>3</v>
      </c>
      <c r="J28" s="1">
        <v>3379.02</v>
      </c>
      <c r="K28" s="1">
        <v>2082.4002399999999</v>
      </c>
      <c r="L28" s="1">
        <v>3283.9</v>
      </c>
      <c r="M28" s="1" t="s">
        <v>146</v>
      </c>
    </row>
    <row r="29" spans="3:13" x14ac:dyDescent="0.6">
      <c r="C29" s="4" t="s">
        <v>39</v>
      </c>
      <c r="D29" s="4">
        <v>1</v>
      </c>
      <c r="E29" s="4">
        <v>1</v>
      </c>
      <c r="F29" s="4">
        <v>0.99</v>
      </c>
      <c r="G29" s="4" t="s">
        <v>5</v>
      </c>
      <c r="I29" s="1"/>
      <c r="J29" s="1" t="s">
        <v>249</v>
      </c>
      <c r="K29" s="1" t="s">
        <v>249</v>
      </c>
      <c r="L29" s="1">
        <f>L27/L28</f>
        <v>0.89984469685434998</v>
      </c>
      <c r="M29" s="1" t="s">
        <v>241</v>
      </c>
    </row>
    <row r="30" spans="3:13" x14ac:dyDescent="0.6">
      <c r="C30" s="1" t="s">
        <v>34</v>
      </c>
      <c r="D30" s="1">
        <f>D26*D22</f>
        <v>8.702767883876823E-4</v>
      </c>
      <c r="E30" s="1">
        <f>E26*D22</f>
        <v>4.2054341604202527E-5</v>
      </c>
      <c r="F30" s="1">
        <f>F26*D22</f>
        <v>8.4466569102233558E-4</v>
      </c>
      <c r="G30" s="1" t="s">
        <v>35</v>
      </c>
      <c r="I30" s="1"/>
      <c r="J30" s="1"/>
      <c r="K30" s="1"/>
      <c r="L30" s="1">
        <f>L29/0.9</f>
        <v>0.99982744094927778</v>
      </c>
      <c r="M30" s="1" t="s">
        <v>242</v>
      </c>
    </row>
    <row r="31" spans="3:13" x14ac:dyDescent="0.6">
      <c r="C31" s="1" t="s">
        <v>36</v>
      </c>
      <c r="D31" s="1">
        <f>D28*D27</f>
        <v>5.5169000000000008E-3</v>
      </c>
      <c r="E31" s="1">
        <f>E28*E27</f>
        <v>3.1545098200000003E-4</v>
      </c>
      <c r="F31" s="1">
        <f>F28*F27</f>
        <v>9.9982999999999995E-4</v>
      </c>
      <c r="G31" s="1" t="s">
        <v>35</v>
      </c>
      <c r="I31" s="1" t="s">
        <v>248</v>
      </c>
      <c r="J31" s="1">
        <f>J27/J28</f>
        <v>5.4749601955596597E-2</v>
      </c>
      <c r="K31" s="1">
        <f>K27*K22</f>
        <v>3.1545098460694118E-3</v>
      </c>
      <c r="L31" s="1">
        <f>L30*0.1</f>
        <v>9.9982744094927786E-2</v>
      </c>
      <c r="M31" s="1" t="s">
        <v>243</v>
      </c>
    </row>
    <row r="32" spans="3:13" x14ac:dyDescent="0.6">
      <c r="C32" s="1" t="s">
        <v>45</v>
      </c>
      <c r="D32" s="1">
        <f>D30+D31</f>
        <v>6.3871767883876829E-3</v>
      </c>
      <c r="E32" s="1">
        <f>E30+E31</f>
        <v>3.5750532360420256E-4</v>
      </c>
      <c r="F32" s="1">
        <f>F30+F31</f>
        <v>1.8444956910223355E-3</v>
      </c>
      <c r="G32" s="1" t="s">
        <v>35</v>
      </c>
      <c r="I32" s="1" t="s">
        <v>93</v>
      </c>
      <c r="J32" s="1">
        <v>3</v>
      </c>
      <c r="K32" s="1">
        <v>1</v>
      </c>
      <c r="L32" s="1">
        <v>4</v>
      </c>
      <c r="M32" s="1"/>
    </row>
    <row r="33" spans="3:13" x14ac:dyDescent="0.6">
      <c r="C33" s="5" t="s">
        <v>40</v>
      </c>
      <c r="D33" s="1">
        <f>(D32/D26)*3</f>
        <v>4.6382009006403033E-4</v>
      </c>
      <c r="E33" s="1">
        <f>E32/E26</f>
        <v>1.7908055830435655E-4</v>
      </c>
      <c r="F33" s="1">
        <f>(F32/F26)*4*F29</f>
        <v>1.8216491742947228E-4</v>
      </c>
      <c r="G33" s="5" t="s">
        <v>41</v>
      </c>
      <c r="I33" s="3" t="s">
        <v>245</v>
      </c>
      <c r="J33" s="3">
        <f>(J31/J26)*J32</f>
        <v>3.975773045171156E-3</v>
      </c>
      <c r="K33" s="3">
        <f>(K31/K26)*K32</f>
        <v>1.5801481743419261E-3</v>
      </c>
      <c r="L33" s="3">
        <f>(L31/L26)*L32</f>
        <v>9.9741743108142742E-3</v>
      </c>
      <c r="M33" s="3" t="s">
        <v>41</v>
      </c>
    </row>
    <row r="34" spans="3:13" x14ac:dyDescent="0.6">
      <c r="D34">
        <f>D33/E33</f>
        <v>2.5900080637214926</v>
      </c>
      <c r="F34">
        <f>D33/F33</f>
        <v>2.5461548612597418</v>
      </c>
      <c r="I34" s="3" t="s">
        <v>251</v>
      </c>
      <c r="J34" s="3" t="s">
        <v>43</v>
      </c>
      <c r="K34" s="3" t="s">
        <v>43</v>
      </c>
      <c r="L34" s="3" t="s">
        <v>43</v>
      </c>
      <c r="M34" s="3" t="s">
        <v>41</v>
      </c>
    </row>
    <row r="35" spans="3:13" x14ac:dyDescent="0.6">
      <c r="I35" s="1"/>
      <c r="J35" s="1">
        <f>J31*0.01</f>
        <v>5.4749601955596597E-4</v>
      </c>
      <c r="K35" s="1">
        <f>K31*0.01</f>
        <v>3.1545098460694117E-5</v>
      </c>
      <c r="L35" s="1">
        <f>L31*0.01</f>
        <v>9.9982744094927797E-4</v>
      </c>
      <c r="M35" s="1" t="s">
        <v>247</v>
      </c>
    </row>
    <row r="36" spans="3:13" x14ac:dyDescent="0.6">
      <c r="I36" s="1"/>
      <c r="J36" s="1">
        <f>J35*J32</f>
        <v>1.6424880586678979E-3</v>
      </c>
      <c r="K36" s="1">
        <f>K35*K32</f>
        <v>3.1545098460694117E-5</v>
      </c>
      <c r="L36" s="1">
        <f>L35*L32</f>
        <v>3.9993097637971119E-3</v>
      </c>
      <c r="M36" s="1" t="s">
        <v>244</v>
      </c>
    </row>
    <row r="37" spans="3:13" x14ac:dyDescent="0.6">
      <c r="I37" s="3" t="s">
        <v>246</v>
      </c>
      <c r="J37" s="3">
        <f>J36/J26</f>
        <v>3.975773045171156E-5</v>
      </c>
      <c r="K37" s="3">
        <f>K36/K26</f>
        <v>1.5801481743419258E-5</v>
      </c>
      <c r="L37" s="3">
        <f>L36/L26</f>
        <v>9.9741743108142748E-5</v>
      </c>
      <c r="M37" s="3" t="s">
        <v>41</v>
      </c>
    </row>
    <row r="38" spans="3:13" x14ac:dyDescent="0.6">
      <c r="I38" s="3" t="s">
        <v>252</v>
      </c>
      <c r="J38" s="3" t="s">
        <v>43</v>
      </c>
      <c r="K38" s="3" t="s">
        <v>43</v>
      </c>
      <c r="L38" s="3" t="s">
        <v>43</v>
      </c>
      <c r="M38" s="3" t="s">
        <v>41</v>
      </c>
    </row>
  </sheetData>
  <mergeCells count="2">
    <mergeCell ref="C3:E3"/>
    <mergeCell ref="C20:E2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LEU MSRE</vt:lpstr>
      <vt:lpstr>HEU MSRE</vt:lpstr>
      <vt:lpstr>ThU233 MSBR</vt:lpstr>
      <vt:lpstr>LEU MSDR</vt:lpstr>
      <vt:lpstr>All_Lambda</vt:lpstr>
      <vt:lpstr>RemovalRobertson</vt:lpstr>
      <vt:lpstr>Table1</vt:lpstr>
      <vt:lpstr>Extra</vt:lpstr>
      <vt:lpstr>Lambda</vt:lpstr>
      <vt:lpstr>RawL</vt:lpstr>
      <vt:lpstr>Coarse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Vicente</cp:lastModifiedBy>
  <dcterms:created xsi:type="dcterms:W3CDTF">2019-07-01T16:47:20Z</dcterms:created>
  <dcterms:modified xsi:type="dcterms:W3CDTF">2019-08-13T13:42:56Z</dcterms:modified>
</cp:coreProperties>
</file>