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\Desktop\"/>
    </mc:Choice>
  </mc:AlternateContent>
  <xr:revisionPtr revIDLastSave="0" documentId="13_ncr:1_{073B344E-BBC9-4082-8F94-FBD3D7228C99}" xr6:coauthVersionLast="43" xr6:coauthVersionMax="43" xr10:uidLastSave="{00000000-0000-0000-0000-000000000000}"/>
  <bookViews>
    <workbookView xWindow="-96" yWindow="-96" windowWidth="23232" windowHeight="12696" activeTab="2" xr2:uid="{6D8099EF-626F-9C4F-AF48-E4B7AA90F053}"/>
  </bookViews>
  <sheets>
    <sheet name="Sheet1" sheetId="1" r:id="rId1"/>
    <sheet name="Sheet3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4" l="1"/>
  <c r="E23" i="4"/>
  <c r="E22" i="4"/>
  <c r="E20" i="4"/>
  <c r="D15" i="4" l="1"/>
  <c r="E14" i="4"/>
  <c r="E13" i="4"/>
  <c r="D14" i="4"/>
  <c r="D13" i="4"/>
  <c r="E12" i="4"/>
  <c r="D12" i="4"/>
  <c r="H26" i="3"/>
  <c r="E9" i="4"/>
  <c r="D9" i="4"/>
  <c r="E7" i="4"/>
  <c r="D7" i="4"/>
  <c r="E6" i="4"/>
  <c r="D6" i="4"/>
  <c r="I65" i="3" l="1"/>
  <c r="I61" i="3"/>
  <c r="I62" i="3" l="1"/>
  <c r="I64" i="3" s="1"/>
  <c r="I14" i="3" l="1"/>
  <c r="I13" i="3"/>
  <c r="C75" i="3"/>
  <c r="C60" i="3"/>
  <c r="C57" i="3"/>
  <c r="C56" i="3"/>
  <c r="C58" i="3"/>
  <c r="H38" i="3" l="1"/>
  <c r="C45" i="3"/>
  <c r="C10" i="3"/>
  <c r="F9" i="3" l="1"/>
  <c r="O30" i="3"/>
  <c r="M31" i="3"/>
  <c r="O32" i="3" s="1"/>
  <c r="O31" i="3" l="1"/>
  <c r="M15" i="3"/>
  <c r="M19" i="3"/>
  <c r="M21" i="3" s="1"/>
  <c r="M23" i="3" s="1"/>
  <c r="C27" i="3" s="1"/>
  <c r="I23" i="3"/>
  <c r="I19" i="3"/>
  <c r="I20" i="3" s="1"/>
  <c r="I21" i="3" s="1"/>
  <c r="C24" i="3"/>
  <c r="C23" i="3"/>
  <c r="H5" i="1"/>
  <c r="I24" i="3" l="1"/>
  <c r="I4" i="3" s="1"/>
  <c r="I10" i="3" s="1"/>
  <c r="I11" i="3" s="1"/>
  <c r="I5" i="1"/>
  <c r="A31" i="1" l="1"/>
  <c r="H9" i="1"/>
  <c r="H11" i="1"/>
  <c r="H8" i="1"/>
  <c r="H7" i="1"/>
  <c r="H6" i="1"/>
  <c r="A24" i="1"/>
  <c r="I7" i="1"/>
  <c r="I6" i="1"/>
  <c r="I9" i="1"/>
  <c r="I31" i="3" l="1"/>
  <c r="I30" i="3"/>
  <c r="C25" i="3"/>
  <c r="C26" i="3" s="1"/>
  <c r="C28" i="3" s="1"/>
  <c r="H10" i="1"/>
  <c r="L11" i="1"/>
  <c r="I11" i="1"/>
  <c r="K11" i="1" s="1"/>
  <c r="L6" i="1"/>
  <c r="L7" i="1"/>
  <c r="L8" i="1"/>
  <c r="L9" i="1"/>
  <c r="L10" i="1"/>
  <c r="L5" i="1"/>
  <c r="J9" i="1"/>
  <c r="I10" i="1"/>
  <c r="J10" i="1" s="1"/>
  <c r="I8" i="1"/>
  <c r="J8" i="1" s="1"/>
  <c r="J7" i="1"/>
  <c r="K5" i="1"/>
  <c r="J6" i="1"/>
  <c r="J5" i="1" l="1"/>
  <c r="K6" i="1"/>
  <c r="J11" i="1"/>
  <c r="K10" i="1"/>
  <c r="K9" i="1"/>
  <c r="K8" i="1"/>
  <c r="K7" i="1"/>
</calcChain>
</file>

<file path=xl/sharedStrings.xml><?xml version="1.0" encoding="utf-8"?>
<sst xmlns="http://schemas.openxmlformats.org/spreadsheetml/2006/main" count="236" uniqueCount="144">
  <si>
    <t>Dilution</t>
  </si>
  <si>
    <t>Pump Bypass</t>
  </si>
  <si>
    <t>Separator Bypass</t>
  </si>
  <si>
    <t>REMOVAL CONSTANT</t>
  </si>
  <si>
    <t>FORMULA</t>
  </si>
  <si>
    <t>Scenario</t>
  </si>
  <si>
    <t># of Loops</t>
  </si>
  <si>
    <t>Impurity Factor</t>
  </si>
  <si>
    <t>Cycle Time (Xe, Kr)</t>
  </si>
  <si>
    <t>sec</t>
  </si>
  <si>
    <t>PAPER VALUE</t>
  </si>
  <si>
    <t>REMOVAL + CYCLE</t>
  </si>
  <si>
    <t>-</t>
  </si>
  <si>
    <t>Decay Factor</t>
  </si>
  <si>
    <t>Decay Constant</t>
  </si>
  <si>
    <t>20 seconds</t>
  </si>
  <si>
    <t>decay constant iondine</t>
  </si>
  <si>
    <t>s-1</t>
  </si>
  <si>
    <t>seconds</t>
  </si>
  <si>
    <t>0.27 Hours</t>
  </si>
  <si>
    <t>Gas Bypass</t>
  </si>
  <si>
    <t>Removal Mechanisms</t>
  </si>
  <si>
    <t>Fraction</t>
  </si>
  <si>
    <t xml:space="preserve">Removal Mechanism </t>
  </si>
  <si>
    <t>Bypass</t>
  </si>
  <si>
    <t>Removal Mechanism</t>
  </si>
  <si>
    <t>kg/s</t>
  </si>
  <si>
    <t>kg/m3</t>
  </si>
  <si>
    <t>m</t>
  </si>
  <si>
    <t>m2</t>
  </si>
  <si>
    <t>Velocity</t>
  </si>
  <si>
    <t>m/s</t>
  </si>
  <si>
    <t>Primary Fuel Loop length</t>
  </si>
  <si>
    <t>times</t>
  </si>
  <si>
    <t>Loop Decay Removal Rate</t>
  </si>
  <si>
    <t>Gas Removal Rate</t>
  </si>
  <si>
    <t>s</t>
  </si>
  <si>
    <t>Removal Fraction</t>
  </si>
  <si>
    <t>This assumes that the 2 kg/s of salt in the bypass line gets stripped of all gaseous FP that are not already in the gaseous phase</t>
  </si>
  <si>
    <t>This assumes that ALL FP in the sparged salt are removed and are accounted for in the 19 L/min flow rate (FP saturated/non saturated).</t>
  </si>
  <si>
    <t>Reaction Rate Adjustment (Dilution)</t>
  </si>
  <si>
    <t>RR = (gamma)*Macro_X*Flux</t>
  </si>
  <si>
    <t>gamma</t>
  </si>
  <si>
    <t>flux</t>
  </si>
  <si>
    <t>constant</t>
  </si>
  <si>
    <t>micro_x</t>
  </si>
  <si>
    <t>number density</t>
  </si>
  <si>
    <t>Variable</t>
  </si>
  <si>
    <t>Let us assume 1 atom produced while irradiating the whole salt in the system</t>
  </si>
  <si>
    <t>mass salt system</t>
  </si>
  <si>
    <t>mass salt reactor</t>
  </si>
  <si>
    <t>volume salt sys</t>
  </si>
  <si>
    <t>volume salt rx</t>
  </si>
  <si>
    <t>ratio</t>
  </si>
  <si>
    <t>Removal Constant</t>
  </si>
  <si>
    <t>loops/s</t>
  </si>
  <si>
    <t>========</t>
  </si>
  <si>
    <t>R = Lambda*N</t>
  </si>
  <si>
    <t>Lambda</t>
  </si>
  <si>
    <t>Gas Removal</t>
  </si>
  <si>
    <t>Salt Removal</t>
  </si>
  <si>
    <t>Decay Removal</t>
  </si>
  <si>
    <t>Atom coming</t>
  </si>
  <si>
    <t>Total FP Fraction</t>
  </si>
  <si>
    <t>TOTAL</t>
  </si>
  <si>
    <t>How to measure sparging efficiency?</t>
  </si>
  <si>
    <t>Efficiency Factor</t>
  </si>
  <si>
    <t>Total FP fraction</t>
  </si>
  <si>
    <t>Existance (Dilution)</t>
  </si>
  <si>
    <t>SUBTOTAL</t>
  </si>
  <si>
    <t>???</t>
  </si>
  <si>
    <t>atom/s</t>
  </si>
  <si>
    <t>Efficiency</t>
  </si>
  <si>
    <t>Salt FP Removal Rate</t>
  </si>
  <si>
    <t>Off-gas Bypass</t>
  </si>
  <si>
    <t>Mass Flow Rate</t>
  </si>
  <si>
    <t>Salt Density</t>
  </si>
  <si>
    <t>Pipe Diameter</t>
  </si>
  <si>
    <t>Pipe Radius</t>
  </si>
  <si>
    <t>Cross Sectional Area</t>
  </si>
  <si>
    <t>Velocity Calculation</t>
  </si>
  <si>
    <t>------------------------------------------------------------------------</t>
  </si>
  <si>
    <t>Removal Probability</t>
  </si>
  <si>
    <t>Time until 100% Probability</t>
  </si>
  <si>
    <t>Half Life</t>
  </si>
  <si>
    <t>/s</t>
  </si>
  <si>
    <t>A=L*N</t>
  </si>
  <si>
    <t>N=A/L</t>
  </si>
  <si>
    <t>Gas/Liquid Efficiency</t>
  </si>
  <si>
    <t>Gas Cleanup Bypass</t>
  </si>
  <si>
    <t>Composition</t>
  </si>
  <si>
    <t>IMPORTANT HE BUBBLE COMPOSITION</t>
  </si>
  <si>
    <t>HIGHER HOLDUP TIMES</t>
  </si>
  <si>
    <t>LOWER GAS BYPASS</t>
  </si>
  <si>
    <t>robertson bypass lower</t>
  </si>
  <si>
    <t>Gives accurate values</t>
  </si>
  <si>
    <t>atom</t>
  </si>
  <si>
    <t>x</t>
  </si>
  <si>
    <t>Decay</t>
  </si>
  <si>
    <t>Burnup</t>
  </si>
  <si>
    <t>Graphite</t>
  </si>
  <si>
    <t>Generation Rate</t>
  </si>
  <si>
    <t>Decay Outside Core</t>
  </si>
  <si>
    <t>Stripping Efficiency</t>
  </si>
  <si>
    <t>Burnup Rate</t>
  </si>
  <si>
    <t>Migration to Graphite</t>
  </si>
  <si>
    <t>Migration to Bubbles</t>
  </si>
  <si>
    <t>Bypass/Gas Stripping</t>
  </si>
  <si>
    <t>MSDR-7.5</t>
  </si>
  <si>
    <t>MSDR-750</t>
  </si>
  <si>
    <t>Thermal Power</t>
  </si>
  <si>
    <t>MeV/MJ</t>
  </si>
  <si>
    <t>MeV/fission</t>
  </si>
  <si>
    <t>Xe Gen.Rate</t>
  </si>
  <si>
    <t>Xenon Yield</t>
  </si>
  <si>
    <t>MSDR 750</t>
  </si>
  <si>
    <t>Primary Fuel Salt Volume</t>
  </si>
  <si>
    <t xml:space="preserve">Xenon Decay </t>
  </si>
  <si>
    <t>Conversion</t>
  </si>
  <si>
    <t>TRITON*</t>
  </si>
  <si>
    <t>ASSUMED</t>
  </si>
  <si>
    <t>Flow Rate through stripper</t>
  </si>
  <si>
    <t>m3</t>
  </si>
  <si>
    <t>m3/s</t>
  </si>
  <si>
    <t>fraction</t>
  </si>
  <si>
    <t>Removal (m3/s)</t>
  </si>
  <si>
    <t>Removal (/s)</t>
  </si>
  <si>
    <t>Core Fuel Salt Volume</t>
  </si>
  <si>
    <t xml:space="preserve">USE EVERYTHING FROM REPORT </t>
  </si>
  <si>
    <t>BUILD MODEL MSRE</t>
  </si>
  <si>
    <t>SCALE UNIT CELL</t>
  </si>
  <si>
    <t>PYTHON PLOTTING FLUX SPECTRA</t>
  </si>
  <si>
    <t>Average Fuel Power Dens.</t>
  </si>
  <si>
    <t>Max Fuel Power Dens</t>
  </si>
  <si>
    <t>kW/liter</t>
  </si>
  <si>
    <t>Density Fuel</t>
  </si>
  <si>
    <t>lb/ft3</t>
  </si>
  <si>
    <t>lb/liter</t>
  </si>
  <si>
    <t>ft3/liter</t>
  </si>
  <si>
    <t>kg/liter</t>
  </si>
  <si>
    <t>kW/kg</t>
  </si>
  <si>
    <t>MW/kg</t>
  </si>
  <si>
    <t>MW/MTU</t>
  </si>
  <si>
    <t xml:space="preserve">Integral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</si>
</sst>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000"/>
    <numFmt numFmtId="167" formatCode="0.0000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 quotePrefix="1"/>
    <xf numFmtId="0" fontId="4" fillId="0" borderId="0" xfId="0" applyFont="1"/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0" fontId="1" fillId="2" borderId="0" xfId="0" applyFont="1" applyFill="1"/>
    <xf numFmtId="0" fontId="1" fillId="0" borderId="0" xfId="0" applyNumberFormat="1" applyFont="1"/>
    <xf numFmtId="0" fontId="0" fillId="2" borderId="0" xfId="0" applyFill="1"/>
    <xf numFmtId="0" fontId="0" fillId="2" borderId="0" xfId="0" applyFont="1" applyFill="1"/>
    <xf numFmtId="0" fontId="1" fillId="0" borderId="1" xfId="0" applyFont="1" applyBorder="1"/>
    <xf numFmtId="0" fontId="0" fillId="0" borderId="1" xfId="0" applyBorder="1"/>
    <xf numFmtId="10" fontId="0" fillId="0" borderId="1" xfId="0" applyNumberFormat="1" applyBorder="1"/>
    <xf numFmtId="164" fontId="0" fillId="0" borderId="1" xfId="0" applyNumberFormat="1" applyBorder="1"/>
    <xf numFmtId="165" fontId="1" fillId="0" borderId="1" xfId="0" applyNumberFormat="1" applyFont="1" applyBorder="1"/>
    <xf numFmtId="0" fontId="1" fillId="0" borderId="0" xfId="0" applyFont="1" applyFill="1"/>
    <xf numFmtId="0" fontId="0" fillId="0" borderId="0" xfId="0" applyFont="1" applyFill="1"/>
    <xf numFmtId="166" fontId="1" fillId="0" borderId="1" xfId="0" applyNumberFormat="1" applyFont="1" applyBorder="1"/>
    <xf numFmtId="167" fontId="0" fillId="0" borderId="1" xfId="0" applyNumberFormat="1" applyBorder="1"/>
    <xf numFmtId="10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quotePrefix="1" applyFill="1" applyBorder="1" applyAlignment="1">
      <alignment horizontal="center"/>
    </xf>
    <xf numFmtId="0" fontId="0" fillId="0" borderId="4" xfId="0" quotePrefix="1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Removal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REMOVAL CONSTANT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Sheet1!$I$5:$I$11</c:f>
              <c:numCache>
                <c:formatCode>General</c:formatCode>
                <c:ptCount val="7"/>
                <c:pt idx="0">
                  <c:v>2.3596068000000005E-3</c:v>
                </c:pt>
                <c:pt idx="1">
                  <c:v>3.2430000000000002E-3</c:v>
                </c:pt>
                <c:pt idx="2">
                  <c:v>2.9187000000000002E-3</c:v>
                </c:pt>
                <c:pt idx="3">
                  <c:v>2.1236461200000007E-3</c:v>
                </c:pt>
                <c:pt idx="4">
                  <c:v>1.6517247600000002E-3</c:v>
                </c:pt>
                <c:pt idx="5">
                  <c:v>1.1798034000000002E-3</c:v>
                </c:pt>
                <c:pt idx="6">
                  <c:v>4.7192136000000012E-4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E-114A-99AE-65A362A813B5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FORMULA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Sheet1!$J$5:$J$11</c:f>
              <c:numCache>
                <c:formatCode>General</c:formatCode>
                <c:ptCount val="7"/>
                <c:pt idx="0">
                  <c:v>2.3387434616900567E-3</c:v>
                </c:pt>
                <c:pt idx="1">
                  <c:v>3.2157349377547389E-3</c:v>
                </c:pt>
                <c:pt idx="2">
                  <c:v>2.8936957019461097E-3</c:v>
                </c:pt>
                <c:pt idx="3">
                  <c:v>2.1046228245181521E-3</c:v>
                </c:pt>
                <c:pt idx="4">
                  <c:v>1.6365459234564921E-3</c:v>
                </c:pt>
                <c:pt idx="5">
                  <c:v>1.1686880158784563E-3</c:v>
                </c:pt>
                <c:pt idx="6">
                  <c:v>4.6731131932795637E-4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E-114A-99AE-65A362A813B5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REMOVAL + CYCLE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Sheet1!$K$5:$K$11</c:f>
              <c:numCache>
                <c:formatCode>General</c:formatCode>
                <c:ptCount val="7"/>
                <c:pt idx="0">
                  <c:v>1.1693717308450283E-4</c:v>
                </c:pt>
                <c:pt idx="1">
                  <c:v>1.6078674688773694E-4</c:v>
                </c:pt>
                <c:pt idx="2">
                  <c:v>1.4468478509730548E-4</c:v>
                </c:pt>
                <c:pt idx="3">
                  <c:v>1.0523114122590761E-4</c:v>
                </c:pt>
                <c:pt idx="4">
                  <c:v>8.1827296172824602E-5</c:v>
                </c:pt>
                <c:pt idx="5">
                  <c:v>5.8434400793922813E-5</c:v>
                </c:pt>
                <c:pt idx="6">
                  <c:v>2.3365565966397819E-5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1E-114A-99AE-65A362A8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766896"/>
        <c:axId val="1338768576"/>
      </c:barChart>
      <c:catAx>
        <c:axId val="13387668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38768576"/>
        <c:crosses val="autoZero"/>
        <c:auto val="1"/>
        <c:lblAlgn val="ctr"/>
        <c:lblOffset val="100"/>
        <c:noMultiLvlLbl val="0"/>
      </c:catAx>
      <c:valAx>
        <c:axId val="13387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Removal Rate [/s]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818336</xdr:colOff>
      <xdr:row>12</xdr:row>
      <xdr:rowOff>115277</xdr:rowOff>
    </xdr:from>
    <xdr:to>
      <xdr:col>10</xdr:col>
      <xdr:colOff>754836</xdr:colOff>
      <xdr:row>31</xdr:row>
      <xdr:rowOff>138722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A495C-C3DE-E946-9F5B-D971DC843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D3447-2972-9240-95AA-AA2AEB238296}">
  <dimension ref="A2:L31"/>
  <sheetViews>
    <sheetView zoomScale="90" zoomScaleNormal="90" workbookViewId="0">
      <selection activeCell="A22" sqref="A22"/>
    </sheetView>
  </sheetViews>
  <sheetFormatPr defaultColWidth="10.796875" defaultRowHeight="15.6" x14ac:dyDescent="0.6"/>
  <cols>
    <col min="1" max="1" width="20.6484375" customWidth="1"/>
    <col min="3" max="3" width="14.84765625" customWidth="1"/>
    <col min="4" max="8" width="18.5" customWidth="1"/>
    <col min="9" max="9" width="21.34765625" customWidth="1"/>
    <col min="11" max="11" width="18" customWidth="1"/>
    <col min="12" max="12" width="14.5" customWidth="1"/>
  </cols>
  <sheetData>
    <row r="2" spans="1:12" x14ac:dyDescent="0.6">
      <c r="A2" s="6" t="s">
        <v>8</v>
      </c>
      <c r="B2" s="6">
        <v>20</v>
      </c>
      <c r="C2" s="6" t="s">
        <v>9</v>
      </c>
    </row>
    <row r="4" spans="1:12" x14ac:dyDescent="0.6">
      <c r="A4" s="5" t="s">
        <v>5</v>
      </c>
      <c r="B4" s="5" t="s">
        <v>0</v>
      </c>
      <c r="C4" s="5" t="s">
        <v>1</v>
      </c>
      <c r="D4" s="5" t="s">
        <v>2</v>
      </c>
      <c r="E4" s="5" t="s">
        <v>6</v>
      </c>
      <c r="F4" s="5" t="s">
        <v>20</v>
      </c>
      <c r="G4" s="5" t="s">
        <v>7</v>
      </c>
      <c r="H4" s="5" t="s">
        <v>13</v>
      </c>
      <c r="I4" s="5" t="s">
        <v>3</v>
      </c>
      <c r="J4" s="5" t="s">
        <v>4</v>
      </c>
      <c r="K4" s="5" t="s">
        <v>11</v>
      </c>
      <c r="L4" s="5" t="s">
        <v>10</v>
      </c>
    </row>
    <row r="5" spans="1:12" x14ac:dyDescent="0.6">
      <c r="A5" s="3">
        <v>1</v>
      </c>
      <c r="B5" s="1">
        <v>0.72760000000000002</v>
      </c>
      <c r="C5" s="1">
        <v>0.1</v>
      </c>
      <c r="D5" s="1">
        <v>1.081E-2</v>
      </c>
      <c r="E5" s="1">
        <v>3</v>
      </c>
      <c r="F5" s="1">
        <v>0.5</v>
      </c>
      <c r="G5" s="1">
        <v>1</v>
      </c>
      <c r="H5" s="1">
        <f>A22*A24</f>
        <v>2.9306070546251704E-2</v>
      </c>
      <c r="I5" s="1">
        <f>B5*C5*D5*E5*G5</f>
        <v>2.3596068000000005E-3</v>
      </c>
      <c r="J5" s="1">
        <f t="shared" ref="J5:J11" si="0">ABS((LN(1-(0.99*I5)))/(1))</f>
        <v>2.3387434616900567E-3</v>
      </c>
      <c r="K5">
        <f t="shared" ref="K5:K11" si="1">ABS((LN(1-(0.99*I5)))/(20))</f>
        <v>1.1693717308450283E-4</v>
      </c>
      <c r="L5">
        <f>ABS((LN(1-(0.999*1)))/(20))</f>
        <v>0.34538776394910681</v>
      </c>
    </row>
    <row r="6" spans="1:12" x14ac:dyDescent="0.6">
      <c r="A6" s="3">
        <v>2</v>
      </c>
      <c r="B6" s="3" t="s">
        <v>12</v>
      </c>
      <c r="C6" s="1">
        <v>0.1</v>
      </c>
      <c r="D6" s="1">
        <v>1.081E-2</v>
      </c>
      <c r="E6" s="1">
        <v>3</v>
      </c>
      <c r="F6" s="1">
        <v>0.5</v>
      </c>
      <c r="G6" s="1">
        <v>1</v>
      </c>
      <c r="H6" s="1">
        <f>A22*A24</f>
        <v>2.9306070546251704E-2</v>
      </c>
      <c r="I6" s="1">
        <f>C6*D6*E6*G6</f>
        <v>3.2430000000000002E-3</v>
      </c>
      <c r="J6" s="1">
        <f t="shared" si="0"/>
        <v>3.2157349377547389E-3</v>
      </c>
      <c r="K6">
        <f t="shared" si="1"/>
        <v>1.6078674688773694E-4</v>
      </c>
      <c r="L6">
        <f t="shared" ref="L6:L11" si="2">ABS((LN(1-(0.999*1)))/(20))</f>
        <v>0.34538776394910681</v>
      </c>
    </row>
    <row r="7" spans="1:12" x14ac:dyDescent="0.6">
      <c r="A7" s="4">
        <v>3</v>
      </c>
      <c r="B7" s="4" t="s">
        <v>12</v>
      </c>
      <c r="C7" s="2">
        <v>0.1</v>
      </c>
      <c r="D7" s="1">
        <v>1.081E-2</v>
      </c>
      <c r="E7" s="2">
        <v>3</v>
      </c>
      <c r="F7" s="2">
        <v>0.5</v>
      </c>
      <c r="G7" s="4">
        <v>0.9</v>
      </c>
      <c r="H7" s="1">
        <f>A22*A24</f>
        <v>2.9306070546251704E-2</v>
      </c>
      <c r="I7" s="2">
        <f>C7*D7*E7*G7</f>
        <v>2.9187000000000002E-3</v>
      </c>
      <c r="J7" s="1">
        <f t="shared" si="0"/>
        <v>2.8936957019461097E-3</v>
      </c>
      <c r="K7">
        <f t="shared" si="1"/>
        <v>1.4468478509730548E-4</v>
      </c>
      <c r="L7">
        <f t="shared" si="2"/>
        <v>0.34538776394910681</v>
      </c>
    </row>
    <row r="8" spans="1:12" x14ac:dyDescent="0.6">
      <c r="A8" s="4">
        <v>4</v>
      </c>
      <c r="B8" s="3">
        <v>0.72760000000000002</v>
      </c>
      <c r="C8" s="2">
        <v>0.1</v>
      </c>
      <c r="D8" s="2">
        <v>1.081E-2</v>
      </c>
      <c r="E8" s="2">
        <v>3</v>
      </c>
      <c r="F8" s="2">
        <v>0.5</v>
      </c>
      <c r="G8" s="4">
        <v>0.9</v>
      </c>
      <c r="H8" s="1">
        <f>A22*A24</f>
        <v>2.9306070546251704E-2</v>
      </c>
      <c r="I8" s="2">
        <f>B8*C8*D8*E8*G8</f>
        <v>2.1236461200000007E-3</v>
      </c>
      <c r="J8" s="1">
        <f t="shared" si="0"/>
        <v>2.1046228245181521E-3</v>
      </c>
      <c r="K8">
        <f t="shared" si="1"/>
        <v>1.0523114122590761E-4</v>
      </c>
      <c r="L8">
        <f t="shared" si="2"/>
        <v>0.34538776394910681</v>
      </c>
    </row>
    <row r="9" spans="1:12" x14ac:dyDescent="0.6">
      <c r="A9" s="4">
        <v>5</v>
      </c>
      <c r="B9" s="2">
        <v>0.72760000000000002</v>
      </c>
      <c r="C9" s="2">
        <v>0.1</v>
      </c>
      <c r="D9" s="2">
        <v>1.081E-2</v>
      </c>
      <c r="E9" s="2">
        <v>3</v>
      </c>
      <c r="F9" s="2">
        <v>0.5</v>
      </c>
      <c r="G9" s="4">
        <v>0.7</v>
      </c>
      <c r="H9" s="1">
        <f>A22*A24</f>
        <v>2.9306070546251704E-2</v>
      </c>
      <c r="I9" s="2">
        <f>B9*C9*D9*E9*G9</f>
        <v>1.6517247600000002E-3</v>
      </c>
      <c r="J9" s="1">
        <f t="shared" si="0"/>
        <v>1.6365459234564921E-3</v>
      </c>
      <c r="K9">
        <f t="shared" si="1"/>
        <v>8.1827296172824602E-5</v>
      </c>
      <c r="L9">
        <f t="shared" si="2"/>
        <v>0.34538776394910681</v>
      </c>
    </row>
    <row r="10" spans="1:12" x14ac:dyDescent="0.6">
      <c r="A10" s="4">
        <v>6</v>
      </c>
      <c r="B10" s="2">
        <v>0.72760000000000002</v>
      </c>
      <c r="C10" s="2">
        <v>0.1</v>
      </c>
      <c r="D10" s="2">
        <v>1.081E-2</v>
      </c>
      <c r="E10" s="2">
        <v>3</v>
      </c>
      <c r="F10" s="2">
        <v>0.5</v>
      </c>
      <c r="G10" s="4">
        <v>0.5</v>
      </c>
      <c r="H10" s="1">
        <f>A22*A24</f>
        <v>2.9306070546251704E-2</v>
      </c>
      <c r="I10" s="2">
        <f>B10*C10*D10*E10*G10</f>
        <v>1.1798034000000002E-3</v>
      </c>
      <c r="J10" s="1">
        <f t="shared" si="0"/>
        <v>1.1686880158784563E-3</v>
      </c>
      <c r="K10">
        <f t="shared" si="1"/>
        <v>5.8434400793922813E-5</v>
      </c>
      <c r="L10">
        <f t="shared" si="2"/>
        <v>0.34538776394910681</v>
      </c>
    </row>
    <row r="11" spans="1:12" x14ac:dyDescent="0.6">
      <c r="A11" s="4">
        <v>7</v>
      </c>
      <c r="B11" s="2">
        <v>0.72760000000000002</v>
      </c>
      <c r="C11" s="2">
        <v>0.1</v>
      </c>
      <c r="D11" s="2">
        <v>1.081E-2</v>
      </c>
      <c r="E11" s="2">
        <v>3</v>
      </c>
      <c r="F11" s="2">
        <v>0.5</v>
      </c>
      <c r="G11" s="4">
        <v>0.2</v>
      </c>
      <c r="H11" s="1">
        <f>A22*A24</f>
        <v>2.9306070546251704E-2</v>
      </c>
      <c r="I11" s="2">
        <f>B11*C11*D11*E11*G11</f>
        <v>4.7192136000000012E-4</v>
      </c>
      <c r="J11" s="1">
        <f t="shared" si="0"/>
        <v>4.6731131932795637E-4</v>
      </c>
      <c r="K11">
        <f t="shared" si="1"/>
        <v>2.3365565966397819E-5</v>
      </c>
      <c r="L11">
        <f t="shared" si="2"/>
        <v>0.34538776394910681</v>
      </c>
    </row>
    <row r="15" spans="1:12" x14ac:dyDescent="0.6">
      <c r="A15" t="s">
        <v>14</v>
      </c>
    </row>
    <row r="16" spans="1:12" x14ac:dyDescent="0.6">
      <c r="A16" t="s">
        <v>15</v>
      </c>
      <c r="L16" s="7"/>
    </row>
    <row r="17" spans="1:12" x14ac:dyDescent="0.6">
      <c r="L17" s="7"/>
    </row>
    <row r="18" spans="1:12" x14ac:dyDescent="0.6">
      <c r="L18" s="7"/>
    </row>
    <row r="19" spans="1:12" x14ac:dyDescent="0.6">
      <c r="L19" s="7"/>
    </row>
    <row r="20" spans="1:12" x14ac:dyDescent="0.6">
      <c r="L20" s="7"/>
    </row>
    <row r="21" spans="1:12" x14ac:dyDescent="0.6">
      <c r="A21" t="s">
        <v>19</v>
      </c>
    </row>
    <row r="22" spans="1:12" x14ac:dyDescent="0.6">
      <c r="A22">
        <v>1000</v>
      </c>
      <c r="B22" t="s">
        <v>18</v>
      </c>
    </row>
    <row r="23" spans="1:12" x14ac:dyDescent="0.6">
      <c r="A23" t="s">
        <v>16</v>
      </c>
    </row>
    <row r="24" spans="1:12" x14ac:dyDescent="0.6">
      <c r="A24">
        <f>LN(2)/23652</f>
        <v>2.9306070546251702E-5</v>
      </c>
      <c r="B24" t="s">
        <v>17</v>
      </c>
    </row>
    <row r="31" spans="1:12" x14ac:dyDescent="0.6">
      <c r="A31">
        <f>41.312423/30.0604</f>
        <v>1.3743138148527632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C04D-A73A-453E-A30E-1C80ABAA47DA}">
  <dimension ref="B2:O75"/>
  <sheetViews>
    <sheetView topLeftCell="A8" workbookViewId="0">
      <selection activeCell="H31" activeCellId="1" sqref="H26 H31"/>
    </sheetView>
  </sheetViews>
  <sheetFormatPr defaultRowHeight="15.6" x14ac:dyDescent="0.6"/>
  <cols>
    <col min="2" max="2" width="18.5" bestFit="1" customWidth="1"/>
    <col min="3" max="3" width="14.19921875" customWidth="1"/>
    <col min="5" max="5" width="18.1484375" bestFit="1" customWidth="1"/>
    <col min="8" max="8" width="23.34765625" customWidth="1"/>
    <col min="9" max="9" width="11.84765625" customWidth="1"/>
    <col min="12" max="12" width="16.1484375" customWidth="1"/>
  </cols>
  <sheetData>
    <row r="2" spans="2:14" x14ac:dyDescent="0.6">
      <c r="B2" s="32" t="s">
        <v>35</v>
      </c>
      <c r="C2" s="33"/>
      <c r="E2" s="32" t="s">
        <v>73</v>
      </c>
      <c r="F2" s="33"/>
      <c r="H2" s="38" t="s">
        <v>34</v>
      </c>
      <c r="I2" s="38"/>
      <c r="L2" s="9" t="s">
        <v>40</v>
      </c>
    </row>
    <row r="3" spans="2:14" x14ac:dyDescent="0.6">
      <c r="B3" s="20" t="s">
        <v>21</v>
      </c>
      <c r="C3" s="20" t="s">
        <v>22</v>
      </c>
      <c r="E3" s="20" t="s">
        <v>23</v>
      </c>
      <c r="F3" s="20" t="s">
        <v>22</v>
      </c>
      <c r="H3" t="s">
        <v>25</v>
      </c>
      <c r="I3" t="s">
        <v>22</v>
      </c>
      <c r="L3" t="s">
        <v>41</v>
      </c>
    </row>
    <row r="4" spans="2:14" x14ac:dyDescent="0.6">
      <c r="B4" s="20" t="s">
        <v>62</v>
      </c>
      <c r="C4" s="21">
        <v>1</v>
      </c>
      <c r="E4" s="20" t="s">
        <v>63</v>
      </c>
      <c r="F4" s="21">
        <v>1.1631</v>
      </c>
      <c r="H4" t="s">
        <v>67</v>
      </c>
      <c r="I4" s="14">
        <f>I24</f>
        <v>1.1632210983526097</v>
      </c>
      <c r="J4" t="s">
        <v>55</v>
      </c>
      <c r="L4" t="s">
        <v>42</v>
      </c>
      <c r="M4" t="s">
        <v>44</v>
      </c>
    </row>
    <row r="5" spans="2:14" x14ac:dyDescent="0.6">
      <c r="B5" s="20" t="s">
        <v>107</v>
      </c>
      <c r="C5" s="21">
        <v>0.1</v>
      </c>
      <c r="E5" s="20" t="s">
        <v>1</v>
      </c>
      <c r="F5" s="21">
        <v>0.1</v>
      </c>
      <c r="H5" t="s">
        <v>1</v>
      </c>
      <c r="I5" s="14">
        <v>0.1</v>
      </c>
      <c r="L5" t="s">
        <v>43</v>
      </c>
      <c r="M5" t="s">
        <v>44</v>
      </c>
    </row>
    <row r="6" spans="2:14" ht="15.9" customHeight="1" x14ac:dyDescent="0.6">
      <c r="B6" s="20" t="s">
        <v>6</v>
      </c>
      <c r="C6" s="22">
        <v>1</v>
      </c>
      <c r="E6" s="20" t="s">
        <v>74</v>
      </c>
      <c r="F6" s="21">
        <v>1.0810999999999999E-2</v>
      </c>
      <c r="H6" t="s">
        <v>20</v>
      </c>
      <c r="I6" s="14">
        <v>0.01</v>
      </c>
      <c r="L6" t="s">
        <v>45</v>
      </c>
      <c r="M6" t="s">
        <v>44</v>
      </c>
    </row>
    <row r="7" spans="2:14" ht="15.9" customHeight="1" x14ac:dyDescent="0.6">
      <c r="B7" s="20" t="s">
        <v>88</v>
      </c>
      <c r="C7" s="27">
        <v>1</v>
      </c>
      <c r="E7" s="20" t="s">
        <v>66</v>
      </c>
      <c r="F7" s="21">
        <v>0.99</v>
      </c>
      <c r="H7" t="s">
        <v>89</v>
      </c>
      <c r="I7" s="14">
        <v>0.5</v>
      </c>
    </row>
    <row r="8" spans="2:14" x14ac:dyDescent="0.6">
      <c r="B8" s="20" t="s">
        <v>72</v>
      </c>
      <c r="C8" s="21">
        <v>1</v>
      </c>
      <c r="E8" s="20" t="s">
        <v>6</v>
      </c>
      <c r="F8" s="20">
        <v>3</v>
      </c>
      <c r="H8" s="20" t="s">
        <v>66</v>
      </c>
      <c r="I8" s="21">
        <v>0.99</v>
      </c>
      <c r="L8" t="s">
        <v>46</v>
      </c>
      <c r="M8" t="s">
        <v>47</v>
      </c>
    </row>
    <row r="9" spans="2:14" x14ac:dyDescent="0.6">
      <c r="B9" s="20" t="s">
        <v>20</v>
      </c>
      <c r="C9" s="21">
        <v>0.8</v>
      </c>
      <c r="E9" s="19" t="s">
        <v>54</v>
      </c>
      <c r="F9" s="23">
        <f>F5*F6*F8*F7*F4</f>
        <v>3.7345594077000002E-3</v>
      </c>
      <c r="H9" s="17" t="s">
        <v>6</v>
      </c>
      <c r="I9" s="17">
        <v>3</v>
      </c>
      <c r="J9" s="15" t="s">
        <v>70</v>
      </c>
    </row>
    <row r="10" spans="2:14" ht="15.6" customHeight="1" x14ac:dyDescent="0.6">
      <c r="B10" s="19" t="s">
        <v>54</v>
      </c>
      <c r="C10" s="26">
        <f>C5*C6*C9*C4*C8*C7</f>
        <v>8.0000000000000016E-2</v>
      </c>
      <c r="H10" s="25" t="s">
        <v>82</v>
      </c>
      <c r="I10" s="25">
        <f>I4*I5*I6*I9*I8*I7</f>
        <v>1.7273833310536256E-3</v>
      </c>
      <c r="J10" s="24" t="s">
        <v>71</v>
      </c>
      <c r="L10" s="34" t="s">
        <v>48</v>
      </c>
      <c r="M10" s="34"/>
      <c r="N10" s="34"/>
    </row>
    <row r="11" spans="2:14" x14ac:dyDescent="0.6">
      <c r="E11" s="41" t="s">
        <v>38</v>
      </c>
      <c r="F11" s="41"/>
      <c r="H11" t="s">
        <v>83</v>
      </c>
      <c r="I11">
        <f>1/I10</f>
        <v>578.91029861336301</v>
      </c>
      <c r="J11" t="s">
        <v>36</v>
      </c>
      <c r="L11" s="34"/>
      <c r="M11" s="34"/>
      <c r="N11" s="34"/>
    </row>
    <row r="12" spans="2:14" x14ac:dyDescent="0.6">
      <c r="B12" s="41" t="s">
        <v>39</v>
      </c>
      <c r="C12" s="41"/>
      <c r="E12" s="41"/>
      <c r="F12" s="41"/>
      <c r="H12" s="18" t="s">
        <v>14</v>
      </c>
      <c r="I12" s="18">
        <v>2.0928350000000001E-5</v>
      </c>
      <c r="J12" s="17" t="s">
        <v>71</v>
      </c>
      <c r="L12" s="34"/>
      <c r="M12" s="34"/>
      <c r="N12" s="34"/>
    </row>
    <row r="13" spans="2:14" x14ac:dyDescent="0.6">
      <c r="B13" s="41"/>
      <c r="C13" s="41"/>
      <c r="E13" s="41"/>
      <c r="F13" s="41"/>
      <c r="H13" s="9" t="s">
        <v>37</v>
      </c>
      <c r="I13" s="9">
        <f>I12*I11</f>
        <v>1.2115637347984976E-2</v>
      </c>
      <c r="L13" t="s">
        <v>49</v>
      </c>
      <c r="M13">
        <v>138541.35999999999</v>
      </c>
    </row>
    <row r="14" spans="2:14" x14ac:dyDescent="0.6">
      <c r="B14" s="41"/>
      <c r="C14" s="41"/>
      <c r="E14" s="41"/>
      <c r="F14" s="41"/>
      <c r="I14">
        <f>I12*25*M17</f>
        <v>2.161502119730125E-2</v>
      </c>
      <c r="L14" t="s">
        <v>50</v>
      </c>
      <c r="M14">
        <v>100802.38</v>
      </c>
    </row>
    <row r="15" spans="2:14" x14ac:dyDescent="0.6">
      <c r="B15" s="41"/>
      <c r="C15" s="41"/>
      <c r="E15" s="41"/>
      <c r="F15" s="41"/>
      <c r="H15" s="40" t="s">
        <v>80</v>
      </c>
      <c r="I15" s="40"/>
      <c r="J15" s="40"/>
      <c r="L15" s="9" t="s">
        <v>53</v>
      </c>
      <c r="M15" s="9">
        <f>M14/M13</f>
        <v>0.72759773687799811</v>
      </c>
    </row>
    <row r="16" spans="2:14" x14ac:dyDescent="0.6">
      <c r="B16" s="41"/>
      <c r="C16" s="41"/>
      <c r="E16" s="41"/>
      <c r="F16" s="41"/>
      <c r="H16" s="20" t="s">
        <v>75</v>
      </c>
      <c r="I16" s="20">
        <v>1665</v>
      </c>
      <c r="J16" s="20" t="s">
        <v>26</v>
      </c>
    </row>
    <row r="17" spans="2:15" x14ac:dyDescent="0.6">
      <c r="B17" s="41"/>
      <c r="C17" s="41"/>
      <c r="H17" s="20" t="s">
        <v>76</v>
      </c>
      <c r="I17" s="20">
        <v>3353.33</v>
      </c>
      <c r="J17" s="20" t="s">
        <v>27</v>
      </c>
      <c r="L17" t="s">
        <v>51</v>
      </c>
      <c r="M17">
        <v>41.312423000000003</v>
      </c>
    </row>
    <row r="18" spans="2:15" x14ac:dyDescent="0.6">
      <c r="B18" s="39" t="s">
        <v>65</v>
      </c>
      <c r="C18" s="39"/>
      <c r="H18" s="20" t="s">
        <v>77</v>
      </c>
      <c r="I18" s="20">
        <v>0.15240000000000001</v>
      </c>
      <c r="J18" s="20" t="s">
        <v>28</v>
      </c>
      <c r="L18" t="s">
        <v>52</v>
      </c>
      <c r="M18">
        <v>30.060400000000001</v>
      </c>
    </row>
    <row r="19" spans="2:15" x14ac:dyDescent="0.6">
      <c r="H19" s="20" t="s">
        <v>78</v>
      </c>
      <c r="I19" s="20">
        <f>I18/2</f>
        <v>7.6200000000000004E-2</v>
      </c>
      <c r="J19" s="20" t="s">
        <v>28</v>
      </c>
      <c r="L19" s="9" t="s">
        <v>53</v>
      </c>
      <c r="M19" s="9">
        <f>M18/M17</f>
        <v>0.72763584939087211</v>
      </c>
    </row>
    <row r="20" spans="2:15" x14ac:dyDescent="0.6">
      <c r="B20" t="s">
        <v>57</v>
      </c>
      <c r="H20" s="20" t="s">
        <v>79</v>
      </c>
      <c r="I20" s="20">
        <f>3.14159265358979*(I19^2)</f>
        <v>1.8241469247509901E-2</v>
      </c>
      <c r="J20" s="20" t="s">
        <v>29</v>
      </c>
    </row>
    <row r="21" spans="2:15" x14ac:dyDescent="0.6">
      <c r="B21" t="s">
        <v>21</v>
      </c>
      <c r="C21" s="10" t="s">
        <v>56</v>
      </c>
      <c r="H21" s="19" t="s">
        <v>30</v>
      </c>
      <c r="I21" s="19">
        <f>I16/(I17*I20)</f>
        <v>27.219373701451065</v>
      </c>
      <c r="J21" s="19" t="s">
        <v>31</v>
      </c>
      <c r="L21" s="9" t="s">
        <v>54</v>
      </c>
      <c r="M21" s="9">
        <f>M19</f>
        <v>0.72763584939087211</v>
      </c>
      <c r="N21" s="9"/>
    </row>
    <row r="22" spans="2:15" x14ac:dyDescent="0.6">
      <c r="B22" s="9" t="s">
        <v>58</v>
      </c>
      <c r="H22" s="35" t="s">
        <v>81</v>
      </c>
      <c r="I22" s="36"/>
      <c r="J22" s="37"/>
    </row>
    <row r="23" spans="2:15" x14ac:dyDescent="0.6">
      <c r="B23" s="11" t="s">
        <v>59</v>
      </c>
      <c r="C23" s="12">
        <f>C10</f>
        <v>8.0000000000000016E-2</v>
      </c>
      <c r="H23" s="20" t="s">
        <v>32</v>
      </c>
      <c r="I23" s="20">
        <f>17.4+6</f>
        <v>23.4</v>
      </c>
      <c r="J23" s="20" t="s">
        <v>28</v>
      </c>
      <c r="L23" s="9" t="s">
        <v>54</v>
      </c>
      <c r="M23" s="9">
        <f>1-M21</f>
        <v>0.27236415060912789</v>
      </c>
    </row>
    <row r="24" spans="2:15" x14ac:dyDescent="0.6">
      <c r="B24" s="11" t="s">
        <v>60</v>
      </c>
      <c r="C24">
        <f>F9</f>
        <v>3.7345594077000002E-3</v>
      </c>
      <c r="H24" s="20" t="s">
        <v>6</v>
      </c>
      <c r="I24" s="20">
        <f>I21/I23</f>
        <v>1.1632210983526097</v>
      </c>
      <c r="J24" s="20" t="s">
        <v>33</v>
      </c>
    </row>
    <row r="25" spans="2:15" x14ac:dyDescent="0.6">
      <c r="B25" s="11" t="s">
        <v>61</v>
      </c>
      <c r="C25">
        <f>I13</f>
        <v>1.2115637347984976E-2</v>
      </c>
    </row>
    <row r="26" spans="2:15" x14ac:dyDescent="0.6">
      <c r="B26" s="8" t="s">
        <v>69</v>
      </c>
      <c r="C26" s="13">
        <f>SUM(C23:C25)</f>
        <v>9.5850196755684985E-2</v>
      </c>
      <c r="H26" s="9">
        <f>185/3353.33</f>
        <v>5.5169040923499925E-2</v>
      </c>
      <c r="I26" s="9"/>
      <c r="L26" t="s">
        <v>86</v>
      </c>
      <c r="M26" t="s">
        <v>87</v>
      </c>
    </row>
    <row r="27" spans="2:15" x14ac:dyDescent="0.6">
      <c r="B27" s="11" t="s">
        <v>68</v>
      </c>
      <c r="C27">
        <f>M23</f>
        <v>0.27236415060912789</v>
      </c>
    </row>
    <row r="28" spans="2:15" x14ac:dyDescent="0.6">
      <c r="B28" s="8" t="s">
        <v>64</v>
      </c>
      <c r="C28" s="13">
        <f>C26+C27</f>
        <v>0.36821434736481284</v>
      </c>
      <c r="H28" s="9"/>
      <c r="I28" s="16"/>
      <c r="J28" s="9"/>
      <c r="L28">
        <v>859.68179344084399</v>
      </c>
      <c r="M28" t="s">
        <v>36</v>
      </c>
    </row>
    <row r="29" spans="2:15" x14ac:dyDescent="0.6">
      <c r="C29" s="10"/>
      <c r="H29" s="18" t="s">
        <v>14</v>
      </c>
      <c r="I29" s="18">
        <v>3</v>
      </c>
      <c r="J29" s="17" t="s">
        <v>71</v>
      </c>
    </row>
    <row r="30" spans="2:15" x14ac:dyDescent="0.6">
      <c r="C30" s="12"/>
      <c r="H30" s="9" t="s">
        <v>37</v>
      </c>
      <c r="I30" s="9">
        <f>I29/I11</f>
        <v>5.1821499931608761E-3</v>
      </c>
      <c r="L30" t="s">
        <v>14</v>
      </c>
      <c r="M30">
        <v>2.0928350000000001E-5</v>
      </c>
      <c r="N30" t="s">
        <v>85</v>
      </c>
      <c r="O30">
        <f>M30*L28</f>
        <v>1.799172146175769E-2</v>
      </c>
    </row>
    <row r="31" spans="2:15" x14ac:dyDescent="0.6">
      <c r="I31">
        <f>I29*I11</f>
        <v>1736.730895840089</v>
      </c>
      <c r="L31" t="s">
        <v>84</v>
      </c>
      <c r="M31">
        <f>LN(2)/M30</f>
        <v>33120.010921068562</v>
      </c>
      <c r="N31" t="s">
        <v>36</v>
      </c>
      <c r="O31">
        <f>L28/M31</f>
        <v>2.5956567329933348E-2</v>
      </c>
    </row>
    <row r="32" spans="2:15" x14ac:dyDescent="0.6">
      <c r="O32">
        <f>M31/L28</f>
        <v>38.525895481055805</v>
      </c>
    </row>
    <row r="36" spans="2:8" x14ac:dyDescent="0.6">
      <c r="B36" s="32" t="s">
        <v>35</v>
      </c>
      <c r="C36" s="33"/>
    </row>
    <row r="37" spans="2:8" x14ac:dyDescent="0.6">
      <c r="B37" s="20" t="s">
        <v>21</v>
      </c>
      <c r="C37" s="20" t="s">
        <v>22</v>
      </c>
    </row>
    <row r="38" spans="2:8" x14ac:dyDescent="0.6">
      <c r="B38" s="20" t="s">
        <v>62</v>
      </c>
      <c r="C38" s="21">
        <v>1.1631</v>
      </c>
      <c r="E38">
        <v>6.9099999999999999E-4</v>
      </c>
      <c r="F38" t="s">
        <v>96</v>
      </c>
      <c r="G38" t="s">
        <v>97</v>
      </c>
      <c r="H38">
        <f>1/E38</f>
        <v>1447.178002894356</v>
      </c>
    </row>
    <row r="39" spans="2:8" x14ac:dyDescent="0.6">
      <c r="B39" s="20" t="s">
        <v>24</v>
      </c>
      <c r="C39" s="21">
        <v>1</v>
      </c>
      <c r="F39" t="s">
        <v>9</v>
      </c>
    </row>
    <row r="40" spans="2:8" x14ac:dyDescent="0.6">
      <c r="B40" s="20" t="s">
        <v>6</v>
      </c>
      <c r="C40" s="22">
        <v>3</v>
      </c>
    </row>
    <row r="41" spans="2:8" x14ac:dyDescent="0.6">
      <c r="B41" s="20" t="s">
        <v>88</v>
      </c>
      <c r="C41" s="27">
        <v>0.99990000000000001</v>
      </c>
    </row>
    <row r="42" spans="2:8" x14ac:dyDescent="0.6">
      <c r="B42" s="20" t="s">
        <v>72</v>
      </c>
      <c r="C42" s="21">
        <v>0.99</v>
      </c>
    </row>
    <row r="43" spans="2:8" x14ac:dyDescent="0.6">
      <c r="B43" s="20" t="s">
        <v>90</v>
      </c>
      <c r="C43" s="21">
        <v>1E-3</v>
      </c>
      <c r="D43" t="s">
        <v>91</v>
      </c>
    </row>
    <row r="44" spans="2:8" x14ac:dyDescent="0.6">
      <c r="B44" s="20" t="s">
        <v>20</v>
      </c>
      <c r="C44" s="28">
        <v>0.2</v>
      </c>
      <c r="E44" t="s">
        <v>94</v>
      </c>
      <c r="G44" t="s">
        <v>92</v>
      </c>
    </row>
    <row r="45" spans="2:8" x14ac:dyDescent="0.6">
      <c r="B45" s="19" t="s">
        <v>54</v>
      </c>
      <c r="C45" s="26">
        <f>C39*C40*C44*C38*C42*C41*C43</f>
        <v>6.9081231186000013E-4</v>
      </c>
      <c r="E45" t="s">
        <v>95</v>
      </c>
      <c r="G45" t="s">
        <v>93</v>
      </c>
    </row>
    <row r="48" spans="2:8" x14ac:dyDescent="0.6">
      <c r="B48" s="32" t="s">
        <v>35</v>
      </c>
      <c r="C48" s="33"/>
    </row>
    <row r="49" spans="2:10" x14ac:dyDescent="0.6">
      <c r="B49" s="20" t="s">
        <v>21</v>
      </c>
      <c r="C49" s="20" t="s">
        <v>22</v>
      </c>
    </row>
    <row r="50" spans="2:10" x14ac:dyDescent="0.6">
      <c r="B50" s="20" t="s">
        <v>62</v>
      </c>
      <c r="C50" s="21">
        <v>1.1631</v>
      </c>
    </row>
    <row r="51" spans="2:10" x14ac:dyDescent="0.6">
      <c r="B51" s="20" t="s">
        <v>24</v>
      </c>
      <c r="C51" s="21">
        <v>1</v>
      </c>
    </row>
    <row r="52" spans="2:10" x14ac:dyDescent="0.6">
      <c r="B52" s="20" t="s">
        <v>6</v>
      </c>
      <c r="C52" s="22">
        <v>3</v>
      </c>
    </row>
    <row r="53" spans="2:10" x14ac:dyDescent="0.6">
      <c r="B53" s="20" t="s">
        <v>88</v>
      </c>
      <c r="C53" s="27">
        <v>0.1</v>
      </c>
      <c r="H53" s="38" t="s">
        <v>34</v>
      </c>
      <c r="I53" s="38"/>
    </row>
    <row r="54" spans="2:10" x14ac:dyDescent="0.6">
      <c r="B54" s="20" t="s">
        <v>72</v>
      </c>
      <c r="C54" s="21">
        <v>0.9</v>
      </c>
      <c r="H54" t="s">
        <v>25</v>
      </c>
      <c r="I54" t="s">
        <v>22</v>
      </c>
    </row>
    <row r="55" spans="2:10" x14ac:dyDescent="0.6">
      <c r="B55" s="20" t="s">
        <v>90</v>
      </c>
      <c r="C55" s="21">
        <v>1</v>
      </c>
      <c r="H55" t="s">
        <v>67</v>
      </c>
      <c r="I55" s="14">
        <v>1.1599999999999999</v>
      </c>
      <c r="J55" t="s">
        <v>55</v>
      </c>
    </row>
    <row r="56" spans="2:10" x14ac:dyDescent="0.6">
      <c r="B56" s="20" t="s">
        <v>99</v>
      </c>
      <c r="C56" s="21">
        <f>1-0.009</f>
        <v>0.99099999999999999</v>
      </c>
      <c r="H56" t="s">
        <v>1</v>
      </c>
      <c r="I56" s="14">
        <v>0.1</v>
      </c>
    </row>
    <row r="57" spans="2:10" x14ac:dyDescent="0.6">
      <c r="B57" s="20" t="s">
        <v>100</v>
      </c>
      <c r="C57" s="21">
        <f>1-0.647</f>
        <v>0.35299999999999998</v>
      </c>
      <c r="H57" t="s">
        <v>20</v>
      </c>
      <c r="I57" s="14">
        <v>1</v>
      </c>
    </row>
    <row r="58" spans="2:10" x14ac:dyDescent="0.6">
      <c r="B58" s="20" t="s">
        <v>98</v>
      </c>
      <c r="C58" s="21">
        <f>1-0.034</f>
        <v>0.96599999999999997</v>
      </c>
      <c r="H58" t="s">
        <v>89</v>
      </c>
      <c r="I58" s="14">
        <v>0.5</v>
      </c>
    </row>
    <row r="59" spans="2:10" x14ac:dyDescent="0.6">
      <c r="B59" s="20" t="s">
        <v>20</v>
      </c>
      <c r="C59" s="28">
        <v>0.5</v>
      </c>
      <c r="H59" s="20" t="s">
        <v>66</v>
      </c>
      <c r="I59" s="21">
        <v>1</v>
      </c>
    </row>
    <row r="60" spans="2:10" x14ac:dyDescent="0.6">
      <c r="B60" s="19" t="s">
        <v>54</v>
      </c>
      <c r="C60" s="26">
        <f>PRODUCT(C50:C59)</f>
        <v>5.3061107512832995E-2</v>
      </c>
      <c r="H60" s="17" t="s">
        <v>6</v>
      </c>
      <c r="I60" s="17">
        <v>3</v>
      </c>
      <c r="J60" s="15" t="s">
        <v>70</v>
      </c>
    </row>
    <row r="61" spans="2:10" x14ac:dyDescent="0.6">
      <c r="H61" s="25" t="s">
        <v>82</v>
      </c>
      <c r="I61" s="25">
        <f>I55*I56*I57*I60*I59*I58</f>
        <v>0.17399999999999999</v>
      </c>
      <c r="J61" s="24" t="s">
        <v>71</v>
      </c>
    </row>
    <row r="62" spans="2:10" x14ac:dyDescent="0.6">
      <c r="H62" t="s">
        <v>83</v>
      </c>
      <c r="I62">
        <f>1/I61</f>
        <v>5.7471264367816097</v>
      </c>
      <c r="J62" t="s">
        <v>36</v>
      </c>
    </row>
    <row r="63" spans="2:10" x14ac:dyDescent="0.6">
      <c r="B63" s="32" t="s">
        <v>35</v>
      </c>
      <c r="C63" s="33"/>
      <c r="H63" s="18" t="s">
        <v>14</v>
      </c>
      <c r="I63" s="18">
        <v>2.0928350000000001E-5</v>
      </c>
      <c r="J63" s="17" t="s">
        <v>71</v>
      </c>
    </row>
    <row r="64" spans="2:10" x14ac:dyDescent="0.6">
      <c r="B64" s="20" t="s">
        <v>21</v>
      </c>
      <c r="C64" s="20" t="s">
        <v>22</v>
      </c>
      <c r="H64" s="9" t="s">
        <v>37</v>
      </c>
      <c r="I64" s="9">
        <f>I63*I62</f>
        <v>1.2027787356321841E-4</v>
      </c>
    </row>
    <row r="65" spans="2:9" x14ac:dyDescent="0.6">
      <c r="B65" s="20" t="s">
        <v>101</v>
      </c>
      <c r="C65" s="21"/>
      <c r="I65">
        <f>I63*25*M68</f>
        <v>0</v>
      </c>
    </row>
    <row r="66" spans="2:9" x14ac:dyDescent="0.6">
      <c r="B66" s="20" t="s">
        <v>24</v>
      </c>
      <c r="C66" s="21"/>
    </row>
    <row r="67" spans="2:9" x14ac:dyDescent="0.6">
      <c r="B67" s="20" t="s">
        <v>6</v>
      </c>
      <c r="C67" s="22"/>
    </row>
    <row r="68" spans="2:9" x14ac:dyDescent="0.6">
      <c r="B68" s="20" t="s">
        <v>88</v>
      </c>
      <c r="C68" s="27"/>
    </row>
    <row r="69" spans="2:9" x14ac:dyDescent="0.6">
      <c r="B69" s="20" t="s">
        <v>72</v>
      </c>
      <c r="C69" s="21"/>
    </row>
    <row r="70" spans="2:9" x14ac:dyDescent="0.6">
      <c r="B70" s="20" t="s">
        <v>90</v>
      </c>
      <c r="C70" s="21"/>
    </row>
    <row r="71" spans="2:9" x14ac:dyDescent="0.6">
      <c r="B71" s="20" t="s">
        <v>99</v>
      </c>
      <c r="C71" s="21"/>
    </row>
    <row r="72" spans="2:9" x14ac:dyDescent="0.6">
      <c r="B72" s="20" t="s">
        <v>100</v>
      </c>
      <c r="C72" s="21"/>
    </row>
    <row r="73" spans="2:9" x14ac:dyDescent="0.6">
      <c r="B73" s="20" t="s">
        <v>98</v>
      </c>
      <c r="C73" s="21"/>
    </row>
    <row r="74" spans="2:9" x14ac:dyDescent="0.6">
      <c r="B74" s="20" t="s">
        <v>20</v>
      </c>
      <c r="C74" s="28"/>
    </row>
    <row r="75" spans="2:9" x14ac:dyDescent="0.6">
      <c r="B75" s="19" t="s">
        <v>54</v>
      </c>
      <c r="C75" s="26">
        <f>PRODUCT(C65:C74)</f>
        <v>0</v>
      </c>
    </row>
  </sheetData>
  <mergeCells count="13">
    <mergeCell ref="B63:C63"/>
    <mergeCell ref="L10:N12"/>
    <mergeCell ref="B36:C36"/>
    <mergeCell ref="B48:C48"/>
    <mergeCell ref="B2:C2"/>
    <mergeCell ref="E2:F2"/>
    <mergeCell ref="H22:J22"/>
    <mergeCell ref="H2:I2"/>
    <mergeCell ref="B18:C18"/>
    <mergeCell ref="H15:J15"/>
    <mergeCell ref="E11:F16"/>
    <mergeCell ref="B12:C17"/>
    <mergeCell ref="H53:I5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7750-1479-4F31-B4F3-2313848EE790}">
  <dimension ref="C4:M26"/>
  <sheetViews>
    <sheetView tabSelected="1" workbookViewId="0">
      <selection activeCell="I27" sqref="I27"/>
    </sheetView>
  </sheetViews>
  <sheetFormatPr defaultRowHeight="15.6" x14ac:dyDescent="0.6"/>
  <cols>
    <col min="3" max="3" width="22.046875" bestFit="1" customWidth="1"/>
    <col min="4" max="4" width="10.5" customWidth="1"/>
    <col min="5" max="5" width="10.3984375" customWidth="1"/>
    <col min="9" max="9" width="22.59765625" bestFit="1" customWidth="1"/>
    <col min="10" max="10" width="9.046875" bestFit="1" customWidth="1"/>
    <col min="11" max="11" width="11.69921875" bestFit="1" customWidth="1"/>
    <col min="13" max="13" width="10.44921875" bestFit="1" customWidth="1"/>
  </cols>
  <sheetData>
    <row r="4" spans="3:13" x14ac:dyDescent="0.6">
      <c r="C4" s="29"/>
      <c r="D4" s="29" t="s">
        <v>109</v>
      </c>
      <c r="E4" s="29" t="s">
        <v>108</v>
      </c>
      <c r="K4" t="s">
        <v>118</v>
      </c>
      <c r="L4" s="30">
        <v>6.242E+18</v>
      </c>
      <c r="M4" t="s">
        <v>111</v>
      </c>
    </row>
    <row r="5" spans="3:13" x14ac:dyDescent="0.6">
      <c r="C5" s="20" t="s">
        <v>110</v>
      </c>
      <c r="D5" s="20">
        <v>750</v>
      </c>
      <c r="E5" s="20">
        <v>7.5</v>
      </c>
      <c r="K5" t="s">
        <v>118</v>
      </c>
      <c r="L5">
        <v>200</v>
      </c>
      <c r="M5" t="s">
        <v>112</v>
      </c>
    </row>
    <row r="6" spans="3:13" x14ac:dyDescent="0.6">
      <c r="C6" s="20" t="s">
        <v>101</v>
      </c>
      <c r="D6" s="31">
        <f>D5*$L$4/$L$5</f>
        <v>2.34075E+19</v>
      </c>
      <c r="E6" s="31">
        <f>E5*$L$4/$L$5</f>
        <v>2.34075E+17</v>
      </c>
      <c r="K6" t="s">
        <v>114</v>
      </c>
      <c r="L6">
        <v>6.4000000000000001E-2</v>
      </c>
      <c r="M6" t="s">
        <v>22</v>
      </c>
    </row>
    <row r="7" spans="3:13" x14ac:dyDescent="0.6">
      <c r="C7" s="20" t="s">
        <v>113</v>
      </c>
      <c r="D7" s="31">
        <f>D6*$L$6</f>
        <v>1.49808E+18</v>
      </c>
      <c r="E7" s="31">
        <f>E6*$L$6</f>
        <v>1.49808E+16</v>
      </c>
      <c r="K7" t="s">
        <v>117</v>
      </c>
      <c r="L7">
        <v>32904</v>
      </c>
      <c r="M7" t="s">
        <v>18</v>
      </c>
    </row>
    <row r="8" spans="3:13" x14ac:dyDescent="0.6">
      <c r="C8" s="20" t="s">
        <v>104</v>
      </c>
      <c r="D8" s="20" t="s">
        <v>119</v>
      </c>
      <c r="E8" s="20" t="s">
        <v>119</v>
      </c>
    </row>
    <row r="9" spans="3:13" x14ac:dyDescent="0.6">
      <c r="C9" s="20" t="s">
        <v>102</v>
      </c>
      <c r="D9" s="20">
        <f>((LN(2)/$L$7))*J11</f>
        <v>8.702767883876823E-4</v>
      </c>
      <c r="E9" s="20">
        <f>((LN(2)/$L$7))*K11</f>
        <v>4.2131484352051136E-5</v>
      </c>
    </row>
    <row r="10" spans="3:13" x14ac:dyDescent="0.6">
      <c r="C10" s="20" t="s">
        <v>105</v>
      </c>
      <c r="D10" s="20" t="s">
        <v>120</v>
      </c>
      <c r="E10" s="20" t="s">
        <v>120</v>
      </c>
      <c r="J10" t="s">
        <v>115</v>
      </c>
      <c r="K10" t="s">
        <v>108</v>
      </c>
    </row>
    <row r="11" spans="3:13" x14ac:dyDescent="0.6">
      <c r="C11" s="20" t="s">
        <v>106</v>
      </c>
      <c r="D11" s="20" t="s">
        <v>120</v>
      </c>
      <c r="E11" s="20" t="s">
        <v>120</v>
      </c>
      <c r="I11" t="s">
        <v>116</v>
      </c>
      <c r="J11">
        <v>41.312420000000003</v>
      </c>
      <c r="K11">
        <v>2</v>
      </c>
      <c r="L11" t="s">
        <v>122</v>
      </c>
    </row>
    <row r="12" spans="3:13" x14ac:dyDescent="0.6">
      <c r="C12" s="20" t="s">
        <v>103</v>
      </c>
      <c r="D12" s="20">
        <f>J13*J14</f>
        <v>5.5169040923499927E-3</v>
      </c>
      <c r="E12" s="20">
        <f>K13*K14</f>
        <v>3.1545100000000001E-4</v>
      </c>
      <c r="I12" t="s">
        <v>127</v>
      </c>
      <c r="J12">
        <v>30.060400000000001</v>
      </c>
      <c r="K12">
        <v>0.70792100000000002</v>
      </c>
    </row>
    <row r="13" spans="3:13" x14ac:dyDescent="0.6">
      <c r="C13" s="19" t="s">
        <v>125</v>
      </c>
      <c r="D13" s="19">
        <f>D9+D12</f>
        <v>6.3871808807376747E-3</v>
      </c>
      <c r="E13" s="19">
        <f>E9+E12</f>
        <v>3.5758248435205115E-4</v>
      </c>
      <c r="I13" t="s">
        <v>121</v>
      </c>
      <c r="J13">
        <v>5.5169040923499925E-2</v>
      </c>
      <c r="K13">
        <v>3.1545100000000001E-3</v>
      </c>
      <c r="L13" t="s">
        <v>123</v>
      </c>
    </row>
    <row r="14" spans="3:13" x14ac:dyDescent="0.6">
      <c r="C14" s="19" t="s">
        <v>126</v>
      </c>
      <c r="D14" s="19">
        <f>D13/J12</f>
        <v>2.1247823983505456E-4</v>
      </c>
      <c r="E14" s="19">
        <f>E13/K12</f>
        <v>5.0511636800158657E-4</v>
      </c>
      <c r="I14" t="s">
        <v>103</v>
      </c>
      <c r="J14">
        <v>0.1</v>
      </c>
      <c r="K14">
        <v>0.1</v>
      </c>
      <c r="L14" t="s">
        <v>124</v>
      </c>
    </row>
    <row r="15" spans="3:13" x14ac:dyDescent="0.6">
      <c r="D15">
        <f>D14*3</f>
        <v>6.3743471950516366E-4</v>
      </c>
    </row>
    <row r="17" spans="3:10" x14ac:dyDescent="0.6">
      <c r="C17" t="s">
        <v>132</v>
      </c>
      <c r="E17">
        <v>14</v>
      </c>
      <c r="F17" t="s">
        <v>134</v>
      </c>
    </row>
    <row r="18" spans="3:10" x14ac:dyDescent="0.6">
      <c r="C18" t="s">
        <v>133</v>
      </c>
      <c r="E18">
        <v>31</v>
      </c>
      <c r="F18" t="s">
        <v>134</v>
      </c>
    </row>
    <row r="19" spans="3:10" x14ac:dyDescent="0.6">
      <c r="C19" t="s">
        <v>135</v>
      </c>
      <c r="E19">
        <v>134</v>
      </c>
      <c r="F19" t="s">
        <v>136</v>
      </c>
    </row>
    <row r="20" spans="3:10" x14ac:dyDescent="0.6">
      <c r="E20">
        <f>E19*F20</f>
        <v>4.7321697999999994</v>
      </c>
      <c r="F20">
        <v>3.5314699999999997E-2</v>
      </c>
      <c r="G20" t="s">
        <v>138</v>
      </c>
      <c r="H20" t="s">
        <v>137</v>
      </c>
    </row>
    <row r="21" spans="3:10" x14ac:dyDescent="0.6">
      <c r="E21">
        <v>2.1464756999999999</v>
      </c>
      <c r="F21" t="s">
        <v>139</v>
      </c>
      <c r="I21" t="s">
        <v>128</v>
      </c>
    </row>
    <row r="22" spans="3:10" x14ac:dyDescent="0.6">
      <c r="E22">
        <f>E17/E21</f>
        <v>6.5223193535337955</v>
      </c>
      <c r="F22" t="s">
        <v>140</v>
      </c>
      <c r="I22" t="s">
        <v>129</v>
      </c>
      <c r="J22" t="s">
        <v>130</v>
      </c>
    </row>
    <row r="23" spans="3:10" x14ac:dyDescent="0.6">
      <c r="E23">
        <f>E22/0.001</f>
        <v>6522.319353533795</v>
      </c>
      <c r="F23" t="s">
        <v>141</v>
      </c>
      <c r="I23" t="s">
        <v>131</v>
      </c>
    </row>
    <row r="24" spans="3:10" x14ac:dyDescent="0.6">
      <c r="E24">
        <f>E23/0.001</f>
        <v>6522319.3535337951</v>
      </c>
      <c r="F24" t="s">
        <v>142</v>
      </c>
    </row>
    <row r="26" spans="3:10" x14ac:dyDescent="0.6">
      <c r="C26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Vicente</cp:lastModifiedBy>
  <dcterms:created xsi:type="dcterms:W3CDTF">2019-06-17T19:07:29Z</dcterms:created>
  <dcterms:modified xsi:type="dcterms:W3CDTF">2019-07-02T19:07:54Z</dcterms:modified>
</cp:coreProperties>
</file>