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3/Desktop/MSRE/"/>
    </mc:Choice>
  </mc:AlternateContent>
  <xr:revisionPtr revIDLastSave="0" documentId="13_ncr:1_{6DDC9E5B-0906-3341-A1E3-1C3FE2123F17}" xr6:coauthVersionLast="43" xr6:coauthVersionMax="43" xr10:uidLastSave="{00000000-0000-0000-0000-000000000000}"/>
  <bookViews>
    <workbookView xWindow="3060" yWindow="3060" windowWidth="24380" windowHeight="20560" activeTab="7" xr2:uid="{2B17E411-B88C-2D48-A9C9-83EDC7BA4B96}"/>
  </bookViews>
  <sheets>
    <sheet name="LEU" sheetId="1" r:id="rId1"/>
    <sheet name="HEU" sheetId="3" r:id="rId2"/>
    <sheet name="Lambda" sheetId="4" r:id="rId3"/>
    <sheet name="Table1" sheetId="5" r:id="rId4"/>
    <sheet name="RemovalRobertson" sheetId="6" r:id="rId5"/>
    <sheet name="CoarseRemovals" sheetId="7" r:id="rId6"/>
    <sheet name="RawRemoval" sheetId="8" r:id="rId7"/>
    <sheet name="Extra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9" l="1"/>
  <c r="E23" i="9" s="1"/>
  <c r="E24" i="9" s="1"/>
  <c r="E20" i="9"/>
  <c r="E12" i="9"/>
  <c r="D12" i="9"/>
  <c r="E9" i="9"/>
  <c r="E13" i="9" s="1"/>
  <c r="E14" i="9" s="1"/>
  <c r="D9" i="9"/>
  <c r="D13" i="9" s="1"/>
  <c r="D14" i="9" s="1"/>
  <c r="D15" i="9" s="1"/>
  <c r="D7" i="9"/>
  <c r="E6" i="9"/>
  <c r="E7" i="9" s="1"/>
  <c r="D6" i="9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I24" i="8" s="1"/>
  <c r="I4" i="8" s="1"/>
  <c r="I10" i="8" s="1"/>
  <c r="I11" i="8" s="1"/>
  <c r="M15" i="8"/>
  <c r="I14" i="8"/>
  <c r="C10" i="8"/>
  <c r="C23" i="8" s="1"/>
  <c r="F9" i="8"/>
  <c r="A31" i="7"/>
  <c r="A24" i="7"/>
  <c r="H9" i="7" s="1"/>
  <c r="L11" i="7"/>
  <c r="I11" i="7"/>
  <c r="K11" i="7" s="1"/>
  <c r="L10" i="7"/>
  <c r="J10" i="7"/>
  <c r="I10" i="7"/>
  <c r="K10" i="7" s="1"/>
  <c r="L9" i="7"/>
  <c r="K9" i="7"/>
  <c r="I9" i="7"/>
  <c r="J9" i="7" s="1"/>
  <c r="L8" i="7"/>
  <c r="K8" i="7"/>
  <c r="I8" i="7"/>
  <c r="J8" i="7" s="1"/>
  <c r="L7" i="7"/>
  <c r="I7" i="7"/>
  <c r="J7" i="7" s="1"/>
  <c r="L6" i="7"/>
  <c r="I6" i="7"/>
  <c r="J6" i="7" s="1"/>
  <c r="L5" i="7"/>
  <c r="K5" i="7"/>
  <c r="J5" i="7"/>
  <c r="I5" i="7"/>
  <c r="I30" i="8" l="1"/>
  <c r="I13" i="8"/>
  <c r="C25" i="8" s="1"/>
  <c r="I31" i="8"/>
  <c r="C26" i="8"/>
  <c r="C28" i="8" s="1"/>
  <c r="O31" i="8"/>
  <c r="H11" i="7"/>
  <c r="H8" i="7"/>
  <c r="H5" i="7"/>
  <c r="K6" i="7"/>
  <c r="J11" i="7"/>
  <c r="H6" i="7"/>
  <c r="K7" i="7"/>
  <c r="H10" i="7"/>
  <c r="H7" i="7"/>
  <c r="O39" i="6" l="1"/>
  <c r="M39" i="6"/>
  <c r="L39" i="6"/>
  <c r="K39" i="6"/>
  <c r="J39" i="6"/>
  <c r="G39" i="6"/>
  <c r="F39" i="6"/>
  <c r="O38" i="6"/>
  <c r="N38" i="6"/>
  <c r="H38" i="6"/>
  <c r="I38" i="6" s="1"/>
  <c r="P38" i="6" s="1"/>
  <c r="O37" i="6"/>
  <c r="N37" i="6"/>
  <c r="O36" i="6"/>
  <c r="N36" i="6"/>
  <c r="H36" i="6"/>
  <c r="I36" i="6" s="1"/>
  <c r="O35" i="6"/>
  <c r="P35" i="6" s="1"/>
  <c r="N35" i="6"/>
  <c r="H35" i="6"/>
  <c r="I35" i="6" s="1"/>
  <c r="O34" i="6"/>
  <c r="N34" i="6"/>
  <c r="H34" i="6"/>
  <c r="I34" i="6" s="1"/>
  <c r="P34" i="6" s="1"/>
  <c r="O33" i="6"/>
  <c r="N33" i="6"/>
  <c r="O32" i="6"/>
  <c r="N32" i="6"/>
  <c r="O31" i="6"/>
  <c r="N31" i="6"/>
  <c r="O30" i="6"/>
  <c r="N30" i="6"/>
  <c r="H30" i="6"/>
  <c r="I30" i="6" s="1"/>
  <c r="P30" i="6" s="1"/>
  <c r="O29" i="6"/>
  <c r="N29" i="6"/>
  <c r="O28" i="6"/>
  <c r="N28" i="6"/>
  <c r="H28" i="6"/>
  <c r="I28" i="6" s="1"/>
  <c r="O27" i="6"/>
  <c r="N27" i="6"/>
  <c r="H27" i="6"/>
  <c r="I27" i="6" s="1"/>
  <c r="O26" i="6"/>
  <c r="N26" i="6"/>
  <c r="H26" i="6"/>
  <c r="I26" i="6" s="1"/>
  <c r="P26" i="6" s="1"/>
  <c r="O25" i="6"/>
  <c r="N25" i="6"/>
  <c r="O24" i="6"/>
  <c r="N24" i="6"/>
  <c r="O23" i="6"/>
  <c r="N23" i="6"/>
  <c r="O22" i="6"/>
  <c r="N22" i="6"/>
  <c r="H22" i="6"/>
  <c r="I22" i="6" s="1"/>
  <c r="P22" i="6" s="1"/>
  <c r="O21" i="6"/>
  <c r="N21" i="6"/>
  <c r="N39" i="6" s="1"/>
  <c r="M19" i="6"/>
  <c r="L19" i="6"/>
  <c r="K19" i="6"/>
  <c r="J19" i="6"/>
  <c r="G19" i="6"/>
  <c r="F19" i="6"/>
  <c r="O18" i="6"/>
  <c r="N18" i="6"/>
  <c r="O17" i="6"/>
  <c r="N17" i="6"/>
  <c r="H17" i="6"/>
  <c r="I17" i="6" s="1"/>
  <c r="O16" i="6"/>
  <c r="P16" i="6" s="1"/>
  <c r="N16" i="6"/>
  <c r="H16" i="6"/>
  <c r="I16" i="6" s="1"/>
  <c r="O15" i="6"/>
  <c r="N15" i="6"/>
  <c r="H15" i="6"/>
  <c r="I15" i="6" s="1"/>
  <c r="P15" i="6" s="1"/>
  <c r="O14" i="6"/>
  <c r="N14" i="6"/>
  <c r="O13" i="6"/>
  <c r="N13" i="6"/>
  <c r="O12" i="6"/>
  <c r="N12" i="6"/>
  <c r="O11" i="6"/>
  <c r="N11" i="6"/>
  <c r="H11" i="6"/>
  <c r="I11" i="6" s="1"/>
  <c r="P11" i="6" s="1"/>
  <c r="O10" i="6"/>
  <c r="N10" i="6"/>
  <c r="O9" i="6"/>
  <c r="P9" i="6" s="1"/>
  <c r="N9" i="6"/>
  <c r="H9" i="6"/>
  <c r="I9" i="6" s="1"/>
  <c r="O8" i="6"/>
  <c r="N8" i="6"/>
  <c r="H8" i="6"/>
  <c r="I8" i="6" s="1"/>
  <c r="O7" i="6"/>
  <c r="N7" i="6"/>
  <c r="H7" i="6"/>
  <c r="I7" i="6" s="1"/>
  <c r="P7" i="6" s="1"/>
  <c r="S6" i="6"/>
  <c r="H33" i="6" s="1"/>
  <c r="I33" i="6" s="1"/>
  <c r="P33" i="6" s="1"/>
  <c r="O6" i="6"/>
  <c r="N6" i="6"/>
  <c r="N19" i="6" s="1"/>
  <c r="H6" i="6"/>
  <c r="I6" i="6" s="1"/>
  <c r="O5" i="6"/>
  <c r="N5" i="6"/>
  <c r="H5" i="6"/>
  <c r="N4" i="6"/>
  <c r="H4" i="6"/>
  <c r="I4" i="6" s="1"/>
  <c r="M29" i="5"/>
  <c r="L29" i="5"/>
  <c r="K29" i="5"/>
  <c r="G29" i="5"/>
  <c r="H27" i="5"/>
  <c r="I27" i="5" s="1"/>
  <c r="J27" i="5" s="1"/>
  <c r="N27" i="5" s="1"/>
  <c r="H25" i="5"/>
  <c r="I25" i="5" s="1"/>
  <c r="J25" i="5" s="1"/>
  <c r="N25" i="5" s="1"/>
  <c r="H23" i="5"/>
  <c r="I23" i="5" s="1"/>
  <c r="J23" i="5" s="1"/>
  <c r="N23" i="5" s="1"/>
  <c r="H21" i="5"/>
  <c r="I21" i="5" s="1"/>
  <c r="J21" i="5" s="1"/>
  <c r="N21" i="5" s="1"/>
  <c r="H19" i="5"/>
  <c r="I19" i="5" s="1"/>
  <c r="J19" i="5" s="1"/>
  <c r="N19" i="5" s="1"/>
  <c r="M17" i="5"/>
  <c r="L17" i="5"/>
  <c r="K17" i="5"/>
  <c r="N17" i="5" s="1"/>
  <c r="G17" i="5"/>
  <c r="H17" i="5" s="1"/>
  <c r="I17" i="5" s="1"/>
  <c r="J17" i="5" s="1"/>
  <c r="H16" i="5"/>
  <c r="I16" i="5" s="1"/>
  <c r="J16" i="5" s="1"/>
  <c r="N16" i="5" s="1"/>
  <c r="H14" i="5"/>
  <c r="I14" i="5" s="1"/>
  <c r="J14" i="5" s="1"/>
  <c r="N14" i="5" s="1"/>
  <c r="H12" i="5"/>
  <c r="I12" i="5" s="1"/>
  <c r="J12" i="5" s="1"/>
  <c r="N12" i="5" s="1"/>
  <c r="P10" i="5"/>
  <c r="H28" i="5" s="1"/>
  <c r="I28" i="5" s="1"/>
  <c r="J28" i="5" s="1"/>
  <c r="N28" i="5" s="1"/>
  <c r="H10" i="5"/>
  <c r="I10" i="5" s="1"/>
  <c r="J10" i="5" s="1"/>
  <c r="N10" i="5" s="1"/>
  <c r="H9" i="5"/>
  <c r="I9" i="5" s="1"/>
  <c r="J9" i="5" s="1"/>
  <c r="N9" i="5" s="1"/>
  <c r="H8" i="5"/>
  <c r="I8" i="5" s="1"/>
  <c r="J8" i="5" s="1"/>
  <c r="N8" i="5" s="1"/>
  <c r="P36" i="6" l="1"/>
  <c r="P8" i="6"/>
  <c r="P27" i="6"/>
  <c r="P17" i="6"/>
  <c r="P6" i="6"/>
  <c r="P37" i="6"/>
  <c r="P28" i="6"/>
  <c r="O19" i="6"/>
  <c r="I5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H29" i="6"/>
  <c r="I29" i="6" s="1"/>
  <c r="P29" i="6" s="1"/>
  <c r="H37" i="6"/>
  <c r="I37" i="6" s="1"/>
  <c r="H12" i="6"/>
  <c r="I12" i="6" s="1"/>
  <c r="P12" i="6" s="1"/>
  <c r="H23" i="6"/>
  <c r="I23" i="6" s="1"/>
  <c r="P23" i="6" s="1"/>
  <c r="H31" i="6"/>
  <c r="I31" i="6" s="1"/>
  <c r="P31" i="6" s="1"/>
  <c r="P39" i="6" s="1"/>
  <c r="H14" i="6"/>
  <c r="I14" i="6" s="1"/>
  <c r="P14" i="6" s="1"/>
  <c r="H25" i="6"/>
  <c r="I25" i="6" s="1"/>
  <c r="P25" i="6" s="1"/>
  <c r="H11" i="5"/>
  <c r="I11" i="5" s="1"/>
  <c r="J11" i="5" s="1"/>
  <c r="N11" i="5" s="1"/>
  <c r="H13" i="5"/>
  <c r="I13" i="5" s="1"/>
  <c r="J13" i="5" s="1"/>
  <c r="N13" i="5" s="1"/>
  <c r="H15" i="5"/>
  <c r="I15" i="5" s="1"/>
  <c r="J15" i="5" s="1"/>
  <c r="N15" i="5" s="1"/>
  <c r="H18" i="5"/>
  <c r="H20" i="5"/>
  <c r="I20" i="5" s="1"/>
  <c r="J20" i="5" s="1"/>
  <c r="N20" i="5" s="1"/>
  <c r="H22" i="5"/>
  <c r="I22" i="5" s="1"/>
  <c r="J22" i="5" s="1"/>
  <c r="N22" i="5" s="1"/>
  <c r="H24" i="5"/>
  <c r="I24" i="5" s="1"/>
  <c r="J24" i="5" s="1"/>
  <c r="N24" i="5" s="1"/>
  <c r="H26" i="5"/>
  <c r="I26" i="5" s="1"/>
  <c r="J26" i="5" s="1"/>
  <c r="N26" i="5" s="1"/>
  <c r="D16" i="4"/>
  <c r="E16" i="4"/>
  <c r="E13" i="4"/>
  <c r="E15" i="4" s="1"/>
  <c r="E14" i="4"/>
  <c r="D15" i="4"/>
  <c r="D14" i="4"/>
  <c r="D13" i="4"/>
  <c r="D5" i="4"/>
  <c r="P19" i="6" l="1"/>
  <c r="H39" i="6"/>
  <c r="I21" i="6"/>
  <c r="H19" i="6"/>
  <c r="I19" i="6"/>
  <c r="P5" i="6"/>
  <c r="I18" i="5"/>
  <c r="J18" i="5" s="1"/>
  <c r="N18" i="5" s="1"/>
  <c r="H29" i="5"/>
  <c r="I29" i="5" s="1"/>
  <c r="J29" i="5" s="1"/>
  <c r="N29" i="5" s="1"/>
  <c r="C14" i="3"/>
  <c r="C33" i="3"/>
  <c r="C30" i="3"/>
  <c r="F29" i="3"/>
  <c r="C29" i="3" s="1"/>
  <c r="C28" i="3"/>
  <c r="C26" i="3"/>
  <c r="C23" i="3"/>
  <c r="C24" i="3" s="1"/>
  <c r="D22" i="3" s="1"/>
  <c r="G21" i="3"/>
  <c r="C20" i="3"/>
  <c r="C18" i="3"/>
  <c r="D16" i="3" s="1"/>
  <c r="E16" i="3" s="1"/>
  <c r="C17" i="3"/>
  <c r="C35" i="3"/>
  <c r="F10" i="3"/>
  <c r="C10" i="3" s="1"/>
  <c r="C9" i="3"/>
  <c r="C12" i="3" s="1"/>
  <c r="G10" i="1"/>
  <c r="G11" i="1"/>
  <c r="G16" i="1"/>
  <c r="G17" i="1"/>
  <c r="G22" i="1"/>
  <c r="G23" i="1"/>
  <c r="G9" i="1"/>
  <c r="I39" i="6" l="1"/>
  <c r="P21" i="6"/>
  <c r="E22" i="3"/>
  <c r="C31" i="3"/>
  <c r="D29" i="3" s="1"/>
  <c r="E29" i="3" s="1"/>
  <c r="G22" i="3"/>
  <c r="I20" i="3"/>
  <c r="G16" i="3"/>
  <c r="I19" i="3"/>
  <c r="D30" i="3"/>
  <c r="E30" i="3" s="1"/>
  <c r="G30" i="3" s="1"/>
  <c r="D9" i="3"/>
  <c r="D11" i="3"/>
  <c r="E11" i="3" s="1"/>
  <c r="D10" i="3"/>
  <c r="E10" i="3" s="1"/>
  <c r="D17" i="3"/>
  <c r="E17" i="3" s="1"/>
  <c r="G17" i="3" s="1"/>
  <c r="D23" i="3"/>
  <c r="E23" i="3" s="1"/>
  <c r="G23" i="3" s="1"/>
  <c r="C33" i="1"/>
  <c r="C26" i="1"/>
  <c r="C20" i="1"/>
  <c r="C14" i="1"/>
  <c r="D28" i="3" l="1"/>
  <c r="E28" i="3" s="1"/>
  <c r="I21" i="3" s="1"/>
  <c r="E20" i="3"/>
  <c r="I22" i="3"/>
  <c r="G29" i="3"/>
  <c r="D13" i="3"/>
  <c r="E9" i="3"/>
  <c r="I17" i="3"/>
  <c r="G10" i="3"/>
  <c r="G28" i="3"/>
  <c r="E33" i="3"/>
  <c r="G11" i="3"/>
  <c r="G36" i="3" s="1"/>
  <c r="I18" i="3"/>
  <c r="E26" i="3"/>
  <c r="F10" i="1"/>
  <c r="C10" i="1" s="1"/>
  <c r="C9" i="1"/>
  <c r="C28" i="1"/>
  <c r="F29" i="1"/>
  <c r="C29" i="1" s="1"/>
  <c r="C30" i="1"/>
  <c r="C23" i="1"/>
  <c r="C24" i="1" s="1"/>
  <c r="D22" i="1" s="1"/>
  <c r="E22" i="1" s="1"/>
  <c r="C17" i="1"/>
  <c r="C18" i="1" s="1"/>
  <c r="D16" i="1" s="1"/>
  <c r="E16" i="1" s="1"/>
  <c r="I16" i="3" l="1"/>
  <c r="I23" i="3" s="1"/>
  <c r="E14" i="3"/>
  <c r="G9" i="3"/>
  <c r="G35" i="3" s="1"/>
  <c r="E35" i="3"/>
  <c r="J21" i="3"/>
  <c r="K31" i="3"/>
  <c r="K32" i="3" s="1"/>
  <c r="K33" i="3" s="1"/>
  <c r="K34" i="3" s="1"/>
  <c r="C31" i="1"/>
  <c r="D28" i="1" s="1"/>
  <c r="E28" i="1" s="1"/>
  <c r="G28" i="1" s="1"/>
  <c r="D17" i="1"/>
  <c r="E17" i="1" s="1"/>
  <c r="E20" i="1" s="1"/>
  <c r="I20" i="1"/>
  <c r="I19" i="1"/>
  <c r="C12" i="1"/>
  <c r="D23" i="1"/>
  <c r="E23" i="1" s="1"/>
  <c r="E26" i="1" s="1"/>
  <c r="D29" i="1" l="1"/>
  <c r="D11" i="1"/>
  <c r="E11" i="1" s="1"/>
  <c r="D10" i="1"/>
  <c r="E10" i="1" s="1"/>
  <c r="D9" i="1"/>
  <c r="D30" i="1"/>
  <c r="E9" i="1" l="1"/>
  <c r="I16" i="1" s="1"/>
  <c r="D13" i="1"/>
  <c r="E14" i="1"/>
  <c r="I17" i="1"/>
  <c r="C35" i="1" l="1"/>
  <c r="E30" i="1"/>
  <c r="E29" i="1"/>
  <c r="I21" i="1"/>
  <c r="I22" i="1" l="1"/>
  <c r="K31" i="1" s="1"/>
  <c r="K32" i="1" s="1"/>
  <c r="K33" i="1" s="1"/>
  <c r="K34" i="1" s="1"/>
  <c r="G29" i="1"/>
  <c r="G35" i="1" s="1"/>
  <c r="I18" i="1"/>
  <c r="G30" i="1"/>
  <c r="G36" i="1" s="1"/>
  <c r="E33" i="1"/>
  <c r="E35" i="1" s="1"/>
  <c r="I23" i="1" l="1"/>
  <c r="J21" i="1"/>
</calcChain>
</file>

<file path=xl/sharedStrings.xml><?xml version="1.0" encoding="utf-8"?>
<sst xmlns="http://schemas.openxmlformats.org/spreadsheetml/2006/main" count="481" uniqueCount="224">
  <si>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</si>
  <si>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</si>
  <si>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</si>
  <si>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</si>
  <si>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</si>
  <si>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</si>
  <si>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</si>
  <si>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</si>
  <si>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</si>
  <si>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</si>
  <si>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</si>
  <si>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</si>
  <si>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</si>
  <si>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</si>
  <si>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</si>
  <si>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</si>
  <si>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</si>
  <si>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</si>
  <si>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ZrF4 Density</t>
  </si>
  <si>
    <t>UF4  Density</t>
  </si>
  <si>
    <t>Power</t>
  </si>
  <si>
    <t>MWth</t>
  </si>
  <si>
    <t>Fuel Salt</t>
  </si>
  <si>
    <t>ft3</t>
  </si>
  <si>
    <t>Density Salt</t>
  </si>
  <si>
    <t>Density U</t>
  </si>
  <si>
    <t>cm3</t>
  </si>
  <si>
    <t>MTU</t>
  </si>
  <si>
    <t>grams U</t>
  </si>
  <si>
    <t>MW/MTU</t>
  </si>
  <si>
    <t>Final Fractions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</si>
  <si>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</si>
  <si>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</si>
  <si>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</si>
  <si>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</si>
  <si>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</si>
  <si>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</si>
  <si>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</si>
  <si>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</si>
  <si>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</si>
  <si>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</si>
  <si>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</si>
  <si>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</si>
  <si>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</si>
  <si>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gpm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</si>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</sst>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0" borderId="0" xfId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11" fontId="3" fillId="0" borderId="1" xfId="1" applyNumberFormat="1" applyFont="1" applyBorder="1" applyAlignment="1">
      <alignment horizontal="center" wrapText="1"/>
    </xf>
    <xf numFmtId="2" fontId="3" fillId="0" borderId="1" xfId="1" applyNumberFormat="1" applyFont="1" applyBorder="1" applyAlignment="1">
      <alignment horizontal="center" wrapText="1"/>
    </xf>
    <xf numFmtId="11" fontId="2" fillId="0" borderId="0" xfId="1" applyNumberFormat="1"/>
    <xf numFmtId="2" fontId="2" fillId="0" borderId="1" xfId="1" applyNumberFormat="1" applyBorder="1" applyAlignment="1">
      <alignment horizontal="center" wrapText="1"/>
    </xf>
    <xf numFmtId="0" fontId="4" fillId="0" borderId="0" xfId="1" applyFont="1" applyAlignment="1">
      <alignment wrapText="1"/>
    </xf>
    <xf numFmtId="2" fontId="5" fillId="0" borderId="1" xfId="1" applyNumberFormat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4" fillId="0" borderId="0" xfId="1" applyFont="1"/>
    <xf numFmtId="11" fontId="4" fillId="0" borderId="1" xfId="1" applyNumberFormat="1" applyFont="1" applyBorder="1" applyAlignment="1">
      <alignment horizont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0" fontId="4" fillId="4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center" wrapText="1"/>
    </xf>
    <xf numFmtId="11" fontId="3" fillId="4" borderId="1" xfId="1" applyNumberFormat="1" applyFont="1" applyFill="1" applyBorder="1" applyAlignment="1">
      <alignment horizontal="center" wrapText="1"/>
    </xf>
    <xf numFmtId="2" fontId="3" fillId="4" borderId="1" xfId="1" applyNumberFormat="1" applyFont="1" applyFill="1" applyBorder="1" applyAlignment="1">
      <alignment horizontal="center" wrapText="1"/>
    </xf>
    <xf numFmtId="164" fontId="5" fillId="4" borderId="1" xfId="1" applyNumberFormat="1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165" fontId="3" fillId="0" borderId="0" xfId="1" applyNumberFormat="1" applyFont="1" applyAlignment="1">
      <alignment horizontal="center" wrapText="1"/>
    </xf>
    <xf numFmtId="11" fontId="2" fillId="0" borderId="1" xfId="1" applyNumberFormat="1" applyBorder="1" applyAlignment="1">
      <alignment horizontal="center" wrapText="1"/>
    </xf>
    <xf numFmtId="11" fontId="3" fillId="2" borderId="1" xfId="1" applyNumberFormat="1" applyFont="1" applyFill="1" applyBorder="1" applyAlignment="1">
      <alignment horizontal="center" wrapText="1"/>
    </xf>
    <xf numFmtId="164" fontId="5" fillId="0" borderId="1" xfId="1" applyNumberFormat="1" applyFont="1" applyBorder="1" applyAlignment="1">
      <alignment horizontal="center" wrapText="1"/>
    </xf>
    <xf numFmtId="165" fontId="3" fillId="2" borderId="0" xfId="1" applyNumberFormat="1" applyFont="1" applyFill="1" applyAlignment="1">
      <alignment horizontal="center" wrapText="1"/>
    </xf>
    <xf numFmtId="164" fontId="3" fillId="2" borderId="0" xfId="1" applyNumberFormat="1" applyFont="1" applyFill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65" fontId="5" fillId="0" borderId="0" xfId="1" applyNumberFormat="1" applyFont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4" fillId="0" borderId="1" xfId="1" applyNumberFormat="1" applyFont="1" applyBorder="1" applyAlignment="1">
      <alignment horizontal="center" wrapText="1"/>
    </xf>
    <xf numFmtId="0" fontId="4" fillId="5" borderId="1" xfId="1" applyFont="1" applyFill="1" applyBorder="1" applyAlignment="1">
      <alignment horizontal="center" wrapText="1"/>
    </xf>
    <xf numFmtId="11" fontId="3" fillId="5" borderId="1" xfId="1" applyNumberFormat="1" applyFont="1" applyFill="1" applyBorder="1" applyAlignment="1">
      <alignment horizontal="center" wrapText="1"/>
    </xf>
    <xf numFmtId="2" fontId="5" fillId="5" borderId="1" xfId="1" applyNumberFormat="1" applyFont="1" applyFill="1" applyBorder="1" applyAlignment="1">
      <alignment horizontal="center" wrapText="1"/>
    </xf>
    <xf numFmtId="164" fontId="5" fillId="5" borderId="1" xfId="1" applyNumberFormat="1" applyFont="1" applyFill="1" applyBorder="1" applyAlignment="1">
      <alignment horizontal="center" wrapText="1"/>
    </xf>
    <xf numFmtId="164" fontId="3" fillId="5" borderId="0" xfId="1" applyNumberFormat="1" applyFont="1" applyFill="1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1" xfId="1" applyBorder="1"/>
    <xf numFmtId="11" fontId="2" fillId="0" borderId="1" xfId="1" applyNumberFormat="1" applyBorder="1"/>
    <xf numFmtId="11" fontId="2" fillId="2" borderId="1" xfId="1" applyNumberFormat="1" applyFill="1" applyBorder="1"/>
    <xf numFmtId="164" fontId="3" fillId="0" borderId="0" xfId="1" applyNumberFormat="1" applyFont="1" applyAlignment="1">
      <alignment horizontal="center" wrapText="1"/>
    </xf>
    <xf numFmtId="0" fontId="4" fillId="0" borderId="1" xfId="1" applyFont="1" applyBorder="1"/>
    <xf numFmtId="11" fontId="4" fillId="0" borderId="1" xfId="1" applyNumberFormat="1" applyFont="1" applyBorder="1"/>
    <xf numFmtId="164" fontId="4" fillId="0" borderId="1" xfId="1" applyNumberFormat="1" applyFont="1" applyBorder="1"/>
    <xf numFmtId="11" fontId="4" fillId="2" borderId="1" xfId="1" applyNumberFormat="1" applyFont="1" applyFill="1" applyBorder="1"/>
    <xf numFmtId="166" fontId="4" fillId="0" borderId="8" xfId="1" applyNumberFormat="1" applyFont="1" applyBorder="1"/>
    <xf numFmtId="164" fontId="4" fillId="0" borderId="0" xfId="1" applyNumberFormat="1" applyFont="1"/>
    <xf numFmtId="164" fontId="2" fillId="0" borderId="0" xfId="1" applyNumberForma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1" fillId="0" borderId="1" xfId="0" applyNumberFormat="1" applyFont="1" applyBorder="1"/>
    <xf numFmtId="0" fontId="0" fillId="2" borderId="0" xfId="0" applyFill="1"/>
    <xf numFmtId="0" fontId="1" fillId="2" borderId="0" xfId="0" applyFont="1" applyFill="1"/>
    <xf numFmtId="166" fontId="1" fillId="0" borderId="1" xfId="0" applyNumberFormat="1" applyFont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8" fillId="0" borderId="0" xfId="0" applyFont="1"/>
    <xf numFmtId="167" fontId="0" fillId="0" borderId="0" xfId="0" applyNumberFormat="1"/>
    <xf numFmtId="0" fontId="6" fillId="0" borderId="0" xfId="0" applyFont="1"/>
    <xf numFmtId="167" fontId="1" fillId="0" borderId="0" xfId="0" applyNumberFormat="1" applyFont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CoarseRemovals!$I$4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CoarseRemovals!$I$5:$I$11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CoarseRemovals!$J$4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CoarseRemovals!$J$5:$J$11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CoarseRemovals!$K$4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CoarseRemovals!$K$5:$K$11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moval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rseRemovals"/>
      <sheetName val="RawRemoval"/>
      <sheetName val="Extra"/>
    </sheetNames>
    <sheetDataSet>
      <sheetData sheetId="0">
        <row r="4">
          <cell r="I4" t="str">
            <v>REMOVAL CONSTANT</v>
          </cell>
          <cell r="J4" t="str">
            <v>FORMULA</v>
          </cell>
          <cell r="K4" t="str">
            <v>REMOVAL + CYCLE</v>
          </cell>
        </row>
        <row r="5">
          <cell r="I5">
            <v>2.3596068000000005E-3</v>
          </cell>
          <cell r="J5">
            <v>2.3387434616900567E-3</v>
          </cell>
          <cell r="K5">
            <v>1.1693717308450283E-4</v>
          </cell>
        </row>
        <row r="6">
          <cell r="I6">
            <v>3.2430000000000002E-3</v>
          </cell>
          <cell r="J6">
            <v>3.2157349377547389E-3</v>
          </cell>
          <cell r="K6">
            <v>1.6078674688773694E-4</v>
          </cell>
        </row>
        <row r="7">
          <cell r="I7">
            <v>2.9187000000000002E-3</v>
          </cell>
          <cell r="J7">
            <v>2.8936957019461097E-3</v>
          </cell>
          <cell r="K7">
            <v>1.4468478509730548E-4</v>
          </cell>
        </row>
        <row r="8">
          <cell r="I8">
            <v>2.1236461200000007E-3</v>
          </cell>
          <cell r="J8">
            <v>2.1046228245181521E-3</v>
          </cell>
          <cell r="K8">
            <v>1.0523114122590761E-4</v>
          </cell>
        </row>
        <row r="9">
          <cell r="I9">
            <v>1.6517247600000002E-3</v>
          </cell>
          <cell r="J9">
            <v>1.6365459234564921E-3</v>
          </cell>
          <cell r="K9">
            <v>8.1827296172824602E-5</v>
          </cell>
        </row>
        <row r="10">
          <cell r="I10">
            <v>1.1798034000000002E-3</v>
          </cell>
          <cell r="J10">
            <v>1.1686880158784563E-3</v>
          </cell>
          <cell r="K10">
            <v>5.8434400793922813E-5</v>
          </cell>
        </row>
        <row r="11">
          <cell r="I11">
            <v>4.7192136000000012E-4</v>
          </cell>
          <cell r="J11">
            <v>4.6731131932795637E-4</v>
          </cell>
          <cell r="K11">
            <v>2.3365565966397819E-5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3E1B-FC6E-2947-8EB9-82E9163DE76A}">
  <dimension ref="B3:L36"/>
  <sheetViews>
    <sheetView topLeftCell="A4" zoomScale="130" zoomScaleNormal="130" workbookViewId="0">
      <selection activeCell="G29" sqref="G29"/>
    </sheetView>
  </sheetViews>
  <sheetFormatPr baseColWidth="10" defaultColWidth="10.83203125" defaultRowHeight="16" x14ac:dyDescent="0.2"/>
  <cols>
    <col min="2" max="2" width="12.1640625" customWidth="1"/>
    <col min="3" max="3" width="11.6640625" bestFit="1" customWidth="1"/>
    <col min="4" max="4" width="11.1640625" bestFit="1" customWidth="1"/>
    <col min="5" max="5" width="17.6640625" customWidth="1"/>
    <col min="7" max="7" width="11.6640625" bestFit="1" customWidth="1"/>
    <col min="9" max="9" width="12.1640625" bestFit="1" customWidth="1"/>
    <col min="10" max="11" width="11.6640625" bestFit="1" customWidth="1"/>
  </cols>
  <sheetData>
    <row r="3" spans="2:9" x14ac:dyDescent="0.2">
      <c r="D3" t="s">
        <v>3</v>
      </c>
      <c r="E3">
        <v>2.1464699999999999</v>
      </c>
      <c r="F3" t="s">
        <v>4</v>
      </c>
    </row>
    <row r="8" spans="2:9" x14ac:dyDescent="0.2">
      <c r="D8" t="s">
        <v>5</v>
      </c>
      <c r="E8" t="s">
        <v>4</v>
      </c>
      <c r="G8" s="3" t="s">
        <v>30</v>
      </c>
    </row>
    <row r="9" spans="2:9" x14ac:dyDescent="0.2">
      <c r="B9" s="1" t="s">
        <v>14</v>
      </c>
      <c r="C9" s="1">
        <f>6*F9</f>
        <v>6.0000000000000006E-4</v>
      </c>
      <c r="D9" s="1">
        <f>C9/C12</f>
        <v>2.3077011834660909E-5</v>
      </c>
      <c r="E9" s="1">
        <f>D9*C14</f>
        <v>3.2197173835283987E-5</v>
      </c>
      <c r="F9">
        <v>1E-4</v>
      </c>
      <c r="G9" s="3">
        <f>E9/$E$3</f>
        <v>1.500005769252959E-5</v>
      </c>
    </row>
    <row r="10" spans="2:9" x14ac:dyDescent="0.2">
      <c r="B10" s="1" t="s">
        <v>15</v>
      </c>
      <c r="C10" s="1">
        <f>7*F10</f>
        <v>6.9992999999999999</v>
      </c>
      <c r="D10" s="1">
        <f>C10/C12</f>
        <v>0.26920488155723676</v>
      </c>
      <c r="E10" s="1">
        <f>D10*C14</f>
        <v>0.37559613137550524</v>
      </c>
      <c r="F10">
        <f>1-F9</f>
        <v>0.99990000000000001</v>
      </c>
      <c r="G10" s="3">
        <f t="shared" ref="G10:G30" si="0">E10/$E$3</f>
        <v>0.17498317301220387</v>
      </c>
    </row>
    <row r="11" spans="2:9" x14ac:dyDescent="0.2">
      <c r="B11" s="1" t="s">
        <v>0</v>
      </c>
      <c r="C11" s="1">
        <v>19</v>
      </c>
      <c r="D11" s="1">
        <f>C11/C12</f>
        <v>0.73077204143092866</v>
      </c>
      <c r="E11" s="1">
        <f>D11*C14</f>
        <v>1.0195771714506594</v>
      </c>
      <c r="G11" s="3">
        <f t="shared" si="0"/>
        <v>0.47500182693010362</v>
      </c>
    </row>
    <row r="12" spans="2:9" x14ac:dyDescent="0.2">
      <c r="B12" s="1"/>
      <c r="C12" s="1">
        <f>C9+C11+C10</f>
        <v>25.999899999999997</v>
      </c>
      <c r="D12" s="1" t="s">
        <v>2</v>
      </c>
      <c r="E12" s="1"/>
      <c r="G12" s="3"/>
    </row>
    <row r="13" spans="2:9" x14ac:dyDescent="0.2">
      <c r="B13" s="1" t="s">
        <v>5</v>
      </c>
      <c r="C13" s="2">
        <v>0.65</v>
      </c>
      <c r="D13" s="1">
        <f>D9+D10+D11</f>
        <v>1</v>
      </c>
      <c r="E13" s="1"/>
      <c r="G13" s="3"/>
    </row>
    <row r="14" spans="2:9" x14ac:dyDescent="0.2">
      <c r="B14" s="1" t="s">
        <v>6</v>
      </c>
      <c r="C14" s="1">
        <f>E3*C13</f>
        <v>1.3952054999999999</v>
      </c>
      <c r="D14" s="1" t="s">
        <v>4</v>
      </c>
      <c r="E14" s="1">
        <f>SUM(E9:E13)</f>
        <v>1.3952054999999999</v>
      </c>
      <c r="G14" s="3"/>
    </row>
    <row r="15" spans="2:9" x14ac:dyDescent="0.2">
      <c r="G15" s="3"/>
    </row>
    <row r="16" spans="2:9" x14ac:dyDescent="0.2">
      <c r="B16" s="1" t="s">
        <v>1</v>
      </c>
      <c r="C16" s="1">
        <v>7</v>
      </c>
      <c r="D16" s="1">
        <f>C16/C18</f>
        <v>0.15555555555555556</v>
      </c>
      <c r="E16" s="1">
        <f>D16*C20</f>
        <v>9.7163541999999978E-2</v>
      </c>
      <c r="G16" s="3">
        <f t="shared" si="0"/>
        <v>4.5266666666666656E-2</v>
      </c>
      <c r="H16" s="1" t="s">
        <v>16</v>
      </c>
      <c r="I16" s="1">
        <f>E9</f>
        <v>3.2197173835283987E-5</v>
      </c>
    </row>
    <row r="17" spans="2:12" x14ac:dyDescent="0.2">
      <c r="B17" s="1" t="s">
        <v>7</v>
      </c>
      <c r="C17" s="1">
        <f>19*2</f>
        <v>38</v>
      </c>
      <c r="D17" s="1">
        <f>C17/C18</f>
        <v>0.84444444444444444</v>
      </c>
      <c r="E17" s="1">
        <f>D17*C20</f>
        <v>0.52745922799999989</v>
      </c>
      <c r="G17" s="3">
        <f t="shared" si="0"/>
        <v>0.2457333333333333</v>
      </c>
      <c r="H17" s="1" t="s">
        <v>17</v>
      </c>
      <c r="I17" s="1">
        <f>E10</f>
        <v>0.37559613137550524</v>
      </c>
    </row>
    <row r="18" spans="2:12" x14ac:dyDescent="0.2">
      <c r="B18" s="1"/>
      <c r="C18" s="1">
        <f>C16+C17</f>
        <v>45</v>
      </c>
      <c r="D18" s="1" t="s">
        <v>2</v>
      </c>
      <c r="E18" s="1"/>
      <c r="G18" s="3"/>
      <c r="H18" s="1" t="s">
        <v>0</v>
      </c>
      <c r="I18" s="1">
        <f>E11+E17+E23+E30</f>
        <v>1.6499999577980606</v>
      </c>
    </row>
    <row r="19" spans="2:12" x14ac:dyDescent="0.2">
      <c r="B19" s="1" t="s">
        <v>5</v>
      </c>
      <c r="C19" s="2">
        <v>0.29099999999999998</v>
      </c>
      <c r="D19" s="1"/>
      <c r="E19" s="1"/>
      <c r="G19" s="3"/>
      <c r="H19" s="1" t="s">
        <v>1</v>
      </c>
      <c r="I19" s="1">
        <f>E16</f>
        <v>9.7163541999999978E-2</v>
      </c>
    </row>
    <row r="20" spans="2:12" x14ac:dyDescent="0.2">
      <c r="B20" s="1" t="s">
        <v>8</v>
      </c>
      <c r="C20" s="1">
        <f>$E$3*$C$19</f>
        <v>0.62462276999999988</v>
      </c>
      <c r="D20" s="1" t="s">
        <v>4</v>
      </c>
      <c r="E20" s="1">
        <f>SUM(E16:E19)</f>
        <v>0.62462276999999988</v>
      </c>
      <c r="G20" s="3"/>
      <c r="H20" s="1" t="s">
        <v>9</v>
      </c>
      <c r="I20" s="1">
        <f>E22</f>
        <v>9.0513795180722882E-3</v>
      </c>
    </row>
    <row r="21" spans="2:12" x14ac:dyDescent="0.2">
      <c r="G21" s="3"/>
      <c r="H21" s="1" t="s">
        <v>12</v>
      </c>
      <c r="I21" s="1">
        <f>E28</f>
        <v>5.0772469004633312E-3</v>
      </c>
      <c r="J21">
        <f>I21+I22</f>
        <v>1.4626792134526279E-2</v>
      </c>
    </row>
    <row r="22" spans="2:12" x14ac:dyDescent="0.2">
      <c r="B22" s="1" t="s">
        <v>9</v>
      </c>
      <c r="C22" s="1">
        <v>7</v>
      </c>
      <c r="D22" s="1">
        <f>C22/C24</f>
        <v>8.4337349397590355E-2</v>
      </c>
      <c r="E22" s="1">
        <f>D22*C26</f>
        <v>9.0513795180722882E-3</v>
      </c>
      <c r="G22" s="3">
        <f t="shared" si="0"/>
        <v>4.2168674698795181E-3</v>
      </c>
      <c r="H22" s="1" t="s">
        <v>11</v>
      </c>
      <c r="I22" s="1">
        <f>E29</f>
        <v>9.5495452340629474E-3</v>
      </c>
    </row>
    <row r="23" spans="2:12" x14ac:dyDescent="0.2">
      <c r="B23" s="1" t="s">
        <v>10</v>
      </c>
      <c r="C23" s="1">
        <f>19*4</f>
        <v>76</v>
      </c>
      <c r="D23" s="1">
        <f>C23/C24</f>
        <v>0.91566265060240959</v>
      </c>
      <c r="E23" s="1">
        <f>D23*C26</f>
        <v>9.8272120481927711E-2</v>
      </c>
      <c r="G23" s="3">
        <f t="shared" si="0"/>
        <v>4.5783132530120486E-2</v>
      </c>
      <c r="H23" s="4" t="s">
        <v>13</v>
      </c>
      <c r="I23" s="4">
        <f>SUM(I16:I22)</f>
        <v>2.1464699999999999</v>
      </c>
    </row>
    <row r="24" spans="2:12" x14ac:dyDescent="0.2">
      <c r="B24" s="1"/>
      <c r="C24" s="1">
        <f>C22+C23</f>
        <v>83</v>
      </c>
      <c r="D24" s="1" t="s">
        <v>2</v>
      </c>
      <c r="E24" s="1"/>
      <c r="G24" s="3"/>
    </row>
    <row r="25" spans="2:12" x14ac:dyDescent="0.2">
      <c r="B25" s="1" t="s">
        <v>5</v>
      </c>
      <c r="C25" s="2">
        <v>0.05</v>
      </c>
      <c r="D25" s="1"/>
      <c r="E25" s="1"/>
      <c r="G25" s="3"/>
    </row>
    <row r="26" spans="2:12" x14ac:dyDescent="0.2">
      <c r="B26" s="1" t="s">
        <v>18</v>
      </c>
      <c r="C26" s="1">
        <f>C25*E3</f>
        <v>0.1073235</v>
      </c>
      <c r="D26" s="1" t="s">
        <v>4</v>
      </c>
      <c r="E26" s="1">
        <f>SUM(E22:E25)</f>
        <v>0.1073235</v>
      </c>
      <c r="G26" s="3"/>
    </row>
    <row r="27" spans="2:12" x14ac:dyDescent="0.2">
      <c r="G27" s="3"/>
      <c r="J27" t="s">
        <v>20</v>
      </c>
      <c r="K27">
        <v>7.5</v>
      </c>
      <c r="L27" t="s">
        <v>21</v>
      </c>
    </row>
    <row r="28" spans="2:12" x14ac:dyDescent="0.2">
      <c r="B28" s="1" t="s">
        <v>12</v>
      </c>
      <c r="C28" s="1">
        <f>235*F28</f>
        <v>82.25</v>
      </c>
      <c r="D28" s="1">
        <f>C28/C31</f>
        <v>0.26282153698673905</v>
      </c>
      <c r="E28" s="1">
        <f>D28*C33</f>
        <v>5.0772469004633312E-3</v>
      </c>
      <c r="F28">
        <v>0.35</v>
      </c>
      <c r="G28" s="3">
        <f t="shared" si="0"/>
        <v>2.3653938328806511E-3</v>
      </c>
      <c r="J28" t="s">
        <v>22</v>
      </c>
      <c r="K28">
        <v>70.5</v>
      </c>
      <c r="L28" t="s">
        <v>23</v>
      </c>
    </row>
    <row r="29" spans="2:12" x14ac:dyDescent="0.2">
      <c r="B29" s="1" t="s">
        <v>11</v>
      </c>
      <c r="C29" s="1">
        <f>238*F29</f>
        <v>154.70000000000002</v>
      </c>
      <c r="D29" s="1">
        <f>C29/C31</f>
        <v>0.49432816743888797</v>
      </c>
      <c r="E29" s="1">
        <f>D29*C33</f>
        <v>9.5495452340629474E-3</v>
      </c>
      <c r="F29">
        <f>1-F28</f>
        <v>0.65</v>
      </c>
      <c r="G29" s="3">
        <f t="shared" si="0"/>
        <v>4.4489535069499909E-3</v>
      </c>
      <c r="K29">
        <v>1996338</v>
      </c>
      <c r="L29" t="s">
        <v>26</v>
      </c>
    </row>
    <row r="30" spans="2:12" x14ac:dyDescent="0.2">
      <c r="B30" s="1" t="s">
        <v>10</v>
      </c>
      <c r="C30" s="1">
        <f>19*4</f>
        <v>76</v>
      </c>
      <c r="D30" s="1">
        <f>C30/C31</f>
        <v>0.24285029557437288</v>
      </c>
      <c r="E30" s="1">
        <f>D30*C33</f>
        <v>4.6914378654737167E-3</v>
      </c>
      <c r="G30" s="3">
        <f t="shared" si="0"/>
        <v>2.1856526601693555E-3</v>
      </c>
      <c r="J30" t="s">
        <v>24</v>
      </c>
      <c r="K30">
        <v>2.1464699999999999</v>
      </c>
      <c r="L30" t="s">
        <v>4</v>
      </c>
    </row>
    <row r="31" spans="2:12" x14ac:dyDescent="0.2">
      <c r="B31" s="1"/>
      <c r="C31" s="1">
        <f>C28+C30+C29</f>
        <v>312.95000000000005</v>
      </c>
      <c r="D31" s="1" t="s">
        <v>2</v>
      </c>
      <c r="E31" s="1"/>
      <c r="G31" s="3"/>
      <c r="J31" t="s">
        <v>25</v>
      </c>
      <c r="K31">
        <f>I21+I22</f>
        <v>1.4626792134526279E-2</v>
      </c>
      <c r="L31" t="s">
        <v>4</v>
      </c>
    </row>
    <row r="32" spans="2:12" x14ac:dyDescent="0.2">
      <c r="B32" s="1" t="s">
        <v>5</v>
      </c>
      <c r="C32" s="2">
        <v>8.9999999999999993E-3</v>
      </c>
      <c r="D32" s="1"/>
      <c r="E32" s="1"/>
      <c r="G32" s="3"/>
      <c r="K32">
        <f>K31*K29</f>
        <v>29200.020956255921</v>
      </c>
      <c r="L32" t="s">
        <v>28</v>
      </c>
    </row>
    <row r="33" spans="2:12" x14ac:dyDescent="0.2">
      <c r="B33" s="1" t="s">
        <v>19</v>
      </c>
      <c r="C33" s="1">
        <f>C32*E3</f>
        <v>1.9318229999999999E-2</v>
      </c>
      <c r="D33" s="1" t="s">
        <v>4</v>
      </c>
      <c r="E33" s="1">
        <f>SUM(E28:E32)</f>
        <v>1.9318229999999995E-2</v>
      </c>
      <c r="G33" s="3"/>
      <c r="K33">
        <f>K32*(0.000001)</f>
        <v>2.9200020956255918E-2</v>
      </c>
      <c r="L33" t="s">
        <v>27</v>
      </c>
    </row>
    <row r="34" spans="2:12" x14ac:dyDescent="0.2">
      <c r="G34" s="3"/>
      <c r="K34" s="3">
        <f>K27/K33</f>
        <v>256.8491307330097</v>
      </c>
      <c r="L34" s="3" t="s">
        <v>29</v>
      </c>
    </row>
    <row r="35" spans="2:12" x14ac:dyDescent="0.2">
      <c r="C35">
        <f>C14+C20+C26+C33</f>
        <v>2.1464699999999999</v>
      </c>
      <c r="D35" s="3" t="s">
        <v>13</v>
      </c>
      <c r="E35" s="3">
        <f>E33+E26+E20+E14</f>
        <v>2.1464699999999999</v>
      </c>
      <c r="G35" s="3">
        <f>SUM(G9:G34)</f>
        <v>1</v>
      </c>
    </row>
    <row r="36" spans="2:12" x14ac:dyDescent="0.2">
      <c r="G36">
        <f>G30+G23+G17+G11</f>
        <v>0.76870394545372678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2590-7B06-4D2C-A4A5-00DFDA7511BA}">
  <dimension ref="B3:L36"/>
  <sheetViews>
    <sheetView zoomScale="110" zoomScaleNormal="110" workbookViewId="0">
      <selection activeCell="K33" sqref="K33"/>
    </sheetView>
  </sheetViews>
  <sheetFormatPr baseColWidth="10" defaultColWidth="10.83203125" defaultRowHeight="16" x14ac:dyDescent="0.2"/>
  <cols>
    <col min="2" max="2" width="12.1640625" customWidth="1"/>
    <col min="3" max="3" width="11.6640625" bestFit="1" customWidth="1"/>
    <col min="4" max="4" width="11.1640625" bestFit="1" customWidth="1"/>
    <col min="5" max="5" width="17.6640625" customWidth="1"/>
    <col min="7" max="7" width="11.6640625" bestFit="1" customWidth="1"/>
    <col min="9" max="9" width="12.1640625" bestFit="1" customWidth="1"/>
    <col min="10" max="11" width="11.6640625" bestFit="1" customWidth="1"/>
  </cols>
  <sheetData>
    <row r="3" spans="2:9" x14ac:dyDescent="0.2">
      <c r="D3" t="s">
        <v>3</v>
      </c>
      <c r="E3">
        <v>2.0823999999999998</v>
      </c>
      <c r="F3" t="s">
        <v>4</v>
      </c>
    </row>
    <row r="8" spans="2:9" x14ac:dyDescent="0.2">
      <c r="D8" t="s">
        <v>5</v>
      </c>
      <c r="E8" t="s">
        <v>4</v>
      </c>
      <c r="G8" s="3" t="s">
        <v>30</v>
      </c>
    </row>
    <row r="9" spans="2:9" x14ac:dyDescent="0.2">
      <c r="B9" s="1" t="s">
        <v>14</v>
      </c>
      <c r="C9" s="1">
        <f>6*F9</f>
        <v>6.0000000000000006E-4</v>
      </c>
      <c r="D9" s="1">
        <f>C9/C12</f>
        <v>2.3077011834660909E-5</v>
      </c>
      <c r="E9" s="1">
        <f>D9*C14</f>
        <v>3.1236120138923621E-5</v>
      </c>
      <c r="F9">
        <v>1E-4</v>
      </c>
      <c r="G9" s="3">
        <f>E9/$E$3</f>
        <v>1.5000057692529592E-5</v>
      </c>
    </row>
    <row r="10" spans="2:9" x14ac:dyDescent="0.2">
      <c r="B10" s="1" t="s">
        <v>15</v>
      </c>
      <c r="C10" s="1">
        <f>7*F10</f>
        <v>6.9992999999999999</v>
      </c>
      <c r="D10" s="1">
        <f>C10/C12</f>
        <v>0.26920488155723676</v>
      </c>
      <c r="E10" s="1">
        <f>D10*C14</f>
        <v>0.36438495948061334</v>
      </c>
      <c r="F10">
        <f>1-F9</f>
        <v>0.99990000000000001</v>
      </c>
      <c r="G10" s="3">
        <f t="shared" ref="G10:G30" si="0">E10/$E$3</f>
        <v>0.1749831730122039</v>
      </c>
    </row>
    <row r="11" spans="2:9" x14ac:dyDescent="0.2">
      <c r="B11" s="1" t="s">
        <v>0</v>
      </c>
      <c r="C11" s="1">
        <v>19</v>
      </c>
      <c r="D11" s="1">
        <f>C11/C12</f>
        <v>0.73077204143092866</v>
      </c>
      <c r="E11" s="1">
        <f>D11*C14</f>
        <v>0.98914380439924776</v>
      </c>
      <c r="G11" s="3">
        <f t="shared" si="0"/>
        <v>0.47500182693010368</v>
      </c>
    </row>
    <row r="12" spans="2:9" x14ac:dyDescent="0.2">
      <c r="B12" s="1"/>
      <c r="C12" s="1">
        <f>C9+C11+C10</f>
        <v>25.999899999999997</v>
      </c>
      <c r="D12" s="1" t="s">
        <v>2</v>
      </c>
      <c r="E12" s="1"/>
      <c r="G12" s="3"/>
    </row>
    <row r="13" spans="2:9" x14ac:dyDescent="0.2">
      <c r="B13" s="1" t="s">
        <v>5</v>
      </c>
      <c r="C13" s="2">
        <v>0.65</v>
      </c>
      <c r="D13" s="1">
        <f>D9+D10+D11</f>
        <v>1</v>
      </c>
      <c r="E13" s="1"/>
      <c r="G13" s="3"/>
    </row>
    <row r="14" spans="2:9" x14ac:dyDescent="0.2">
      <c r="B14" s="1" t="s">
        <v>6</v>
      </c>
      <c r="C14" s="1">
        <f>E3*C13</f>
        <v>1.3535599999999999</v>
      </c>
      <c r="D14" s="1" t="s">
        <v>4</v>
      </c>
      <c r="E14" s="1">
        <f>SUM(E9:E13)</f>
        <v>1.3535600000000001</v>
      </c>
      <c r="G14" s="3"/>
    </row>
    <row r="15" spans="2:9" x14ac:dyDescent="0.2">
      <c r="G15" s="3"/>
    </row>
    <row r="16" spans="2:9" x14ac:dyDescent="0.2">
      <c r="B16" s="1" t="s">
        <v>1</v>
      </c>
      <c r="C16" s="1">
        <v>7</v>
      </c>
      <c r="D16" s="1">
        <f>C16/C18</f>
        <v>0.15555555555555556</v>
      </c>
      <c r="E16" s="1">
        <f>D16*C20</f>
        <v>9.4263306666666657E-2</v>
      </c>
      <c r="G16" s="3">
        <f t="shared" si="0"/>
        <v>4.5266666666666663E-2</v>
      </c>
      <c r="H16" s="1" t="s">
        <v>16</v>
      </c>
      <c r="I16" s="1">
        <f>E9</f>
        <v>3.1236120138923621E-5</v>
      </c>
    </row>
    <row r="17" spans="2:12" x14ac:dyDescent="0.2">
      <c r="B17" s="1" t="s">
        <v>7</v>
      </c>
      <c r="C17" s="1">
        <f>19*2</f>
        <v>38</v>
      </c>
      <c r="D17" s="1">
        <f>C17/C18</f>
        <v>0.84444444444444444</v>
      </c>
      <c r="E17" s="1">
        <f>D17*C20</f>
        <v>0.51171509333333332</v>
      </c>
      <c r="G17" s="3">
        <f t="shared" si="0"/>
        <v>0.24573333333333336</v>
      </c>
      <c r="H17" s="1" t="s">
        <v>17</v>
      </c>
      <c r="I17" s="1">
        <f>E10</f>
        <v>0.36438495948061334</v>
      </c>
    </row>
    <row r="18" spans="2:12" x14ac:dyDescent="0.2">
      <c r="B18" s="1"/>
      <c r="C18" s="1">
        <f>C16+C17</f>
        <v>45</v>
      </c>
      <c r="D18" s="1" t="s">
        <v>2</v>
      </c>
      <c r="E18" s="1"/>
      <c r="G18" s="3"/>
      <c r="H18" s="1" t="s">
        <v>0</v>
      </c>
      <c r="I18" s="1">
        <f>E11+E17+E23+E30</f>
        <v>1.6007745432715832</v>
      </c>
    </row>
    <row r="19" spans="2:12" x14ac:dyDescent="0.2">
      <c r="B19" s="1" t="s">
        <v>5</v>
      </c>
      <c r="C19" s="2">
        <v>0.29099999999999998</v>
      </c>
      <c r="D19" s="1"/>
      <c r="E19" s="1"/>
      <c r="G19" s="3"/>
      <c r="H19" s="1" t="s">
        <v>1</v>
      </c>
      <c r="I19" s="1">
        <f>E16</f>
        <v>9.4263306666666657E-2</v>
      </c>
    </row>
    <row r="20" spans="2:12" x14ac:dyDescent="0.2">
      <c r="B20" s="1" t="s">
        <v>8</v>
      </c>
      <c r="C20" s="1">
        <f>$E$3*$C$19</f>
        <v>0.60597839999999992</v>
      </c>
      <c r="D20" s="1" t="s">
        <v>4</v>
      </c>
      <c r="E20" s="1">
        <f>SUM(E16:E19)</f>
        <v>0.60597839999999992</v>
      </c>
      <c r="G20" s="3"/>
      <c r="H20" s="1" t="s">
        <v>9</v>
      </c>
      <c r="I20" s="1">
        <f>E22</f>
        <v>8.781204819277107E-3</v>
      </c>
    </row>
    <row r="21" spans="2:12" x14ac:dyDescent="0.2">
      <c r="G21" s="3">
        <f t="shared" si="0"/>
        <v>0</v>
      </c>
      <c r="H21" s="1" t="s">
        <v>12</v>
      </c>
      <c r="I21" s="1">
        <f>E28</f>
        <v>1.3161455865814079E-2</v>
      </c>
      <c r="J21">
        <f>I21+I22</f>
        <v>1.4164749641721023E-2</v>
      </c>
    </row>
    <row r="22" spans="2:12" x14ac:dyDescent="0.2">
      <c r="B22" s="1" t="s">
        <v>9</v>
      </c>
      <c r="C22" s="1">
        <v>7</v>
      </c>
      <c r="D22" s="1">
        <f>C22/C24</f>
        <v>8.4337349397590355E-2</v>
      </c>
      <c r="E22" s="1">
        <f>D22*C26</f>
        <v>8.781204819277107E-3</v>
      </c>
      <c r="G22" s="3">
        <f t="shared" si="0"/>
        <v>4.2168674698795181E-3</v>
      </c>
      <c r="H22" s="1" t="s">
        <v>11</v>
      </c>
      <c r="I22" s="1">
        <f>E29</f>
        <v>1.003293775906943E-3</v>
      </c>
    </row>
    <row r="23" spans="2:12" x14ac:dyDescent="0.2">
      <c r="B23" s="1" t="s">
        <v>10</v>
      </c>
      <c r="C23" s="1">
        <f>19*4</f>
        <v>76</v>
      </c>
      <c r="D23" s="1">
        <f>C23/C24</f>
        <v>0.91566265060240959</v>
      </c>
      <c r="E23" s="1">
        <f>D23*C26</f>
        <v>9.5338795180722871E-2</v>
      </c>
      <c r="G23" s="3">
        <f t="shared" si="0"/>
        <v>4.5783132530120479E-2</v>
      </c>
      <c r="H23" s="4" t="s">
        <v>13</v>
      </c>
      <c r="I23" s="4">
        <f>SUM(I16:I22)</f>
        <v>2.0824000000000003</v>
      </c>
    </row>
    <row r="24" spans="2:12" x14ac:dyDescent="0.2">
      <c r="B24" s="1"/>
      <c r="C24" s="1">
        <f>C22+C23</f>
        <v>83</v>
      </c>
      <c r="D24" s="1" t="s">
        <v>2</v>
      </c>
      <c r="E24" s="1"/>
      <c r="G24" s="3"/>
    </row>
    <row r="25" spans="2:12" x14ac:dyDescent="0.2">
      <c r="B25" s="1" t="s">
        <v>5</v>
      </c>
      <c r="C25" s="2">
        <v>0.05</v>
      </c>
      <c r="D25" s="1"/>
      <c r="E25" s="1"/>
      <c r="G25" s="3"/>
    </row>
    <row r="26" spans="2:12" x14ac:dyDescent="0.2">
      <c r="B26" s="1" t="s">
        <v>18</v>
      </c>
      <c r="C26" s="1">
        <f>C25*E3</f>
        <v>0.10411999999999999</v>
      </c>
      <c r="D26" s="1" t="s">
        <v>4</v>
      </c>
      <c r="E26" s="1">
        <f>SUM(E22:E25)</f>
        <v>0.10411999999999998</v>
      </c>
      <c r="G26" s="3"/>
    </row>
    <row r="27" spans="2:12" x14ac:dyDescent="0.2">
      <c r="G27" s="3"/>
      <c r="J27" t="s">
        <v>20</v>
      </c>
      <c r="K27">
        <v>7.5</v>
      </c>
      <c r="L27" t="s">
        <v>21</v>
      </c>
    </row>
    <row r="28" spans="2:12" x14ac:dyDescent="0.2">
      <c r="B28" s="1" t="s">
        <v>12</v>
      </c>
      <c r="C28" s="1">
        <f>235*F28</f>
        <v>218.55</v>
      </c>
      <c r="D28" s="1">
        <f>C28/C31</f>
        <v>0.70225892484174679</v>
      </c>
      <c r="E28" s="1">
        <f>D28*C33</f>
        <v>1.3161455865814079E-2</v>
      </c>
      <c r="F28">
        <v>0.93</v>
      </c>
      <c r="G28" s="3">
        <f t="shared" si="0"/>
        <v>6.3203303235757208E-3</v>
      </c>
      <c r="J28" t="s">
        <v>22</v>
      </c>
      <c r="K28">
        <v>70.5</v>
      </c>
      <c r="L28" t="s">
        <v>23</v>
      </c>
    </row>
    <row r="29" spans="2:12" x14ac:dyDescent="0.2">
      <c r="B29" s="1" t="s">
        <v>11</v>
      </c>
      <c r="C29" s="1">
        <f>238*F29</f>
        <v>16.659999999999989</v>
      </c>
      <c r="D29" s="1">
        <f>C29/C31</f>
        <v>5.3532984158606696E-2</v>
      </c>
      <c r="E29" s="1">
        <f>D29*C33</f>
        <v>1.003293775906943E-3</v>
      </c>
      <c r="F29">
        <f>1-F28</f>
        <v>6.9999999999999951E-2</v>
      </c>
      <c r="G29" s="3">
        <f t="shared" si="0"/>
        <v>4.8179685742746019E-4</v>
      </c>
      <c r="K29">
        <v>1996338</v>
      </c>
      <c r="L29" t="s">
        <v>26</v>
      </c>
    </row>
    <row r="30" spans="2:12" x14ac:dyDescent="0.2">
      <c r="B30" s="1" t="s">
        <v>10</v>
      </c>
      <c r="C30" s="1">
        <f>19*4</f>
        <v>76</v>
      </c>
      <c r="D30" s="1">
        <f>C30/C31</f>
        <v>0.24420809099964655</v>
      </c>
      <c r="E30" s="1">
        <f>D30*C33</f>
        <v>4.5768503582789754E-3</v>
      </c>
      <c r="G30" s="3">
        <f t="shared" si="0"/>
        <v>2.1978728189968192E-3</v>
      </c>
      <c r="J30" t="s">
        <v>24</v>
      </c>
      <c r="K30">
        <v>2.1464699999999999</v>
      </c>
      <c r="L30" t="s">
        <v>4</v>
      </c>
    </row>
    <row r="31" spans="2:12" x14ac:dyDescent="0.2">
      <c r="B31" s="1"/>
      <c r="C31" s="1">
        <f>C28+C30+C29</f>
        <v>311.20999999999998</v>
      </c>
      <c r="D31" s="1" t="s">
        <v>2</v>
      </c>
      <c r="E31" s="1"/>
      <c r="G31" s="3"/>
      <c r="J31" t="s">
        <v>25</v>
      </c>
      <c r="K31">
        <f>I21+I22</f>
        <v>1.4164749641721023E-2</v>
      </c>
      <c r="L31" t="s">
        <v>4</v>
      </c>
    </row>
    <row r="32" spans="2:12" x14ac:dyDescent="0.2">
      <c r="B32" s="1" t="s">
        <v>5</v>
      </c>
      <c r="C32" s="2">
        <v>8.9999999999999993E-3</v>
      </c>
      <c r="D32" s="1"/>
      <c r="E32" s="1"/>
      <c r="G32" s="3"/>
      <c r="K32">
        <f>K31*K29</f>
        <v>28277.627970254063</v>
      </c>
      <c r="L32" t="s">
        <v>28</v>
      </c>
    </row>
    <row r="33" spans="2:12" x14ac:dyDescent="0.2">
      <c r="B33" s="1" t="s">
        <v>19</v>
      </c>
      <c r="C33" s="1">
        <f>C32*E3</f>
        <v>1.8741599999999997E-2</v>
      </c>
      <c r="D33" s="1" t="s">
        <v>4</v>
      </c>
      <c r="E33" s="1">
        <f>SUM(E28:E32)</f>
        <v>1.8741599999999997E-2</v>
      </c>
      <c r="G33" s="3"/>
      <c r="K33">
        <f>K32*(0.000001)</f>
        <v>2.8277627970254061E-2</v>
      </c>
      <c r="L33" t="s">
        <v>27</v>
      </c>
    </row>
    <row r="34" spans="2:12" x14ac:dyDescent="0.2">
      <c r="G34" s="3"/>
      <c r="K34" s="3">
        <f>K27/K33</f>
        <v>265.22733830042029</v>
      </c>
      <c r="L34" s="3" t="s">
        <v>29</v>
      </c>
    </row>
    <row r="35" spans="2:12" x14ac:dyDescent="0.2">
      <c r="C35">
        <f>C14+C20+C26+C33</f>
        <v>2.0823999999999994</v>
      </c>
      <c r="D35" s="3" t="s">
        <v>13</v>
      </c>
      <c r="E35" s="3">
        <f>E33+E26+E20+E14</f>
        <v>2.0823999999999998</v>
      </c>
      <c r="G35" s="3">
        <f>SUM(G9:G34)</f>
        <v>1</v>
      </c>
    </row>
    <row r="36" spans="2:12" x14ac:dyDescent="0.2">
      <c r="G36">
        <f>G30+G23+G17+G11</f>
        <v>0.76871616561255429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H16"/>
  <sheetViews>
    <sheetView zoomScale="160" zoomScaleNormal="160" workbookViewId="0">
      <selection activeCell="F24" sqref="F24"/>
    </sheetView>
  </sheetViews>
  <sheetFormatPr baseColWidth="10" defaultRowHeight="16" x14ac:dyDescent="0.2"/>
  <cols>
    <col min="3" max="3" width="17.83203125" customWidth="1"/>
    <col min="4" max="4" width="12.1640625" bestFit="1" customWidth="1"/>
  </cols>
  <sheetData>
    <row r="3" spans="3:8" x14ac:dyDescent="0.2">
      <c r="C3" s="7" t="s">
        <v>31</v>
      </c>
      <c r="D3" s="8"/>
      <c r="E3" s="9"/>
    </row>
    <row r="4" spans="3:8" x14ac:dyDescent="0.2">
      <c r="C4" s="1" t="s">
        <v>46</v>
      </c>
      <c r="D4" s="1">
        <v>32904</v>
      </c>
      <c r="E4" s="1" t="s">
        <v>32</v>
      </c>
    </row>
    <row r="5" spans="3:8" x14ac:dyDescent="0.2">
      <c r="C5" s="1" t="s">
        <v>47</v>
      </c>
      <c r="D5" s="1">
        <f>LN(2)/D4</f>
        <v>2.1065742176025568E-5</v>
      </c>
      <c r="E5" s="1" t="s">
        <v>45</v>
      </c>
    </row>
    <row r="8" spans="3:8" x14ac:dyDescent="0.2">
      <c r="C8" s="1"/>
      <c r="D8" s="1" t="s">
        <v>33</v>
      </c>
      <c r="E8" s="1" t="s">
        <v>34</v>
      </c>
      <c r="F8" s="1" t="s">
        <v>48</v>
      </c>
    </row>
    <row r="9" spans="3:8" x14ac:dyDescent="0.2">
      <c r="C9" s="1" t="s">
        <v>35</v>
      </c>
      <c r="D9" s="1">
        <v>41.312420000000003</v>
      </c>
      <c r="E9" s="1">
        <v>1.9963379999999999</v>
      </c>
      <c r="F9" s="1" t="s">
        <v>36</v>
      </c>
      <c r="G9">
        <v>70.5</v>
      </c>
      <c r="H9" t="s">
        <v>23</v>
      </c>
    </row>
    <row r="10" spans="3:8" x14ac:dyDescent="0.2">
      <c r="C10" s="1" t="s">
        <v>40</v>
      </c>
      <c r="D10" s="1">
        <v>5.5169000000000003E-2</v>
      </c>
      <c r="E10" s="1">
        <v>3.15450982E-3</v>
      </c>
      <c r="F10" s="1" t="s">
        <v>38</v>
      </c>
      <c r="G10">
        <v>50</v>
      </c>
      <c r="H10" t="s">
        <v>44</v>
      </c>
    </row>
    <row r="11" spans="3:8" x14ac:dyDescent="0.2">
      <c r="C11" s="1" t="s">
        <v>41</v>
      </c>
      <c r="D11" s="1">
        <v>0.1</v>
      </c>
      <c r="E11" s="1">
        <v>0.1</v>
      </c>
      <c r="F11" s="1" t="s">
        <v>5</v>
      </c>
    </row>
    <row r="12" spans="3:8" x14ac:dyDescent="0.2">
      <c r="C12" s="5" t="s">
        <v>42</v>
      </c>
      <c r="D12" s="5"/>
      <c r="E12" s="5"/>
      <c r="F12" s="5" t="s">
        <v>5</v>
      </c>
    </row>
    <row r="13" spans="3:8" x14ac:dyDescent="0.2">
      <c r="C13" s="1" t="s">
        <v>37</v>
      </c>
      <c r="D13" s="1">
        <f>D9*D5</f>
        <v>8.702767883876823E-4</v>
      </c>
      <c r="E13" s="1">
        <f>E9*D5</f>
        <v>4.2054341604202527E-5</v>
      </c>
      <c r="F13" s="1" t="s">
        <v>38</v>
      </c>
    </row>
    <row r="14" spans="3:8" x14ac:dyDescent="0.2">
      <c r="C14" s="1" t="s">
        <v>39</v>
      </c>
      <c r="D14" s="1">
        <f>D11*D10</f>
        <v>5.5169000000000008E-3</v>
      </c>
      <c r="E14" s="1">
        <f>E11*E10</f>
        <v>3.1545098200000003E-4</v>
      </c>
      <c r="F14" s="1" t="s">
        <v>38</v>
      </c>
    </row>
    <row r="15" spans="3:8" x14ac:dyDescent="0.2">
      <c r="C15" s="1" t="s">
        <v>49</v>
      </c>
      <c r="D15" s="1">
        <f>D13+D14</f>
        <v>6.3871767883876829E-3</v>
      </c>
      <c r="E15" s="1">
        <f>E13+E14</f>
        <v>3.5750532360420256E-4</v>
      </c>
      <c r="F15" s="1" t="s">
        <v>38</v>
      </c>
    </row>
    <row r="16" spans="3:8" x14ac:dyDescent="0.2">
      <c r="C16" s="6" t="s">
        <v>43</v>
      </c>
      <c r="D16" s="1">
        <f>(D15/D9)*3</f>
        <v>4.6382009006403033E-4</v>
      </c>
      <c r="E16" s="1">
        <f>E15/E9</f>
        <v>1.7908055830435655E-4</v>
      </c>
      <c r="F16" s="6" t="s">
        <v>45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30"/>
  <sheetViews>
    <sheetView topLeftCell="A5" zoomScale="115" zoomScaleNormal="115" zoomScaleSheetLayoutView="100" workbookViewId="0">
      <selection activeCell="F43" sqref="F43"/>
    </sheetView>
  </sheetViews>
  <sheetFormatPr baseColWidth="10" defaultColWidth="8.83203125" defaultRowHeight="15" x14ac:dyDescent="0.2"/>
  <cols>
    <col min="1" max="3" width="8.83203125" style="12"/>
    <col min="4" max="4" width="9.5" style="12" bestFit="1" customWidth="1"/>
    <col min="5" max="5" width="9.5" style="12" customWidth="1"/>
    <col min="6" max="6" width="8.83203125" style="12"/>
    <col min="7" max="7" width="8.83203125" style="12" bestFit="1" customWidth="1"/>
    <col min="8" max="10" width="11.1640625" style="12" customWidth="1"/>
    <col min="11" max="11" width="10" style="12" customWidth="1"/>
    <col min="12" max="13" width="8.83203125" style="12"/>
    <col min="14" max="14" width="13.1640625" style="12" customWidth="1"/>
    <col min="15" max="16384" width="8.83203125" style="12"/>
  </cols>
  <sheetData>
    <row r="1" spans="1:17" x14ac:dyDescent="0.2">
      <c r="A1" s="10"/>
      <c r="B1" s="10"/>
      <c r="C1" s="10"/>
      <c r="D1" s="10"/>
      <c r="E1" s="10"/>
      <c r="F1" s="10"/>
      <c r="G1" s="11"/>
      <c r="H1" s="11"/>
      <c r="I1" s="11"/>
      <c r="J1" s="11"/>
      <c r="K1" s="10"/>
      <c r="L1" s="11"/>
      <c r="M1" s="11"/>
      <c r="N1" s="11"/>
      <c r="O1" s="10"/>
    </row>
    <row r="2" spans="1:17" x14ac:dyDescent="0.2">
      <c r="A2" s="13"/>
      <c r="B2" s="14"/>
      <c r="C2" s="13"/>
      <c r="D2" s="11"/>
      <c r="E2" s="11"/>
      <c r="F2" s="11"/>
      <c r="G2" s="11"/>
      <c r="H2" s="11"/>
      <c r="I2" s="11"/>
      <c r="J2" s="11"/>
      <c r="K2" s="10"/>
      <c r="L2" s="10"/>
      <c r="M2" s="10"/>
      <c r="N2" s="10"/>
      <c r="O2" s="10"/>
    </row>
    <row r="3" spans="1:17" x14ac:dyDescent="0.2">
      <c r="A3" s="13"/>
      <c r="B3" s="14"/>
      <c r="C3" s="13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1"/>
    </row>
    <row r="4" spans="1:17" x14ac:dyDescent="0.2">
      <c r="A4" s="10"/>
      <c r="B4" s="10"/>
      <c r="C4" s="10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1"/>
    </row>
    <row r="5" spans="1:17" x14ac:dyDescent="0.2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1"/>
    </row>
    <row r="6" spans="1:17" ht="26" customHeight="1" x14ac:dyDescent="0.2">
      <c r="A6" s="10"/>
      <c r="B6" s="15" t="s">
        <v>50</v>
      </c>
      <c r="C6" s="15"/>
      <c r="D6" s="16" t="s">
        <v>51</v>
      </c>
      <c r="E6" s="16" t="s">
        <v>48</v>
      </c>
      <c r="F6" s="16" t="s">
        <v>52</v>
      </c>
      <c r="G6" s="17" t="s">
        <v>53</v>
      </c>
      <c r="H6" s="17" t="s">
        <v>54</v>
      </c>
      <c r="I6" s="18" t="s">
        <v>55</v>
      </c>
      <c r="J6" s="19"/>
      <c r="K6" s="17" t="s">
        <v>56</v>
      </c>
      <c r="L6" s="17"/>
      <c r="M6" s="17"/>
      <c r="N6" s="20" t="s">
        <v>57</v>
      </c>
      <c r="O6" s="21"/>
    </row>
    <row r="7" spans="1:17" ht="48" x14ac:dyDescent="0.2">
      <c r="A7" s="10"/>
      <c r="B7" s="22" t="s">
        <v>58</v>
      </c>
      <c r="C7" s="22" t="s">
        <v>59</v>
      </c>
      <c r="D7" s="16"/>
      <c r="E7" s="16"/>
      <c r="F7" s="16"/>
      <c r="G7" s="17"/>
      <c r="H7" s="17"/>
      <c r="I7" s="23"/>
      <c r="J7" s="24" t="s">
        <v>60</v>
      </c>
      <c r="K7" s="25" t="s">
        <v>61</v>
      </c>
      <c r="L7" s="25" t="s">
        <v>62</v>
      </c>
      <c r="M7" s="25" t="s">
        <v>63</v>
      </c>
      <c r="N7" s="20"/>
      <c r="O7" s="26"/>
    </row>
    <row r="8" spans="1:17" ht="16" x14ac:dyDescent="0.2">
      <c r="A8" s="11"/>
      <c r="B8" s="27" t="s">
        <v>64</v>
      </c>
      <c r="C8" s="28">
        <v>3</v>
      </c>
      <c r="D8" s="29">
        <v>12.26</v>
      </c>
      <c r="E8" s="29" t="s">
        <v>65</v>
      </c>
      <c r="F8" s="30">
        <v>6.4500000000000001E-6</v>
      </c>
      <c r="G8" s="29">
        <v>0.8</v>
      </c>
      <c r="H8" s="30">
        <f t="shared" ref="H8:H28" si="0">G8*P$10/100</f>
        <v>5.6173584E+17</v>
      </c>
      <c r="I8" s="30">
        <f>H8*3600</f>
        <v>2.022249024E+21</v>
      </c>
      <c r="J8" s="31">
        <f>I8*$P$12</f>
        <v>0.20222490240000002</v>
      </c>
      <c r="K8" s="31">
        <v>0.21</v>
      </c>
      <c r="L8" s="31">
        <v>0.21</v>
      </c>
      <c r="M8" s="31">
        <v>0.21</v>
      </c>
      <c r="N8" s="26">
        <f>K8/J8</f>
        <v>1.0384477752627166</v>
      </c>
      <c r="O8" s="26" t="s">
        <v>20</v>
      </c>
      <c r="P8" s="26">
        <v>2250</v>
      </c>
      <c r="Q8" s="12" t="s">
        <v>66</v>
      </c>
    </row>
    <row r="9" spans="1:17" ht="16" x14ac:dyDescent="0.2">
      <c r="A9" s="11"/>
      <c r="B9" s="27" t="s">
        <v>67</v>
      </c>
      <c r="C9" s="28">
        <v>82</v>
      </c>
      <c r="D9" s="29" t="s">
        <v>68</v>
      </c>
      <c r="E9" s="29" t="s">
        <v>69</v>
      </c>
      <c r="F9" s="29">
        <v>0</v>
      </c>
      <c r="G9" s="29">
        <v>0.3</v>
      </c>
      <c r="H9" s="30">
        <f t="shared" si="0"/>
        <v>2.1065094E+17</v>
      </c>
      <c r="I9" s="30">
        <f t="shared" ref="I9:I29" si="1">H9*3600</f>
        <v>7.5834338400000003E+20</v>
      </c>
      <c r="J9" s="31">
        <f t="shared" ref="J9:J29" si="2">I9*$P$12</f>
        <v>7.5834338400000006E-2</v>
      </c>
      <c r="K9" s="31">
        <v>0.35</v>
      </c>
      <c r="L9" s="31">
        <v>0.35</v>
      </c>
      <c r="M9" s="31">
        <v>0.35</v>
      </c>
      <c r="N9" s="26">
        <f>K9/J9</f>
        <v>4.6153234456120735</v>
      </c>
      <c r="O9" s="26"/>
      <c r="P9" s="32">
        <v>1.4043396E+22</v>
      </c>
      <c r="Q9" s="12" t="s">
        <v>70</v>
      </c>
    </row>
    <row r="10" spans="1:17" x14ac:dyDescent="0.2">
      <c r="A10" s="10"/>
      <c r="B10" s="27"/>
      <c r="C10" s="28">
        <v>83</v>
      </c>
      <c r="D10" s="29" t="s">
        <v>71</v>
      </c>
      <c r="E10" s="29" t="s">
        <v>69</v>
      </c>
      <c r="F10" s="29">
        <v>0</v>
      </c>
      <c r="G10" s="29">
        <v>1.1399999999999999</v>
      </c>
      <c r="H10" s="30">
        <f t="shared" si="0"/>
        <v>8.0047357199999987E+17</v>
      </c>
      <c r="I10" s="30">
        <f t="shared" si="1"/>
        <v>2.8817048591999996E+21</v>
      </c>
      <c r="J10" s="31">
        <f t="shared" si="2"/>
        <v>0.28817048592</v>
      </c>
      <c r="K10" s="31">
        <v>1.5</v>
      </c>
      <c r="L10" s="31">
        <v>1.5</v>
      </c>
      <c r="M10" s="31">
        <v>1.5</v>
      </c>
      <c r="N10" s="26">
        <f t="shared" ref="N10:N29" si="3">K10/J10</f>
        <v>5.205252006329407</v>
      </c>
      <c r="O10" s="26" t="s">
        <v>72</v>
      </c>
      <c r="P10" s="32">
        <f>P9/200</f>
        <v>7.021698E+19</v>
      </c>
      <c r="Q10" s="12" t="s">
        <v>73</v>
      </c>
    </row>
    <row r="11" spans="1:17" x14ac:dyDescent="0.2">
      <c r="A11" s="10"/>
      <c r="B11" s="27"/>
      <c r="C11" s="28">
        <v>84</v>
      </c>
      <c r="D11" s="29" t="s">
        <v>68</v>
      </c>
      <c r="E11" s="29" t="s">
        <v>69</v>
      </c>
      <c r="F11" s="29">
        <v>0</v>
      </c>
      <c r="G11" s="29">
        <v>1.1000000000000001</v>
      </c>
      <c r="H11" s="30">
        <f t="shared" si="0"/>
        <v>7.7238678000000013E+17</v>
      </c>
      <c r="I11" s="30">
        <f t="shared" si="1"/>
        <v>2.7805924080000004E+21</v>
      </c>
      <c r="J11" s="31">
        <f t="shared" si="2"/>
        <v>0.27805924080000005</v>
      </c>
      <c r="K11" s="31">
        <v>1.45</v>
      </c>
      <c r="L11" s="31">
        <v>1.45</v>
      </c>
      <c r="M11" s="31">
        <v>1.45</v>
      </c>
      <c r="N11" s="26">
        <f t="shared" si="3"/>
        <v>5.2147161008863678</v>
      </c>
      <c r="O11" s="21"/>
    </row>
    <row r="12" spans="1:17" x14ac:dyDescent="0.2">
      <c r="A12" s="10"/>
      <c r="B12" s="27"/>
      <c r="C12" s="28">
        <v>85</v>
      </c>
      <c r="D12" s="29">
        <v>10.76</v>
      </c>
      <c r="E12" s="29" t="s">
        <v>65</v>
      </c>
      <c r="F12" s="30">
        <v>7.3499999999999999E-6</v>
      </c>
      <c r="G12" s="29">
        <v>2.4900000000000002</v>
      </c>
      <c r="H12" s="30">
        <f t="shared" si="0"/>
        <v>1.748402802E+18</v>
      </c>
      <c r="I12" s="30">
        <f t="shared" si="1"/>
        <v>6.2942500871999995E+21</v>
      </c>
      <c r="J12" s="31">
        <f t="shared" si="2"/>
        <v>0.62942500871999996</v>
      </c>
      <c r="K12" s="31">
        <v>3.28</v>
      </c>
      <c r="L12" s="31">
        <v>3.28</v>
      </c>
      <c r="M12" s="33">
        <v>3.28</v>
      </c>
      <c r="N12" s="26">
        <f t="shared" si="3"/>
        <v>5.2111053017582112</v>
      </c>
      <c r="O12" s="26" t="s">
        <v>74</v>
      </c>
      <c r="P12" s="32">
        <v>1E-22</v>
      </c>
    </row>
    <row r="13" spans="1:17" x14ac:dyDescent="0.2">
      <c r="A13" s="10"/>
      <c r="B13" s="27"/>
      <c r="C13" s="28">
        <v>86</v>
      </c>
      <c r="D13" s="29" t="s">
        <v>68</v>
      </c>
      <c r="E13" s="29" t="s">
        <v>69</v>
      </c>
      <c r="F13" s="29">
        <v>0</v>
      </c>
      <c r="G13" s="29">
        <v>3.28</v>
      </c>
      <c r="H13" s="30">
        <f t="shared" si="0"/>
        <v>2.303116944E+18</v>
      </c>
      <c r="I13" s="30">
        <f t="shared" si="1"/>
        <v>8.2912209984000004E+21</v>
      </c>
      <c r="J13" s="31">
        <f t="shared" si="2"/>
        <v>0.82912209984000007</v>
      </c>
      <c r="K13" s="31">
        <v>4.32</v>
      </c>
      <c r="L13" s="31">
        <v>4.32</v>
      </c>
      <c r="M13" s="31">
        <v>4.32</v>
      </c>
      <c r="N13" s="26">
        <f t="shared" si="3"/>
        <v>5.2103303009697282</v>
      </c>
      <c r="O13" s="26"/>
    </row>
    <row r="14" spans="1:17" x14ac:dyDescent="0.2">
      <c r="A14" s="10"/>
      <c r="B14" s="27"/>
      <c r="C14" s="28">
        <v>87</v>
      </c>
      <c r="D14" s="29">
        <v>76</v>
      </c>
      <c r="E14" s="29" t="s">
        <v>75</v>
      </c>
      <c r="F14" s="29">
        <v>0.55000000000000004</v>
      </c>
      <c r="G14" s="29">
        <v>4.5</v>
      </c>
      <c r="H14" s="30">
        <f t="shared" si="0"/>
        <v>3.1597641E+18</v>
      </c>
      <c r="I14" s="30">
        <f t="shared" si="1"/>
        <v>1.1375150760000001E+22</v>
      </c>
      <c r="J14" s="31">
        <f t="shared" si="2"/>
        <v>1.1375150760000001</v>
      </c>
      <c r="K14" s="31">
        <v>1.1499999999999999</v>
      </c>
      <c r="L14" s="31">
        <v>0.63</v>
      </c>
      <c r="M14" s="30">
        <v>3E-9</v>
      </c>
      <c r="N14" s="26">
        <f t="shared" si="3"/>
        <v>1.0109756118959778</v>
      </c>
      <c r="O14" s="26"/>
    </row>
    <row r="15" spans="1:17" x14ac:dyDescent="0.2">
      <c r="A15" s="10"/>
      <c r="B15" s="27"/>
      <c r="C15" s="28">
        <v>88</v>
      </c>
      <c r="D15" s="29">
        <v>2.8</v>
      </c>
      <c r="E15" s="29" t="s">
        <v>76</v>
      </c>
      <c r="F15" s="29">
        <v>0.25</v>
      </c>
      <c r="G15" s="29">
        <v>5.7</v>
      </c>
      <c r="H15" s="30">
        <f t="shared" si="0"/>
        <v>4.00236786E+18</v>
      </c>
      <c r="I15" s="30">
        <f t="shared" si="1"/>
        <v>1.4408524295999999E+22</v>
      </c>
      <c r="J15" s="31">
        <f t="shared" si="2"/>
        <v>1.4408524296</v>
      </c>
      <c r="K15" s="31">
        <v>1.75</v>
      </c>
      <c r="L15" s="31">
        <v>1.33</v>
      </c>
      <c r="M15" s="31">
        <v>0.4</v>
      </c>
      <c r="N15" s="26">
        <f t="shared" si="3"/>
        <v>1.2145588014768616</v>
      </c>
      <c r="O15" s="26"/>
    </row>
    <row r="16" spans="1:17" ht="14.5" customHeight="1" x14ac:dyDescent="0.2">
      <c r="A16" s="10"/>
      <c r="B16" s="27"/>
      <c r="C16" s="28">
        <v>89</v>
      </c>
      <c r="D16" s="29">
        <v>3.18</v>
      </c>
      <c r="E16" s="29" t="s">
        <v>75</v>
      </c>
      <c r="F16" s="29">
        <v>13</v>
      </c>
      <c r="G16" s="29">
        <v>6.23</v>
      </c>
      <c r="H16" s="30">
        <f t="shared" si="0"/>
        <v>4.3745178540000005E+18</v>
      </c>
      <c r="I16" s="30">
        <f t="shared" si="1"/>
        <v>1.5748264274400001E+22</v>
      </c>
      <c r="J16" s="31">
        <f t="shared" si="2"/>
        <v>1.5748264274400001</v>
      </c>
      <c r="K16" s="31">
        <v>0.92</v>
      </c>
      <c r="L16" s="30">
        <v>1.1999999999999999E-12</v>
      </c>
      <c r="M16" s="31">
        <v>0</v>
      </c>
      <c r="N16" s="26">
        <f t="shared" si="3"/>
        <v>0.58419136481950573</v>
      </c>
      <c r="O16" s="26"/>
    </row>
    <row r="17" spans="1:15" s="37" customFormat="1" ht="14.5" customHeight="1" x14ac:dyDescent="0.2">
      <c r="A17" s="34"/>
      <c r="B17" s="27" t="s">
        <v>77</v>
      </c>
      <c r="C17" s="27"/>
      <c r="D17" s="27"/>
      <c r="E17" s="27"/>
      <c r="F17" s="27"/>
      <c r="G17" s="27">
        <f>SUM(G8:G16)</f>
        <v>25.54</v>
      </c>
      <c r="H17" s="30">
        <f t="shared" si="0"/>
        <v>1.7933416692E+19</v>
      </c>
      <c r="I17" s="30">
        <f t="shared" si="1"/>
        <v>6.45603000912E+22</v>
      </c>
      <c r="J17" s="31">
        <f t="shared" si="2"/>
        <v>6.45603000912</v>
      </c>
      <c r="K17" s="35">
        <f>SUM(K8:K16)</f>
        <v>14.93</v>
      </c>
      <c r="L17" s="35">
        <f>SUM(L8:L16)</f>
        <v>13.070000000001201</v>
      </c>
      <c r="M17" s="35">
        <f>SUM(M8:M16)</f>
        <v>11.510000003</v>
      </c>
      <c r="N17" s="26">
        <f t="shared" si="3"/>
        <v>2.3125666979412101</v>
      </c>
      <c r="O17" s="36"/>
    </row>
    <row r="18" spans="1:15" ht="14.5" customHeight="1" x14ac:dyDescent="0.2">
      <c r="A18" s="11"/>
      <c r="B18" s="27" t="s">
        <v>78</v>
      </c>
      <c r="C18" s="28">
        <v>128</v>
      </c>
      <c r="D18" s="29" t="s">
        <v>68</v>
      </c>
      <c r="E18" s="29" t="s">
        <v>69</v>
      </c>
      <c r="F18" s="29">
        <v>0</v>
      </c>
      <c r="G18" s="29">
        <v>0.02</v>
      </c>
      <c r="H18" s="30">
        <f t="shared" si="0"/>
        <v>1.4043396E+16</v>
      </c>
      <c r="I18" s="30">
        <f t="shared" si="1"/>
        <v>5.05562256E+19</v>
      </c>
      <c r="J18" s="31">
        <f t="shared" si="2"/>
        <v>5.0556225600000004E-3</v>
      </c>
      <c r="K18" s="31">
        <v>2.5000000000000001E-2</v>
      </c>
      <c r="L18" s="31">
        <v>2.5000000000000001E-2</v>
      </c>
      <c r="M18" s="31">
        <v>2.5000000000000001E-2</v>
      </c>
      <c r="N18" s="26">
        <f t="shared" si="3"/>
        <v>4.9449894060129358</v>
      </c>
      <c r="O18" s="26"/>
    </row>
    <row r="19" spans="1:15" ht="14.5" customHeight="1" x14ac:dyDescent="0.2">
      <c r="A19" s="10"/>
      <c r="B19" s="27"/>
      <c r="C19" s="28">
        <v>129</v>
      </c>
      <c r="D19" s="29" t="s">
        <v>68</v>
      </c>
      <c r="E19" s="29" t="s">
        <v>69</v>
      </c>
      <c r="F19" s="29">
        <v>0</v>
      </c>
      <c r="G19" s="29">
        <v>2.1</v>
      </c>
      <c r="H19" s="30">
        <f t="shared" si="0"/>
        <v>1.47455658E+18</v>
      </c>
      <c r="I19" s="30">
        <f t="shared" si="1"/>
        <v>5.3084036879999996E+21</v>
      </c>
      <c r="J19" s="31">
        <f t="shared" si="2"/>
        <v>0.53084036879999996</v>
      </c>
      <c r="K19" s="31">
        <v>2.76</v>
      </c>
      <c r="L19" s="31">
        <v>2.76</v>
      </c>
      <c r="M19" s="31">
        <v>2.76</v>
      </c>
      <c r="N19" s="26">
        <f t="shared" si="3"/>
        <v>5.1993031468936017</v>
      </c>
      <c r="O19" s="26"/>
    </row>
    <row r="20" spans="1:15" ht="14.5" customHeight="1" x14ac:dyDescent="0.2">
      <c r="A20" s="10"/>
      <c r="B20" s="27"/>
      <c r="C20" s="28">
        <v>130</v>
      </c>
      <c r="D20" s="29" t="s">
        <v>79</v>
      </c>
      <c r="E20" s="29" t="s">
        <v>69</v>
      </c>
      <c r="F20" s="29">
        <v>0</v>
      </c>
      <c r="G20" s="29">
        <v>0.1</v>
      </c>
      <c r="H20" s="30">
        <f t="shared" si="0"/>
        <v>7.021698E+16</v>
      </c>
      <c r="I20" s="30">
        <f t="shared" si="1"/>
        <v>2.52781128E+20</v>
      </c>
      <c r="J20" s="31">
        <f t="shared" si="2"/>
        <v>2.5278112800000002E-2</v>
      </c>
      <c r="K20" s="31">
        <v>0.13</v>
      </c>
      <c r="L20" s="31">
        <v>0.13</v>
      </c>
      <c r="M20" s="31">
        <v>0.13</v>
      </c>
      <c r="N20" s="26">
        <f t="shared" si="3"/>
        <v>5.1427889822534532</v>
      </c>
      <c r="O20" s="26"/>
    </row>
    <row r="21" spans="1:15" ht="14.5" customHeight="1" x14ac:dyDescent="0.2">
      <c r="A21" s="10"/>
      <c r="B21" s="27"/>
      <c r="C21" s="28">
        <v>131</v>
      </c>
      <c r="D21" s="29" t="s">
        <v>68</v>
      </c>
      <c r="E21" s="29" t="s">
        <v>69</v>
      </c>
      <c r="F21" s="29">
        <v>0</v>
      </c>
      <c r="G21" s="29">
        <v>3.85</v>
      </c>
      <c r="H21" s="30">
        <f t="shared" si="0"/>
        <v>2.70335373E+18</v>
      </c>
      <c r="I21" s="30">
        <f t="shared" si="1"/>
        <v>9.7320734279999999E+21</v>
      </c>
      <c r="J21" s="31">
        <f t="shared" si="2"/>
        <v>0.97320734279999999</v>
      </c>
      <c r="K21" s="31">
        <v>5.05</v>
      </c>
      <c r="L21" s="31">
        <v>5.05</v>
      </c>
      <c r="M21" s="31">
        <v>5.05</v>
      </c>
      <c r="N21" s="26">
        <f t="shared" si="3"/>
        <v>5.1890278442317568</v>
      </c>
      <c r="O21" s="26"/>
    </row>
    <row r="22" spans="1:15" ht="14.5" customHeight="1" x14ac:dyDescent="0.2">
      <c r="A22" s="10"/>
      <c r="B22" s="27"/>
      <c r="C22" s="28">
        <v>132</v>
      </c>
      <c r="D22" s="29" t="s">
        <v>68</v>
      </c>
      <c r="E22" s="29" t="s">
        <v>69</v>
      </c>
      <c r="F22" s="29">
        <v>0</v>
      </c>
      <c r="G22" s="29">
        <v>5.48</v>
      </c>
      <c r="H22" s="30">
        <f t="shared" si="0"/>
        <v>3.8478905040000005E+18</v>
      </c>
      <c r="I22" s="30">
        <f t="shared" si="1"/>
        <v>1.3852405814400001E+22</v>
      </c>
      <c r="J22" s="31">
        <f t="shared" si="2"/>
        <v>1.3852405814400002</v>
      </c>
      <c r="K22" s="31">
        <v>7.2</v>
      </c>
      <c r="L22" s="31">
        <v>7.2</v>
      </c>
      <c r="M22" s="31">
        <v>7.2</v>
      </c>
      <c r="N22" s="26">
        <f t="shared" si="3"/>
        <v>5.197653098290969</v>
      </c>
      <c r="O22" s="26"/>
    </row>
    <row r="23" spans="1:15" ht="14.5" customHeight="1" x14ac:dyDescent="0.2">
      <c r="A23" s="10"/>
      <c r="B23" s="27"/>
      <c r="C23" s="28">
        <v>133</v>
      </c>
      <c r="D23" s="29">
        <v>5.27</v>
      </c>
      <c r="E23" s="29" t="s">
        <v>80</v>
      </c>
      <c r="F23" s="30">
        <v>5.4799999999999996E-3</v>
      </c>
      <c r="G23" s="29">
        <v>6.48</v>
      </c>
      <c r="H23" s="30">
        <f t="shared" si="0"/>
        <v>4.5500603040000005E+18</v>
      </c>
      <c r="I23" s="30">
        <f t="shared" si="1"/>
        <v>1.6380217094400001E+22</v>
      </c>
      <c r="J23" s="31">
        <f t="shared" si="2"/>
        <v>1.6380217094400003</v>
      </c>
      <c r="K23" s="31">
        <v>4.3</v>
      </c>
      <c r="L23" s="31">
        <v>4.25</v>
      </c>
      <c r="M23" s="31">
        <v>3.3</v>
      </c>
      <c r="N23" s="26">
        <f t="shared" si="3"/>
        <v>2.6251178328216818</v>
      </c>
      <c r="O23" s="26"/>
    </row>
    <row r="24" spans="1:15" ht="14.5" customHeight="1" x14ac:dyDescent="0.2">
      <c r="A24" s="10"/>
      <c r="B24" s="27"/>
      <c r="C24" s="28">
        <v>134</v>
      </c>
      <c r="D24" s="29" t="s">
        <v>68</v>
      </c>
      <c r="E24" s="29" t="s">
        <v>69</v>
      </c>
      <c r="F24" s="29">
        <v>0</v>
      </c>
      <c r="G24" s="29">
        <v>6.83</v>
      </c>
      <c r="H24" s="30">
        <f t="shared" si="0"/>
        <v>4.795819734E+18</v>
      </c>
      <c r="I24" s="30">
        <f t="shared" si="1"/>
        <v>1.7264951042400001E+22</v>
      </c>
      <c r="J24" s="31">
        <f t="shared" si="2"/>
        <v>1.7264951042400001</v>
      </c>
      <c r="K24" s="31">
        <v>9</v>
      </c>
      <c r="L24" s="31">
        <v>9</v>
      </c>
      <c r="M24" s="31">
        <v>9</v>
      </c>
      <c r="N24" s="26">
        <f t="shared" si="3"/>
        <v>5.2128731659287171</v>
      </c>
      <c r="O24" s="26"/>
    </row>
    <row r="25" spans="1:15" ht="14.5" customHeight="1" x14ac:dyDescent="0.2">
      <c r="A25" s="10"/>
      <c r="B25" s="27"/>
      <c r="C25" s="28">
        <v>135</v>
      </c>
      <c r="D25" s="29">
        <v>9.14</v>
      </c>
      <c r="E25" s="29" t="s">
        <v>81</v>
      </c>
      <c r="F25" s="29">
        <v>7.5300000000000006E-2</v>
      </c>
      <c r="G25" s="29">
        <v>6.16</v>
      </c>
      <c r="H25" s="30">
        <f t="shared" si="0"/>
        <v>4.3253659680000005E+18</v>
      </c>
      <c r="I25" s="30">
        <f t="shared" si="1"/>
        <v>1.5571317484800002E+22</v>
      </c>
      <c r="J25" s="31">
        <f t="shared" si="2"/>
        <v>1.5571317484800002</v>
      </c>
      <c r="K25" s="31">
        <v>1.5</v>
      </c>
      <c r="L25" s="31">
        <v>1.29</v>
      </c>
      <c r="M25" s="31">
        <v>0.04</v>
      </c>
      <c r="N25" s="26">
        <f t="shared" si="3"/>
        <v>0.96330962454797442</v>
      </c>
      <c r="O25" s="26"/>
    </row>
    <row r="26" spans="1:15" ht="14.5" customHeight="1" x14ac:dyDescent="0.2">
      <c r="A26" s="10"/>
      <c r="B26" s="27"/>
      <c r="C26" s="28">
        <v>136</v>
      </c>
      <c r="D26" s="29" t="s">
        <v>68</v>
      </c>
      <c r="E26" s="29" t="s">
        <v>69</v>
      </c>
      <c r="F26" s="29">
        <v>0</v>
      </c>
      <c r="G26" s="29">
        <v>7</v>
      </c>
      <c r="H26" s="30">
        <f t="shared" si="0"/>
        <v>4.9151886E+18</v>
      </c>
      <c r="I26" s="30">
        <f t="shared" si="1"/>
        <v>1.7694678959999999E+22</v>
      </c>
      <c r="J26" s="31">
        <f t="shared" si="2"/>
        <v>1.7694678960000001</v>
      </c>
      <c r="K26" s="31">
        <v>9.1999999999999993</v>
      </c>
      <c r="L26" s="31">
        <v>9.1999999999999993</v>
      </c>
      <c r="M26" s="31">
        <v>9.1999999999999993</v>
      </c>
      <c r="N26" s="26">
        <f t="shared" si="3"/>
        <v>5.1993031468936008</v>
      </c>
      <c r="O26" s="26"/>
    </row>
    <row r="27" spans="1:15" x14ac:dyDescent="0.2">
      <c r="A27" s="10"/>
      <c r="B27" s="27"/>
      <c r="C27" s="28">
        <v>137</v>
      </c>
      <c r="D27" s="29">
        <v>4.2</v>
      </c>
      <c r="E27" s="29" t="s">
        <v>75</v>
      </c>
      <c r="F27" s="29">
        <v>9.9</v>
      </c>
      <c r="G27" s="29">
        <v>7.16</v>
      </c>
      <c r="H27" s="30">
        <f t="shared" si="0"/>
        <v>5.027535768E+18</v>
      </c>
      <c r="I27" s="30">
        <f t="shared" si="1"/>
        <v>1.80991287648E+22</v>
      </c>
      <c r="J27" s="31">
        <f t="shared" si="2"/>
        <v>1.8099128764800001</v>
      </c>
      <c r="K27" s="31">
        <v>1.1599999999999999</v>
      </c>
      <c r="L27" s="30">
        <v>5.1E-10</v>
      </c>
      <c r="M27" s="31">
        <v>0</v>
      </c>
      <c r="N27" s="26">
        <f t="shared" si="3"/>
        <v>0.64091482804190003</v>
      </c>
      <c r="O27" s="26"/>
    </row>
    <row r="28" spans="1:15" x14ac:dyDescent="0.2">
      <c r="A28" s="10"/>
      <c r="B28" s="27"/>
      <c r="C28" s="28">
        <v>138</v>
      </c>
      <c r="D28" s="29">
        <v>17</v>
      </c>
      <c r="E28" s="29" t="s">
        <v>75</v>
      </c>
      <c r="F28" s="29">
        <v>2.4500000000000002</v>
      </c>
      <c r="G28" s="29">
        <v>6.63</v>
      </c>
      <c r="H28" s="30">
        <f t="shared" si="0"/>
        <v>4.655385774E+18</v>
      </c>
      <c r="I28" s="30">
        <f t="shared" si="1"/>
        <v>1.67593887864E+22</v>
      </c>
      <c r="J28" s="31">
        <f t="shared" si="2"/>
        <v>1.67593887864</v>
      </c>
      <c r="K28" s="31">
        <v>1.45</v>
      </c>
      <c r="L28" s="31">
        <v>0.01</v>
      </c>
      <c r="M28" s="31">
        <v>0</v>
      </c>
      <c r="N28" s="26">
        <f t="shared" si="3"/>
        <v>0.86518668340497829</v>
      </c>
      <c r="O28" s="26"/>
    </row>
    <row r="29" spans="1:15" s="37" customFormat="1" x14ac:dyDescent="0.2">
      <c r="A29" s="34"/>
      <c r="B29" s="27"/>
      <c r="C29" s="28" t="s">
        <v>77</v>
      </c>
      <c r="D29" s="27"/>
      <c r="E29" s="27"/>
      <c r="F29" s="27"/>
      <c r="G29" s="27">
        <f>SUM(G18:G28)</f>
        <v>51.809999999999995</v>
      </c>
      <c r="H29" s="38">
        <f>SUM(H18:H28)</f>
        <v>3.6379417338000003E+19</v>
      </c>
      <c r="I29" s="30">
        <f t="shared" si="1"/>
        <v>1.3096590241680001E+23</v>
      </c>
      <c r="J29" s="31">
        <f t="shared" si="2"/>
        <v>13.096590241680001</v>
      </c>
      <c r="K29" s="35">
        <f>SUM(K18:K28)</f>
        <v>41.774999999999999</v>
      </c>
      <c r="L29" s="35">
        <f>SUM(L18:L28)</f>
        <v>38.915000000509998</v>
      </c>
      <c r="M29" s="35">
        <f>SUM(M18:M28)</f>
        <v>36.704999999999998</v>
      </c>
      <c r="N29" s="26">
        <f t="shared" si="3"/>
        <v>3.1897615508386856</v>
      </c>
      <c r="O29" s="36"/>
    </row>
    <row r="30" spans="1:15" x14ac:dyDescent="0.2">
      <c r="M30" s="26"/>
    </row>
  </sheetData>
  <mergeCells count="12">
    <mergeCell ref="F6:F7"/>
    <mergeCell ref="G6:G7"/>
    <mergeCell ref="H6:H7"/>
    <mergeCell ref="I6:I7"/>
    <mergeCell ref="K6:M6"/>
    <mergeCell ref="N6:N7"/>
    <mergeCell ref="A2:A3"/>
    <mergeCell ref="B2:B3"/>
    <mergeCell ref="C2:C3"/>
    <mergeCell ref="B6:C6"/>
    <mergeCell ref="D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T39"/>
  <sheetViews>
    <sheetView workbookViewId="0">
      <selection activeCell="R18" sqref="R18"/>
    </sheetView>
  </sheetViews>
  <sheetFormatPr baseColWidth="10" defaultColWidth="8.83203125" defaultRowHeight="15" x14ac:dyDescent="0.2"/>
  <cols>
    <col min="1" max="7" width="8.83203125" style="12"/>
    <col min="8" max="8" width="10.33203125" style="12" customWidth="1"/>
    <col min="9" max="9" width="10.6640625" style="12" customWidth="1"/>
    <col min="10" max="13" width="8.83203125" style="12"/>
    <col min="14" max="14" width="10.33203125" style="77" customWidth="1"/>
    <col min="15" max="15" width="12.6640625" style="78" bestFit="1" customWidth="1"/>
    <col min="16" max="17" width="8.83203125" style="78"/>
    <col min="18" max="18" width="10.1640625" style="12" bestFit="1" customWidth="1"/>
    <col min="19" max="16384" width="8.83203125" style="12"/>
  </cols>
  <sheetData>
    <row r="2" spans="2:20" ht="14.5" customHeight="1" x14ac:dyDescent="0.2">
      <c r="B2" s="15" t="s">
        <v>50</v>
      </c>
      <c r="C2" s="15"/>
      <c r="D2" s="16" t="s">
        <v>51</v>
      </c>
      <c r="E2" s="16" t="s">
        <v>48</v>
      </c>
      <c r="F2" s="16" t="s">
        <v>52</v>
      </c>
      <c r="G2" s="17" t="s">
        <v>53</v>
      </c>
      <c r="H2" s="17" t="s">
        <v>54</v>
      </c>
      <c r="I2" s="17" t="s">
        <v>55</v>
      </c>
      <c r="J2" s="17" t="s">
        <v>82</v>
      </c>
      <c r="K2" s="17"/>
      <c r="L2" s="17"/>
      <c r="M2" s="17"/>
      <c r="N2" s="39" t="s">
        <v>83</v>
      </c>
      <c r="O2" s="40" t="s">
        <v>84</v>
      </c>
      <c r="P2" s="41" t="s">
        <v>85</v>
      </c>
      <c r="Q2" s="42"/>
      <c r="R2" s="21"/>
    </row>
    <row r="3" spans="2:20" ht="45" x14ac:dyDescent="0.2">
      <c r="B3" s="22" t="s">
        <v>58</v>
      </c>
      <c r="C3" s="22" t="s">
        <v>59</v>
      </c>
      <c r="D3" s="16"/>
      <c r="E3" s="16"/>
      <c r="F3" s="16"/>
      <c r="G3" s="17"/>
      <c r="H3" s="17"/>
      <c r="I3" s="17"/>
      <c r="J3" s="25" t="s">
        <v>86</v>
      </c>
      <c r="K3" s="25" t="s">
        <v>87</v>
      </c>
      <c r="L3" s="25" t="s">
        <v>88</v>
      </c>
      <c r="M3" s="25" t="s">
        <v>89</v>
      </c>
      <c r="N3" s="39"/>
      <c r="O3" s="40"/>
      <c r="P3" s="41"/>
      <c r="Q3" s="42"/>
      <c r="R3" s="26"/>
    </row>
    <row r="4" spans="2:20" ht="16" x14ac:dyDescent="0.2">
      <c r="B4" s="43" t="s">
        <v>64</v>
      </c>
      <c r="C4" s="44">
        <v>3</v>
      </c>
      <c r="D4" s="45">
        <v>12.26</v>
      </c>
      <c r="E4" s="45" t="s">
        <v>65</v>
      </c>
      <c r="F4" s="46">
        <v>6.4500000000000001E-6</v>
      </c>
      <c r="G4" s="45">
        <v>8.0000000000000002E-3</v>
      </c>
      <c r="H4" s="46">
        <f t="shared" ref="H4:H18" si="0">G4*S$6</f>
        <v>5.6173584E+17</v>
      </c>
      <c r="I4" s="46">
        <f>H4*3600</f>
        <v>2.022249024E+21</v>
      </c>
      <c r="J4" s="47">
        <v>0.21</v>
      </c>
      <c r="K4" s="46">
        <v>0.21</v>
      </c>
      <c r="L4" s="46">
        <v>0.21</v>
      </c>
      <c r="M4" s="46"/>
      <c r="N4" s="48" t="e">
        <f>J4/#REF!</f>
        <v>#REF!</v>
      </c>
      <c r="O4" s="49"/>
      <c r="P4" s="49"/>
      <c r="Q4" s="49"/>
      <c r="R4" s="26" t="s">
        <v>20</v>
      </c>
      <c r="S4" s="26">
        <v>2250</v>
      </c>
      <c r="T4" s="12" t="s">
        <v>66</v>
      </c>
    </row>
    <row r="5" spans="2:20" ht="16" x14ac:dyDescent="0.2">
      <c r="B5" s="27" t="s">
        <v>67</v>
      </c>
      <c r="C5" s="28">
        <v>82</v>
      </c>
      <c r="D5" s="29" t="s">
        <v>68</v>
      </c>
      <c r="E5" s="29" t="s">
        <v>69</v>
      </c>
      <c r="F5" s="30">
        <v>1.0000000000000001E-5</v>
      </c>
      <c r="G5" s="29">
        <v>3.0000000000000001E-3</v>
      </c>
      <c r="H5" s="30">
        <f t="shared" si="0"/>
        <v>2.1065094E+17</v>
      </c>
      <c r="I5" s="30">
        <f t="shared" ref="I5:I33" si="1">H5*3600</f>
        <v>7.5834338400000003E+20</v>
      </c>
      <c r="J5" s="30">
        <v>1.24E+18</v>
      </c>
      <c r="K5" s="30">
        <v>2.11E+21</v>
      </c>
      <c r="L5" s="30">
        <v>1.0499999999999999E+22</v>
      </c>
      <c r="M5" s="30">
        <v>2.11E+21</v>
      </c>
      <c r="N5" s="50">
        <f>M5/L5</f>
        <v>0.20095238095238097</v>
      </c>
      <c r="O5" s="51">
        <f>K5-L5</f>
        <v>-8.3899999999999984E+21</v>
      </c>
      <c r="P5" s="51">
        <f>O5/I5</f>
        <v>-11.06358963105294</v>
      </c>
      <c r="Q5" s="51"/>
      <c r="R5" s="26"/>
      <c r="S5" s="32">
        <v>1.4043396E+22</v>
      </c>
      <c r="T5" s="12" t="s">
        <v>70</v>
      </c>
    </row>
    <row r="6" spans="2:20" x14ac:dyDescent="0.2">
      <c r="B6" s="27"/>
      <c r="C6" s="28">
        <v>83</v>
      </c>
      <c r="D6" s="29" t="s">
        <v>71</v>
      </c>
      <c r="E6" s="29" t="s">
        <v>69</v>
      </c>
      <c r="F6" s="30">
        <v>1.0000000000000001E-5</v>
      </c>
      <c r="G6" s="29">
        <v>1.14E-2</v>
      </c>
      <c r="H6" s="30">
        <f t="shared" si="0"/>
        <v>8.00473572E+17</v>
      </c>
      <c r="I6" s="30">
        <f t="shared" si="1"/>
        <v>2.8817048592000001E+21</v>
      </c>
      <c r="J6" s="30">
        <v>2.85E+17</v>
      </c>
      <c r="K6" s="30">
        <v>3E+21</v>
      </c>
      <c r="L6" s="30">
        <v>1.5E+22</v>
      </c>
      <c r="M6" s="30">
        <v>3E+21</v>
      </c>
      <c r="N6" s="50">
        <f t="shared" ref="N6:N18" si="2">M6/L6</f>
        <v>0.2</v>
      </c>
      <c r="O6" s="51">
        <f t="shared" ref="O6:O18" si="3">K6-L6</f>
        <v>-1.2E+22</v>
      </c>
      <c r="P6" s="51">
        <f t="shared" ref="P6:P18" si="4">O6/I6</f>
        <v>-4.1642016050635249</v>
      </c>
      <c r="Q6" s="51"/>
      <c r="R6" s="26" t="s">
        <v>72</v>
      </c>
      <c r="S6" s="32">
        <f>S5/200</f>
        <v>7.021698E+19</v>
      </c>
      <c r="T6" s="12" t="s">
        <v>73</v>
      </c>
    </row>
    <row r="7" spans="2:20" x14ac:dyDescent="0.2">
      <c r="B7" s="27"/>
      <c r="C7" s="28">
        <v>84</v>
      </c>
      <c r="D7" s="29" t="s">
        <v>68</v>
      </c>
      <c r="E7" s="29" t="s">
        <v>69</v>
      </c>
      <c r="F7" s="30">
        <v>1.0000000000000001E-5</v>
      </c>
      <c r="G7" s="29">
        <v>1.0999999999999999E-2</v>
      </c>
      <c r="H7" s="30">
        <f t="shared" si="0"/>
        <v>7.7238678E+17</v>
      </c>
      <c r="I7" s="30">
        <f t="shared" si="1"/>
        <v>2.7805924079999999E+21</v>
      </c>
      <c r="J7" s="30">
        <v>2.81E+17</v>
      </c>
      <c r="K7" s="30">
        <v>2.9E+21</v>
      </c>
      <c r="L7" s="30">
        <v>1.4499999999999999E+22</v>
      </c>
      <c r="M7" s="30">
        <v>2.9E+21</v>
      </c>
      <c r="N7" s="50">
        <f t="shared" si="2"/>
        <v>0.2</v>
      </c>
      <c r="O7" s="51">
        <f t="shared" si="3"/>
        <v>-1.16E+22</v>
      </c>
      <c r="P7" s="51">
        <f t="shared" si="4"/>
        <v>-4.1717728807090957</v>
      </c>
      <c r="Q7" s="51"/>
      <c r="R7" s="21"/>
    </row>
    <row r="8" spans="2:20" x14ac:dyDescent="0.2">
      <c r="B8" s="27"/>
      <c r="C8" s="28">
        <v>85</v>
      </c>
      <c r="D8" s="29">
        <v>10.76</v>
      </c>
      <c r="E8" s="29" t="s">
        <v>65</v>
      </c>
      <c r="F8" s="30">
        <v>7.3499999999999999E-6</v>
      </c>
      <c r="G8" s="29">
        <v>2.4899999999999999E-2</v>
      </c>
      <c r="H8" s="30">
        <f t="shared" si="0"/>
        <v>1.748402802E+18</v>
      </c>
      <c r="I8" s="30">
        <f t="shared" si="1"/>
        <v>6.2942500871999995E+21</v>
      </c>
      <c r="J8" s="30">
        <v>1.67E+17</v>
      </c>
      <c r="K8" s="30">
        <v>6.56E+21</v>
      </c>
      <c r="L8" s="52">
        <v>3.28E+22</v>
      </c>
      <c r="M8" s="52">
        <v>6.56E+21</v>
      </c>
      <c r="N8" s="50">
        <f t="shared" si="2"/>
        <v>0.2</v>
      </c>
      <c r="O8" s="51">
        <f t="shared" si="3"/>
        <v>-2.624E+22</v>
      </c>
      <c r="P8" s="51">
        <f t="shared" si="4"/>
        <v>-4.1688842414065688</v>
      </c>
      <c r="Q8" s="51"/>
      <c r="R8" s="26" t="s">
        <v>74</v>
      </c>
      <c r="S8" s="32">
        <v>1E-22</v>
      </c>
    </row>
    <row r="9" spans="2:20" x14ac:dyDescent="0.2">
      <c r="B9" s="27"/>
      <c r="C9" s="28">
        <v>86</v>
      </c>
      <c r="D9" s="29" t="s">
        <v>68</v>
      </c>
      <c r="E9" s="29" t="s">
        <v>69</v>
      </c>
      <c r="F9" s="30">
        <v>1.0000000000000001E-5</v>
      </c>
      <c r="G9" s="29">
        <v>3.2800000000000003E-2</v>
      </c>
      <c r="H9" s="30">
        <f t="shared" si="0"/>
        <v>2.3031169440000003E+18</v>
      </c>
      <c r="I9" s="30">
        <f t="shared" si="1"/>
        <v>8.2912209984000014E+21</v>
      </c>
      <c r="J9" s="30">
        <v>8.27E+17</v>
      </c>
      <c r="K9" s="30">
        <v>8.64E+21</v>
      </c>
      <c r="L9" s="30">
        <v>4.32E+22</v>
      </c>
      <c r="M9" s="30">
        <v>8.64E+21</v>
      </c>
      <c r="N9" s="50">
        <f t="shared" si="2"/>
        <v>0.2</v>
      </c>
      <c r="O9" s="51">
        <f t="shared" si="3"/>
        <v>-3.456E+22</v>
      </c>
      <c r="P9" s="51">
        <f t="shared" si="4"/>
        <v>-4.1682642407757813</v>
      </c>
      <c r="Q9" s="51"/>
      <c r="R9" s="26"/>
    </row>
    <row r="10" spans="2:20" x14ac:dyDescent="0.2">
      <c r="B10" s="27"/>
      <c r="C10" s="28">
        <v>87</v>
      </c>
      <c r="D10" s="29">
        <v>76</v>
      </c>
      <c r="E10" s="29" t="s">
        <v>75</v>
      </c>
      <c r="F10" s="29">
        <v>0.54700000000000004</v>
      </c>
      <c r="G10" s="29">
        <v>4.4999999999999998E-2</v>
      </c>
      <c r="H10" s="30">
        <f t="shared" si="0"/>
        <v>3.1597641E+18</v>
      </c>
      <c r="I10" s="30">
        <f t="shared" si="1"/>
        <v>1.1375150760000001E+22</v>
      </c>
      <c r="J10" s="30">
        <v>7.15E+19</v>
      </c>
      <c r="K10" s="30">
        <v>1.1E+22</v>
      </c>
      <c r="L10" s="30">
        <v>1.1100000000000001E+22</v>
      </c>
      <c r="M10" s="30">
        <v>8.35E+19</v>
      </c>
      <c r="N10" s="50">
        <f t="shared" si="2"/>
        <v>7.522522522522522E-3</v>
      </c>
      <c r="O10" s="51">
        <f t="shared" si="3"/>
        <v>-1.0000000000000105E+20</v>
      </c>
      <c r="P10" s="51">
        <f t="shared" si="4"/>
        <v>-8.7910922773564229E-3</v>
      </c>
      <c r="Q10" s="51"/>
      <c r="R10" s="26"/>
    </row>
    <row r="11" spans="2:20" x14ac:dyDescent="0.2">
      <c r="B11" s="27"/>
      <c r="C11" s="28">
        <v>88</v>
      </c>
      <c r="D11" s="29">
        <v>2.8</v>
      </c>
      <c r="E11" s="29" t="s">
        <v>76</v>
      </c>
      <c r="F11" s="29">
        <v>0.247</v>
      </c>
      <c r="G11" s="29">
        <v>5.7000000000000002E-2</v>
      </c>
      <c r="H11" s="30">
        <f t="shared" si="0"/>
        <v>4.00236786E+18</v>
      </c>
      <c r="I11" s="30">
        <f t="shared" si="1"/>
        <v>1.4408524295999999E+22</v>
      </c>
      <c r="J11" s="30">
        <v>8.81E+20</v>
      </c>
      <c r="K11" s="30">
        <v>1.4E+22</v>
      </c>
      <c r="L11" s="30">
        <v>1.7E+22</v>
      </c>
      <c r="M11" s="30">
        <v>7.72E+20</v>
      </c>
      <c r="N11" s="50">
        <f t="shared" si="2"/>
        <v>4.5411764705882353E-2</v>
      </c>
      <c r="O11" s="51">
        <f t="shared" si="3"/>
        <v>-3E+21</v>
      </c>
      <c r="P11" s="51">
        <f t="shared" si="4"/>
        <v>-0.20821008025317628</v>
      </c>
      <c r="Q11" s="51"/>
      <c r="R11" s="26"/>
    </row>
    <row r="12" spans="2:20" x14ac:dyDescent="0.2">
      <c r="B12" s="27"/>
      <c r="C12" s="28">
        <v>89</v>
      </c>
      <c r="D12" s="29"/>
      <c r="E12" s="29"/>
      <c r="F12" s="29">
        <v>13</v>
      </c>
      <c r="G12" s="29">
        <v>6.2300000000000001E-2</v>
      </c>
      <c r="H12" s="30">
        <f t="shared" si="0"/>
        <v>4.374517854E+18</v>
      </c>
      <c r="I12" s="30">
        <f t="shared" si="1"/>
        <v>1.5748264274399999E+22</v>
      </c>
      <c r="J12" s="30">
        <v>9.49E+20</v>
      </c>
      <c r="K12" s="30">
        <v>1.14E+22</v>
      </c>
      <c r="L12" s="30">
        <v>8.16E+21</v>
      </c>
      <c r="M12" s="53">
        <v>0</v>
      </c>
      <c r="N12" s="54">
        <f t="shared" si="2"/>
        <v>0</v>
      </c>
      <c r="O12" s="55">
        <f>K12-L12</f>
        <v>3.24E+21</v>
      </c>
      <c r="P12" s="56">
        <f t="shared" si="4"/>
        <v>0.20573695891469554</v>
      </c>
      <c r="Q12" s="51"/>
      <c r="R12" s="26"/>
    </row>
    <row r="13" spans="2:20" x14ac:dyDescent="0.2">
      <c r="B13" s="27"/>
      <c r="C13" s="28">
        <v>90</v>
      </c>
      <c r="D13" s="29"/>
      <c r="E13" s="29"/>
      <c r="F13" s="29">
        <v>75.599999999999994</v>
      </c>
      <c r="G13" s="29">
        <v>5.5500000000000001E-2</v>
      </c>
      <c r="H13" s="30">
        <f t="shared" si="0"/>
        <v>3.89704239E+18</v>
      </c>
      <c r="I13" s="30">
        <f t="shared" si="1"/>
        <v>1.4029352604000001E+22</v>
      </c>
      <c r="J13" s="30">
        <v>5.66E+20</v>
      </c>
      <c r="K13" s="30">
        <v>4.74E+21</v>
      </c>
      <c r="L13" s="30">
        <v>1.43E+21</v>
      </c>
      <c r="M13" s="53">
        <v>0</v>
      </c>
      <c r="N13" s="54">
        <f t="shared" si="2"/>
        <v>0</v>
      </c>
      <c r="O13" s="55">
        <f t="shared" si="3"/>
        <v>3.31E+21</v>
      </c>
      <c r="P13" s="56">
        <f t="shared" si="4"/>
        <v>0.23593390895715774</v>
      </c>
      <c r="Q13" s="51"/>
      <c r="R13" s="26"/>
    </row>
    <row r="14" spans="2:20" x14ac:dyDescent="0.2">
      <c r="B14" s="27"/>
      <c r="C14" s="28">
        <v>91</v>
      </c>
      <c r="D14" s="29"/>
      <c r="E14" s="29"/>
      <c r="F14" s="29">
        <v>249</v>
      </c>
      <c r="G14" s="29">
        <v>4.1000000000000002E-2</v>
      </c>
      <c r="H14" s="30">
        <f t="shared" si="0"/>
        <v>2.87889618E+18</v>
      </c>
      <c r="I14" s="30">
        <f t="shared" si="1"/>
        <v>1.0364026248E+22</v>
      </c>
      <c r="J14" s="30">
        <v>2.28E+20</v>
      </c>
      <c r="K14" s="30">
        <v>1.44E+21</v>
      </c>
      <c r="L14" s="30">
        <v>1.67E+20</v>
      </c>
      <c r="M14" s="53">
        <v>0</v>
      </c>
      <c r="N14" s="54">
        <f t="shared" si="2"/>
        <v>0</v>
      </c>
      <c r="O14" s="55">
        <f t="shared" si="3"/>
        <v>1.273E+21</v>
      </c>
      <c r="P14" s="56">
        <f t="shared" si="4"/>
        <v>0.12282871246545303</v>
      </c>
      <c r="Q14" s="51"/>
      <c r="R14" s="26"/>
    </row>
    <row r="15" spans="2:20" x14ac:dyDescent="0.2">
      <c r="B15" s="27"/>
      <c r="C15" s="28">
        <v>92</v>
      </c>
      <c r="D15" s="29"/>
      <c r="E15" s="29"/>
      <c r="F15" s="29">
        <v>832</v>
      </c>
      <c r="G15" s="29">
        <v>2.9600000000000001E-2</v>
      </c>
      <c r="H15" s="30">
        <f t="shared" si="0"/>
        <v>2.078422608E+18</v>
      </c>
      <c r="I15" s="30">
        <f t="shared" si="1"/>
        <v>7.4823213887999999E+21</v>
      </c>
      <c r="J15" s="30">
        <v>6.96E+19</v>
      </c>
      <c r="K15" s="30">
        <v>3.53E+20</v>
      </c>
      <c r="L15" s="30">
        <v>1.33E+19</v>
      </c>
      <c r="M15" s="53">
        <v>0</v>
      </c>
      <c r="N15" s="54">
        <f t="shared" si="2"/>
        <v>0</v>
      </c>
      <c r="O15" s="55">
        <f t="shared" si="3"/>
        <v>3.397E+20</v>
      </c>
      <c r="P15" s="56">
        <f t="shared" si="4"/>
        <v>4.5400348681691745E-2</v>
      </c>
      <c r="Q15" s="51"/>
      <c r="R15" s="26"/>
    </row>
    <row r="16" spans="2:20" x14ac:dyDescent="0.2">
      <c r="B16" s="27"/>
      <c r="C16" s="28">
        <v>93</v>
      </c>
      <c r="D16" s="29"/>
      <c r="E16" s="29"/>
      <c r="F16" s="29">
        <v>1230</v>
      </c>
      <c r="G16" s="29">
        <v>1.4200000000000001E-2</v>
      </c>
      <c r="H16" s="30">
        <f t="shared" si="0"/>
        <v>9.97081116E+17</v>
      </c>
      <c r="I16" s="30">
        <f t="shared" si="1"/>
        <v>3.5894920175999999E+21</v>
      </c>
      <c r="J16" s="30">
        <v>2.43E+19</v>
      </c>
      <c r="K16" s="30">
        <v>1.17E+20</v>
      </c>
      <c r="L16" s="30">
        <v>3.02E+18</v>
      </c>
      <c r="M16" s="53">
        <v>0</v>
      </c>
      <c r="N16" s="54">
        <f t="shared" si="2"/>
        <v>0</v>
      </c>
      <c r="O16" s="55">
        <f t="shared" si="3"/>
        <v>1.1398E+20</v>
      </c>
      <c r="P16" s="56">
        <f t="shared" si="4"/>
        <v>3.1753796760414336E-2</v>
      </c>
      <c r="Q16" s="51"/>
      <c r="R16" s="26"/>
    </row>
    <row r="17" spans="2:20" x14ac:dyDescent="0.2">
      <c r="B17" s="27"/>
      <c r="C17" s="28">
        <v>94</v>
      </c>
      <c r="D17" s="29"/>
      <c r="E17" s="29"/>
      <c r="F17" s="29">
        <v>2496</v>
      </c>
      <c r="G17" s="29">
        <v>6.1999999999999998E-3</v>
      </c>
      <c r="H17" s="30">
        <f t="shared" si="0"/>
        <v>4.35345276E+17</v>
      </c>
      <c r="I17" s="30">
        <f t="shared" si="1"/>
        <v>1.5672429935999999E+21</v>
      </c>
      <c r="J17" s="30">
        <v>5.82E+18</v>
      </c>
      <c r="K17" s="30">
        <v>2.57E+19</v>
      </c>
      <c r="L17" s="30">
        <v>3.32E+17</v>
      </c>
      <c r="M17" s="53">
        <v>0</v>
      </c>
      <c r="N17" s="54">
        <f t="shared" si="2"/>
        <v>0</v>
      </c>
      <c r="O17" s="55">
        <f t="shared" si="3"/>
        <v>2.5368E+19</v>
      </c>
      <c r="P17" s="56">
        <f t="shared" si="4"/>
        <v>1.6186385967965958E-2</v>
      </c>
      <c r="Q17" s="51"/>
      <c r="R17" s="57"/>
    </row>
    <row r="18" spans="2:20" x14ac:dyDescent="0.2">
      <c r="B18" s="27"/>
      <c r="C18" s="28">
        <v>95</v>
      </c>
      <c r="D18" s="29">
        <v>3.18</v>
      </c>
      <c r="E18" s="29" t="s">
        <v>75</v>
      </c>
      <c r="F18" s="29">
        <v>2490</v>
      </c>
      <c r="G18" s="29">
        <v>1.9E-3</v>
      </c>
      <c r="H18" s="30">
        <f t="shared" si="0"/>
        <v>1.33412262E+17</v>
      </c>
      <c r="I18" s="30">
        <f t="shared" si="1"/>
        <v>4.8028414320000002E+20</v>
      </c>
      <c r="J18" s="30">
        <v>1.78E+18</v>
      </c>
      <c r="K18" s="30">
        <v>7.87E+18</v>
      </c>
      <c r="L18" s="30">
        <v>1.02E+17</v>
      </c>
      <c r="M18" s="53">
        <v>0</v>
      </c>
      <c r="N18" s="54">
        <f t="shared" si="2"/>
        <v>0</v>
      </c>
      <c r="O18" s="55">
        <f t="shared" si="3"/>
        <v>7.768E+18</v>
      </c>
      <c r="P18" s="56">
        <f t="shared" si="4"/>
        <v>1.6173759034066731E-2</v>
      </c>
      <c r="Q18" s="51"/>
      <c r="R18" s="58"/>
    </row>
    <row r="19" spans="2:20" s="37" customFormat="1" ht="16" x14ac:dyDescent="0.2">
      <c r="B19" s="27" t="s">
        <v>90</v>
      </c>
      <c r="C19" s="27"/>
      <c r="D19" s="27"/>
      <c r="E19" s="27"/>
      <c r="F19" s="38">
        <f>AVERAGE(F5:F18)</f>
        <v>527.59957481071422</v>
      </c>
      <c r="G19" s="38">
        <f>AVERAGE(G5:G18)</f>
        <v>2.8271428571428569E-2</v>
      </c>
      <c r="H19" s="38">
        <f t="shared" ref="H19:M19" si="5">AVERAGE(H5:H18)</f>
        <v>1.9851343345714294E+18</v>
      </c>
      <c r="I19" s="38">
        <f t="shared" si="5"/>
        <v>7.1464836044571416E+21</v>
      </c>
      <c r="J19" s="38">
        <f t="shared" si="5"/>
        <v>1.9998571428571431E+20</v>
      </c>
      <c r="K19" s="38">
        <f t="shared" si="5"/>
        <v>4.7352549999999996E+21</v>
      </c>
      <c r="L19" s="38">
        <f t="shared" si="5"/>
        <v>1.0990982428571428E+22</v>
      </c>
      <c r="M19" s="38">
        <f t="shared" si="5"/>
        <v>1.7189642857142857E+21</v>
      </c>
      <c r="N19" s="59">
        <f>AVERAGE(N5:N11)</f>
        <v>0.1505552383115408</v>
      </c>
      <c r="O19" s="38">
        <f>AVERAGE(O12:O18)</f>
        <v>1.1871165714285716E+21</v>
      </c>
      <c r="P19" s="59">
        <f>AVERAGE(P12:P18)</f>
        <v>9.6287695825920713E-2</v>
      </c>
      <c r="Q19" s="60"/>
      <c r="R19" s="61"/>
    </row>
    <row r="20" spans="2:20" x14ac:dyDescent="0.2">
      <c r="B20" s="62"/>
      <c r="C20" s="62"/>
      <c r="D20" s="62"/>
      <c r="E20" s="62"/>
      <c r="F20" s="62"/>
      <c r="G20" s="62"/>
      <c r="H20" s="63"/>
      <c r="I20" s="63"/>
      <c r="J20" s="64"/>
      <c r="K20" s="64"/>
      <c r="L20" s="64"/>
      <c r="M20" s="64"/>
      <c r="N20" s="65"/>
      <c r="O20" s="66"/>
      <c r="P20" s="66"/>
      <c r="Q20" s="66"/>
      <c r="R20" s="36"/>
      <c r="S20" s="37"/>
      <c r="T20" s="37"/>
    </row>
    <row r="21" spans="2:20" ht="16" x14ac:dyDescent="0.2">
      <c r="B21" s="27" t="s">
        <v>78</v>
      </c>
      <c r="C21" s="27">
        <v>126</v>
      </c>
      <c r="D21" s="27"/>
      <c r="E21" s="27"/>
      <c r="F21" s="30">
        <v>1.0000000000000001E-5</v>
      </c>
      <c r="G21" s="67">
        <v>2E-3</v>
      </c>
      <c r="H21" s="30">
        <f t="shared" ref="H21:H38" si="6">G21*S$6</f>
        <v>1.4043396E+17</v>
      </c>
      <c r="I21" s="30">
        <f>H21*3600</f>
        <v>5.05562256E+20</v>
      </c>
      <c r="J21" s="30">
        <v>1.3E+17</v>
      </c>
      <c r="K21" s="30">
        <v>5.27E+20</v>
      </c>
      <c r="L21" s="30">
        <v>2.6300000000000001E+22</v>
      </c>
      <c r="M21" s="30">
        <v>5.26E+20</v>
      </c>
      <c r="N21" s="50">
        <f>M21/L21</f>
        <v>0.02</v>
      </c>
      <c r="O21" s="51">
        <f>K21-L21</f>
        <v>-2.5773000000000003E+22</v>
      </c>
      <c r="P21" s="51">
        <f>O21/I21</f>
        <v>-50.978884784468569</v>
      </c>
      <c r="Q21" s="51"/>
      <c r="R21" s="36"/>
      <c r="S21" s="37"/>
      <c r="T21" s="37"/>
    </row>
    <row r="22" spans="2:20" x14ac:dyDescent="0.2">
      <c r="B22" s="27"/>
      <c r="C22" s="28">
        <v>128</v>
      </c>
      <c r="D22" s="29" t="s">
        <v>68</v>
      </c>
      <c r="E22" s="29" t="s">
        <v>69</v>
      </c>
      <c r="F22" s="30">
        <v>1.0000000000000001E-5</v>
      </c>
      <c r="G22" s="29">
        <v>2.0000000000000001E-4</v>
      </c>
      <c r="H22" s="30">
        <f t="shared" si="6"/>
        <v>1.4043396E+16</v>
      </c>
      <c r="I22" s="30">
        <f>H22*3600</f>
        <v>5.05562256E+19</v>
      </c>
      <c r="J22" s="30">
        <v>1.36E+16</v>
      </c>
      <c r="K22" s="30">
        <v>5E+19</v>
      </c>
      <c r="L22" s="30">
        <v>2.5E+20</v>
      </c>
      <c r="M22" s="30">
        <v>4.99E+19</v>
      </c>
      <c r="N22" s="50">
        <f t="shared" ref="N22:N37" si="7">M22/L22</f>
        <v>0.1996</v>
      </c>
      <c r="O22" s="51">
        <f t="shared" ref="O22:O38" si="8">K22-L22</f>
        <v>-2E+20</v>
      </c>
      <c r="P22" s="51">
        <f t="shared" ref="P22:P38" si="9">O22/I22</f>
        <v>-3.955991524810349</v>
      </c>
      <c r="Q22" s="51"/>
      <c r="R22" s="26"/>
    </row>
    <row r="23" spans="2:20" x14ac:dyDescent="0.2">
      <c r="B23" s="27"/>
      <c r="C23" s="28">
        <v>129</v>
      </c>
      <c r="D23" s="29" t="s">
        <v>68</v>
      </c>
      <c r="E23" s="29" t="s">
        <v>69</v>
      </c>
      <c r="F23" s="30">
        <v>1.0000000000000001E-5</v>
      </c>
      <c r="G23" s="29">
        <v>2.1000000000000001E-2</v>
      </c>
      <c r="H23" s="30">
        <f t="shared" si="6"/>
        <v>1.47455658E+18</v>
      </c>
      <c r="I23" s="30">
        <f t="shared" si="1"/>
        <v>5.3084036879999996E+21</v>
      </c>
      <c r="J23" s="30">
        <v>1.16E+18</v>
      </c>
      <c r="K23" s="30">
        <v>5.5299999999999995E+21</v>
      </c>
      <c r="L23" s="30">
        <v>2.76E+22</v>
      </c>
      <c r="M23" s="30">
        <v>5.52E+21</v>
      </c>
      <c r="N23" s="50">
        <f t="shared" si="7"/>
        <v>0.2</v>
      </c>
      <c r="O23" s="51">
        <f>K23-L23</f>
        <v>-2.2069999999999998E+22</v>
      </c>
      <c r="P23" s="51">
        <f t="shared" si="9"/>
        <v>-4.1575587120268764</v>
      </c>
      <c r="Q23" s="51"/>
      <c r="R23" s="26"/>
    </row>
    <row r="24" spans="2:20" x14ac:dyDescent="0.2">
      <c r="B24" s="27"/>
      <c r="C24" s="28">
        <v>130</v>
      </c>
      <c r="D24" s="29" t="s">
        <v>79</v>
      </c>
      <c r="E24" s="29" t="s">
        <v>69</v>
      </c>
      <c r="F24" s="30">
        <v>1.0000000000000001E-5</v>
      </c>
      <c r="G24" s="29">
        <v>1E-3</v>
      </c>
      <c r="H24" s="30">
        <f t="shared" si="6"/>
        <v>7.021698E+16</v>
      </c>
      <c r="I24" s="30">
        <f t="shared" si="1"/>
        <v>2.52781128E+20</v>
      </c>
      <c r="J24" s="30">
        <v>7.38E+20</v>
      </c>
      <c r="K24" s="30">
        <v>2.71E+20</v>
      </c>
      <c r="L24" s="30">
        <v>1.35E+21</v>
      </c>
      <c r="M24" s="30">
        <v>2.71E+20</v>
      </c>
      <c r="N24" s="50">
        <f t="shared" si="7"/>
        <v>0.20074074074074075</v>
      </c>
      <c r="O24" s="51">
        <f t="shared" si="8"/>
        <v>-1.079E+21</v>
      </c>
      <c r="P24" s="51">
        <f t="shared" si="9"/>
        <v>-4.2685148552703662</v>
      </c>
      <c r="Q24" s="51"/>
      <c r="R24" s="26"/>
    </row>
    <row r="25" spans="2:20" x14ac:dyDescent="0.2">
      <c r="B25" s="27"/>
      <c r="C25" s="28">
        <v>131</v>
      </c>
      <c r="D25" s="29" t="s">
        <v>68</v>
      </c>
      <c r="E25" s="29" t="s">
        <v>69</v>
      </c>
      <c r="F25" s="30">
        <v>1.0000000000000001E-5</v>
      </c>
      <c r="G25" s="29">
        <v>3.85E-2</v>
      </c>
      <c r="H25" s="30">
        <f t="shared" si="6"/>
        <v>2.70335373E+18</v>
      </c>
      <c r="I25" s="30">
        <f t="shared" si="1"/>
        <v>9.7320734279999999E+21</v>
      </c>
      <c r="J25" s="30">
        <v>3.16E+19</v>
      </c>
      <c r="K25" s="30">
        <v>1.0099999999999999E+22</v>
      </c>
      <c r="L25" s="30">
        <v>5.0499999999999999E+22</v>
      </c>
      <c r="M25" s="30">
        <v>1.0099999999999999E+22</v>
      </c>
      <c r="N25" s="50">
        <f t="shared" si="7"/>
        <v>0.19999999999999998</v>
      </c>
      <c r="O25" s="51">
        <f t="shared" si="8"/>
        <v>-4.0399999999999996E+22</v>
      </c>
      <c r="P25" s="51">
        <f t="shared" si="9"/>
        <v>-4.1512222753854049</v>
      </c>
      <c r="Q25" s="51"/>
      <c r="R25" s="26"/>
    </row>
    <row r="26" spans="2:20" x14ac:dyDescent="0.2">
      <c r="B26" s="27"/>
      <c r="C26" s="28">
        <v>132</v>
      </c>
      <c r="D26" s="29" t="s">
        <v>68</v>
      </c>
      <c r="E26" s="29" t="s">
        <v>69</v>
      </c>
      <c r="F26" s="30">
        <v>1.0000000000000001E-5</v>
      </c>
      <c r="G26" s="29">
        <v>5.4800000000000001E-2</v>
      </c>
      <c r="H26" s="30">
        <f t="shared" si="6"/>
        <v>3.847890504E+18</v>
      </c>
      <c r="I26" s="30">
        <f t="shared" si="1"/>
        <v>1.3852405814399999E+22</v>
      </c>
      <c r="J26" s="30">
        <v>3.1E+18</v>
      </c>
      <c r="K26" s="30">
        <v>1.44E+22</v>
      </c>
      <c r="L26" s="30">
        <v>7.2E+22</v>
      </c>
      <c r="M26" s="30">
        <v>1.44E+22</v>
      </c>
      <c r="N26" s="50">
        <f t="shared" si="7"/>
        <v>0.2</v>
      </c>
      <c r="O26" s="51">
        <f t="shared" si="8"/>
        <v>-5.76E+22</v>
      </c>
      <c r="P26" s="51">
        <f t="shared" si="9"/>
        <v>-4.1581224786327757</v>
      </c>
      <c r="Q26" s="51"/>
      <c r="R26" s="26"/>
    </row>
    <row r="27" spans="2:20" x14ac:dyDescent="0.2">
      <c r="B27" s="27"/>
      <c r="C27" s="28">
        <v>133</v>
      </c>
      <c r="D27" s="29">
        <v>5.27</v>
      </c>
      <c r="E27" s="29" t="s">
        <v>80</v>
      </c>
      <c r="F27" s="30">
        <v>5.4799999999999996E-3</v>
      </c>
      <c r="G27" s="29">
        <v>6.4799999999999996E-2</v>
      </c>
      <c r="H27" s="30">
        <f t="shared" si="6"/>
        <v>4.550060304E+18</v>
      </c>
      <c r="I27" s="30">
        <f t="shared" si="1"/>
        <v>1.6380217094399999E+22</v>
      </c>
      <c r="J27" s="30">
        <v>8.68E+20</v>
      </c>
      <c r="K27" s="30">
        <v>1.62E+22</v>
      </c>
      <c r="L27" s="30">
        <v>4.2100000000000003E+22</v>
      </c>
      <c r="M27" s="30">
        <v>6.4700000000000005E+21</v>
      </c>
      <c r="N27" s="50">
        <f t="shared" si="7"/>
        <v>0.15368171021377672</v>
      </c>
      <c r="O27" s="51">
        <f t="shared" si="8"/>
        <v>-2.5900000000000005E+22</v>
      </c>
      <c r="P27" s="51">
        <f t="shared" si="9"/>
        <v>-1.5811756248856184</v>
      </c>
      <c r="Q27" s="51"/>
      <c r="R27" s="26"/>
    </row>
    <row r="28" spans="2:20" x14ac:dyDescent="0.2">
      <c r="B28" s="27"/>
      <c r="C28" s="28">
        <v>134</v>
      </c>
      <c r="D28" s="29" t="s">
        <v>68</v>
      </c>
      <c r="E28" s="29" t="s">
        <v>69</v>
      </c>
      <c r="F28" s="30">
        <v>1.0000000000000001E-5</v>
      </c>
      <c r="G28" s="29">
        <v>6.83E-2</v>
      </c>
      <c r="H28" s="30">
        <f t="shared" si="6"/>
        <v>4.795819734E+18</v>
      </c>
      <c r="I28" s="30">
        <f t="shared" si="1"/>
        <v>1.7264951042400001E+22</v>
      </c>
      <c r="J28" s="30">
        <v>3.87E+18</v>
      </c>
      <c r="K28" s="30">
        <v>1.8E+22</v>
      </c>
      <c r="L28" s="30">
        <v>8.9799999999999998E+22</v>
      </c>
      <c r="M28" s="30">
        <v>1.7900000000000001E+22</v>
      </c>
      <c r="N28" s="50">
        <f t="shared" si="7"/>
        <v>0.19933184855233854</v>
      </c>
      <c r="O28" s="51">
        <f t="shared" si="8"/>
        <v>-7.1800000000000002E+22</v>
      </c>
      <c r="P28" s="51">
        <f t="shared" si="9"/>
        <v>-4.1587143701520217</v>
      </c>
      <c r="Q28" s="51"/>
      <c r="R28" s="26"/>
    </row>
    <row r="29" spans="2:20" x14ac:dyDescent="0.2">
      <c r="B29" s="27"/>
      <c r="C29" s="28">
        <v>135</v>
      </c>
      <c r="D29" s="29">
        <v>9.14</v>
      </c>
      <c r="E29" s="29" t="s">
        <v>81</v>
      </c>
      <c r="F29" s="29">
        <v>7.5300000000000006E-2</v>
      </c>
      <c r="G29" s="29">
        <v>6.1600000000000002E-2</v>
      </c>
      <c r="H29" s="30">
        <f t="shared" si="6"/>
        <v>4.325365968E+18</v>
      </c>
      <c r="I29" s="30">
        <f t="shared" si="1"/>
        <v>1.55713174848E+22</v>
      </c>
      <c r="J29" s="30">
        <v>1.93E+21</v>
      </c>
      <c r="K29" s="30">
        <v>1.4099999999999999E+22</v>
      </c>
      <c r="L29" s="30">
        <v>1.4300000000000001E+22</v>
      </c>
      <c r="M29" s="30">
        <v>7.68E+19</v>
      </c>
      <c r="N29" s="50">
        <f>M29/L29</f>
        <v>5.3706293706293701E-3</v>
      </c>
      <c r="O29" s="51">
        <f t="shared" si="8"/>
        <v>-2.000000000000021E+20</v>
      </c>
      <c r="P29" s="51">
        <f t="shared" si="9"/>
        <v>-1.2844128327306463E-2</v>
      </c>
      <c r="Q29" s="51"/>
      <c r="R29" s="26"/>
    </row>
    <row r="30" spans="2:20" x14ac:dyDescent="0.2">
      <c r="B30" s="27"/>
      <c r="C30" s="28">
        <v>136</v>
      </c>
      <c r="D30" s="29" t="s">
        <v>68</v>
      </c>
      <c r="E30" s="29" t="s">
        <v>69</v>
      </c>
      <c r="F30" s="30">
        <v>1.0000000000000001E-5</v>
      </c>
      <c r="G30" s="29">
        <v>7.0000000000000007E-2</v>
      </c>
      <c r="H30" s="30">
        <f t="shared" si="6"/>
        <v>4.9151886E+18</v>
      </c>
      <c r="I30" s="30">
        <f t="shared" si="1"/>
        <v>1.7694678959999999E+22</v>
      </c>
      <c r="J30" s="30">
        <v>3.94E+18</v>
      </c>
      <c r="K30" s="30">
        <v>1.84E+22</v>
      </c>
      <c r="L30" s="30">
        <v>9.2000000000000008E+22</v>
      </c>
      <c r="M30" s="30">
        <v>1.84E+22</v>
      </c>
      <c r="N30" s="50">
        <f t="shared" si="7"/>
        <v>0.19999999999999998</v>
      </c>
      <c r="O30" s="51">
        <f t="shared" si="8"/>
        <v>-7.3600000000000008E+22</v>
      </c>
      <c r="P30" s="51">
        <f t="shared" si="9"/>
        <v>-4.1594425175148819</v>
      </c>
      <c r="Q30" s="51"/>
      <c r="R30" s="26"/>
    </row>
    <row r="31" spans="2:20" x14ac:dyDescent="0.2">
      <c r="B31" s="27"/>
      <c r="C31" s="28">
        <v>137</v>
      </c>
      <c r="D31" s="29">
        <v>4.2</v>
      </c>
      <c r="E31" s="29" t="s">
        <v>75</v>
      </c>
      <c r="F31" s="29">
        <v>9.9</v>
      </c>
      <c r="G31" s="29">
        <v>7.1599999999999997E-2</v>
      </c>
      <c r="H31" s="30">
        <f t="shared" si="6"/>
        <v>5.027535768E+18</v>
      </c>
      <c r="I31" s="30">
        <f t="shared" si="1"/>
        <v>1.80991287648E+22</v>
      </c>
      <c r="J31" s="30">
        <v>2.04E+21</v>
      </c>
      <c r="K31" s="30">
        <v>1.34E+22</v>
      </c>
      <c r="L31" s="30">
        <v>1.0300000000000001E+22</v>
      </c>
      <c r="M31" s="53">
        <v>0</v>
      </c>
      <c r="N31" s="54">
        <f t="shared" si="7"/>
        <v>0</v>
      </c>
      <c r="O31" s="55">
        <f t="shared" si="8"/>
        <v>3.099999999999999E+21</v>
      </c>
      <c r="P31" s="55">
        <f t="shared" si="9"/>
        <v>0.1712789626663698</v>
      </c>
      <c r="Q31" s="51"/>
      <c r="R31" s="26"/>
    </row>
    <row r="32" spans="2:20" x14ac:dyDescent="0.2">
      <c r="B32" s="27"/>
      <c r="C32" s="28">
        <v>138</v>
      </c>
      <c r="D32" s="29">
        <v>17</v>
      </c>
      <c r="E32" s="29" t="s">
        <v>75</v>
      </c>
      <c r="F32" s="29">
        <v>2.4460000000000002</v>
      </c>
      <c r="G32" s="29">
        <v>6.6299999999999998E-2</v>
      </c>
      <c r="H32" s="30">
        <f t="shared" si="6"/>
        <v>4.655385774E+18</v>
      </c>
      <c r="I32" s="30">
        <f t="shared" si="1"/>
        <v>1.67593887864E+22</v>
      </c>
      <c r="J32" s="30">
        <v>2.02E+21</v>
      </c>
      <c r="K32" s="30">
        <v>1.4499999999999999E+22</v>
      </c>
      <c r="L32" s="30">
        <v>1.3500000000000001E+22</v>
      </c>
      <c r="M32" s="53">
        <v>0</v>
      </c>
      <c r="N32" s="54">
        <f t="shared" si="7"/>
        <v>0</v>
      </c>
      <c r="O32" s="55">
        <f t="shared" si="8"/>
        <v>9.999999999999979E+20</v>
      </c>
      <c r="P32" s="55">
        <f t="shared" si="9"/>
        <v>5.9668047131377688E-2</v>
      </c>
      <c r="Q32" s="51"/>
      <c r="R32" s="26"/>
    </row>
    <row r="33" spans="2:20" x14ac:dyDescent="0.2">
      <c r="B33" s="27"/>
      <c r="C33" s="27">
        <v>139</v>
      </c>
      <c r="D33" s="27"/>
      <c r="E33" s="27"/>
      <c r="F33" s="67">
        <v>60.85</v>
      </c>
      <c r="G33" s="67">
        <v>4.9299999999999997E-2</v>
      </c>
      <c r="H33" s="30">
        <f t="shared" si="6"/>
        <v>3.461697114E+18</v>
      </c>
      <c r="I33" s="30">
        <f t="shared" si="1"/>
        <v>1.2462109610399999E+22</v>
      </c>
      <c r="J33" s="30">
        <v>9.01E+20</v>
      </c>
      <c r="K33" s="30">
        <v>4.7500000000000005E+21</v>
      </c>
      <c r="L33" s="30">
        <v>1.66E+21</v>
      </c>
      <c r="M33" s="53">
        <v>0</v>
      </c>
      <c r="N33" s="54">
        <f t="shared" si="7"/>
        <v>0</v>
      </c>
      <c r="O33" s="55">
        <f t="shared" si="8"/>
        <v>3.0900000000000005E+21</v>
      </c>
      <c r="P33" s="55">
        <f t="shared" si="9"/>
        <v>0.24795159861387386</v>
      </c>
      <c r="Q33" s="51"/>
      <c r="R33" s="36"/>
      <c r="S33" s="37"/>
      <c r="T33" s="37"/>
    </row>
    <row r="34" spans="2:20" x14ac:dyDescent="0.2">
      <c r="B34" s="68"/>
      <c r="C34" s="27">
        <v>140</v>
      </c>
      <c r="D34" s="68"/>
      <c r="E34" s="68"/>
      <c r="F34" s="29">
        <v>156</v>
      </c>
      <c r="G34" s="29">
        <v>3.5200000000000002E-2</v>
      </c>
      <c r="H34" s="30">
        <f t="shared" si="6"/>
        <v>2.471637696E+18</v>
      </c>
      <c r="I34" s="30">
        <f>H34*3600</f>
        <v>8.8978957056000005E+21</v>
      </c>
      <c r="J34" s="69">
        <v>3.87E+20</v>
      </c>
      <c r="K34" s="69">
        <v>1.8E+21</v>
      </c>
      <c r="L34" s="69">
        <v>3.12E+20</v>
      </c>
      <c r="M34" s="70">
        <v>0</v>
      </c>
      <c r="N34" s="54">
        <f t="shared" si="7"/>
        <v>0</v>
      </c>
      <c r="O34" s="55">
        <f t="shared" si="8"/>
        <v>1.488E+21</v>
      </c>
      <c r="P34" s="55">
        <f t="shared" si="9"/>
        <v>0.16723055082152838</v>
      </c>
      <c r="Q34" s="51"/>
    </row>
    <row r="35" spans="2:20" x14ac:dyDescent="0.2">
      <c r="B35" s="68"/>
      <c r="C35" s="28">
        <v>141</v>
      </c>
      <c r="D35" s="68"/>
      <c r="E35" s="68"/>
      <c r="F35" s="29">
        <v>1250</v>
      </c>
      <c r="G35" s="29">
        <v>1.7999999999999999E-2</v>
      </c>
      <c r="H35" s="30">
        <f t="shared" si="6"/>
        <v>1.26390564E+18</v>
      </c>
      <c r="I35" s="30">
        <f>H35*3600</f>
        <v>4.5500603039999999E+21</v>
      </c>
      <c r="J35" s="69">
        <v>3.73E+19</v>
      </c>
      <c r="K35" s="69">
        <v>1.46E+20</v>
      </c>
      <c r="L35" s="69">
        <v>3.71E+18</v>
      </c>
      <c r="M35" s="70">
        <v>0</v>
      </c>
      <c r="N35" s="54">
        <f t="shared" si="7"/>
        <v>0</v>
      </c>
      <c r="O35" s="55">
        <f>K35-L35</f>
        <v>1.4229E+20</v>
      </c>
      <c r="P35" s="55">
        <f>O35/I35</f>
        <v>3.1272113003625812E-2</v>
      </c>
      <c r="Q35" s="51"/>
    </row>
    <row r="36" spans="2:20" x14ac:dyDescent="0.2">
      <c r="B36" s="68"/>
      <c r="C36" s="28">
        <v>142</v>
      </c>
      <c r="D36" s="68"/>
      <c r="E36" s="68"/>
      <c r="F36" s="29">
        <v>1660</v>
      </c>
      <c r="G36" s="29">
        <v>1.6299999999999999E-2</v>
      </c>
      <c r="H36" s="30">
        <f t="shared" si="6"/>
        <v>1.1445367739999999E+18</v>
      </c>
      <c r="I36" s="30">
        <f t="shared" ref="I36:I38" si="10">H36*3600</f>
        <v>4.1203323863999998E+21</v>
      </c>
      <c r="J36" s="69">
        <v>2.6E+19</v>
      </c>
      <c r="K36" s="69">
        <v>1E+20</v>
      </c>
      <c r="L36" s="69">
        <v>1.94E+18</v>
      </c>
      <c r="M36" s="70">
        <v>0</v>
      </c>
      <c r="N36" s="54">
        <f t="shared" si="7"/>
        <v>0</v>
      </c>
      <c r="O36" s="55">
        <f t="shared" si="8"/>
        <v>9.806E+19</v>
      </c>
      <c r="P36" s="55">
        <f t="shared" si="9"/>
        <v>2.379905085416582E-2</v>
      </c>
      <c r="Q36" s="51"/>
    </row>
    <row r="37" spans="2:20" x14ac:dyDescent="0.2">
      <c r="B37" s="68"/>
      <c r="C37" s="28">
        <v>143</v>
      </c>
      <c r="D37" s="68"/>
      <c r="E37" s="68"/>
      <c r="F37" s="29">
        <v>2490</v>
      </c>
      <c r="G37" s="29">
        <v>1.6999999999999999E-3</v>
      </c>
      <c r="H37" s="30">
        <f t="shared" si="6"/>
        <v>1.19368866E+17</v>
      </c>
      <c r="I37" s="30">
        <f t="shared" si="10"/>
        <v>4.2972791759999998E+20</v>
      </c>
      <c r="J37" s="69">
        <v>1.84E+18</v>
      </c>
      <c r="K37" s="69">
        <v>6.96E+18</v>
      </c>
      <c r="L37" s="69">
        <v>9.01E+16</v>
      </c>
      <c r="M37" s="70">
        <v>0</v>
      </c>
      <c r="N37" s="54">
        <f t="shared" si="7"/>
        <v>0</v>
      </c>
      <c r="O37" s="55">
        <f t="shared" si="8"/>
        <v>6.8699E+18</v>
      </c>
      <c r="P37" s="55">
        <f>O37/I37</f>
        <v>1.5986627162526246E-2</v>
      </c>
      <c r="Q37" s="51"/>
      <c r="R37" s="71"/>
    </row>
    <row r="38" spans="2:20" x14ac:dyDescent="0.2">
      <c r="B38" s="68"/>
      <c r="C38" s="28">
        <v>144</v>
      </c>
      <c r="D38" s="68"/>
      <c r="E38" s="68"/>
      <c r="F38" s="29">
        <v>2490</v>
      </c>
      <c r="G38" s="29">
        <v>1E-4</v>
      </c>
      <c r="H38" s="30">
        <f t="shared" si="6"/>
        <v>7021698000000000</v>
      </c>
      <c r="I38" s="30">
        <f t="shared" si="10"/>
        <v>2.52781128E+19</v>
      </c>
      <c r="J38" s="69">
        <v>7.56E+16</v>
      </c>
      <c r="K38" s="69">
        <v>2.9E+17</v>
      </c>
      <c r="L38" s="69">
        <v>3760000000000000</v>
      </c>
      <c r="M38" s="70">
        <v>0</v>
      </c>
      <c r="N38" s="54">
        <f>M38/L38</f>
        <v>0</v>
      </c>
      <c r="O38" s="55">
        <f t="shared" si="8"/>
        <v>2.8624E+17</v>
      </c>
      <c r="P38" s="55">
        <f t="shared" si="9"/>
        <v>1.1323630140617142E-2</v>
      </c>
      <c r="Q38" s="51"/>
      <c r="R38" s="51"/>
    </row>
    <row r="39" spans="2:20" s="37" customFormat="1" x14ac:dyDescent="0.2">
      <c r="B39" s="72"/>
      <c r="C39" s="72"/>
      <c r="D39" s="72"/>
      <c r="E39" s="72"/>
      <c r="F39" s="73">
        <f>SUM(F21:F38)</f>
        <v>8119.2768599999999</v>
      </c>
      <c r="G39" s="73">
        <f t="shared" ref="G39:K39" si="11">SUM(G21:G38)</f>
        <v>0.64070000000000005</v>
      </c>
      <c r="H39" s="73">
        <f t="shared" si="11"/>
        <v>4.4988019086000013E+19</v>
      </c>
      <c r="I39" s="73">
        <f t="shared" si="11"/>
        <v>1.6195686870959998E+23</v>
      </c>
      <c r="J39" s="73">
        <f t="shared" si="11"/>
        <v>8.9930291999999986E+21</v>
      </c>
      <c r="K39" s="73">
        <f t="shared" si="11"/>
        <v>1.3228125E+23</v>
      </c>
      <c r="L39" s="73">
        <f>SUM(L21:L38)</f>
        <v>4.4197774385999992E+23</v>
      </c>
      <c r="M39" s="73">
        <f>SUM(M21:M30)</f>
        <v>7.3713699999999993E+22</v>
      </c>
      <c r="N39" s="74">
        <f>AVERAGE(N21:N30)</f>
        <v>0.15787249288774852</v>
      </c>
      <c r="O39" s="75">
        <f>SUM(O31:O38)</f>
        <v>8.9255061399999967E+21</v>
      </c>
      <c r="P39" s="57">
        <f>AVERAGE(P31:P38)</f>
        <v>9.1063822549260584E-2</v>
      </c>
      <c r="Q39" s="76"/>
      <c r="R39" s="61"/>
    </row>
  </sheetData>
  <mergeCells count="11">
    <mergeCell ref="I2:I3"/>
    <mergeCell ref="J2:M2"/>
    <mergeCell ref="N2:N3"/>
    <mergeCell ref="O2:O3"/>
    <mergeCell ref="P2:P3"/>
    <mergeCell ref="B2:C2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A22" sqref="A22"/>
    </sheetView>
  </sheetViews>
  <sheetFormatPr baseColWidth="10" defaultColWidth="10.83203125" defaultRowHeight="16" x14ac:dyDescent="0.2"/>
  <cols>
    <col min="1" max="1" width="20.6640625" customWidth="1"/>
    <col min="3" max="3" width="14.83203125" customWidth="1"/>
    <col min="4" max="8" width="18.5" customWidth="1"/>
    <col min="9" max="9" width="21.33203125" customWidth="1"/>
    <col min="11" max="11" width="18" customWidth="1"/>
    <col min="12" max="12" width="14.5" customWidth="1"/>
  </cols>
  <sheetData>
    <row r="2" spans="1:12" x14ac:dyDescent="0.2">
      <c r="A2" t="s">
        <v>91</v>
      </c>
      <c r="B2">
        <v>20</v>
      </c>
      <c r="C2" t="s">
        <v>92</v>
      </c>
    </row>
    <row r="4" spans="1:12" x14ac:dyDescent="0.2">
      <c r="A4" s="79" t="s">
        <v>93</v>
      </c>
      <c r="B4" s="79" t="s">
        <v>94</v>
      </c>
      <c r="C4" s="79" t="s">
        <v>95</v>
      </c>
      <c r="D4" s="79" t="s">
        <v>96</v>
      </c>
      <c r="E4" s="79" t="s">
        <v>97</v>
      </c>
      <c r="F4" s="79" t="s">
        <v>98</v>
      </c>
      <c r="G4" s="79" t="s">
        <v>99</v>
      </c>
      <c r="H4" s="79" t="s">
        <v>100</v>
      </c>
      <c r="I4" s="79" t="s">
        <v>101</v>
      </c>
      <c r="J4" s="79" t="s">
        <v>102</v>
      </c>
      <c r="K4" s="79" t="s">
        <v>103</v>
      </c>
      <c r="L4" s="79" t="s">
        <v>104</v>
      </c>
    </row>
    <row r="5" spans="1:12" x14ac:dyDescent="0.2">
      <c r="A5" s="80">
        <v>1</v>
      </c>
      <c r="B5" s="81">
        <v>0.72760000000000002</v>
      </c>
      <c r="C5" s="81">
        <v>0.1</v>
      </c>
      <c r="D5" s="81">
        <v>1.081E-2</v>
      </c>
      <c r="E5" s="81">
        <v>3</v>
      </c>
      <c r="F5" s="81">
        <v>0.5</v>
      </c>
      <c r="G5" s="81">
        <v>1</v>
      </c>
      <c r="H5" s="81">
        <f>A22*A24</f>
        <v>2.9306070546251704E-2</v>
      </c>
      <c r="I5" s="81">
        <f>B5*C5*D5*E5*G5</f>
        <v>2.3596068000000005E-3</v>
      </c>
      <c r="J5" s="81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2">
      <c r="A6" s="80">
        <v>2</v>
      </c>
      <c r="B6" s="80" t="s">
        <v>69</v>
      </c>
      <c r="C6" s="81">
        <v>0.1</v>
      </c>
      <c r="D6" s="81">
        <v>1.081E-2</v>
      </c>
      <c r="E6" s="81">
        <v>3</v>
      </c>
      <c r="F6" s="81">
        <v>0.5</v>
      </c>
      <c r="G6" s="81">
        <v>1</v>
      </c>
      <c r="H6" s="81">
        <f>A22*A24</f>
        <v>2.9306070546251704E-2</v>
      </c>
      <c r="I6" s="81">
        <f>C6*D6*E6*G6</f>
        <v>3.2430000000000002E-3</v>
      </c>
      <c r="J6" s="81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2">
      <c r="A7" s="82">
        <v>3</v>
      </c>
      <c r="B7" s="82" t="s">
        <v>69</v>
      </c>
      <c r="C7" s="83">
        <v>0.1</v>
      </c>
      <c r="D7" s="81">
        <v>1.081E-2</v>
      </c>
      <c r="E7" s="83">
        <v>3</v>
      </c>
      <c r="F7" s="83">
        <v>0.5</v>
      </c>
      <c r="G7" s="82">
        <v>0.9</v>
      </c>
      <c r="H7" s="81">
        <f>A22*A24</f>
        <v>2.9306070546251704E-2</v>
      </c>
      <c r="I7" s="83">
        <f>C7*D7*E7*G7</f>
        <v>2.9187000000000002E-3</v>
      </c>
      <c r="J7" s="81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2">
      <c r="A8" s="82">
        <v>4</v>
      </c>
      <c r="B8" s="80">
        <v>0.72760000000000002</v>
      </c>
      <c r="C8" s="83">
        <v>0.1</v>
      </c>
      <c r="D8" s="83">
        <v>1.081E-2</v>
      </c>
      <c r="E8" s="83">
        <v>3</v>
      </c>
      <c r="F8" s="83">
        <v>0.5</v>
      </c>
      <c r="G8" s="82">
        <v>0.9</v>
      </c>
      <c r="H8" s="81">
        <f>A22*A24</f>
        <v>2.9306070546251704E-2</v>
      </c>
      <c r="I8" s="83">
        <f>B8*C8*D8*E8*G8</f>
        <v>2.1236461200000007E-3</v>
      </c>
      <c r="J8" s="81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2">
      <c r="A9" s="82">
        <v>5</v>
      </c>
      <c r="B9" s="83">
        <v>0.72760000000000002</v>
      </c>
      <c r="C9" s="83">
        <v>0.1</v>
      </c>
      <c r="D9" s="83">
        <v>1.081E-2</v>
      </c>
      <c r="E9" s="83">
        <v>3</v>
      </c>
      <c r="F9" s="83">
        <v>0.5</v>
      </c>
      <c r="G9" s="82">
        <v>0.7</v>
      </c>
      <c r="H9" s="81">
        <f>A22*A24</f>
        <v>2.9306070546251704E-2</v>
      </c>
      <c r="I9" s="83">
        <f>B9*C9*D9*E9*G9</f>
        <v>1.6517247600000002E-3</v>
      </c>
      <c r="J9" s="81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2">
      <c r="A10" s="82">
        <v>6</v>
      </c>
      <c r="B10" s="83">
        <v>0.72760000000000002</v>
      </c>
      <c r="C10" s="83">
        <v>0.1</v>
      </c>
      <c r="D10" s="83">
        <v>1.081E-2</v>
      </c>
      <c r="E10" s="83">
        <v>3</v>
      </c>
      <c r="F10" s="83">
        <v>0.5</v>
      </c>
      <c r="G10" s="82">
        <v>0.5</v>
      </c>
      <c r="H10" s="81">
        <f>A22*A24</f>
        <v>2.9306070546251704E-2</v>
      </c>
      <c r="I10" s="83">
        <f>B10*C10*D10*E10*G10</f>
        <v>1.1798034000000002E-3</v>
      </c>
      <c r="J10" s="81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2">
      <c r="A11" s="82">
        <v>7</v>
      </c>
      <c r="B11" s="83">
        <v>0.72760000000000002</v>
      </c>
      <c r="C11" s="83">
        <v>0.1</v>
      </c>
      <c r="D11" s="83">
        <v>1.081E-2</v>
      </c>
      <c r="E11" s="83">
        <v>3</v>
      </c>
      <c r="F11" s="83">
        <v>0.5</v>
      </c>
      <c r="G11" s="82">
        <v>0.2</v>
      </c>
      <c r="H11" s="81">
        <f>A22*A24</f>
        <v>2.9306070546251704E-2</v>
      </c>
      <c r="I11" s="83">
        <f>B11*C11*D11*E11*G11</f>
        <v>4.7192136000000012E-4</v>
      </c>
      <c r="J11" s="81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2">
      <c r="A15" t="s">
        <v>47</v>
      </c>
    </row>
    <row r="16" spans="1:12" x14ac:dyDescent="0.2">
      <c r="A16" t="s">
        <v>105</v>
      </c>
      <c r="L16" s="84"/>
    </row>
    <row r="17" spans="1:12" x14ac:dyDescent="0.2">
      <c r="L17" s="84"/>
    </row>
    <row r="18" spans="1:12" x14ac:dyDescent="0.2">
      <c r="L18" s="84"/>
    </row>
    <row r="19" spans="1:12" x14ac:dyDescent="0.2">
      <c r="L19" s="84"/>
    </row>
    <row r="20" spans="1:12" x14ac:dyDescent="0.2">
      <c r="L20" s="84"/>
    </row>
    <row r="21" spans="1:12" x14ac:dyDescent="0.2">
      <c r="A21" t="s">
        <v>106</v>
      </c>
    </row>
    <row r="22" spans="1:12" x14ac:dyDescent="0.2">
      <c r="A22">
        <v>1000</v>
      </c>
      <c r="B22" t="s">
        <v>107</v>
      </c>
    </row>
    <row r="23" spans="1:12" x14ac:dyDescent="0.2">
      <c r="A23" t="s">
        <v>108</v>
      </c>
    </row>
    <row r="24" spans="1:12" x14ac:dyDescent="0.2">
      <c r="A24">
        <f>LN(2)/23652</f>
        <v>2.9306070546251702E-5</v>
      </c>
      <c r="B24" t="s">
        <v>109</v>
      </c>
    </row>
    <row r="31" spans="1:12" x14ac:dyDescent="0.2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topLeftCell="A8" workbookViewId="0">
      <selection activeCell="H31" activeCellId="1" sqref="H26 H31"/>
    </sheetView>
  </sheetViews>
  <sheetFormatPr baseColWidth="10" defaultColWidth="8.83203125" defaultRowHeight="16" x14ac:dyDescent="0.2"/>
  <cols>
    <col min="2" max="2" width="18.5" bestFit="1" customWidth="1"/>
    <col min="3" max="3" width="14.1640625" customWidth="1"/>
    <col min="5" max="5" width="18.1640625" bestFit="1" customWidth="1"/>
    <col min="8" max="8" width="23.33203125" customWidth="1"/>
    <col min="9" max="9" width="11.83203125" customWidth="1"/>
    <col min="12" max="12" width="16.1640625" customWidth="1"/>
  </cols>
  <sheetData>
    <row r="2" spans="2:14" x14ac:dyDescent="0.2">
      <c r="B2" s="85" t="s">
        <v>110</v>
      </c>
      <c r="C2" s="86"/>
      <c r="E2" s="85" t="s">
        <v>111</v>
      </c>
      <c r="F2" s="86"/>
      <c r="H2" s="87" t="s">
        <v>112</v>
      </c>
      <c r="I2" s="87"/>
      <c r="L2" s="3" t="s">
        <v>113</v>
      </c>
    </row>
    <row r="3" spans="2:14" x14ac:dyDescent="0.2">
      <c r="B3" s="1" t="s">
        <v>114</v>
      </c>
      <c r="C3" s="1" t="s">
        <v>5</v>
      </c>
      <c r="E3" s="1" t="s">
        <v>115</v>
      </c>
      <c r="F3" s="1" t="s">
        <v>5</v>
      </c>
      <c r="H3" t="s">
        <v>116</v>
      </c>
      <c r="I3" t="s">
        <v>5</v>
      </c>
      <c r="L3" t="s">
        <v>117</v>
      </c>
    </row>
    <row r="4" spans="2:14" x14ac:dyDescent="0.2">
      <c r="B4" s="1" t="s">
        <v>118</v>
      </c>
      <c r="C4" s="88">
        <v>1</v>
      </c>
      <c r="E4" s="1" t="s">
        <v>119</v>
      </c>
      <c r="F4" s="88">
        <v>1.1631</v>
      </c>
      <c r="H4" t="s">
        <v>120</v>
      </c>
      <c r="I4" s="89">
        <f>I24</f>
        <v>1.1632210983526097</v>
      </c>
      <c r="J4" t="s">
        <v>121</v>
      </c>
      <c r="L4" t="s">
        <v>122</v>
      </c>
      <c r="M4" t="s">
        <v>123</v>
      </c>
    </row>
    <row r="5" spans="2:14" x14ac:dyDescent="0.2">
      <c r="B5" s="1" t="s">
        <v>124</v>
      </c>
      <c r="C5" s="88">
        <v>0.1</v>
      </c>
      <c r="E5" s="1" t="s">
        <v>95</v>
      </c>
      <c r="F5" s="88">
        <v>0.1</v>
      </c>
      <c r="H5" t="s">
        <v>95</v>
      </c>
      <c r="I5" s="89">
        <v>0.1</v>
      </c>
      <c r="L5" t="s">
        <v>125</v>
      </c>
      <c r="M5" t="s">
        <v>123</v>
      </c>
    </row>
    <row r="6" spans="2:14" ht="16" customHeight="1" x14ac:dyDescent="0.2">
      <c r="B6" s="1" t="s">
        <v>97</v>
      </c>
      <c r="C6" s="90">
        <v>1</v>
      </c>
      <c r="E6" s="1" t="s">
        <v>126</v>
      </c>
      <c r="F6" s="88">
        <v>1.0810999999999999E-2</v>
      </c>
      <c r="H6" t="s">
        <v>98</v>
      </c>
      <c r="I6" s="89">
        <v>0.01</v>
      </c>
      <c r="L6" t="s">
        <v>127</v>
      </c>
      <c r="M6" t="s">
        <v>123</v>
      </c>
    </row>
    <row r="7" spans="2:14" ht="16" customHeight="1" x14ac:dyDescent="0.2">
      <c r="B7" s="1" t="s">
        <v>128</v>
      </c>
      <c r="C7" s="91">
        <v>1</v>
      </c>
      <c r="E7" s="1" t="s">
        <v>129</v>
      </c>
      <c r="F7" s="88">
        <v>0.99</v>
      </c>
      <c r="H7" t="s">
        <v>130</v>
      </c>
      <c r="I7" s="89">
        <v>0.5</v>
      </c>
    </row>
    <row r="8" spans="2:14" x14ac:dyDescent="0.2">
      <c r="B8" s="1" t="s">
        <v>131</v>
      </c>
      <c r="C8" s="88">
        <v>1</v>
      </c>
      <c r="E8" s="1" t="s">
        <v>97</v>
      </c>
      <c r="F8" s="1">
        <v>3</v>
      </c>
      <c r="H8" s="1" t="s">
        <v>129</v>
      </c>
      <c r="I8" s="88">
        <v>0.99</v>
      </c>
      <c r="L8" t="s">
        <v>132</v>
      </c>
      <c r="M8" t="s">
        <v>133</v>
      </c>
    </row>
    <row r="9" spans="2:14" x14ac:dyDescent="0.2">
      <c r="B9" s="1" t="s">
        <v>98</v>
      </c>
      <c r="C9" s="88">
        <v>0.8</v>
      </c>
      <c r="E9" s="4" t="s">
        <v>134</v>
      </c>
      <c r="F9" s="92">
        <f>F5*F6*F8*F7*F4</f>
        <v>3.7345594077000002E-3</v>
      </c>
      <c r="H9" s="93" t="s">
        <v>97</v>
      </c>
      <c r="I9" s="93">
        <v>3</v>
      </c>
      <c r="J9" s="94" t="s">
        <v>135</v>
      </c>
    </row>
    <row r="10" spans="2:14" ht="15.5" customHeight="1" x14ac:dyDescent="0.2">
      <c r="B10" s="4" t="s">
        <v>134</v>
      </c>
      <c r="C10" s="95">
        <f>C5*C6*C9*C4*C8*C7</f>
        <v>8.0000000000000016E-2</v>
      </c>
      <c r="H10" t="s">
        <v>136</v>
      </c>
      <c r="I10">
        <f>I4*I5*I6*I9*I8*I7</f>
        <v>1.7273833310536256E-3</v>
      </c>
      <c r="J10" s="3" t="s">
        <v>137</v>
      </c>
      <c r="L10" s="96" t="s">
        <v>138</v>
      </c>
      <c r="M10" s="96"/>
      <c r="N10" s="96"/>
    </row>
    <row r="11" spans="2:14" x14ac:dyDescent="0.2">
      <c r="E11" s="97" t="s">
        <v>139</v>
      </c>
      <c r="F11" s="97"/>
      <c r="H11" t="s">
        <v>140</v>
      </c>
      <c r="I11">
        <f>1/I10</f>
        <v>578.91029861336301</v>
      </c>
      <c r="J11" t="s">
        <v>32</v>
      </c>
      <c r="L11" s="96"/>
      <c r="M11" s="96"/>
      <c r="N11" s="96"/>
    </row>
    <row r="12" spans="2:14" x14ac:dyDescent="0.2">
      <c r="B12" s="97" t="s">
        <v>141</v>
      </c>
      <c r="C12" s="97"/>
      <c r="E12" s="97"/>
      <c r="F12" s="97"/>
      <c r="H12" s="93" t="s">
        <v>47</v>
      </c>
      <c r="I12" s="93">
        <v>2.0928350000000001E-5</v>
      </c>
      <c r="J12" s="93" t="s">
        <v>137</v>
      </c>
      <c r="L12" s="96"/>
      <c r="M12" s="96"/>
      <c r="N12" s="96"/>
    </row>
    <row r="13" spans="2:14" x14ac:dyDescent="0.2">
      <c r="B13" s="97"/>
      <c r="C13" s="97"/>
      <c r="E13" s="97"/>
      <c r="F13" s="97"/>
      <c r="H13" s="3" t="s">
        <v>142</v>
      </c>
      <c r="I13" s="3">
        <f>I12*I11</f>
        <v>1.2115637347984976E-2</v>
      </c>
      <c r="L13" t="s">
        <v>143</v>
      </c>
      <c r="M13">
        <v>138541.35999999999</v>
      </c>
    </row>
    <row r="14" spans="2:14" x14ac:dyDescent="0.2">
      <c r="B14" s="97"/>
      <c r="C14" s="97"/>
      <c r="E14" s="97"/>
      <c r="F14" s="97"/>
      <c r="I14">
        <f>I12*25*M17</f>
        <v>2.161502119730125E-2</v>
      </c>
      <c r="L14" t="s">
        <v>144</v>
      </c>
      <c r="M14">
        <v>100802.38</v>
      </c>
    </row>
    <row r="15" spans="2:14" x14ac:dyDescent="0.2">
      <c r="B15" s="97"/>
      <c r="C15" s="97"/>
      <c r="E15" s="97"/>
      <c r="F15" s="97"/>
      <c r="H15" s="98" t="s">
        <v>145</v>
      </c>
      <c r="I15" s="98"/>
      <c r="J15" s="98"/>
      <c r="L15" s="3" t="s">
        <v>146</v>
      </c>
      <c r="M15" s="3">
        <f>M14/M13</f>
        <v>0.72759773687799811</v>
      </c>
    </row>
    <row r="16" spans="2:14" x14ac:dyDescent="0.2">
      <c r="B16" s="97"/>
      <c r="C16" s="97"/>
      <c r="E16" s="97"/>
      <c r="F16" s="97"/>
      <c r="H16" s="1" t="s">
        <v>147</v>
      </c>
      <c r="I16" s="1">
        <v>1665</v>
      </c>
      <c r="J16" s="1" t="s">
        <v>148</v>
      </c>
    </row>
    <row r="17" spans="2:15" x14ac:dyDescent="0.2">
      <c r="B17" s="97"/>
      <c r="C17" s="97"/>
      <c r="H17" s="1" t="s">
        <v>149</v>
      </c>
      <c r="I17" s="1">
        <v>3353.33</v>
      </c>
      <c r="J17" s="1" t="s">
        <v>150</v>
      </c>
      <c r="L17" t="s">
        <v>151</v>
      </c>
      <c r="M17">
        <v>41.312423000000003</v>
      </c>
    </row>
    <row r="18" spans="2:15" x14ac:dyDescent="0.2">
      <c r="B18" s="99" t="s">
        <v>152</v>
      </c>
      <c r="C18" s="99"/>
      <c r="H18" s="1" t="s">
        <v>153</v>
      </c>
      <c r="I18" s="1">
        <v>0.15240000000000001</v>
      </c>
      <c r="J18" s="1" t="s">
        <v>154</v>
      </c>
      <c r="L18" t="s">
        <v>155</v>
      </c>
      <c r="M18">
        <v>30.060400000000001</v>
      </c>
    </row>
    <row r="19" spans="2:15" x14ac:dyDescent="0.2">
      <c r="H19" s="1" t="s">
        <v>156</v>
      </c>
      <c r="I19" s="1">
        <f>I18/2</f>
        <v>7.6200000000000004E-2</v>
      </c>
      <c r="J19" s="1" t="s">
        <v>154</v>
      </c>
      <c r="L19" s="3" t="s">
        <v>146</v>
      </c>
      <c r="M19" s="3">
        <f>M18/M17</f>
        <v>0.72763584939087211</v>
      </c>
    </row>
    <row r="20" spans="2:15" x14ac:dyDescent="0.2">
      <c r="B20" t="s">
        <v>157</v>
      </c>
      <c r="H20" s="1" t="s">
        <v>158</v>
      </c>
      <c r="I20" s="1">
        <f>3.14159265358979*(I19^2)</f>
        <v>1.8241469247509901E-2</v>
      </c>
      <c r="J20" s="1" t="s">
        <v>159</v>
      </c>
    </row>
    <row r="21" spans="2:15" x14ac:dyDescent="0.2">
      <c r="B21" t="s">
        <v>114</v>
      </c>
      <c r="C21" s="100" t="s">
        <v>160</v>
      </c>
      <c r="H21" s="4" t="s">
        <v>161</v>
      </c>
      <c r="I21" s="4">
        <f>I16/(I17*I20)</f>
        <v>27.219373701451065</v>
      </c>
      <c r="J21" s="4" t="s">
        <v>162</v>
      </c>
      <c r="L21" s="3" t="s">
        <v>134</v>
      </c>
      <c r="M21" s="3">
        <f>M19</f>
        <v>0.72763584939087211</v>
      </c>
      <c r="N21" s="3"/>
    </row>
    <row r="22" spans="2:15" x14ac:dyDescent="0.2">
      <c r="B22" s="3" t="s">
        <v>163</v>
      </c>
      <c r="H22" s="101" t="s">
        <v>164</v>
      </c>
      <c r="I22" s="102"/>
      <c r="J22" s="103"/>
    </row>
    <row r="23" spans="2:15" x14ac:dyDescent="0.2">
      <c r="B23" s="104" t="s">
        <v>165</v>
      </c>
      <c r="C23" s="105">
        <f>C10</f>
        <v>8.0000000000000016E-2</v>
      </c>
      <c r="H23" s="1" t="s">
        <v>166</v>
      </c>
      <c r="I23" s="1">
        <f>17.4+6</f>
        <v>23.4</v>
      </c>
      <c r="J23" s="1" t="s">
        <v>154</v>
      </c>
      <c r="L23" s="3" t="s">
        <v>134</v>
      </c>
      <c r="M23" s="3">
        <f>1-M21</f>
        <v>0.27236415060912789</v>
      </c>
    </row>
    <row r="24" spans="2:15" x14ac:dyDescent="0.2">
      <c r="B24" s="104" t="s">
        <v>167</v>
      </c>
      <c r="C24">
        <f>F9</f>
        <v>3.7345594077000002E-3</v>
      </c>
      <c r="H24" s="1" t="s">
        <v>97</v>
      </c>
      <c r="I24" s="1">
        <f>I21/I23</f>
        <v>1.1632210983526097</v>
      </c>
      <c r="J24" s="1" t="s">
        <v>168</v>
      </c>
    </row>
    <row r="25" spans="2:15" x14ac:dyDescent="0.2">
      <c r="B25" s="104" t="s">
        <v>169</v>
      </c>
      <c r="C25">
        <f>I13</f>
        <v>1.2115637347984976E-2</v>
      </c>
    </row>
    <row r="26" spans="2:15" x14ac:dyDescent="0.2">
      <c r="B26" s="106" t="s">
        <v>170</v>
      </c>
      <c r="C26" s="107">
        <f>SUM(C23:C25)</f>
        <v>9.5850196755684985E-2</v>
      </c>
      <c r="H26" s="3">
        <f>185/3353.33</f>
        <v>5.5169040923499925E-2</v>
      </c>
      <c r="I26" s="3"/>
      <c r="L26" t="s">
        <v>171</v>
      </c>
      <c r="M26" t="s">
        <v>172</v>
      </c>
    </row>
    <row r="27" spans="2:15" x14ac:dyDescent="0.2">
      <c r="B27" s="104" t="s">
        <v>173</v>
      </c>
      <c r="C27">
        <f>M23</f>
        <v>0.27236415060912789</v>
      </c>
    </row>
    <row r="28" spans="2:15" x14ac:dyDescent="0.2">
      <c r="B28" s="106" t="s">
        <v>13</v>
      </c>
      <c r="C28" s="107">
        <f>C26+C27</f>
        <v>0.36821434736481284</v>
      </c>
      <c r="H28" s="3"/>
      <c r="I28" s="3"/>
      <c r="J28" s="3"/>
      <c r="L28">
        <v>859.68179344084399</v>
      </c>
      <c r="M28" t="s">
        <v>32</v>
      </c>
    </row>
    <row r="29" spans="2:15" x14ac:dyDescent="0.2">
      <c r="C29" s="100"/>
      <c r="H29" s="93" t="s">
        <v>47</v>
      </c>
      <c r="I29" s="93">
        <v>3</v>
      </c>
      <c r="J29" s="93" t="s">
        <v>137</v>
      </c>
    </row>
    <row r="30" spans="2:15" x14ac:dyDescent="0.2">
      <c r="C30" s="105"/>
      <c r="H30" s="3" t="s">
        <v>142</v>
      </c>
      <c r="I30" s="3">
        <f>I29/I11</f>
        <v>5.1821499931608761E-3</v>
      </c>
      <c r="L30" t="s">
        <v>47</v>
      </c>
      <c r="M30">
        <v>2.0928350000000001E-5</v>
      </c>
      <c r="N30" t="s">
        <v>45</v>
      </c>
      <c r="O30">
        <f>M30*L28</f>
        <v>1.799172146175769E-2</v>
      </c>
    </row>
    <row r="31" spans="2:15" x14ac:dyDescent="0.2">
      <c r="I31">
        <f>I29*I11</f>
        <v>1736.730895840089</v>
      </c>
      <c r="L31" t="s">
        <v>51</v>
      </c>
      <c r="M31">
        <f>LN(2)/M30</f>
        <v>33120.010921068562</v>
      </c>
      <c r="N31" t="s">
        <v>32</v>
      </c>
      <c r="O31">
        <f>L28/M31</f>
        <v>2.5956567329933348E-2</v>
      </c>
    </row>
    <row r="32" spans="2:15" x14ac:dyDescent="0.2">
      <c r="O32">
        <f>M31/L28</f>
        <v>38.525895481055805</v>
      </c>
    </row>
    <row r="36" spans="2:8" x14ac:dyDescent="0.2">
      <c r="B36" s="85" t="s">
        <v>110</v>
      </c>
      <c r="C36" s="86"/>
    </row>
    <row r="37" spans="2:8" x14ac:dyDescent="0.2">
      <c r="B37" s="1" t="s">
        <v>114</v>
      </c>
      <c r="C37" s="1" t="s">
        <v>5</v>
      </c>
    </row>
    <row r="38" spans="2:8" x14ac:dyDescent="0.2">
      <c r="B38" s="1" t="s">
        <v>118</v>
      </c>
      <c r="C38" s="88">
        <v>1.1631</v>
      </c>
      <c r="E38">
        <v>6.9099999999999999E-4</v>
      </c>
      <c r="F38" t="s">
        <v>174</v>
      </c>
      <c r="G38" t="s">
        <v>175</v>
      </c>
      <c r="H38">
        <f>1/E38</f>
        <v>1447.178002894356</v>
      </c>
    </row>
    <row r="39" spans="2:8" x14ac:dyDescent="0.2">
      <c r="B39" s="1" t="s">
        <v>176</v>
      </c>
      <c r="C39" s="88">
        <v>1</v>
      </c>
      <c r="F39" t="s">
        <v>92</v>
      </c>
    </row>
    <row r="40" spans="2:8" x14ac:dyDescent="0.2">
      <c r="B40" s="1" t="s">
        <v>97</v>
      </c>
      <c r="C40" s="90">
        <v>3</v>
      </c>
    </row>
    <row r="41" spans="2:8" x14ac:dyDescent="0.2">
      <c r="B41" s="1" t="s">
        <v>128</v>
      </c>
      <c r="C41" s="91">
        <v>0.99990000000000001</v>
      </c>
    </row>
    <row r="42" spans="2:8" x14ac:dyDescent="0.2">
      <c r="B42" s="1" t="s">
        <v>131</v>
      </c>
      <c r="C42" s="88">
        <v>0.99</v>
      </c>
    </row>
    <row r="43" spans="2:8" x14ac:dyDescent="0.2">
      <c r="B43" s="1" t="s">
        <v>177</v>
      </c>
      <c r="C43" s="88">
        <v>1E-3</v>
      </c>
      <c r="D43" t="s">
        <v>178</v>
      </c>
    </row>
    <row r="44" spans="2:8" x14ac:dyDescent="0.2">
      <c r="B44" s="1" t="s">
        <v>98</v>
      </c>
      <c r="C44" s="108">
        <v>0.2</v>
      </c>
      <c r="E44" t="s">
        <v>179</v>
      </c>
      <c r="G44" t="s">
        <v>180</v>
      </c>
    </row>
    <row r="45" spans="2:8" x14ac:dyDescent="0.2">
      <c r="B45" s="4" t="s">
        <v>134</v>
      </c>
      <c r="C45" s="95">
        <f>C39*C40*C44*C38*C42*C41*C43</f>
        <v>6.9081231186000013E-4</v>
      </c>
      <c r="E45" t="s">
        <v>181</v>
      </c>
      <c r="G45" t="s">
        <v>182</v>
      </c>
    </row>
    <row r="48" spans="2:8" x14ac:dyDescent="0.2">
      <c r="B48" s="85" t="s">
        <v>110</v>
      </c>
      <c r="C48" s="86"/>
    </row>
    <row r="49" spans="2:10" x14ac:dyDescent="0.2">
      <c r="B49" s="1" t="s">
        <v>114</v>
      </c>
      <c r="C49" s="1" t="s">
        <v>5</v>
      </c>
    </row>
    <row r="50" spans="2:10" x14ac:dyDescent="0.2">
      <c r="B50" s="1" t="s">
        <v>118</v>
      </c>
      <c r="C50" s="88">
        <v>1.1631</v>
      </c>
    </row>
    <row r="51" spans="2:10" x14ac:dyDescent="0.2">
      <c r="B51" s="1" t="s">
        <v>176</v>
      </c>
      <c r="C51" s="88">
        <v>1</v>
      </c>
    </row>
    <row r="52" spans="2:10" x14ac:dyDescent="0.2">
      <c r="B52" s="1" t="s">
        <v>97</v>
      </c>
      <c r="C52" s="90">
        <v>3</v>
      </c>
    </row>
    <row r="53" spans="2:10" x14ac:dyDescent="0.2">
      <c r="B53" s="1" t="s">
        <v>128</v>
      </c>
      <c r="C53" s="91">
        <v>0.1</v>
      </c>
      <c r="H53" s="87" t="s">
        <v>112</v>
      </c>
      <c r="I53" s="87"/>
    </row>
    <row r="54" spans="2:10" x14ac:dyDescent="0.2">
      <c r="B54" s="1" t="s">
        <v>131</v>
      </c>
      <c r="C54" s="88">
        <v>0.9</v>
      </c>
      <c r="H54" t="s">
        <v>116</v>
      </c>
      <c r="I54" t="s">
        <v>5</v>
      </c>
    </row>
    <row r="55" spans="2:10" x14ac:dyDescent="0.2">
      <c r="B55" s="1" t="s">
        <v>177</v>
      </c>
      <c r="C55" s="88">
        <v>1</v>
      </c>
      <c r="H55" t="s">
        <v>120</v>
      </c>
      <c r="I55" s="89">
        <v>1.1599999999999999</v>
      </c>
      <c r="J55" t="s">
        <v>121</v>
      </c>
    </row>
    <row r="56" spans="2:10" x14ac:dyDescent="0.2">
      <c r="B56" s="1" t="s">
        <v>183</v>
      </c>
      <c r="C56" s="88">
        <f>1-0.009</f>
        <v>0.99099999999999999</v>
      </c>
      <c r="H56" t="s">
        <v>95</v>
      </c>
      <c r="I56" s="89">
        <v>0.1</v>
      </c>
    </row>
    <row r="57" spans="2:10" x14ac:dyDescent="0.2">
      <c r="B57" s="1" t="s">
        <v>184</v>
      </c>
      <c r="C57" s="88">
        <f>1-0.647</f>
        <v>0.35299999999999998</v>
      </c>
      <c r="H57" t="s">
        <v>98</v>
      </c>
      <c r="I57" s="89">
        <v>1</v>
      </c>
    </row>
    <row r="58" spans="2:10" x14ac:dyDescent="0.2">
      <c r="B58" s="1" t="s">
        <v>185</v>
      </c>
      <c r="C58" s="88">
        <f>1-0.034</f>
        <v>0.96599999999999997</v>
      </c>
      <c r="H58" t="s">
        <v>130</v>
      </c>
      <c r="I58" s="89">
        <v>0.5</v>
      </c>
    </row>
    <row r="59" spans="2:10" x14ac:dyDescent="0.2">
      <c r="B59" s="1" t="s">
        <v>98</v>
      </c>
      <c r="C59" s="108">
        <v>0.5</v>
      </c>
      <c r="H59" s="1" t="s">
        <v>129</v>
      </c>
      <c r="I59" s="88">
        <v>1</v>
      </c>
    </row>
    <row r="60" spans="2:10" x14ac:dyDescent="0.2">
      <c r="B60" s="4" t="s">
        <v>134</v>
      </c>
      <c r="C60" s="95">
        <f>PRODUCT(C50:C59)</f>
        <v>5.3061107512832995E-2</v>
      </c>
      <c r="H60" s="93" t="s">
        <v>97</v>
      </c>
      <c r="I60" s="93">
        <v>3</v>
      </c>
      <c r="J60" s="94" t="s">
        <v>135</v>
      </c>
    </row>
    <row r="61" spans="2:10" x14ac:dyDescent="0.2">
      <c r="H61" t="s">
        <v>136</v>
      </c>
      <c r="I61">
        <f>I55*I56*I57*I60*I59*I58</f>
        <v>0.17399999999999999</v>
      </c>
      <c r="J61" s="3" t="s">
        <v>137</v>
      </c>
    </row>
    <row r="62" spans="2:10" x14ac:dyDescent="0.2">
      <c r="H62" t="s">
        <v>140</v>
      </c>
      <c r="I62">
        <f>1/I61</f>
        <v>5.7471264367816097</v>
      </c>
      <c r="J62" t="s">
        <v>32</v>
      </c>
    </row>
    <row r="63" spans="2:10" x14ac:dyDescent="0.2">
      <c r="B63" s="85" t="s">
        <v>110</v>
      </c>
      <c r="C63" s="86"/>
      <c r="H63" s="93" t="s">
        <v>47</v>
      </c>
      <c r="I63" s="93">
        <v>2.0928350000000001E-5</v>
      </c>
      <c r="J63" s="93" t="s">
        <v>137</v>
      </c>
    </row>
    <row r="64" spans="2:10" x14ac:dyDescent="0.2">
      <c r="B64" s="1" t="s">
        <v>114</v>
      </c>
      <c r="C64" s="1" t="s">
        <v>5</v>
      </c>
      <c r="H64" s="3" t="s">
        <v>142</v>
      </c>
      <c r="I64" s="3">
        <f>I63*I62</f>
        <v>1.2027787356321841E-4</v>
      </c>
    </row>
    <row r="65" spans="2:9" x14ac:dyDescent="0.2">
      <c r="B65" s="1" t="s">
        <v>186</v>
      </c>
      <c r="C65" s="88"/>
      <c r="I65">
        <f>I63*25*M68</f>
        <v>0</v>
      </c>
    </row>
    <row r="66" spans="2:9" x14ac:dyDescent="0.2">
      <c r="B66" s="1" t="s">
        <v>176</v>
      </c>
      <c r="C66" s="88"/>
    </row>
    <row r="67" spans="2:9" x14ac:dyDescent="0.2">
      <c r="B67" s="1" t="s">
        <v>97</v>
      </c>
      <c r="C67" s="90"/>
    </row>
    <row r="68" spans="2:9" x14ac:dyDescent="0.2">
      <c r="B68" s="1" t="s">
        <v>128</v>
      </c>
      <c r="C68" s="91"/>
    </row>
    <row r="69" spans="2:9" x14ac:dyDescent="0.2">
      <c r="B69" s="1" t="s">
        <v>131</v>
      </c>
      <c r="C69" s="88"/>
    </row>
    <row r="70" spans="2:9" x14ac:dyDescent="0.2">
      <c r="B70" s="1" t="s">
        <v>177</v>
      </c>
      <c r="C70" s="88"/>
    </row>
    <row r="71" spans="2:9" x14ac:dyDescent="0.2">
      <c r="B71" s="1" t="s">
        <v>183</v>
      </c>
      <c r="C71" s="88"/>
    </row>
    <row r="72" spans="2:9" x14ac:dyDescent="0.2">
      <c r="B72" s="1" t="s">
        <v>184</v>
      </c>
      <c r="C72" s="88"/>
    </row>
    <row r="73" spans="2:9" x14ac:dyDescent="0.2">
      <c r="B73" s="1" t="s">
        <v>185</v>
      </c>
      <c r="C73" s="88"/>
    </row>
    <row r="74" spans="2:9" x14ac:dyDescent="0.2">
      <c r="B74" s="1" t="s">
        <v>98</v>
      </c>
      <c r="C74" s="108"/>
    </row>
    <row r="75" spans="2:9" x14ac:dyDescent="0.2">
      <c r="B75" s="4" t="s">
        <v>134</v>
      </c>
      <c r="C75" s="95">
        <f>PRODUCT(C65:C74)</f>
        <v>0</v>
      </c>
    </row>
  </sheetData>
  <mergeCells count="13">
    <mergeCell ref="B18:C18"/>
    <mergeCell ref="H22:J22"/>
    <mergeCell ref="B36:C36"/>
    <mergeCell ref="B48:C48"/>
    <mergeCell ref="H53:I53"/>
    <mergeCell ref="B63:C63"/>
    <mergeCell ref="B2:C2"/>
    <mergeCell ref="E2:F2"/>
    <mergeCell ref="H2:I2"/>
    <mergeCell ref="L10:N12"/>
    <mergeCell ref="E11:F16"/>
    <mergeCell ref="B12:C17"/>
    <mergeCell ref="H15:J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tabSelected="1" topLeftCell="A10" workbookViewId="0">
      <selection activeCell="H37" sqref="H37"/>
    </sheetView>
  </sheetViews>
  <sheetFormatPr baseColWidth="10" defaultColWidth="8.83203125" defaultRowHeight="16" x14ac:dyDescent="0.2"/>
  <cols>
    <col min="3" max="3" width="22" bestFit="1" customWidth="1"/>
    <col min="4" max="4" width="10.5" customWidth="1"/>
    <col min="5" max="5" width="10.33203125" customWidth="1"/>
    <col min="9" max="9" width="22.6640625" bestFit="1" customWidth="1"/>
    <col min="10" max="10" width="9" bestFit="1" customWidth="1"/>
    <col min="11" max="11" width="11.6640625" bestFit="1" customWidth="1"/>
    <col min="13" max="13" width="10.5" bestFit="1" customWidth="1"/>
  </cols>
  <sheetData>
    <row r="4" spans="3:13" x14ac:dyDescent="0.2">
      <c r="C4" s="109"/>
      <c r="D4" s="109" t="s">
        <v>187</v>
      </c>
      <c r="E4" s="109" t="s">
        <v>188</v>
      </c>
      <c r="K4" t="s">
        <v>189</v>
      </c>
      <c r="L4" s="110">
        <v>6.242E+18</v>
      </c>
      <c r="M4" t="s">
        <v>190</v>
      </c>
    </row>
    <row r="5" spans="3:13" x14ac:dyDescent="0.2">
      <c r="C5" s="1" t="s">
        <v>191</v>
      </c>
      <c r="D5" s="1">
        <v>750</v>
      </c>
      <c r="E5" s="1">
        <v>7.5</v>
      </c>
      <c r="K5" t="s">
        <v>189</v>
      </c>
      <c r="L5">
        <v>200</v>
      </c>
      <c r="M5" t="s">
        <v>192</v>
      </c>
    </row>
    <row r="6" spans="3:13" x14ac:dyDescent="0.2">
      <c r="C6" s="1" t="s">
        <v>186</v>
      </c>
      <c r="D6" s="111">
        <f>D5*$L$4/$L$5</f>
        <v>2.34075E+19</v>
      </c>
      <c r="E6" s="111">
        <f>E5*$L$4/$L$5</f>
        <v>2.34075E+17</v>
      </c>
      <c r="K6" t="s">
        <v>193</v>
      </c>
      <c r="L6">
        <v>6.4000000000000001E-2</v>
      </c>
      <c r="M6" t="s">
        <v>5</v>
      </c>
    </row>
    <row r="7" spans="3:13" x14ac:dyDescent="0.2">
      <c r="C7" s="1" t="s">
        <v>194</v>
      </c>
      <c r="D7" s="111">
        <f>D6*$L$6</f>
        <v>1.49808E+18</v>
      </c>
      <c r="E7" s="111">
        <f>E6*$L$6</f>
        <v>1.49808E+16</v>
      </c>
      <c r="K7" t="s">
        <v>195</v>
      </c>
      <c r="L7">
        <v>32904</v>
      </c>
      <c r="M7" t="s">
        <v>107</v>
      </c>
    </row>
    <row r="8" spans="3:13" x14ac:dyDescent="0.2">
      <c r="C8" s="1" t="s">
        <v>196</v>
      </c>
      <c r="D8" s="1" t="s">
        <v>197</v>
      </c>
      <c r="E8" s="1" t="s">
        <v>197</v>
      </c>
    </row>
    <row r="9" spans="3:13" x14ac:dyDescent="0.2">
      <c r="C9" s="1" t="s">
        <v>198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2">
      <c r="C10" s="1" t="s">
        <v>199</v>
      </c>
      <c r="D10" s="1" t="s">
        <v>200</v>
      </c>
      <c r="E10" s="1" t="s">
        <v>200</v>
      </c>
      <c r="J10" t="s">
        <v>201</v>
      </c>
      <c r="K10" t="s">
        <v>188</v>
      </c>
    </row>
    <row r="11" spans="3:13" x14ac:dyDescent="0.2">
      <c r="C11" s="1" t="s">
        <v>202</v>
      </c>
      <c r="D11" s="1" t="s">
        <v>200</v>
      </c>
      <c r="E11" s="1" t="s">
        <v>200</v>
      </c>
      <c r="I11" t="s">
        <v>203</v>
      </c>
      <c r="J11">
        <v>41.312420000000003</v>
      </c>
      <c r="K11">
        <v>2</v>
      </c>
      <c r="L11" t="s">
        <v>36</v>
      </c>
    </row>
    <row r="12" spans="3:13" x14ac:dyDescent="0.2">
      <c r="C12" s="1" t="s">
        <v>41</v>
      </c>
      <c r="D12" s="1">
        <f>J13*J14</f>
        <v>5.5169040923499927E-3</v>
      </c>
      <c r="E12" s="1">
        <f>K13*K14</f>
        <v>3.1545100000000001E-4</v>
      </c>
      <c r="I12" t="s">
        <v>204</v>
      </c>
      <c r="J12">
        <v>30.060400000000001</v>
      </c>
      <c r="K12">
        <v>0.70792100000000002</v>
      </c>
    </row>
    <row r="13" spans="3:13" x14ac:dyDescent="0.2">
      <c r="C13" s="4" t="s">
        <v>205</v>
      </c>
      <c r="D13" s="4">
        <f>D9+D12</f>
        <v>6.3871808807376747E-3</v>
      </c>
      <c r="E13" s="4">
        <f>E9+E12</f>
        <v>3.5758248435205115E-4</v>
      </c>
      <c r="I13" t="s">
        <v>206</v>
      </c>
      <c r="J13">
        <v>5.5169040923499925E-2</v>
      </c>
      <c r="K13">
        <v>3.1545100000000001E-3</v>
      </c>
      <c r="L13" t="s">
        <v>38</v>
      </c>
    </row>
    <row r="14" spans="3:13" x14ac:dyDescent="0.2">
      <c r="C14" s="4" t="s">
        <v>207</v>
      </c>
      <c r="D14" s="4">
        <f>D13/J12</f>
        <v>2.1247823983505456E-4</v>
      </c>
      <c r="E14" s="4">
        <f>E13/K12</f>
        <v>5.0511636800158657E-4</v>
      </c>
      <c r="I14" t="s">
        <v>41</v>
      </c>
      <c r="J14">
        <v>0.1</v>
      </c>
      <c r="K14">
        <v>0.1</v>
      </c>
      <c r="L14" t="s">
        <v>208</v>
      </c>
    </row>
    <row r="15" spans="3:13" x14ac:dyDescent="0.2">
      <c r="D15">
        <f>D14*3</f>
        <v>6.3743471950516366E-4</v>
      </c>
    </row>
    <row r="17" spans="3:10" x14ac:dyDescent="0.2">
      <c r="C17" t="s">
        <v>209</v>
      </c>
      <c r="E17">
        <v>14</v>
      </c>
      <c r="F17" t="s">
        <v>210</v>
      </c>
    </row>
    <row r="18" spans="3:10" x14ac:dyDescent="0.2">
      <c r="C18" t="s">
        <v>211</v>
      </c>
      <c r="E18">
        <v>31</v>
      </c>
      <c r="F18" t="s">
        <v>210</v>
      </c>
    </row>
    <row r="19" spans="3:10" x14ac:dyDescent="0.2">
      <c r="C19" t="s">
        <v>212</v>
      </c>
      <c r="E19">
        <v>134</v>
      </c>
      <c r="F19" t="s">
        <v>213</v>
      </c>
    </row>
    <row r="20" spans="3:10" x14ac:dyDescent="0.2">
      <c r="E20">
        <f>E19*F20</f>
        <v>4.7321697999999994</v>
      </c>
      <c r="F20">
        <v>3.5314699999999997E-2</v>
      </c>
      <c r="G20" t="s">
        <v>214</v>
      </c>
      <c r="H20" t="s">
        <v>215</v>
      </c>
    </row>
    <row r="21" spans="3:10" x14ac:dyDescent="0.2">
      <c r="E21">
        <v>2.1464756999999999</v>
      </c>
      <c r="F21" t="s">
        <v>216</v>
      </c>
      <c r="I21" t="s">
        <v>217</v>
      </c>
    </row>
    <row r="22" spans="3:10" x14ac:dyDescent="0.2">
      <c r="E22">
        <f>E17/E21</f>
        <v>6.5223193535337955</v>
      </c>
      <c r="F22" t="s">
        <v>218</v>
      </c>
      <c r="I22" t="s">
        <v>219</v>
      </c>
      <c r="J22" t="s">
        <v>220</v>
      </c>
    </row>
    <row r="23" spans="3:10" x14ac:dyDescent="0.2">
      <c r="E23">
        <f>E22/0.001</f>
        <v>6522.319353533795</v>
      </c>
      <c r="F23" t="s">
        <v>221</v>
      </c>
      <c r="I23" t="s">
        <v>222</v>
      </c>
    </row>
    <row r="24" spans="3:10" x14ac:dyDescent="0.2">
      <c r="E24">
        <f>E23/0.001</f>
        <v>6522319.3535337951</v>
      </c>
      <c r="F24" t="s">
        <v>29</v>
      </c>
    </row>
    <row r="26" spans="3:10" x14ac:dyDescent="0.2">
      <c r="C26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LEU</vt:lpstr>
      <vt:lpstr>HEU</vt:lpstr>
      <vt:lpstr>Lambda</vt:lpstr>
      <vt:lpstr>Table1</vt:lpstr>
      <vt:lpstr>RemovalRobertson</vt:lpstr>
      <vt:lpstr>CoarseRemovals</vt:lpstr>
      <vt:lpstr>RawRemoval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2019-07-01T16:47:20Z</dcterms:created>
  <dcterms:modified xsi:type="dcterms:W3CDTF">2019-07-03T19:42:03Z</dcterms:modified>
</cp:coreProperties>
</file>