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Ranco 2 Los Chilcos\Contable\"/>
    </mc:Choice>
  </mc:AlternateContent>
  <xr:revisionPtr revIDLastSave="0" documentId="13_ncr:1_{B9699235-9E49-4DCB-9E79-CA3A0AFD9B85}" xr6:coauthVersionLast="47" xr6:coauthVersionMax="47" xr10:uidLastSave="{00000000-0000-0000-0000-000000000000}"/>
  <bookViews>
    <workbookView xWindow="29745" yWindow="885" windowWidth="26490" windowHeight="14820" activeTab="1" xr2:uid="{D95CF4A9-0C3C-496F-A445-BA68C5491BBA}"/>
  </bookViews>
  <sheets>
    <sheet name="Tabla de Desarrollo Inv Lonquen" sheetId="1" r:id="rId1"/>
    <sheet name="Pago Lonquen" sheetId="10" r:id="rId2"/>
    <sheet name="Credito Inv Lonquen" sheetId="2" r:id="rId3"/>
    <sheet name="Tabla Desarrollo Banco de Chile" sheetId="3" r:id="rId4"/>
    <sheet name="Totales" sheetId="5" r:id="rId5"/>
    <sheet name="Prepago" sheetId="8" r:id="rId6"/>
    <sheet name="Targe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/>
  <c r="B27" i="10" s="1"/>
  <c r="B6" i="10"/>
  <c r="B18" i="10"/>
  <c r="B11" i="10"/>
  <c r="B12" i="10" s="1"/>
  <c r="B19" i="10" s="1"/>
  <c r="B20" i="10" s="1"/>
  <c r="B21" i="10" s="1"/>
  <c r="B28" i="10" s="1"/>
  <c r="H6" i="1"/>
  <c r="B11" i="8"/>
  <c r="K11" i="8"/>
  <c r="I11" i="8"/>
  <c r="B9" i="8"/>
  <c r="B12" i="8" s="1"/>
  <c r="B15" i="8" s="1"/>
  <c r="B5" i="8"/>
  <c r="C3" i="8"/>
  <c r="D3" i="8" s="1"/>
  <c r="B2" i="8"/>
  <c r="B10" i="8" s="1"/>
  <c r="L12" i="5"/>
  <c r="S12" i="5" s="1"/>
  <c r="E3" i="5"/>
  <c r="E49" i="5"/>
  <c r="F49" i="5"/>
  <c r="D33" i="5"/>
  <c r="G48" i="5"/>
  <c r="G49" i="5" s="1"/>
  <c r="Q7" i="5"/>
  <c r="L14" i="5"/>
  <c r="S14" i="5" s="1"/>
  <c r="L15" i="5"/>
  <c r="S15" i="5" s="1"/>
  <c r="L16" i="5"/>
  <c r="S16" i="5" s="1"/>
  <c r="L17" i="5"/>
  <c r="S17" i="5" s="1"/>
  <c r="L18" i="5"/>
  <c r="S18" i="5" s="1"/>
  <c r="L19" i="5"/>
  <c r="S19" i="5" s="1"/>
  <c r="L20" i="5"/>
  <c r="S20" i="5" s="1"/>
  <c r="L21" i="5"/>
  <c r="S21" i="5" s="1"/>
  <c r="L22" i="5"/>
  <c r="S22" i="5" s="1"/>
  <c r="L23" i="5"/>
  <c r="S23" i="5" s="1"/>
  <c r="L24" i="5"/>
  <c r="S24" i="5" s="1"/>
  <c r="L25" i="5"/>
  <c r="S25" i="5" s="1"/>
  <c r="L26" i="5"/>
  <c r="S26" i="5" s="1"/>
  <c r="L13" i="5"/>
  <c r="S13" i="5" s="1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13" i="5"/>
  <c r="K12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13" i="5"/>
  <c r="J12" i="5"/>
  <c r="M12" i="5" s="1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G12" i="5" s="1"/>
  <c r="C11" i="2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D10" i="1"/>
  <c r="C10" i="1"/>
  <c r="E10" i="1"/>
  <c r="D9" i="1"/>
  <c r="C9" i="1"/>
  <c r="F9" i="1" s="1"/>
  <c r="E9" i="1"/>
  <c r="B29" i="10" l="1"/>
  <c r="B30" i="10" s="1"/>
  <c r="B16" i="8"/>
  <c r="B18" i="8" s="1"/>
  <c r="Q13" i="5"/>
  <c r="Q14" i="5"/>
  <c r="Q26" i="5"/>
  <c r="R23" i="5"/>
  <c r="Q20" i="5"/>
  <c r="R19" i="5"/>
  <c r="Q12" i="5"/>
  <c r="T12" i="5" s="1"/>
  <c r="Q18" i="5"/>
  <c r="R17" i="5"/>
  <c r="Q22" i="5"/>
  <c r="R25" i="5"/>
  <c r="R15" i="5"/>
  <c r="Q24" i="5"/>
  <c r="Q16" i="5"/>
  <c r="R21" i="5"/>
  <c r="G13" i="5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R12" i="5"/>
  <c r="Q25" i="5"/>
  <c r="Q21" i="5"/>
  <c r="Q17" i="5"/>
  <c r="R26" i="5"/>
  <c r="R22" i="5"/>
  <c r="R18" i="5"/>
  <c r="R14" i="5"/>
  <c r="R13" i="5"/>
  <c r="Q23" i="5"/>
  <c r="Q19" i="5"/>
  <c r="Q15" i="5"/>
  <c r="R24" i="5"/>
  <c r="R20" i="5"/>
  <c r="R16" i="5"/>
  <c r="M13" i="5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T13" i="5" l="1"/>
  <c r="T14" i="5" s="1"/>
  <c r="T15" i="5" s="1"/>
  <c r="T16" i="5"/>
  <c r="T17" i="5" s="1"/>
  <c r="T18" i="5" s="1"/>
  <c r="T19" i="5" s="1"/>
  <c r="T20" i="5" s="1"/>
  <c r="T21" i="5" s="1"/>
  <c r="T22" i="5" s="1"/>
  <c r="T23" i="5" s="1"/>
  <c r="T24" i="5" s="1"/>
  <c r="T25" i="5" s="1"/>
  <c r="T26" i="5" s="1"/>
</calcChain>
</file>

<file path=xl/sharedStrings.xml><?xml version="1.0" encoding="utf-8"?>
<sst xmlns="http://schemas.openxmlformats.org/spreadsheetml/2006/main" count="125" uniqueCount="82">
  <si>
    <t>Plazo</t>
  </si>
  <si>
    <t>Monto credito</t>
  </si>
  <si>
    <t>Tasa anual</t>
  </si>
  <si>
    <t>Amortizacion</t>
  </si>
  <si>
    <t>Interes</t>
  </si>
  <si>
    <t>Dividendo</t>
  </si>
  <si>
    <t>Saldo Deuda</t>
  </si>
  <si>
    <t>cuotas anuales</t>
  </si>
  <si>
    <t>Año</t>
  </si>
  <si>
    <t>UF</t>
  </si>
  <si>
    <t>Inversiones Lonquen Limitada</t>
  </si>
  <si>
    <t>Uf al 26/04</t>
  </si>
  <si>
    <t>CLP</t>
  </si>
  <si>
    <t>Acreedor</t>
  </si>
  <si>
    <t>Movimiento bancario:</t>
  </si>
  <si>
    <t>Banco Chile</t>
  </si>
  <si>
    <t>TOTALES</t>
  </si>
  <si>
    <t>Aporte socios</t>
  </si>
  <si>
    <t>FHB</t>
  </si>
  <si>
    <t>PLS</t>
  </si>
  <si>
    <t>JMP</t>
  </si>
  <si>
    <t>Aporte inicial</t>
  </si>
  <si>
    <t>24/04/2024</t>
  </si>
  <si>
    <t>Aporte 2. Entrada camino cerco</t>
  </si>
  <si>
    <t>Total</t>
  </si>
  <si>
    <t>Fecha</t>
  </si>
  <si>
    <t>Aportes los hace PLS y JMP, pero corresponde 1/3 a FH</t>
  </si>
  <si>
    <t>Vencimientos</t>
  </si>
  <si>
    <t xml:space="preserve">Compra </t>
  </si>
  <si>
    <t>Pie (3358 propio + 6391 Inv Lonq)</t>
  </si>
  <si>
    <t>Div Real Es*847.3819</t>
  </si>
  <si>
    <t>Tw</t>
  </si>
  <si>
    <t>10.07.25</t>
  </si>
  <si>
    <t>10.07.26</t>
  </si>
  <si>
    <t>10.07.27</t>
  </si>
  <si>
    <t>10.07.28</t>
  </si>
  <si>
    <t>10.07.29</t>
  </si>
  <si>
    <t>10.07.30</t>
  </si>
  <si>
    <t>10.07.31</t>
  </si>
  <si>
    <t>10.07.32</t>
  </si>
  <si>
    <t>10.07.33</t>
  </si>
  <si>
    <t>10.07.34</t>
  </si>
  <si>
    <t>10.07.35</t>
  </si>
  <si>
    <t>10.07.36</t>
  </si>
  <si>
    <t>10.07.37</t>
  </si>
  <si>
    <t>10.07.38</t>
  </si>
  <si>
    <t>10.07.39</t>
  </si>
  <si>
    <t xml:space="preserve"> 10 de julio</t>
  </si>
  <si>
    <t>Capital Adeudado</t>
  </si>
  <si>
    <t>Minimo</t>
  </si>
  <si>
    <t>Comision prepago</t>
  </si>
  <si>
    <t>3 meses sobre capital que se prepaga</t>
  </si>
  <si>
    <t>Comision prepago.</t>
  </si>
  <si>
    <t>Minimo 5%</t>
  </si>
  <si>
    <t>Dividendo devengado a la fecha</t>
  </si>
  <si>
    <t>UF al 31/01</t>
  </si>
  <si>
    <t>al 31/12</t>
  </si>
  <si>
    <t>Prepago</t>
  </si>
  <si>
    <t>Total capital prepagado</t>
  </si>
  <si>
    <t xml:space="preserve">Dividendo se despompone en: </t>
  </si>
  <si>
    <t xml:space="preserve">Amortizacion: </t>
  </si>
  <si>
    <t>% de capitla pagado</t>
  </si>
  <si>
    <t>Hectareas totales</t>
  </si>
  <si>
    <t>Hectareas a alzar</t>
  </si>
  <si>
    <t>Ejemplo pago 60 mm el 31/01</t>
  </si>
  <si>
    <t xml:space="preserve"> 10 hectareas equivale a 20 parcelas de 5.000 m2.-</t>
  </si>
  <si>
    <t>Tasa diaria</t>
  </si>
  <si>
    <t>Capital</t>
  </si>
  <si>
    <t>Resumen</t>
  </si>
  <si>
    <t>Total CLP</t>
  </si>
  <si>
    <t>Interes diario</t>
  </si>
  <si>
    <t>Interes anual</t>
  </si>
  <si>
    <t>Fecha inicio prestamo</t>
  </si>
  <si>
    <t>Fecha pago prestamo</t>
  </si>
  <si>
    <t>Deuda UF</t>
  </si>
  <si>
    <t>Dias transcurridos</t>
  </si>
  <si>
    <t>Monto interes UF</t>
  </si>
  <si>
    <t>Prestamo UF</t>
  </si>
  <si>
    <t>UF 26/04/2024</t>
  </si>
  <si>
    <t>UF 25/07/2025</t>
  </si>
  <si>
    <t>Prestamo 26/04/2024</t>
  </si>
  <si>
    <t>Pago 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</si>
</sst>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.0_);_(&quot;$&quot;* \(#,##0.0\);_(&quot;$&quot;* &quot;-&quot;??_);_(@_)"/>
    <numFmt numFmtId="169" formatCode="_(&quot;$&quot;* #,##0_);_(&quot;$&quot;* \(#,##0\);_(&quot;$&quot;* &quot;-&quot;??_);_(@_)"/>
    <numFmt numFmtId="170" formatCode="0.0"/>
    <numFmt numFmtId="171" formatCode="0.000%"/>
    <numFmt numFmtId="172" formatCode="0.00000%"/>
    <numFmt numFmtId="173" formatCode="0.000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706F6F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1" fillId="2" borderId="1" xfId="3" applyBorder="1" applyAlignment="1">
      <alignment horizontal="center"/>
    </xf>
    <xf numFmtId="10" fontId="0" fillId="0" borderId="1" xfId="0" applyNumberFormat="1" applyBorder="1"/>
    <xf numFmtId="0" fontId="0" fillId="0" borderId="1" xfId="0" applyBorder="1" applyAlignment="1">
      <alignment horizontal="center"/>
    </xf>
    <xf numFmtId="167" fontId="0" fillId="0" borderId="1" xfId="1" applyNumberFormat="1" applyFont="1" applyBorder="1"/>
    <xf numFmtId="0" fontId="0" fillId="2" borderId="1" xfId="3" applyFont="1" applyBorder="1" applyAlignment="1">
      <alignment horizontal="center"/>
    </xf>
    <xf numFmtId="0" fontId="0" fillId="0" borderId="2" xfId="0" applyBorder="1"/>
    <xf numFmtId="168" fontId="0" fillId="0" borderId="3" xfId="2" applyNumberFormat="1" applyFont="1" applyBorder="1"/>
    <xf numFmtId="0" fontId="0" fillId="0" borderId="4" xfId="0" applyBorder="1"/>
    <xf numFmtId="168" fontId="0" fillId="0" borderId="5" xfId="2" applyNumberFormat="1" applyFont="1" applyBorder="1"/>
    <xf numFmtId="0" fontId="0" fillId="0" borderId="6" xfId="0" applyBorder="1"/>
    <xf numFmtId="169" fontId="2" fillId="3" borderId="7" xfId="4" applyNumberFormat="1" applyBorder="1"/>
    <xf numFmtId="166" fontId="0" fillId="0" borderId="1" xfId="1" applyFont="1" applyBorder="1"/>
    <xf numFmtId="0" fontId="0" fillId="4" borderId="1" xfId="0" applyFill="1" applyBorder="1"/>
    <xf numFmtId="166" fontId="0" fillId="0" borderId="0" xfId="0" applyNumberFormat="1"/>
    <xf numFmtId="165" fontId="0" fillId="0" borderId="0" xfId="2" applyFont="1"/>
    <xf numFmtId="9" fontId="0" fillId="0" borderId="0" xfId="5" applyFont="1"/>
    <xf numFmtId="169" fontId="0" fillId="0" borderId="0" xfId="2" applyNumberFormat="1" applyFont="1"/>
    <xf numFmtId="0" fontId="3" fillId="0" borderId="0" xfId="0" applyFont="1"/>
    <xf numFmtId="0" fontId="3" fillId="0" borderId="1" xfId="0" applyFont="1" applyBorder="1"/>
    <xf numFmtId="169" fontId="0" fillId="0" borderId="1" xfId="2" applyNumberFormat="1" applyFont="1" applyBorder="1"/>
    <xf numFmtId="169" fontId="0" fillId="0" borderId="1" xfId="0" applyNumberFormat="1" applyBorder="1"/>
    <xf numFmtId="169" fontId="4" fillId="0" borderId="1" xfId="2" applyNumberFormat="1" applyFont="1" applyBorder="1"/>
    <xf numFmtId="167" fontId="0" fillId="0" borderId="0" xfId="0" applyNumberFormat="1"/>
    <xf numFmtId="166" fontId="0" fillId="0" borderId="0" xfId="1" applyFont="1"/>
    <xf numFmtId="9" fontId="0" fillId="0" borderId="0" xfId="0" applyNumberFormat="1"/>
    <xf numFmtId="10" fontId="0" fillId="0" borderId="0" xfId="5" applyNumberFormat="1" applyFont="1"/>
    <xf numFmtId="0" fontId="4" fillId="0" borderId="0" xfId="0" applyFont="1"/>
    <xf numFmtId="0" fontId="6" fillId="5" borderId="0" xfId="6"/>
    <xf numFmtId="170" fontId="6" fillId="5" borderId="0" xfId="6" applyNumberFormat="1"/>
    <xf numFmtId="164" fontId="0" fillId="0" borderId="0" xfId="0" applyNumberFormat="1"/>
    <xf numFmtId="167" fontId="0" fillId="0" borderId="0" xfId="1" applyNumberFormat="1" applyFont="1"/>
    <xf numFmtId="171" fontId="0" fillId="0" borderId="0" xfId="5" applyNumberFormat="1" applyFont="1"/>
    <xf numFmtId="172" fontId="0" fillId="0" borderId="0" xfId="5" applyNumberFormat="1" applyFont="1"/>
    <xf numFmtId="0" fontId="0" fillId="0" borderId="8" xfId="0" applyBorder="1"/>
    <xf numFmtId="166" fontId="0" fillId="0" borderId="8" xfId="0" applyNumberFormat="1" applyBorder="1"/>
    <xf numFmtId="0" fontId="0" fillId="7" borderId="0" xfId="0" applyFill="1"/>
    <xf numFmtId="10" fontId="8" fillId="0" borderId="0" xfId="1" applyNumberFormat="1" applyFont="1" applyFill="1"/>
    <xf numFmtId="173" fontId="8" fillId="0" borderId="0" xfId="5" applyNumberFormat="1" applyFont="1" applyFill="1"/>
    <xf numFmtId="166" fontId="8" fillId="0" borderId="0" xfId="1" applyFont="1" applyFill="1"/>
    <xf numFmtId="0" fontId="8" fillId="0" borderId="0" xfId="0" applyFont="1"/>
    <xf numFmtId="14" fontId="8" fillId="0" borderId="0" xfId="0" applyNumberFormat="1" applyFont="1"/>
    <xf numFmtId="14" fontId="8" fillId="0" borderId="0" xfId="7" applyNumberFormat="1" applyFont="1" applyFill="1"/>
    <xf numFmtId="168" fontId="0" fillId="0" borderId="0" xfId="2" applyNumberFormat="1" applyFont="1" applyFill="1" applyBorder="1"/>
    <xf numFmtId="169" fontId="2" fillId="0" borderId="0" xfId="4" applyNumberFormat="1" applyFill="1" applyBorder="1"/>
    <xf numFmtId="167" fontId="0" fillId="0" borderId="0" xfId="1" applyNumberFormat="1" applyFont="1" applyBorder="1"/>
    <xf numFmtId="166" fontId="0" fillId="0" borderId="0" xfId="1" applyNumberFormat="1" applyFont="1" applyBorder="1"/>
    <xf numFmtId="166" fontId="8" fillId="0" borderId="0" xfId="0" applyNumberFormat="1" applyFont="1"/>
  </cellXfs>
  <cellStyles count="8">
    <cellStyle name="20% - Énfasis1" xfId="3" builtinId="30"/>
    <cellStyle name="Bueno" xfId="6" builtinId="26"/>
    <cellStyle name="Énfasis6" xfId="4" builtinId="49"/>
    <cellStyle name="Incorrecto" xfId="7" builtinId="27"/>
    <cellStyle name="Millares" xfId="1" builtinId="3"/>
    <cellStyle name="Moneda" xfId="2" builtinId="4"/>
    <cellStyle name="Normal" xfId="0" builtinId="0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38100</xdr:rowOff>
    </xdr:from>
    <xdr:to>
      <xdr:col>14</xdr:col>
      <xdr:colOff>401344</xdr:colOff>
      <xdr:row>5</xdr:row>
      <xdr:rowOff>57232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69BDC-4300-43B3-B49C-4D9625427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19100"/>
          <a:ext cx="9269119" cy="590632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7</xdr:row>
      <xdr:rowOff>28575</xdr:rowOff>
    </xdr:from>
    <xdr:to>
      <xdr:col>16</xdr:col>
      <xdr:colOff>475901</xdr:colOff>
      <xdr:row>32</xdr:row>
      <xdr:rowOff>67657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9C7539-5F8B-1A72-22FF-15B50821D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362075"/>
          <a:ext cx="6562376" cy="4811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163394</xdr:colOff>
      <xdr:row>26</xdr:row>
      <xdr:rowOff>115007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F533B-746F-4196-B99F-21C99828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26594" cy="5068007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209549</xdr:colOff>
      <xdr:row>2</xdr:row>
      <xdr:rowOff>104775</xdr:rowOff>
    </xdr:from>
    <xdr:to>
      <xdr:col>29</xdr:col>
      <xdr:colOff>24070</xdr:colOff>
      <xdr:row>20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A3D7C-2810-4046-8695-084B2ABC4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2349" y="485775"/>
          <a:ext cx="6520121" cy="3486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15</xdr:row>
      <xdr:rowOff>152400</xdr:rowOff>
    </xdr:from>
    <xdr:to>
      <xdr:col>7</xdr:col>
      <xdr:colOff>495300</xdr:colOff>
      <xdr:row>17</xdr:row>
      <xdr:rowOff>171450</xdr:rowOff>
    </xdr:to>
    <xdr:sp macro="" textlink="">
      <xdr:nvSpPr>
        <xdr:cNvPr id="2" name="Plus Sign 1">
          <a:extLst>
            <a:ext uri="{FF2B5EF4-FFF2-40B4-BE49-F238E27FC236}">
              <a16:creationId xmlns:a16="http://schemas.microsoft.com/office/drawing/2014/main" id="{34A8608F-E198-489F-2386-F23C12448B25}"/>
            </a:ext>
          </a:extLst>
        </xdr:cNvPr>
        <xdr:cNvSpPr/>
      </xdr:nvSpPr>
      <xdr:spPr>
        <a:xfrm>
          <a:off x="5067300" y="2438400"/>
          <a:ext cx="371475" cy="40005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 kern="1200"/>
        </a:p>
      </xdr:txBody>
    </xdr:sp>
    <xdr:clientData/>
  </xdr:twoCellAnchor>
  <xdr:twoCellAnchor>
    <xdr:from>
      <xdr:col>13</xdr:col>
      <xdr:colOff>333375</xdr:colOff>
      <xdr:row>15</xdr:row>
      <xdr:rowOff>104775</xdr:rowOff>
    </xdr:from>
    <xdr:to>
      <xdr:col>14</xdr:col>
      <xdr:colOff>400050</xdr:colOff>
      <xdr:row>18</xdr:row>
      <xdr:rowOff>9525</xdr:rowOff>
    </xdr:to>
    <xdr:sp macro="" textlink="">
      <xdr:nvSpPr>
        <xdr:cNvPr id="3" name="Equals 2">
          <a:extLst>
            <a:ext uri="{FF2B5EF4-FFF2-40B4-BE49-F238E27FC236}">
              <a16:creationId xmlns:a16="http://schemas.microsoft.com/office/drawing/2014/main" id="{E5995526-1A6B-AC9D-4CAF-FF21C15D28F7}"/>
            </a:ext>
          </a:extLst>
        </xdr:cNvPr>
        <xdr:cNvSpPr/>
      </xdr:nvSpPr>
      <xdr:spPr>
        <a:xfrm>
          <a:off x="9067800" y="2390775"/>
          <a:ext cx="676275" cy="476250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19052</xdr:colOff>
      <xdr:row>22</xdr:row>
      <xdr:rowOff>142877</xdr:rowOff>
    </xdr:from>
    <xdr:to>
      <xdr:col>15</xdr:col>
      <xdr:colOff>228601</xdr:colOff>
      <xdr:row>38</xdr:row>
      <xdr:rowOff>104713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3FB834-E497-4B27-DC1F-5F609E7BE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5027" y="4333877"/>
          <a:ext cx="5629274" cy="30098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552451</xdr:colOff>
      <xdr:row>10</xdr:row>
      <xdr:rowOff>47625</xdr:rowOff>
    </xdr:from>
    <xdr:to>
      <xdr:col>22</xdr:col>
      <xdr:colOff>76693</xdr:colOff>
      <xdr:row>46</xdr:row>
      <xdr:rowOff>163042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2D1B6-02D1-CD85-89C3-8C0F8296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1" y="1952625"/>
          <a:ext cx="5620242" cy="6973417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0</xdr:row>
      <xdr:rowOff>190499</xdr:rowOff>
    </xdr:from>
    <xdr:to>
      <xdr:col>22</xdr:col>
      <xdr:colOff>0</xdr:colOff>
      <xdr:row>11</xdr:row>
      <xdr:rowOff>8846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F762A8-1338-44B5-86CC-875972B1B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190499"/>
          <a:ext cx="5238750" cy="1913847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7</xdr:col>
      <xdr:colOff>19050</xdr:colOff>
      <xdr:row>6</xdr:row>
      <xdr:rowOff>85725</xdr:rowOff>
    </xdr:from>
    <xdr:to>
      <xdr:col>12</xdr:col>
      <xdr:colOff>95250</xdr:colOff>
      <xdr:row>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44063A-5409-2625-74C2-1D8B4FFA1E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8766" b="-13446"/>
        <a:stretch/>
      </xdr:blipFill>
      <xdr:spPr>
        <a:xfrm>
          <a:off x="6219825" y="1228725"/>
          <a:ext cx="312420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26EB-DC38-49D3-B8CF-EBCECB1732A5}">
  <dimension ref="B3:K24"/>
  <sheetViews>
    <sheetView workbookViewId="0">
      <selection activeCell="J5" sqref="J5:K10"/>
    </sheetView>
  </sheetViews>
  <sheetFormatPr baseColWidth="10" defaultColWidth="9.140625" defaultRowHeight="15" x14ac:dyDescent="0.25"/>
  <cols>
    <col min="1" max="1" width="5.42578125" customWidth="1"/>
    <col min="2" max="2" width="13.7109375" bestFit="1" customWidth="1"/>
    <col min="3" max="3" width="13.140625" bestFit="1" customWidth="1"/>
    <col min="4" max="4" width="17" customWidth="1"/>
    <col min="5" max="5" width="12" bestFit="1" customWidth="1"/>
    <col min="6" max="6" width="12.85546875" bestFit="1" customWidth="1"/>
    <col min="10" max="10" width="9.5703125" bestFit="1" customWidth="1"/>
    <col min="11" max="11" width="15.28515625" bestFit="1" customWidth="1"/>
    <col min="12" max="12" width="10" bestFit="1" customWidth="1"/>
  </cols>
  <sheetData>
    <row r="3" spans="2:11" x14ac:dyDescent="0.25">
      <c r="B3" s="1" t="s">
        <v>13</v>
      </c>
      <c r="C3" s="1" t="s">
        <v>10</v>
      </c>
      <c r="D3" s="1"/>
    </row>
    <row r="4" spans="2:11" x14ac:dyDescent="0.25">
      <c r="B4" s="1" t="s">
        <v>1</v>
      </c>
      <c r="C4" s="5">
        <v>6391</v>
      </c>
      <c r="D4" s="1" t="s">
        <v>9</v>
      </c>
    </row>
    <row r="5" spans="2:11" x14ac:dyDescent="0.25">
      <c r="B5" s="1" t="s">
        <v>0</v>
      </c>
      <c r="C5" s="1">
        <v>15</v>
      </c>
      <c r="D5" s="1" t="s">
        <v>7</v>
      </c>
    </row>
    <row r="6" spans="2:11" x14ac:dyDescent="0.25">
      <c r="B6" s="1" t="s">
        <v>2</v>
      </c>
      <c r="C6" s="3">
        <v>5.5100000000000003E-2</v>
      </c>
      <c r="D6" s="1"/>
      <c r="H6">
        <f>+C6/12</f>
        <v>4.5916666666666666E-3</v>
      </c>
    </row>
    <row r="8" spans="2:11" x14ac:dyDescent="0.25">
      <c r="B8" s="2" t="s">
        <v>8</v>
      </c>
      <c r="C8" s="6" t="s">
        <v>3</v>
      </c>
      <c r="D8" s="2" t="s">
        <v>4</v>
      </c>
      <c r="E8" s="2" t="s">
        <v>5</v>
      </c>
      <c r="F8" s="2" t="s">
        <v>6</v>
      </c>
    </row>
    <row r="9" spans="2:11" x14ac:dyDescent="0.25">
      <c r="B9" s="4">
        <v>1</v>
      </c>
      <c r="C9" s="13">
        <f>+PPMT($C$6,B9,C5,C4)</f>
        <v>-284.9862988510435</v>
      </c>
      <c r="D9" s="13">
        <f>+IPMT($C$6,B9,$C$5,C4)</f>
        <v>-352.14410000000004</v>
      </c>
      <c r="E9" s="13">
        <f>+PMT(5.51%,15,C4)</f>
        <v>-637.13039885104354</v>
      </c>
      <c r="F9" s="13">
        <f>+C4+C9</f>
        <v>6106.0137011489569</v>
      </c>
    </row>
    <row r="10" spans="2:11" x14ac:dyDescent="0.25">
      <c r="B10" s="4">
        <v>2</v>
      </c>
      <c r="C10" s="13">
        <f>+PPMT($C$6,B10,$C$5,$C$4)</f>
        <v>-300.68904391773594</v>
      </c>
      <c r="D10" s="13">
        <f>+IPMT($C$6,B10,$C$5,$C$4)</f>
        <v>-336.44135493330754</v>
      </c>
      <c r="E10" s="13">
        <f>+PMT($C$6,$C$5,$C$4)</f>
        <v>-637.13039885104354</v>
      </c>
      <c r="F10" s="13">
        <f>+F9+C10</f>
        <v>5805.324657231221</v>
      </c>
    </row>
    <row r="11" spans="2:11" x14ac:dyDescent="0.25">
      <c r="B11" s="4">
        <v>3</v>
      </c>
      <c r="C11" s="13">
        <f t="shared" ref="C11:C23" si="0">+PPMT($C$6,B11,$C$5,$C$4)</f>
        <v>-317.2570102376032</v>
      </c>
      <c r="D11" s="13">
        <f t="shared" ref="D11:D23" si="1">+IPMT($C$6,B11,$C$5,$C$4)</f>
        <v>-319.87338861344028</v>
      </c>
      <c r="E11" s="13">
        <f t="shared" ref="E11:E23" si="2">+PMT($C$6,$C$5,$C$4)</f>
        <v>-637.13039885104354</v>
      </c>
      <c r="F11" s="13">
        <f t="shared" ref="F11:F23" si="3">+F10+C11</f>
        <v>5488.0676469936179</v>
      </c>
      <c r="K11" s="15"/>
    </row>
    <row r="12" spans="2:11" x14ac:dyDescent="0.25">
      <c r="B12" s="4">
        <v>4</v>
      </c>
      <c r="C12" s="13">
        <f t="shared" si="0"/>
        <v>-334.73787150169522</v>
      </c>
      <c r="D12" s="13">
        <f t="shared" si="1"/>
        <v>-302.39252734934843</v>
      </c>
      <c r="E12" s="13">
        <f t="shared" si="2"/>
        <v>-637.13039885104354</v>
      </c>
      <c r="F12" s="13">
        <f t="shared" si="3"/>
        <v>5153.3297754919231</v>
      </c>
    </row>
    <row r="13" spans="2:11" x14ac:dyDescent="0.25">
      <c r="B13" s="4">
        <v>5</v>
      </c>
      <c r="C13" s="13">
        <f t="shared" si="0"/>
        <v>-353.18192822143862</v>
      </c>
      <c r="D13" s="13">
        <f t="shared" si="1"/>
        <v>-283.94847062960486</v>
      </c>
      <c r="E13" s="13">
        <f t="shared" si="2"/>
        <v>-637.13039885104354</v>
      </c>
      <c r="F13" s="13">
        <f t="shared" si="3"/>
        <v>4800.1478472704848</v>
      </c>
    </row>
    <row r="14" spans="2:11" x14ac:dyDescent="0.25">
      <c r="B14" s="4">
        <v>6</v>
      </c>
      <c r="C14" s="13">
        <f t="shared" si="0"/>
        <v>-372.64225246643991</v>
      </c>
      <c r="D14" s="13">
        <f t="shared" si="1"/>
        <v>-264.48814638460362</v>
      </c>
      <c r="E14" s="13">
        <f t="shared" si="2"/>
        <v>-637.13039885104354</v>
      </c>
      <c r="F14" s="13">
        <f t="shared" si="3"/>
        <v>4427.5055948040444</v>
      </c>
    </row>
    <row r="15" spans="2:11" x14ac:dyDescent="0.25">
      <c r="B15" s="4">
        <v>7</v>
      </c>
      <c r="C15" s="13">
        <f t="shared" si="0"/>
        <v>-393.17484057734072</v>
      </c>
      <c r="D15" s="13">
        <f t="shared" si="1"/>
        <v>-243.95555827370282</v>
      </c>
      <c r="E15" s="13">
        <f t="shared" si="2"/>
        <v>-637.13039885104354</v>
      </c>
      <c r="F15" s="13">
        <f t="shared" si="3"/>
        <v>4034.3307542267039</v>
      </c>
    </row>
    <row r="16" spans="2:11" x14ac:dyDescent="0.25">
      <c r="B16" s="4">
        <v>8</v>
      </c>
      <c r="C16" s="13">
        <f t="shared" si="0"/>
        <v>-414.83877429315214</v>
      </c>
      <c r="D16" s="13">
        <f t="shared" si="1"/>
        <v>-222.29162455789131</v>
      </c>
      <c r="E16" s="13">
        <f t="shared" si="2"/>
        <v>-637.13039885104354</v>
      </c>
      <c r="F16" s="13">
        <f t="shared" si="3"/>
        <v>3619.4919799335516</v>
      </c>
    </row>
    <row r="17" spans="2:11" x14ac:dyDescent="0.25">
      <c r="B17" s="4">
        <v>9</v>
      </c>
      <c r="C17" s="13">
        <f t="shared" si="0"/>
        <v>-437.69639075670483</v>
      </c>
      <c r="D17" s="13">
        <f t="shared" si="1"/>
        <v>-199.43400809433865</v>
      </c>
      <c r="E17" s="13">
        <f t="shared" si="2"/>
        <v>-637.13039885104354</v>
      </c>
      <c r="F17" s="13">
        <f t="shared" si="3"/>
        <v>3181.795589176847</v>
      </c>
    </row>
    <row r="18" spans="2:11" x14ac:dyDescent="0.25">
      <c r="B18" s="4">
        <v>10</v>
      </c>
      <c r="C18" s="13">
        <f t="shared" si="0"/>
        <v>-461.81346188739934</v>
      </c>
      <c r="D18" s="13">
        <f t="shared" si="1"/>
        <v>-175.31693696364422</v>
      </c>
      <c r="E18" s="13">
        <f t="shared" si="2"/>
        <v>-637.13039885104354</v>
      </c>
      <c r="F18" s="13">
        <f t="shared" si="3"/>
        <v>2719.9821272894478</v>
      </c>
    </row>
    <row r="19" spans="2:11" x14ac:dyDescent="0.25">
      <c r="B19" s="4">
        <v>11</v>
      </c>
      <c r="C19" s="13">
        <f t="shared" si="0"/>
        <v>-487.25938363739505</v>
      </c>
      <c r="D19" s="13">
        <f t="shared" si="1"/>
        <v>-149.87101521364849</v>
      </c>
      <c r="E19" s="13">
        <f t="shared" si="2"/>
        <v>-637.13039885104354</v>
      </c>
      <c r="F19" s="13">
        <f t="shared" si="3"/>
        <v>2232.7227436520529</v>
      </c>
    </row>
    <row r="20" spans="2:11" x14ac:dyDescent="0.25">
      <c r="B20" s="4">
        <v>12</v>
      </c>
      <c r="C20" s="13">
        <f t="shared" si="0"/>
        <v>-514.10737567581543</v>
      </c>
      <c r="D20" s="13">
        <f t="shared" si="1"/>
        <v>-123.02302317522805</v>
      </c>
      <c r="E20" s="13">
        <f t="shared" si="2"/>
        <v>-637.13039885104354</v>
      </c>
      <c r="F20" s="13">
        <f t="shared" si="3"/>
        <v>1718.6153679762374</v>
      </c>
    </row>
    <row r="21" spans="2:11" x14ac:dyDescent="0.25">
      <c r="B21" s="4">
        <v>13</v>
      </c>
      <c r="C21" s="13">
        <f t="shared" si="0"/>
        <v>-542.43469207555279</v>
      </c>
      <c r="D21" s="13">
        <f t="shared" si="1"/>
        <v>-94.695706775490606</v>
      </c>
      <c r="E21" s="13">
        <f t="shared" si="2"/>
        <v>-637.13039885104354</v>
      </c>
      <c r="F21" s="13">
        <f t="shared" si="3"/>
        <v>1176.1806759006845</v>
      </c>
    </row>
    <row r="22" spans="2:11" x14ac:dyDescent="0.25">
      <c r="B22" s="4">
        <v>14</v>
      </c>
      <c r="C22" s="13">
        <f t="shared" si="0"/>
        <v>-572.32284360891583</v>
      </c>
      <c r="D22" s="13">
        <f t="shared" si="1"/>
        <v>-64.807555242127648</v>
      </c>
      <c r="E22" s="13">
        <f t="shared" si="2"/>
        <v>-637.13039885104354</v>
      </c>
      <c r="F22" s="13">
        <f t="shared" si="3"/>
        <v>603.85783229176866</v>
      </c>
    </row>
    <row r="23" spans="2:11" x14ac:dyDescent="0.25">
      <c r="B23" s="4">
        <v>15</v>
      </c>
      <c r="C23" s="13">
        <f t="shared" si="0"/>
        <v>-603.85783229176718</v>
      </c>
      <c r="D23" s="13">
        <f t="shared" si="1"/>
        <v>-33.27256655927637</v>
      </c>
      <c r="E23" s="13">
        <f t="shared" si="2"/>
        <v>-637.13039885104354</v>
      </c>
      <c r="F23" s="13">
        <f t="shared" si="3"/>
        <v>1.4779288903810084E-12</v>
      </c>
    </row>
    <row r="24" spans="2:11" x14ac:dyDescent="0.25">
      <c r="K24" s="28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FEF4-C0B6-4380-AAE5-1E78FBB734A6}">
  <dimension ref="A1:I30"/>
  <sheetViews>
    <sheetView tabSelected="1" workbookViewId="0">
      <selection activeCell="E30" sqref="E30"/>
    </sheetView>
  </sheetViews>
  <sheetFormatPr baseColWidth="10" defaultColWidth="9.140625" defaultRowHeight="15" x14ac:dyDescent="0.25"/>
  <cols>
    <col min="1" max="1" width="28.85546875" customWidth="1"/>
    <col min="2" max="2" width="15.28515625" bestFit="1" customWidth="1"/>
    <col min="9" max="9" width="15.28515625" bestFit="1" customWidth="1"/>
  </cols>
  <sheetData>
    <row r="1" spans="1:9" x14ac:dyDescent="0.25">
      <c r="B1" s="37"/>
    </row>
    <row r="2" spans="1:9" x14ac:dyDescent="0.25">
      <c r="I2" s="44"/>
    </row>
    <row r="3" spans="1:9" x14ac:dyDescent="0.25">
      <c r="A3" s="19" t="s">
        <v>80</v>
      </c>
      <c r="I3" s="44"/>
    </row>
    <row r="4" spans="1:9" x14ac:dyDescent="0.25">
      <c r="A4" t="s">
        <v>12</v>
      </c>
      <c r="B4" s="46">
        <v>238000000</v>
      </c>
    </row>
    <row r="5" spans="1:9" x14ac:dyDescent="0.25">
      <c r="A5" t="s">
        <v>78</v>
      </c>
      <c r="B5" s="46">
        <v>37242.15</v>
      </c>
      <c r="I5" s="45"/>
    </row>
    <row r="6" spans="1:9" x14ac:dyDescent="0.25">
      <c r="A6" t="s">
        <v>77</v>
      </c>
      <c r="B6" s="47">
        <f>+B4/B5</f>
        <v>6390.6084906483648</v>
      </c>
    </row>
    <row r="8" spans="1:9" x14ac:dyDescent="0.25">
      <c r="A8" s="19" t="s">
        <v>81</v>
      </c>
    </row>
    <row r="9" spans="1:9" x14ac:dyDescent="0.25">
      <c r="A9" t="s">
        <v>79</v>
      </c>
      <c r="B9" s="40">
        <v>39209.42</v>
      </c>
    </row>
    <row r="10" spans="1:9" x14ac:dyDescent="0.25">
      <c r="A10" t="s">
        <v>74</v>
      </c>
      <c r="B10" s="48">
        <f>+B6</f>
        <v>6390.6084906483648</v>
      </c>
    </row>
    <row r="11" spans="1:9" x14ac:dyDescent="0.25">
      <c r="A11" t="s">
        <v>71</v>
      </c>
      <c r="B11" s="38">
        <f>+'Tabla de Desarrollo Inv Lonquen'!C6</f>
        <v>5.5100000000000003E-2</v>
      </c>
    </row>
    <row r="12" spans="1:9" x14ac:dyDescent="0.25">
      <c r="A12" t="s">
        <v>70</v>
      </c>
      <c r="B12" s="39">
        <f>+B11/365</f>
        <v>1.5095890410958906E-4</v>
      </c>
      <c r="E12" s="15"/>
    </row>
    <row r="13" spans="1:9" x14ac:dyDescent="0.25">
      <c r="B13" s="40"/>
      <c r="E13" s="15"/>
    </row>
    <row r="14" spans="1:9" x14ac:dyDescent="0.25">
      <c r="B14" s="41"/>
    </row>
    <row r="15" spans="1:9" x14ac:dyDescent="0.25">
      <c r="A15" t="s">
        <v>72</v>
      </c>
      <c r="B15" s="42">
        <v>45408</v>
      </c>
    </row>
    <row r="16" spans="1:9" x14ac:dyDescent="0.25">
      <c r="A16" t="s">
        <v>73</v>
      </c>
      <c r="B16" s="43">
        <v>45863</v>
      </c>
    </row>
    <row r="18" spans="1:3" x14ac:dyDescent="0.25">
      <c r="A18" t="s">
        <v>75</v>
      </c>
      <c r="B18" s="32">
        <f>+B16-B15</f>
        <v>455</v>
      </c>
    </row>
    <row r="19" spans="1:3" x14ac:dyDescent="0.25">
      <c r="A19" t="s">
        <v>66</v>
      </c>
      <c r="B19" s="34">
        <f>+B12</f>
        <v>1.5095890410958906E-4</v>
      </c>
    </row>
    <row r="20" spans="1:3" x14ac:dyDescent="0.25">
      <c r="A20" t="s">
        <v>4</v>
      </c>
      <c r="B20" s="33">
        <f>+B19*B18</f>
        <v>6.868630136986302E-2</v>
      </c>
    </row>
    <row r="21" spans="1:3" x14ac:dyDescent="0.25">
      <c r="A21" t="s">
        <v>76</v>
      </c>
      <c r="B21" s="15">
        <f>+B20*B10</f>
        <v>438.947260725479</v>
      </c>
      <c r="C21" s="15"/>
    </row>
    <row r="22" spans="1:3" x14ac:dyDescent="0.25">
      <c r="B22" s="24"/>
    </row>
    <row r="23" spans="1:3" x14ac:dyDescent="0.25">
      <c r="B23" s="15"/>
    </row>
    <row r="24" spans="1:3" x14ac:dyDescent="0.25">
      <c r="B24" s="32"/>
    </row>
    <row r="26" spans="1:3" x14ac:dyDescent="0.25">
      <c r="A26" s="19" t="s">
        <v>68</v>
      </c>
    </row>
    <row r="27" spans="1:3" x14ac:dyDescent="0.25">
      <c r="A27" t="s">
        <v>67</v>
      </c>
      <c r="B27" s="15">
        <f>+B10</f>
        <v>6390.6084906483648</v>
      </c>
    </row>
    <row r="28" spans="1:3" x14ac:dyDescent="0.25">
      <c r="A28" s="35" t="s">
        <v>4</v>
      </c>
      <c r="B28" s="36">
        <f>+B21</f>
        <v>438.947260725479</v>
      </c>
    </row>
    <row r="29" spans="1:3" x14ac:dyDescent="0.25">
      <c r="A29" t="s">
        <v>24</v>
      </c>
      <c r="B29" s="15">
        <f>+B28+B27</f>
        <v>6829.555751373844</v>
      </c>
    </row>
    <row r="30" spans="1:3" x14ac:dyDescent="0.25">
      <c r="A30" t="s">
        <v>69</v>
      </c>
      <c r="B30" s="32">
        <f>+B29*B9</f>
        <v>267782919.86903262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FC8B-20DB-4ED4-AF5E-66A7EF08A66C}">
  <dimension ref="A2:C11"/>
  <sheetViews>
    <sheetView workbookViewId="0">
      <selection activeCell="B8" sqref="B8:C11"/>
    </sheetView>
  </sheetViews>
  <sheetFormatPr baseColWidth="10" defaultColWidth="9.140625" defaultRowHeight="15" x14ac:dyDescent="0.25"/>
  <cols>
    <col min="2" max="2" width="10.28515625" bestFit="1" customWidth="1"/>
    <col min="3" max="3" width="15.28515625" bestFit="1" customWidth="1"/>
  </cols>
  <sheetData>
    <row r="2" spans="1:3" x14ac:dyDescent="0.25">
      <c r="A2" t="s">
        <v>14</v>
      </c>
    </row>
    <row r="7" spans="1:3" ht="15.75" thickBot="1" x14ac:dyDescent="0.3"/>
    <row r="8" spans="1:3" x14ac:dyDescent="0.25">
      <c r="B8" s="7" t="s">
        <v>11</v>
      </c>
      <c r="C8" s="8">
        <v>37242.15</v>
      </c>
    </row>
    <row r="9" spans="1:3" x14ac:dyDescent="0.25">
      <c r="B9" s="9"/>
      <c r="C9" s="10"/>
    </row>
    <row r="10" spans="1:3" x14ac:dyDescent="0.25">
      <c r="B10" s="9" t="s">
        <v>12</v>
      </c>
      <c r="C10" s="10">
        <v>238000000</v>
      </c>
    </row>
    <row r="11" spans="1:3" ht="15.75" thickBot="1" x14ac:dyDescent="0.3">
      <c r="B11" s="11" t="s">
        <v>9</v>
      </c>
      <c r="C11" s="12">
        <f>+C10/C8</f>
        <v>6390.6084906483648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302F-8014-49FA-849E-534FCB133EAC}">
  <dimension ref="A1"/>
  <sheetViews>
    <sheetView workbookViewId="0">
      <selection activeCell="W17" activeCellId="1" sqref="H30 W17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9D8E-7395-4B10-B042-0B35BCA3F151}">
  <sheetPr>
    <tabColor theme="5" tint="0.39997558519241921"/>
  </sheetPr>
  <dimension ref="C2:X50"/>
  <sheetViews>
    <sheetView topLeftCell="E1" workbookViewId="0">
      <selection activeCell="R34" sqref="R34"/>
    </sheetView>
  </sheetViews>
  <sheetFormatPr baseColWidth="10" defaultColWidth="9.140625" defaultRowHeight="15" x14ac:dyDescent="0.25"/>
  <cols>
    <col min="1" max="2" width="5.42578125" customWidth="1"/>
    <col min="3" max="3" width="13.7109375" bestFit="1" customWidth="1"/>
    <col min="4" max="4" width="15.28515625" bestFit="1" customWidth="1"/>
    <col min="5" max="5" width="17" customWidth="1"/>
    <col min="6" max="6" width="15.28515625" bestFit="1" customWidth="1"/>
    <col min="7" max="7" width="16.28515625" bestFit="1" customWidth="1"/>
    <col min="9" max="9" width="9.85546875" bestFit="1" customWidth="1"/>
    <col min="10" max="10" width="10.5703125" bestFit="1" customWidth="1"/>
    <col min="12" max="12" width="14.28515625" bestFit="1" customWidth="1"/>
    <col min="13" max="13" width="10" bestFit="1" customWidth="1"/>
    <col min="17" max="17" width="12.7109375" bestFit="1" customWidth="1"/>
    <col min="18" max="18" width="10.28515625" bestFit="1" customWidth="1"/>
    <col min="19" max="19" width="10.5703125" bestFit="1" customWidth="1"/>
    <col min="20" max="20" width="12" bestFit="1" customWidth="1"/>
    <col min="22" max="22" width="12" bestFit="1" customWidth="1"/>
    <col min="23" max="23" width="15" bestFit="1" customWidth="1"/>
    <col min="24" max="24" width="13.42578125" bestFit="1" customWidth="1"/>
  </cols>
  <sheetData>
    <row r="2" spans="3:24" x14ac:dyDescent="0.25">
      <c r="C2" t="s">
        <v>28</v>
      </c>
      <c r="D2">
        <v>18249.16</v>
      </c>
    </row>
    <row r="3" spans="3:24" x14ac:dyDescent="0.25">
      <c r="C3" t="s">
        <v>29</v>
      </c>
      <c r="D3">
        <v>9749.16</v>
      </c>
      <c r="E3" s="24">
        <f>+D3-D7</f>
        <v>3358.16</v>
      </c>
    </row>
    <row r="4" spans="3:24" x14ac:dyDescent="0.25">
      <c r="C4" t="s">
        <v>15</v>
      </c>
      <c r="D4">
        <v>8500</v>
      </c>
    </row>
    <row r="6" spans="3:24" x14ac:dyDescent="0.25">
      <c r="C6" s="1" t="s">
        <v>13</v>
      </c>
      <c r="D6" s="14" t="s">
        <v>10</v>
      </c>
      <c r="E6" s="1"/>
      <c r="I6" s="1" t="s">
        <v>13</v>
      </c>
      <c r="J6" s="14" t="s">
        <v>15</v>
      </c>
      <c r="K6" s="1"/>
      <c r="P6" s="1" t="s">
        <v>13</v>
      </c>
      <c r="Q6" s="14" t="s">
        <v>16</v>
      </c>
      <c r="R6" s="1"/>
    </row>
    <row r="7" spans="3:24" x14ac:dyDescent="0.25">
      <c r="C7" s="1" t="s">
        <v>1</v>
      </c>
      <c r="D7" s="5">
        <v>6391</v>
      </c>
      <c r="E7" s="1" t="s">
        <v>9</v>
      </c>
      <c r="I7" s="1" t="s">
        <v>1</v>
      </c>
      <c r="J7" s="5">
        <v>8500</v>
      </c>
      <c r="K7" s="1" t="s">
        <v>9</v>
      </c>
      <c r="P7" s="1" t="s">
        <v>1</v>
      </c>
      <c r="Q7" s="5">
        <f>+J7+D7</f>
        <v>14891</v>
      </c>
      <c r="R7" s="1" t="s">
        <v>9</v>
      </c>
    </row>
    <row r="8" spans="3:24" x14ac:dyDescent="0.25">
      <c r="C8" s="1" t="s">
        <v>0</v>
      </c>
      <c r="D8" s="1">
        <v>15</v>
      </c>
      <c r="E8" s="1" t="s">
        <v>7</v>
      </c>
      <c r="I8" s="1" t="s">
        <v>0</v>
      </c>
      <c r="J8" s="1">
        <v>15</v>
      </c>
      <c r="K8" s="1" t="s">
        <v>7</v>
      </c>
      <c r="P8" s="1" t="s">
        <v>0</v>
      </c>
      <c r="Q8" s="1">
        <v>15</v>
      </c>
      <c r="R8" s="1" t="s">
        <v>7</v>
      </c>
    </row>
    <row r="9" spans="3:24" x14ac:dyDescent="0.25">
      <c r="C9" s="1" t="s">
        <v>2</v>
      </c>
      <c r="D9" s="3">
        <v>5.5100000000000003E-2</v>
      </c>
      <c r="E9" s="1"/>
      <c r="I9" s="1" t="s">
        <v>2</v>
      </c>
      <c r="J9" s="3">
        <v>5.5100000000000003E-2</v>
      </c>
      <c r="K9" s="1"/>
      <c r="P9" s="1" t="s">
        <v>2</v>
      </c>
      <c r="Q9" s="3">
        <v>5.5100000000000003E-2</v>
      </c>
      <c r="R9" s="1"/>
      <c r="V9" t="s">
        <v>27</v>
      </c>
      <c r="W9" t="s">
        <v>47</v>
      </c>
    </row>
    <row r="10" spans="3:24" x14ac:dyDescent="0.25">
      <c r="L10" t="s">
        <v>30</v>
      </c>
    </row>
    <row r="11" spans="3:24" x14ac:dyDescent="0.25">
      <c r="C11" s="2" t="s">
        <v>8</v>
      </c>
      <c r="D11" s="6" t="s">
        <v>3</v>
      </c>
      <c r="E11" s="2" t="s">
        <v>4</v>
      </c>
      <c r="F11" s="2" t="s">
        <v>5</v>
      </c>
      <c r="G11" s="2" t="s">
        <v>6</v>
      </c>
      <c r="I11" s="2" t="s">
        <v>8</v>
      </c>
      <c r="J11" s="6" t="s">
        <v>3</v>
      </c>
      <c r="K11" s="2" t="s">
        <v>4</v>
      </c>
      <c r="L11" s="2" t="s">
        <v>5</v>
      </c>
      <c r="M11" s="2" t="s">
        <v>6</v>
      </c>
      <c r="P11" s="2" t="s">
        <v>8</v>
      </c>
      <c r="Q11" s="6" t="s">
        <v>3</v>
      </c>
      <c r="R11" s="2" t="s">
        <v>4</v>
      </c>
      <c r="S11" s="2" t="s">
        <v>5</v>
      </c>
      <c r="T11" s="2" t="s">
        <v>6</v>
      </c>
    </row>
    <row r="12" spans="3:24" x14ac:dyDescent="0.25">
      <c r="C12" s="4">
        <v>1</v>
      </c>
      <c r="D12" s="13">
        <f>+PPMT($D$9,C12,D8,D7)</f>
        <v>-284.9862988510435</v>
      </c>
      <c r="E12" s="13">
        <f>+IPMT($D$9,C12,$D$8,D7)</f>
        <v>-352.14410000000004</v>
      </c>
      <c r="F12" s="13">
        <f>+PMT(5.51%,15,D7)</f>
        <v>-637.13039885104354</v>
      </c>
      <c r="G12" s="13">
        <f>+D7+D12</f>
        <v>6106.0137011489569</v>
      </c>
      <c r="I12" s="4">
        <v>1</v>
      </c>
      <c r="J12" s="13">
        <f>+PPMT($J$9,I12,J8,J7)</f>
        <v>-379.03043971739476</v>
      </c>
      <c r="K12" s="13">
        <f>+IPMT($J$9,I12,$J$8,J7)</f>
        <v>-468.35</v>
      </c>
      <c r="L12" s="13">
        <f>-870.23</f>
        <v>-870.23</v>
      </c>
      <c r="M12" s="13">
        <f>+J7+J12</f>
        <v>8120.969560282605</v>
      </c>
      <c r="P12" s="4">
        <v>1</v>
      </c>
      <c r="Q12" s="13">
        <f>+PPMT($Q$9,P12,Q8,Q7)</f>
        <v>-664.01673856843831</v>
      </c>
      <c r="R12" s="13">
        <f>+IPMT($Q$9,P12,$Q$8,Q7)</f>
        <v>-820.4941</v>
      </c>
      <c r="S12" s="13">
        <f>+L12+F12</f>
        <v>-1507.3603988510436</v>
      </c>
      <c r="T12" s="13">
        <f>+Q7+Q12</f>
        <v>14226.983261431562</v>
      </c>
      <c r="V12" s="25" t="s">
        <v>32</v>
      </c>
      <c r="W12" s="15"/>
      <c r="X12" s="16"/>
    </row>
    <row r="13" spans="3:24" x14ac:dyDescent="0.25">
      <c r="C13" s="4">
        <v>2</v>
      </c>
      <c r="D13" s="13">
        <f>+PPMT($D$9,C13,$D$8,$D$7)</f>
        <v>-300.68904391773594</v>
      </c>
      <c r="E13" s="13">
        <f>+IPMT($D$9,C13,$D$8,$D$7)</f>
        <v>-336.44135493330754</v>
      </c>
      <c r="F13" s="13">
        <f>+PMT($D$9,$D$8,$D$7)</f>
        <v>-637.13039885104354</v>
      </c>
      <c r="G13" s="13">
        <f>+G12+D13</f>
        <v>5805.324657231221</v>
      </c>
      <c r="I13" s="4">
        <v>2</v>
      </c>
      <c r="J13" s="13">
        <f>+PPMT($J$9,I13,$J$8,$J$7)</f>
        <v>-399.9150169458232</v>
      </c>
      <c r="K13" s="13">
        <f>+IPMT($J$9,I13,$J$8,$J$7)</f>
        <v>-447.46542277157164</v>
      </c>
      <c r="L13" s="13">
        <f>+PMT($J$9,$J$8,$J$7)</f>
        <v>-847.38043971739478</v>
      </c>
      <c r="M13" s="13">
        <f>+M12+J13</f>
        <v>7721.0545433367815</v>
      </c>
      <c r="P13" s="4">
        <v>2</v>
      </c>
      <c r="Q13" s="13">
        <f>+PPMT($Q$9,P13,$Q$8,$Q$7)</f>
        <v>-700.6040608635592</v>
      </c>
      <c r="R13" s="13">
        <f>+IPMT($Q$9,P13,$Q$8,$Q$7)</f>
        <v>-783.90677770487923</v>
      </c>
      <c r="S13" s="13">
        <f t="shared" ref="S13:S26" si="0">+L13+F13</f>
        <v>-1484.5108385684384</v>
      </c>
      <c r="T13" s="13">
        <f>+T12+Q13</f>
        <v>13526.379200568002</v>
      </c>
      <c r="V13" s="25" t="s">
        <v>33</v>
      </c>
      <c r="W13" s="17"/>
    </row>
    <row r="14" spans="3:24" x14ac:dyDescent="0.25">
      <c r="C14" s="4">
        <v>3</v>
      </c>
      <c r="D14" s="13">
        <f t="shared" ref="D14:D26" si="1">+PPMT($D$9,C14,$D$8,$D$7)</f>
        <v>-317.2570102376032</v>
      </c>
      <c r="E14" s="13">
        <f t="shared" ref="E14:E26" si="2">+IPMT($D$9,C14,$D$8,$D$7)</f>
        <v>-319.87338861344028</v>
      </c>
      <c r="F14" s="13">
        <f t="shared" ref="F14:F26" si="3">+PMT($D$9,$D$8,$D$7)</f>
        <v>-637.13039885104354</v>
      </c>
      <c r="G14" s="13">
        <f t="shared" ref="G14:G26" si="4">+G13+D14</f>
        <v>5488.0676469936179</v>
      </c>
      <c r="I14" s="4">
        <v>3</v>
      </c>
      <c r="J14" s="13">
        <f t="shared" ref="J14:J26" si="5">+PPMT($J$9,I14,$J$8,$J$7)</f>
        <v>-421.95033437953805</v>
      </c>
      <c r="K14" s="13">
        <f t="shared" ref="K14:K26" si="6">+IPMT($J$9,I14,$J$8,$J$7)</f>
        <v>-425.43010533785673</v>
      </c>
      <c r="L14" s="13">
        <f t="shared" ref="L14:L26" si="7">+PMT($J$9,$J$8,$J$7)</f>
        <v>-847.38043971739478</v>
      </c>
      <c r="M14" s="13">
        <f t="shared" ref="M14:M26" si="8">+M13+J14</f>
        <v>7299.1042089572438</v>
      </c>
      <c r="P14" s="4">
        <v>3</v>
      </c>
      <c r="Q14" s="13">
        <f t="shared" ref="Q14:Q26" si="9">+PPMT($Q$9,P14,$Q$8,$Q$7)</f>
        <v>-739.20734461714119</v>
      </c>
      <c r="R14" s="13">
        <f t="shared" ref="R14:R26" si="10">+IPMT($Q$9,P14,$Q$8,$Q$7)</f>
        <v>-745.30349395129713</v>
      </c>
      <c r="S14" s="13">
        <f t="shared" si="0"/>
        <v>-1484.5108385684384</v>
      </c>
      <c r="T14" s="13">
        <f t="shared" ref="T14:T26" si="11">+T13+Q14</f>
        <v>12787.171855950861</v>
      </c>
      <c r="V14" s="25" t="s">
        <v>34</v>
      </c>
    </row>
    <row r="15" spans="3:24" x14ac:dyDescent="0.25">
      <c r="C15" s="4">
        <v>4</v>
      </c>
      <c r="D15" s="13">
        <f t="shared" si="1"/>
        <v>-334.73787150169522</v>
      </c>
      <c r="E15" s="13">
        <f t="shared" si="2"/>
        <v>-302.39252734934843</v>
      </c>
      <c r="F15" s="13">
        <f t="shared" si="3"/>
        <v>-637.13039885104354</v>
      </c>
      <c r="G15" s="13">
        <f t="shared" si="4"/>
        <v>5153.3297754919231</v>
      </c>
      <c r="I15" s="4">
        <v>4</v>
      </c>
      <c r="J15" s="13">
        <f t="shared" si="5"/>
        <v>-445.19979780385057</v>
      </c>
      <c r="K15" s="13">
        <f t="shared" si="6"/>
        <v>-402.18064191354432</v>
      </c>
      <c r="L15" s="13">
        <f t="shared" si="7"/>
        <v>-847.38043971739478</v>
      </c>
      <c r="M15" s="13">
        <f t="shared" si="8"/>
        <v>6853.9044111533931</v>
      </c>
      <c r="P15" s="4">
        <v>4</v>
      </c>
      <c r="Q15" s="13">
        <f t="shared" si="9"/>
        <v>-779.9376693055458</v>
      </c>
      <c r="R15" s="13">
        <f t="shared" si="10"/>
        <v>-704.57316926289263</v>
      </c>
      <c r="S15" s="13">
        <f t="shared" si="0"/>
        <v>-1484.5108385684384</v>
      </c>
      <c r="T15" s="13">
        <f t="shared" si="11"/>
        <v>12007.234186645315</v>
      </c>
      <c r="V15" s="25" t="s">
        <v>35</v>
      </c>
    </row>
    <row r="16" spans="3:24" x14ac:dyDescent="0.25">
      <c r="C16" s="4">
        <v>5</v>
      </c>
      <c r="D16" s="13">
        <f t="shared" si="1"/>
        <v>-353.18192822143862</v>
      </c>
      <c r="E16" s="13">
        <f t="shared" si="2"/>
        <v>-283.94847062960486</v>
      </c>
      <c r="F16" s="13">
        <f t="shared" si="3"/>
        <v>-637.13039885104354</v>
      </c>
      <c r="G16" s="13">
        <f t="shared" si="4"/>
        <v>4800.1478472704848</v>
      </c>
      <c r="I16" s="4">
        <v>5</v>
      </c>
      <c r="J16" s="13">
        <f t="shared" si="5"/>
        <v>-469.73030666284285</v>
      </c>
      <c r="K16" s="13">
        <f t="shared" si="6"/>
        <v>-377.65013305455199</v>
      </c>
      <c r="L16" s="13">
        <f t="shared" si="7"/>
        <v>-847.38043971739478</v>
      </c>
      <c r="M16" s="13">
        <f t="shared" si="8"/>
        <v>6384.1741044905502</v>
      </c>
      <c r="P16" s="4">
        <v>5</v>
      </c>
      <c r="Q16" s="13">
        <f t="shared" si="9"/>
        <v>-822.91223488428136</v>
      </c>
      <c r="R16" s="13">
        <f t="shared" si="10"/>
        <v>-661.59860368415696</v>
      </c>
      <c r="S16" s="13">
        <f t="shared" si="0"/>
        <v>-1484.5108385684384</v>
      </c>
      <c r="T16" s="13">
        <f t="shared" si="11"/>
        <v>11184.321951761034</v>
      </c>
      <c r="V16" s="25" t="s">
        <v>36</v>
      </c>
    </row>
    <row r="17" spans="3:22" x14ac:dyDescent="0.25">
      <c r="C17" s="4">
        <v>6</v>
      </c>
      <c r="D17" s="13">
        <f t="shared" si="1"/>
        <v>-372.64225246643991</v>
      </c>
      <c r="E17" s="13">
        <f t="shared" si="2"/>
        <v>-264.48814638460362</v>
      </c>
      <c r="F17" s="13">
        <f t="shared" si="3"/>
        <v>-637.13039885104354</v>
      </c>
      <c r="G17" s="13">
        <f t="shared" si="4"/>
        <v>4427.5055948040444</v>
      </c>
      <c r="I17" s="4">
        <v>6</v>
      </c>
      <c r="J17" s="13">
        <f t="shared" si="5"/>
        <v>-495.61244655996546</v>
      </c>
      <c r="K17" s="13">
        <f t="shared" si="6"/>
        <v>-351.76799315742937</v>
      </c>
      <c r="L17" s="13">
        <f t="shared" si="7"/>
        <v>-847.38043971739478</v>
      </c>
      <c r="M17" s="13">
        <f t="shared" si="8"/>
        <v>5888.5616579305852</v>
      </c>
      <c r="P17" s="4">
        <v>6</v>
      </c>
      <c r="Q17" s="13">
        <f t="shared" si="9"/>
        <v>-868.25469902640532</v>
      </c>
      <c r="R17" s="13">
        <f t="shared" si="10"/>
        <v>-616.256139542033</v>
      </c>
      <c r="S17" s="13">
        <f t="shared" si="0"/>
        <v>-1484.5108385684384</v>
      </c>
      <c r="T17" s="13">
        <f t="shared" si="11"/>
        <v>10316.067252734629</v>
      </c>
      <c r="V17" s="25" t="s">
        <v>37</v>
      </c>
    </row>
    <row r="18" spans="3:22" x14ac:dyDescent="0.25">
      <c r="C18" s="4">
        <v>7</v>
      </c>
      <c r="D18" s="13">
        <f t="shared" si="1"/>
        <v>-393.17484057734072</v>
      </c>
      <c r="E18" s="13">
        <f t="shared" si="2"/>
        <v>-243.95555827370282</v>
      </c>
      <c r="F18" s="13">
        <f t="shared" si="3"/>
        <v>-637.13039885104354</v>
      </c>
      <c r="G18" s="13">
        <f t="shared" si="4"/>
        <v>4034.3307542267039</v>
      </c>
      <c r="I18" s="4">
        <v>7</v>
      </c>
      <c r="J18" s="13">
        <f t="shared" si="5"/>
        <v>-522.92069236541954</v>
      </c>
      <c r="K18" s="13">
        <f t="shared" si="6"/>
        <v>-324.4597473519753</v>
      </c>
      <c r="L18" s="13">
        <f t="shared" si="7"/>
        <v>-847.38043971739478</v>
      </c>
      <c r="M18" s="13">
        <f t="shared" si="8"/>
        <v>5365.640965565166</v>
      </c>
      <c r="P18" s="4">
        <v>7</v>
      </c>
      <c r="Q18" s="13">
        <f t="shared" si="9"/>
        <v>-916.0955329427602</v>
      </c>
      <c r="R18" s="13">
        <f t="shared" si="10"/>
        <v>-568.41530562567823</v>
      </c>
      <c r="S18" s="13">
        <f t="shared" si="0"/>
        <v>-1484.5108385684384</v>
      </c>
      <c r="T18" s="13">
        <f t="shared" si="11"/>
        <v>9399.971719791869</v>
      </c>
      <c r="V18" s="25" t="s">
        <v>38</v>
      </c>
    </row>
    <row r="19" spans="3:22" x14ac:dyDescent="0.25">
      <c r="C19" s="4">
        <v>8</v>
      </c>
      <c r="D19" s="13">
        <f t="shared" si="1"/>
        <v>-414.83877429315214</v>
      </c>
      <c r="E19" s="13">
        <f t="shared" si="2"/>
        <v>-222.29162455789131</v>
      </c>
      <c r="F19" s="13">
        <f t="shared" si="3"/>
        <v>-637.13039885104354</v>
      </c>
      <c r="G19" s="13">
        <f t="shared" si="4"/>
        <v>3619.4919799335516</v>
      </c>
      <c r="I19" s="4">
        <v>8</v>
      </c>
      <c r="J19" s="13">
        <f t="shared" si="5"/>
        <v>-551.73362251475419</v>
      </c>
      <c r="K19" s="13">
        <f t="shared" si="6"/>
        <v>-295.64681720264065</v>
      </c>
      <c r="L19" s="13">
        <f t="shared" si="7"/>
        <v>-847.38043971739478</v>
      </c>
      <c r="M19" s="13">
        <f t="shared" si="8"/>
        <v>4813.9073430504122</v>
      </c>
      <c r="P19" s="4">
        <v>8</v>
      </c>
      <c r="Q19" s="13">
        <f t="shared" si="9"/>
        <v>-966.57239680790633</v>
      </c>
      <c r="R19" s="13">
        <f t="shared" si="10"/>
        <v>-517.93844176053199</v>
      </c>
      <c r="S19" s="13">
        <f t="shared" si="0"/>
        <v>-1484.5108385684384</v>
      </c>
      <c r="T19" s="13">
        <f t="shared" si="11"/>
        <v>8433.3993229839634</v>
      </c>
      <c r="V19" s="25" t="s">
        <v>39</v>
      </c>
    </row>
    <row r="20" spans="3:22" x14ac:dyDescent="0.25">
      <c r="C20" s="4">
        <v>9</v>
      </c>
      <c r="D20" s="13">
        <f t="shared" si="1"/>
        <v>-437.69639075670483</v>
      </c>
      <c r="E20" s="13">
        <f t="shared" si="2"/>
        <v>-199.43400809433865</v>
      </c>
      <c r="F20" s="13">
        <f t="shared" si="3"/>
        <v>-637.13039885104354</v>
      </c>
      <c r="G20" s="13">
        <f t="shared" si="4"/>
        <v>3181.795589176847</v>
      </c>
      <c r="I20" s="4">
        <v>9</v>
      </c>
      <c r="J20" s="13">
        <f t="shared" si="5"/>
        <v>-582.1341451153171</v>
      </c>
      <c r="K20" s="13">
        <f t="shared" si="6"/>
        <v>-265.24629460207774</v>
      </c>
      <c r="L20" s="13">
        <f t="shared" si="7"/>
        <v>-847.38043971739478</v>
      </c>
      <c r="M20" s="13">
        <f t="shared" si="8"/>
        <v>4231.7731979350956</v>
      </c>
      <c r="P20" s="4">
        <v>9</v>
      </c>
      <c r="Q20" s="13">
        <f t="shared" si="9"/>
        <v>-1019.8305358720218</v>
      </c>
      <c r="R20" s="13">
        <f t="shared" si="10"/>
        <v>-464.68030269641639</v>
      </c>
      <c r="S20" s="13">
        <f t="shared" si="0"/>
        <v>-1484.5108385684384</v>
      </c>
      <c r="T20" s="13">
        <f t="shared" si="11"/>
        <v>7413.5687871119417</v>
      </c>
      <c r="V20" s="25" t="s">
        <v>40</v>
      </c>
    </row>
    <row r="21" spans="3:22" x14ac:dyDescent="0.25">
      <c r="C21" s="4">
        <v>10</v>
      </c>
      <c r="D21" s="13">
        <f t="shared" si="1"/>
        <v>-461.81346188739934</v>
      </c>
      <c r="E21" s="13">
        <f t="shared" si="2"/>
        <v>-175.31693696364422</v>
      </c>
      <c r="F21" s="13">
        <f t="shared" si="3"/>
        <v>-637.13039885104354</v>
      </c>
      <c r="G21" s="13">
        <f t="shared" si="4"/>
        <v>2719.9821272894478</v>
      </c>
      <c r="I21" s="4">
        <v>10</v>
      </c>
      <c r="J21" s="13">
        <f t="shared" si="5"/>
        <v>-614.20973651117117</v>
      </c>
      <c r="K21" s="13">
        <f t="shared" si="6"/>
        <v>-233.17070320622378</v>
      </c>
      <c r="L21" s="13">
        <f t="shared" si="7"/>
        <v>-847.38043971739478</v>
      </c>
      <c r="M21" s="13">
        <f t="shared" si="8"/>
        <v>3617.5634614239243</v>
      </c>
      <c r="P21" s="4">
        <v>10</v>
      </c>
      <c r="Q21" s="13">
        <f t="shared" si="9"/>
        <v>-1076.0231983985705</v>
      </c>
      <c r="R21" s="13">
        <f t="shared" si="10"/>
        <v>-408.48764016986803</v>
      </c>
      <c r="S21" s="13">
        <f t="shared" si="0"/>
        <v>-1484.5108385684384</v>
      </c>
      <c r="T21" s="13">
        <f t="shared" si="11"/>
        <v>6337.5455887133712</v>
      </c>
      <c r="V21" s="25" t="s">
        <v>41</v>
      </c>
    </row>
    <row r="22" spans="3:22" x14ac:dyDescent="0.25">
      <c r="C22" s="4">
        <v>11</v>
      </c>
      <c r="D22" s="13">
        <f t="shared" si="1"/>
        <v>-487.25938363739505</v>
      </c>
      <c r="E22" s="13">
        <f t="shared" si="2"/>
        <v>-149.87101521364849</v>
      </c>
      <c r="F22" s="13">
        <f t="shared" si="3"/>
        <v>-637.13039885104354</v>
      </c>
      <c r="G22" s="13">
        <f t="shared" si="4"/>
        <v>2232.7227436520529</v>
      </c>
      <c r="I22" s="4">
        <v>11</v>
      </c>
      <c r="J22" s="13">
        <f t="shared" si="5"/>
        <v>-648.05269299293661</v>
      </c>
      <c r="K22" s="13">
        <f t="shared" si="6"/>
        <v>-199.32774672445817</v>
      </c>
      <c r="L22" s="13">
        <f t="shared" si="7"/>
        <v>-847.38043971739478</v>
      </c>
      <c r="M22" s="13">
        <f t="shared" si="8"/>
        <v>2969.5107684309878</v>
      </c>
      <c r="P22" s="4">
        <v>11</v>
      </c>
      <c r="Q22" s="13">
        <f t="shared" si="9"/>
        <v>-1135.3120766303316</v>
      </c>
      <c r="R22" s="13">
        <f t="shared" si="10"/>
        <v>-349.19876193810666</v>
      </c>
      <c r="S22" s="13">
        <f t="shared" si="0"/>
        <v>-1484.5108385684384</v>
      </c>
      <c r="T22" s="13">
        <f t="shared" si="11"/>
        <v>5202.2335120830394</v>
      </c>
      <c r="V22" s="25" t="s">
        <v>42</v>
      </c>
    </row>
    <row r="23" spans="3:22" x14ac:dyDescent="0.25">
      <c r="C23" s="4">
        <v>12</v>
      </c>
      <c r="D23" s="13">
        <f t="shared" si="1"/>
        <v>-514.10737567581543</v>
      </c>
      <c r="E23" s="13">
        <f t="shared" si="2"/>
        <v>-123.02302317522805</v>
      </c>
      <c r="F23" s="13">
        <f t="shared" si="3"/>
        <v>-637.13039885104354</v>
      </c>
      <c r="G23" s="13">
        <f t="shared" si="4"/>
        <v>1718.6153679762374</v>
      </c>
      <c r="I23" s="4">
        <v>12</v>
      </c>
      <c r="J23" s="13">
        <f t="shared" si="5"/>
        <v>-683.76039637684744</v>
      </c>
      <c r="K23" s="13">
        <f t="shared" si="6"/>
        <v>-163.62004334054743</v>
      </c>
      <c r="L23" s="13">
        <f t="shared" si="7"/>
        <v>-847.38043971739478</v>
      </c>
      <c r="M23" s="13">
        <f t="shared" si="8"/>
        <v>2285.7503720541404</v>
      </c>
      <c r="P23" s="4">
        <v>12</v>
      </c>
      <c r="Q23" s="13">
        <f t="shared" si="9"/>
        <v>-1197.8677720526628</v>
      </c>
      <c r="R23" s="13">
        <f t="shared" si="10"/>
        <v>-286.6430665157755</v>
      </c>
      <c r="S23" s="13">
        <f t="shared" si="0"/>
        <v>-1484.5108385684384</v>
      </c>
      <c r="T23" s="13">
        <f t="shared" si="11"/>
        <v>4004.3657400303764</v>
      </c>
      <c r="V23" s="25" t="s">
        <v>43</v>
      </c>
    </row>
    <row r="24" spans="3:22" x14ac:dyDescent="0.25">
      <c r="C24" s="4">
        <v>13</v>
      </c>
      <c r="D24" s="13">
        <f t="shared" si="1"/>
        <v>-542.43469207555279</v>
      </c>
      <c r="E24" s="13">
        <f t="shared" si="2"/>
        <v>-94.695706775490606</v>
      </c>
      <c r="F24" s="13">
        <f t="shared" si="3"/>
        <v>-637.13039885104354</v>
      </c>
      <c r="G24" s="13">
        <f t="shared" si="4"/>
        <v>1176.1806759006845</v>
      </c>
      <c r="I24" s="4">
        <v>13</v>
      </c>
      <c r="J24" s="13">
        <f t="shared" si="5"/>
        <v>-721.43559421721159</v>
      </c>
      <c r="K24" s="13">
        <f t="shared" si="6"/>
        <v>-125.94484550018309</v>
      </c>
      <c r="L24" s="13">
        <f t="shared" si="7"/>
        <v>-847.38043971739478</v>
      </c>
      <c r="M24" s="13">
        <f t="shared" si="8"/>
        <v>1564.3147778369289</v>
      </c>
      <c r="P24" s="4">
        <v>13</v>
      </c>
      <c r="Q24" s="13">
        <f t="shared" si="9"/>
        <v>-1263.8702862927644</v>
      </c>
      <c r="R24" s="13">
        <f t="shared" si="10"/>
        <v>-220.64055227567371</v>
      </c>
      <c r="S24" s="13">
        <f t="shared" si="0"/>
        <v>-1484.5108385684384</v>
      </c>
      <c r="T24" s="13">
        <f t="shared" si="11"/>
        <v>2740.495453737612</v>
      </c>
      <c r="V24" s="25" t="s">
        <v>44</v>
      </c>
    </row>
    <row r="25" spans="3:22" x14ac:dyDescent="0.25">
      <c r="C25" s="4">
        <v>14</v>
      </c>
      <c r="D25" s="13">
        <f t="shared" si="1"/>
        <v>-572.32284360891583</v>
      </c>
      <c r="E25" s="13">
        <f t="shared" si="2"/>
        <v>-64.807555242127648</v>
      </c>
      <c r="F25" s="13">
        <f t="shared" si="3"/>
        <v>-637.13039885104354</v>
      </c>
      <c r="G25" s="13">
        <f t="shared" si="4"/>
        <v>603.85783229176866</v>
      </c>
      <c r="I25" s="4">
        <v>14</v>
      </c>
      <c r="J25" s="13">
        <f t="shared" si="5"/>
        <v>-761.18669545858006</v>
      </c>
      <c r="K25" s="13">
        <f t="shared" si="6"/>
        <v>-86.193744258814732</v>
      </c>
      <c r="L25" s="13">
        <f t="shared" si="7"/>
        <v>-847.38043971739478</v>
      </c>
      <c r="M25" s="13">
        <f t="shared" si="8"/>
        <v>803.12808237834884</v>
      </c>
      <c r="P25" s="4">
        <v>14</v>
      </c>
      <c r="Q25" s="13">
        <f t="shared" si="9"/>
        <v>-1333.509539067496</v>
      </c>
      <c r="R25" s="13">
        <f t="shared" si="10"/>
        <v>-151.00129950094239</v>
      </c>
      <c r="S25" s="13">
        <f t="shared" si="0"/>
        <v>-1484.5108385684384</v>
      </c>
      <c r="T25" s="13">
        <f t="shared" si="11"/>
        <v>1406.985914670116</v>
      </c>
      <c r="V25" s="25" t="s">
        <v>45</v>
      </c>
    </row>
    <row r="26" spans="3:22" x14ac:dyDescent="0.25">
      <c r="C26" s="4">
        <v>15</v>
      </c>
      <c r="D26" s="13">
        <f t="shared" si="1"/>
        <v>-603.85783229176718</v>
      </c>
      <c r="E26" s="13">
        <f t="shared" si="2"/>
        <v>-33.27256655927637</v>
      </c>
      <c r="F26" s="13">
        <f t="shared" si="3"/>
        <v>-637.13039885104354</v>
      </c>
      <c r="G26" s="13">
        <f t="shared" si="4"/>
        <v>1.4779288903810084E-12</v>
      </c>
      <c r="I26" s="4">
        <v>15</v>
      </c>
      <c r="J26" s="13">
        <f t="shared" si="5"/>
        <v>-803.12808237834781</v>
      </c>
      <c r="K26" s="13">
        <f t="shared" si="6"/>
        <v>-44.252357339046974</v>
      </c>
      <c r="L26" s="13">
        <f t="shared" si="7"/>
        <v>-847.38043971739478</v>
      </c>
      <c r="M26" s="13">
        <f t="shared" si="8"/>
        <v>1.0231815394945443E-12</v>
      </c>
      <c r="P26" s="4">
        <v>15</v>
      </c>
      <c r="Q26" s="13">
        <f t="shared" si="9"/>
        <v>-1406.9859146701149</v>
      </c>
      <c r="R26" s="13">
        <f t="shared" si="10"/>
        <v>-77.524923898323351</v>
      </c>
      <c r="S26" s="13">
        <f t="shared" si="0"/>
        <v>-1484.5108385684384</v>
      </c>
      <c r="T26" s="13">
        <f t="shared" si="11"/>
        <v>0</v>
      </c>
      <c r="V26" s="25" t="s">
        <v>46</v>
      </c>
    </row>
    <row r="29" spans="3:22" x14ac:dyDescent="0.25">
      <c r="R29" s="15"/>
    </row>
    <row r="30" spans="3:22" x14ac:dyDescent="0.25">
      <c r="R30" s="15"/>
    </row>
    <row r="31" spans="3:22" x14ac:dyDescent="0.25">
      <c r="C31" s="20" t="s">
        <v>17</v>
      </c>
      <c r="D31" s="1" t="s">
        <v>18</v>
      </c>
      <c r="R31" s="15"/>
    </row>
    <row r="32" spans="3:22" x14ac:dyDescent="0.25">
      <c r="C32" s="1" t="s">
        <v>21</v>
      </c>
      <c r="D32" s="21">
        <v>46000000</v>
      </c>
    </row>
    <row r="33" spans="3:10" x14ac:dyDescent="0.25">
      <c r="C33" s="1"/>
      <c r="D33" s="22">
        <f>+D32/$I$49</f>
        <v>1235.488383186185</v>
      </c>
    </row>
    <row r="34" spans="3:10" x14ac:dyDescent="0.25">
      <c r="C34" s="1" t="s">
        <v>23</v>
      </c>
      <c r="D34" s="1"/>
    </row>
    <row r="47" spans="3:10" x14ac:dyDescent="0.25">
      <c r="E47" s="1" t="s">
        <v>19</v>
      </c>
      <c r="F47" s="1" t="s">
        <v>20</v>
      </c>
      <c r="G47" s="1" t="s">
        <v>24</v>
      </c>
      <c r="H47" s="1" t="s">
        <v>25</v>
      </c>
      <c r="I47" s="1" t="s">
        <v>9</v>
      </c>
    </row>
    <row r="48" spans="3:10" x14ac:dyDescent="0.25">
      <c r="E48" s="21">
        <v>46000000</v>
      </c>
      <c r="F48" s="21">
        <v>46000000</v>
      </c>
      <c r="G48" s="21">
        <f>+F48+E48+D32</f>
        <v>138000000</v>
      </c>
      <c r="H48" s="1"/>
      <c r="I48" s="1"/>
      <c r="J48" s="18" t="s">
        <v>26</v>
      </c>
    </row>
    <row r="49" spans="5:12" x14ac:dyDescent="0.25">
      <c r="E49" s="22">
        <f>+E48/$I$49</f>
        <v>1235.488383186185</v>
      </c>
      <c r="F49" s="22">
        <f>+F48/$I$49</f>
        <v>1235.488383186185</v>
      </c>
      <c r="G49" s="22">
        <f>+G48/$I$49</f>
        <v>3706.4651495585549</v>
      </c>
      <c r="H49" s="1" t="s">
        <v>22</v>
      </c>
      <c r="I49" s="23">
        <v>37232.239999999998</v>
      </c>
      <c r="L49" s="16"/>
    </row>
    <row r="50" spans="5:12" x14ac:dyDescent="0.25">
      <c r="E50" s="1"/>
      <c r="F50" s="1"/>
      <c r="G50" s="1"/>
      <c r="H50" s="1"/>
      <c r="I50" s="1"/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9F1F-D677-4038-BACD-93F1FEBD5040}">
  <dimension ref="A1:K23"/>
  <sheetViews>
    <sheetView workbookViewId="0">
      <selection activeCell="B22" sqref="B22"/>
    </sheetView>
  </sheetViews>
  <sheetFormatPr baseColWidth="10" defaultColWidth="9.140625" defaultRowHeight="15" x14ac:dyDescent="0.25"/>
  <cols>
    <col min="1" max="1" width="25.42578125" customWidth="1"/>
    <col min="2" max="2" width="11.85546875" customWidth="1"/>
    <col min="3" max="4" width="15.28515625" bestFit="1" customWidth="1"/>
  </cols>
  <sheetData>
    <row r="1" spans="1:11" x14ac:dyDescent="0.25">
      <c r="B1" t="s">
        <v>55</v>
      </c>
      <c r="C1" s="28">
        <v>38384.410000000003</v>
      </c>
    </row>
    <row r="2" spans="1:11" x14ac:dyDescent="0.25">
      <c r="A2" s="19" t="s">
        <v>48</v>
      </c>
      <c r="B2">
        <f>+Totales!J7</f>
        <v>8500</v>
      </c>
    </row>
    <row r="3" spans="1:11" x14ac:dyDescent="0.25">
      <c r="A3" s="19" t="s">
        <v>49</v>
      </c>
      <c r="B3" s="26">
        <v>0.05</v>
      </c>
      <c r="C3">
        <f>+B3*B2</f>
        <v>425</v>
      </c>
      <c r="D3" s="16">
        <f>+C3*+C1</f>
        <v>16313374.250000002</v>
      </c>
    </row>
    <row r="4" spans="1:11" x14ac:dyDescent="0.25">
      <c r="A4" s="19" t="s">
        <v>54</v>
      </c>
    </row>
    <row r="5" spans="1:11" x14ac:dyDescent="0.25">
      <c r="A5" s="19" t="s">
        <v>52</v>
      </c>
      <c r="B5" s="27">
        <f>(5.51%/12)*3</f>
        <v>1.3774999999999999E-2</v>
      </c>
      <c r="D5" t="s">
        <v>51</v>
      </c>
    </row>
    <row r="8" spans="1:11" x14ac:dyDescent="0.25">
      <c r="A8" s="19" t="s">
        <v>64</v>
      </c>
    </row>
    <row r="9" spans="1:11" x14ac:dyDescent="0.25">
      <c r="A9" s="29" t="s">
        <v>57</v>
      </c>
      <c r="B9" s="30">
        <f>+C9/C1</f>
        <v>1563.1346163715946</v>
      </c>
      <c r="C9" s="18">
        <v>60000000</v>
      </c>
    </row>
    <row r="10" spans="1:11" x14ac:dyDescent="0.25">
      <c r="A10" t="s">
        <v>53</v>
      </c>
      <c r="B10" s="25">
        <f>+B2*5%</f>
        <v>425</v>
      </c>
    </row>
    <row r="11" spans="1:11" x14ac:dyDescent="0.25">
      <c r="A11" t="s">
        <v>5</v>
      </c>
      <c r="B11" s="25">
        <f>+C11*847.3819</f>
        <v>423.69094999999999</v>
      </c>
      <c r="C11" s="17">
        <v>0.5</v>
      </c>
      <c r="D11" t="s">
        <v>56</v>
      </c>
      <c r="E11" t="s">
        <v>59</v>
      </c>
      <c r="H11" t="s">
        <v>60</v>
      </c>
      <c r="I11">
        <f>379.0319*C11</f>
        <v>189.51595</v>
      </c>
      <c r="J11" t="s">
        <v>4</v>
      </c>
      <c r="K11">
        <f>468.35*C11</f>
        <v>234.17500000000001</v>
      </c>
    </row>
    <row r="12" spans="1:11" x14ac:dyDescent="0.25">
      <c r="A12" t="s">
        <v>50</v>
      </c>
      <c r="B12" s="25">
        <f>+B5*B9</f>
        <v>21.532179340518713</v>
      </c>
    </row>
    <row r="15" spans="1:11" x14ac:dyDescent="0.25">
      <c r="A15" t="s">
        <v>58</v>
      </c>
      <c r="B15" s="15">
        <f>+B9-B12-K11</f>
        <v>1307.4274370310759</v>
      </c>
    </row>
    <row r="16" spans="1:11" x14ac:dyDescent="0.25">
      <c r="A16" t="s">
        <v>61</v>
      </c>
      <c r="B16" s="27">
        <f>+B15/B2</f>
        <v>0.15381499259189127</v>
      </c>
    </row>
    <row r="17" spans="1:3" x14ac:dyDescent="0.25">
      <c r="A17" t="s">
        <v>62</v>
      </c>
      <c r="B17">
        <v>66</v>
      </c>
    </row>
    <row r="18" spans="1:3" x14ac:dyDescent="0.25">
      <c r="A18" t="s">
        <v>63</v>
      </c>
      <c r="B18">
        <f>+B17*B16</f>
        <v>10.151789511064823</v>
      </c>
      <c r="C18" t="s">
        <v>65</v>
      </c>
    </row>
    <row r="22" spans="1:3" x14ac:dyDescent="0.25">
      <c r="B22" s="15"/>
    </row>
    <row r="23" spans="1:3" x14ac:dyDescent="0.25">
      <c r="B23" s="3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1116-36C8-4E91-AF58-EDC4136C40C7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Desarrollo Inv Lonquen</vt:lpstr>
      <vt:lpstr>Pago Lonquen</vt:lpstr>
      <vt:lpstr>Credito Inv Lonquen</vt:lpstr>
      <vt:lpstr>Tabla Desarrollo Banco de Chile</vt:lpstr>
      <vt:lpstr>Totales</vt:lpstr>
      <vt:lpstr>Prepago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Lecaros</dc:creator>
  <cp:lastModifiedBy>Felipe Hiriart</cp:lastModifiedBy>
  <cp:lastPrinted>2024-06-11T18:43:32Z</cp:lastPrinted>
  <dcterms:created xsi:type="dcterms:W3CDTF">2024-06-11T13:39:28Z</dcterms:created>
  <dcterms:modified xsi:type="dcterms:W3CDTF">2025-07-25T14:12:19Z</dcterms:modified>
</cp:coreProperties>
</file>