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1" xr2:uid="{00000000-000D-0000-FFFF-FFFF00000000}"/>
  </bookViews>
  <sheets>
    <sheet name="params" sheetId="1" r:id="rId1"/>
    <sheet name="params_formatados" sheetId="8" r:id="rId2"/>
    <sheet name="Levers_FullDesign" sheetId="2" r:id="rId3"/>
    <sheet name="levers" sheetId="3" r:id="rId4"/>
    <sheet name="configs" sheetId="4" r:id="rId5"/>
    <sheet name="VariableNames" sheetId="5" r:id="rId6"/>
    <sheet name="RangesPlausiveis" sheetId="6" r:id="rId7"/>
    <sheet name="CalculoEstoquesIniciaisPatentes" sheetId="7" r:id="rId8"/>
  </sheets>
  <externalReferences>
    <externalReference r:id="rId9"/>
  </externalReferences>
  <definedNames>
    <definedName name="_FilterDatabase_0" localSheetId="3">levers!$A$1:$H$17</definedName>
    <definedName name="_FilterDatabase_0" localSheetId="0">params!$A$1:$T$80</definedName>
    <definedName name="_FilterDatabase_0_0" localSheetId="3">levers!$A$1:$H$17</definedName>
    <definedName name="_FilterDatabase_0_0" localSheetId="0">params!$A$1:$T$80</definedName>
    <definedName name="_FilterDatabase_0_0_0" localSheetId="3">levers!$A$1:$H$17</definedName>
    <definedName name="_FilterDatabase_0_0_0" localSheetId="0">params!$A$1:$T$80</definedName>
    <definedName name="_FilterDatabase_0_0_0_0" localSheetId="3">levers!$A$1:$H$17</definedName>
    <definedName name="_FilterDatabase_0_0_0_0" localSheetId="0">params!$A$1:$T$80</definedName>
    <definedName name="_FilterDatabase_0_0_0_0_0" localSheetId="3">levers!$A$1:$H$17</definedName>
    <definedName name="_FilterDatabase_0_0_0_0_0" localSheetId="0">params!$A$1:$T$80</definedName>
    <definedName name="_FilterDatabase_0_0_0_0_0_0" localSheetId="3">levers!$A$1:$H$17</definedName>
    <definedName name="_FilterDatabase_0_0_0_0_0_0" localSheetId="0">params!$A$1:$T$80</definedName>
    <definedName name="_FilterDatabase_0_0_0_0_0_0_0" localSheetId="3">levers!$A$1:$G$15</definedName>
    <definedName name="_FilterDatabase_0_0_0_0_0_0_0" localSheetId="0">params!$A$1:$O$78</definedName>
    <definedName name="_FilterDatabase_0_0_0_0_0_0_0_0" localSheetId="3">levers!$A$1:$H$17</definedName>
    <definedName name="_FilterDatabase_0_0_0_0_0_0_0_0" localSheetId="0">params!$A$1:$O$78</definedName>
    <definedName name="_FilterDatabase_0_0_0_0_0_0_0_0_0" localSheetId="3">levers!$A$1:$G$15</definedName>
    <definedName name="_FilterDatabase_0_0_0_0_0_0_0_0_0" localSheetId="0">params!$A$1:$O$78</definedName>
    <definedName name="_FilterDatabase_0_0_0_0_0_0_0_0_0_0" localSheetId="3">levers!$A$1:$H$17</definedName>
    <definedName name="_FilterDatabase_0_0_0_0_0_0_0_0_0_0" localSheetId="0">params!$A$1:$O$78</definedName>
    <definedName name="_FilterDatabase_0_0_0_0_0_0_0_0_0_0_0" localSheetId="3">levers!$A$1:$G$15</definedName>
    <definedName name="_FilterDatabase_0_0_0_0_0_0_0_0_0_0_0" localSheetId="0">params!$A$1:$O$78</definedName>
    <definedName name="_FilterDatabase_0_0_0_0_0_0_0_0_0_0_0_0" localSheetId="3">levers!$A$1:$H$17</definedName>
    <definedName name="_FilterDatabase_0_0_0_0_0_0_0_0_0_0_0_0" localSheetId="0">params!$A$1:$O$78</definedName>
    <definedName name="_FilterDatabase_0_0_0_0_0_0_0_0_0_0_0_0_0" localSheetId="3">levers!$A$1:$G$15</definedName>
    <definedName name="_FilterDatabase_0_0_0_0_0_0_0_0_0_0_0_0_0" localSheetId="0">params!$A$1:$O$78</definedName>
    <definedName name="_FilterDatabase_0_0_0_0_0_0_0_0_0_0_0_0_0_0" localSheetId="3">levers!$A$1:$H$17</definedName>
    <definedName name="_FilterDatabase_0_0_0_0_0_0_0_0_0_0_0_0_0_0" localSheetId="0">params!$A$1:$O$78</definedName>
    <definedName name="_FilterDatabase_0_0_0_0_0_0_0_0_0_0_0_0_0_0_0" localSheetId="3">levers!$A$1:$G$15</definedName>
    <definedName name="_FilterDatabase_0_0_0_0_0_0_0_0_0_0_0_0_0_0_0" localSheetId="0">params!$A$1:$O$78</definedName>
    <definedName name="_FilterDatabase_0_0_0_0_0_0_0_0_0_0_0_0_0_0_0_0" localSheetId="3">levers!$A$1:$H$17</definedName>
    <definedName name="_FilterDatabase_0_0_0_0_0_0_0_0_0_0_0_0_0_0_0_0" localSheetId="0">params!$A$1:$O$78</definedName>
    <definedName name="_FilterDatabase_0_0_0_0_0_0_0_0_0_0_0_0_0_0_0_0_0" localSheetId="3">levers!$A$1:$G$15</definedName>
    <definedName name="_FilterDatabase_0_0_0_0_0_0_0_0_0_0_0_0_0_0_0_0_0" localSheetId="0">params!$A$1:$O$78</definedName>
    <definedName name="_FilterDatabase_0_0_0_0_0_0_0_0_0_0_0_0_0_0_0_0_0_0" localSheetId="3">levers!$A$1:$H$17</definedName>
    <definedName name="_FilterDatabase_0_0_0_0_0_0_0_0_0_0_0_0_0_0_0_0_0_0" localSheetId="0">params!$A$1:$O$78</definedName>
    <definedName name="_FilterDatabase_0_0_0_0_0_0_0_0_0_0_0_0_0_0_0_0_0_0_0" localSheetId="3">levers!$A$1:$G$15</definedName>
    <definedName name="_FilterDatabase_0_0_0_0_0_0_0_0_0_0_0_0_0_0_0_0_0_0_0_0" localSheetId="3">levers!$A$1:$H$17</definedName>
    <definedName name="_FilterDatabase_0_0_0_0_0_0_0_0_0_0_0_0_0_0_0_0_0_0_0_0_0" localSheetId="3">levers!$A$1:$G$15</definedName>
    <definedName name="_FilterDatabase_0_0_0_0_0_0_0_0_0_0_0_0_0_0_0_0_0_0_0_0_0_0" localSheetId="3">levers!$A$1:$H$17</definedName>
    <definedName name="_FilterDatabase_0_0_0_0_0_0_0_0_0_0_0_0_0_0_0_0_0_0_0_0_0_0_0" localSheetId="3">levers!$A$1:$G$15</definedName>
    <definedName name="_FilterDatabase_0_0_0_0_0_0_0_0_0_0_0_0_0_0_0_0_0_0_0_0_0_0_0_0" localSheetId="3">levers!$A$1:$H$17</definedName>
    <definedName name="_FilterDatabase_0_0_0_0_0_0_0_0_0_0_0_0_0_0_0_0_0_0_0_0_0_0_0_0_0" localSheetId="3">levers!$A$1:$G$15</definedName>
    <definedName name="_xlnm._FilterDatabase" localSheetId="3">levers!$A$1:$H$17</definedName>
    <definedName name="_xlnm._FilterDatabase" localSheetId="0" hidden="1">params!$A$1:$T$80</definedName>
    <definedName name="_xlnm._FilterDatabase" localSheetId="1" hidden="1">params_formatados!$A$1:$F$80</definedName>
    <definedName name="nome1" localSheetId="3">levers!$A$1:$H$17</definedName>
    <definedName name="nome10" localSheetId="0">params!$A$1:$O$78</definedName>
    <definedName name="nome11" localSheetId="3">levers!$A$1:$H$17</definedName>
    <definedName name="nome12" localSheetId="0">params!$A$1:$O$78</definedName>
    <definedName name="nome2" localSheetId="0">params!$A$1:$O$80</definedName>
    <definedName name="nome3" localSheetId="3">levers!$A$1:$H$17</definedName>
    <definedName name="nome4" localSheetId="0">params!$A$1:$O$78</definedName>
    <definedName name="nome5" localSheetId="3">levers!$A$1:$G$15</definedName>
    <definedName name="nome6" localSheetId="0">params!$A$1:$O$78</definedName>
    <definedName name="nome7" localSheetId="3">levers!$A$1:$H$17</definedName>
    <definedName name="nome8" localSheetId="0">params!$A$1:$O$78</definedName>
    <definedName name="nome9" localSheetId="3">levers!$A$1:$G$15</definedName>
    <definedName name="TesteOutroNome" localSheetId="3">levers!$A$1:$G$15</definedName>
    <definedName name="TesteOutroNome" localSheetId="0">params!$A$1:$O$78</definedName>
    <definedName name="TesteOutroNome2" localSheetId="3">levers!$A$1:$H$17</definedName>
    <definedName name="Testeoutronome4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8" l="1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D51" i="8"/>
  <c r="E51" i="8"/>
  <c r="F51" i="8"/>
  <c r="D52" i="8"/>
  <c r="E52" i="8"/>
  <c r="F52" i="8"/>
  <c r="D53" i="8"/>
  <c r="E53" i="8"/>
  <c r="F53" i="8"/>
  <c r="D54" i="8"/>
  <c r="E54" i="8"/>
  <c r="F54" i="8"/>
  <c r="D55" i="8"/>
  <c r="E55" i="8"/>
  <c r="F55" i="8"/>
  <c r="D56" i="8"/>
  <c r="E56" i="8"/>
  <c r="F56" i="8"/>
  <c r="D57" i="8"/>
  <c r="E57" i="8"/>
  <c r="F57" i="8"/>
  <c r="D58" i="8"/>
  <c r="E58" i="8"/>
  <c r="F58" i="8"/>
  <c r="D59" i="8"/>
  <c r="E59" i="8"/>
  <c r="F59" i="8"/>
  <c r="D60" i="8"/>
  <c r="E60" i="8"/>
  <c r="F60" i="8"/>
  <c r="D61" i="8"/>
  <c r="E61" i="8"/>
  <c r="F61" i="8"/>
  <c r="D62" i="8"/>
  <c r="E62" i="8"/>
  <c r="F62" i="8"/>
  <c r="D63" i="8"/>
  <c r="E63" i="8"/>
  <c r="F63" i="8"/>
  <c r="D64" i="8"/>
  <c r="E64" i="8"/>
  <c r="F64" i="8"/>
  <c r="D65" i="8"/>
  <c r="E65" i="8"/>
  <c r="F65" i="8"/>
  <c r="D66" i="8"/>
  <c r="E66" i="8"/>
  <c r="F66" i="8"/>
  <c r="D67" i="8"/>
  <c r="E67" i="8"/>
  <c r="F67" i="8"/>
  <c r="D68" i="8"/>
  <c r="E68" i="8"/>
  <c r="F68" i="8"/>
  <c r="D69" i="8"/>
  <c r="E69" i="8"/>
  <c r="F69" i="8"/>
  <c r="D70" i="8"/>
  <c r="E70" i="8"/>
  <c r="F70" i="8"/>
  <c r="D71" i="8"/>
  <c r="E71" i="8"/>
  <c r="F71" i="8"/>
  <c r="D72" i="8"/>
  <c r="E72" i="8"/>
  <c r="F72" i="8"/>
  <c r="D73" i="8"/>
  <c r="E73" i="8"/>
  <c r="F73" i="8"/>
  <c r="D74" i="8"/>
  <c r="E74" i="8"/>
  <c r="F74" i="8"/>
  <c r="D75" i="8"/>
  <c r="E75" i="8"/>
  <c r="F75" i="8"/>
  <c r="D76" i="8"/>
  <c r="E76" i="8"/>
  <c r="F76" i="8"/>
  <c r="D77" i="8"/>
  <c r="E77" i="8"/>
  <c r="F77" i="8"/>
  <c r="D78" i="8"/>
  <c r="E78" i="8"/>
  <c r="F78" i="8"/>
  <c r="D79" i="8"/>
  <c r="E79" i="8"/>
  <c r="F79" i="8"/>
  <c r="D80" i="8"/>
  <c r="E80" i="8"/>
  <c r="F80" i="8"/>
  <c r="F2" i="8"/>
  <c r="E2" i="8"/>
  <c r="D2" i="8"/>
  <c r="A76" i="8"/>
  <c r="A77" i="8"/>
  <c r="A78" i="8"/>
  <c r="A79" i="8"/>
  <c r="A80" i="8"/>
  <c r="A73" i="8"/>
  <c r="A74" i="8"/>
  <c r="A75" i="8"/>
  <c r="A71" i="8"/>
  <c r="A72" i="8"/>
  <c r="A67" i="8"/>
  <c r="A68" i="8"/>
  <c r="A69" i="8"/>
  <c r="A70" i="8"/>
  <c r="A63" i="8"/>
  <c r="A64" i="8"/>
  <c r="A65" i="8"/>
  <c r="A66" i="8"/>
  <c r="A58" i="8"/>
  <c r="A59" i="8"/>
  <c r="A60" i="8"/>
  <c r="A61" i="8"/>
  <c r="A62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1" i="8"/>
  <c r="B24" i="7" l="1"/>
  <c r="B7" i="7"/>
  <c r="B2" i="7"/>
  <c r="C6" i="6"/>
  <c r="C5" i="6"/>
  <c r="C4" i="6"/>
  <c r="C3" i="6"/>
  <c r="C2" i="6"/>
  <c r="B2" i="3"/>
  <c r="T80" i="1"/>
  <c r="D80" i="1"/>
  <c r="C80" i="8" s="1"/>
  <c r="C80" i="1"/>
  <c r="B80" i="8" s="1"/>
  <c r="T79" i="1"/>
  <c r="D79" i="1"/>
  <c r="C79" i="8" s="1"/>
  <c r="C79" i="1"/>
  <c r="B79" i="8" s="1"/>
  <c r="T78" i="1"/>
  <c r="J78" i="1"/>
  <c r="G78" i="1" s="1"/>
  <c r="H78" i="1"/>
  <c r="C78" i="1"/>
  <c r="B78" i="8" s="1"/>
  <c r="T77" i="1"/>
  <c r="J77" i="1"/>
  <c r="G77" i="1" s="1"/>
  <c r="H77" i="1"/>
  <c r="C77" i="1"/>
  <c r="B77" i="8" s="1"/>
  <c r="T76" i="1"/>
  <c r="J76" i="1"/>
  <c r="G76" i="1" s="1"/>
  <c r="H76" i="1"/>
  <c r="C76" i="1"/>
  <c r="B76" i="8" s="1"/>
  <c r="T75" i="1"/>
  <c r="J75" i="1"/>
  <c r="G75" i="1" s="1"/>
  <c r="H75" i="1"/>
  <c r="C75" i="1"/>
  <c r="B75" i="8" s="1"/>
  <c r="T74" i="1"/>
  <c r="D74" i="1"/>
  <c r="C74" i="1"/>
  <c r="B74" i="8" s="1"/>
  <c r="T73" i="1"/>
  <c r="D73" i="1"/>
  <c r="C73" i="8" s="1"/>
  <c r="C73" i="1"/>
  <c r="B73" i="8" s="1"/>
  <c r="T72" i="1"/>
  <c r="D72" i="1"/>
  <c r="C72" i="1"/>
  <c r="J70" i="1"/>
  <c r="T70" i="1" s="1"/>
  <c r="G70" i="1"/>
  <c r="J69" i="1"/>
  <c r="T69" i="1" s="1"/>
  <c r="G69" i="1"/>
  <c r="T68" i="1"/>
  <c r="G68" i="1"/>
  <c r="D68" i="1"/>
  <c r="C68" i="1"/>
  <c r="B68" i="8" s="1"/>
  <c r="T67" i="1"/>
  <c r="G67" i="1"/>
  <c r="C67" i="1" s="1"/>
  <c r="B67" i="8" s="1"/>
  <c r="D67" i="1"/>
  <c r="T66" i="1"/>
  <c r="G66" i="1"/>
  <c r="C66" i="1" s="1"/>
  <c r="B66" i="8" s="1"/>
  <c r="D66" i="1"/>
  <c r="C66" i="8" s="1"/>
  <c r="T65" i="1"/>
  <c r="D65" i="1"/>
  <c r="C65" i="8" s="1"/>
  <c r="C65" i="1"/>
  <c r="B65" i="8" s="1"/>
  <c r="T64" i="1"/>
  <c r="D64" i="1"/>
  <c r="C64" i="8" s="1"/>
  <c r="C64" i="1"/>
  <c r="B64" i="8" s="1"/>
  <c r="T63" i="1"/>
  <c r="D63" i="1"/>
  <c r="C63" i="8" s="1"/>
  <c r="C63" i="1"/>
  <c r="B63" i="8" s="1"/>
  <c r="J61" i="1"/>
  <c r="D61" i="1" s="1"/>
  <c r="J60" i="1"/>
  <c r="D60" i="1" s="1"/>
  <c r="J59" i="1"/>
  <c r="D59" i="1" s="1"/>
  <c r="C59" i="8" s="1"/>
  <c r="J58" i="1"/>
  <c r="J62" i="1" s="1"/>
  <c r="T57" i="1"/>
  <c r="D57" i="1"/>
  <c r="C57" i="8" s="1"/>
  <c r="C57" i="1"/>
  <c r="B57" i="8" s="1"/>
  <c r="T56" i="1"/>
  <c r="D56" i="1"/>
  <c r="C56" i="8" s="1"/>
  <c r="C56" i="1"/>
  <c r="B56" i="8" s="1"/>
  <c r="T55" i="1"/>
  <c r="D55" i="1"/>
  <c r="C55" i="8" s="1"/>
  <c r="C55" i="1"/>
  <c r="B55" i="8" s="1"/>
  <c r="T54" i="1"/>
  <c r="H54" i="1"/>
  <c r="G54" i="1"/>
  <c r="D54" i="1"/>
  <c r="C54" i="1"/>
  <c r="B54" i="8" s="1"/>
  <c r="J53" i="1"/>
  <c r="H53" i="1" s="1"/>
  <c r="C53" i="1"/>
  <c r="B53" i="8" s="1"/>
  <c r="T52" i="1"/>
  <c r="D52" i="1"/>
  <c r="C52" i="8" s="1"/>
  <c r="C52" i="1"/>
  <c r="T46" i="1"/>
  <c r="H46" i="1"/>
  <c r="G46" i="1"/>
  <c r="D46" i="1"/>
  <c r="C46" i="1"/>
  <c r="B46" i="8" s="1"/>
  <c r="T45" i="1"/>
  <c r="D45" i="1"/>
  <c r="C45" i="1"/>
  <c r="B45" i="8" s="1"/>
  <c r="T44" i="1"/>
  <c r="H44" i="1"/>
  <c r="G44" i="1"/>
  <c r="D44" i="1"/>
  <c r="C44" i="1"/>
  <c r="B44" i="8" s="1"/>
  <c r="T43" i="1"/>
  <c r="H43" i="1"/>
  <c r="G43" i="1"/>
  <c r="D43" i="1"/>
  <c r="C43" i="1"/>
  <c r="B43" i="8" s="1"/>
  <c r="K42" i="1"/>
  <c r="T41" i="1"/>
  <c r="H41" i="1"/>
  <c r="D41" i="1" s="1"/>
  <c r="C41" i="8" s="1"/>
  <c r="G41" i="1"/>
  <c r="C41" i="1" s="1"/>
  <c r="B41" i="8" s="1"/>
  <c r="T40" i="1"/>
  <c r="H40" i="1"/>
  <c r="G40" i="1"/>
  <c r="D40" i="1"/>
  <c r="C40" i="1"/>
  <c r="B40" i="8" s="1"/>
  <c r="T39" i="1"/>
  <c r="D39" i="1"/>
  <c r="C39" i="1"/>
  <c r="B39" i="8" s="1"/>
  <c r="T38" i="1"/>
  <c r="H38" i="1"/>
  <c r="D38" i="1" s="1"/>
  <c r="C38" i="1"/>
  <c r="B38" i="8" s="1"/>
  <c r="J37" i="1"/>
  <c r="H37" i="1" s="1"/>
  <c r="D37" i="1" s="1"/>
  <c r="C37" i="8" s="1"/>
  <c r="T36" i="1"/>
  <c r="D36" i="1"/>
  <c r="C36" i="1"/>
  <c r="B36" i="8" s="1"/>
  <c r="T35" i="1"/>
  <c r="D35" i="1"/>
  <c r="C35" i="1"/>
  <c r="B35" i="8" s="1"/>
  <c r="T34" i="1"/>
  <c r="D34" i="1"/>
  <c r="N34" i="1" s="1"/>
  <c r="C34" i="1"/>
  <c r="B34" i="8" s="1"/>
  <c r="T33" i="1"/>
  <c r="D33" i="1"/>
  <c r="C33" i="8" s="1"/>
  <c r="C33" i="1"/>
  <c r="B33" i="8" s="1"/>
  <c r="T32" i="1"/>
  <c r="D32" i="1"/>
  <c r="C32" i="8" s="1"/>
  <c r="C32" i="1"/>
  <c r="T31" i="1"/>
  <c r="D31" i="1"/>
  <c r="C31" i="1"/>
  <c r="T30" i="1"/>
  <c r="D30" i="1"/>
  <c r="C30" i="1"/>
  <c r="B30" i="8" s="1"/>
  <c r="T29" i="1"/>
  <c r="D29" i="1"/>
  <c r="C29" i="8" s="1"/>
  <c r="C29" i="1"/>
  <c r="B29" i="8" s="1"/>
  <c r="T28" i="1"/>
  <c r="D28" i="1"/>
  <c r="C28" i="8" s="1"/>
  <c r="C28" i="1"/>
  <c r="T27" i="1"/>
  <c r="H27" i="1"/>
  <c r="G27" i="1"/>
  <c r="D27" i="1"/>
  <c r="C27" i="1"/>
  <c r="T26" i="1"/>
  <c r="D26" i="1"/>
  <c r="C26" i="8" s="1"/>
  <c r="C26" i="1"/>
  <c r="T25" i="1"/>
  <c r="D25" i="1"/>
  <c r="C25" i="1"/>
  <c r="T24" i="1"/>
  <c r="L24" i="1"/>
  <c r="D24" i="1"/>
  <c r="C24" i="1"/>
  <c r="B24" i="8" s="1"/>
  <c r="T23" i="1"/>
  <c r="H23" i="1"/>
  <c r="C23" i="1" s="1"/>
  <c r="G23" i="1"/>
  <c r="T22" i="1"/>
  <c r="N22" i="1"/>
  <c r="D22" i="1"/>
  <c r="C22" i="8" s="1"/>
  <c r="C22" i="1"/>
  <c r="B22" i="8" s="1"/>
  <c r="T21" i="1"/>
  <c r="D21" i="1"/>
  <c r="C21" i="8" s="1"/>
  <c r="C21" i="1"/>
  <c r="T20" i="1"/>
  <c r="D20" i="1"/>
  <c r="C20" i="1"/>
  <c r="T19" i="1"/>
  <c r="D19" i="1"/>
  <c r="C19" i="1"/>
  <c r="B19" i="8" s="1"/>
  <c r="T18" i="1"/>
  <c r="D18" i="1"/>
  <c r="C18" i="8" s="1"/>
  <c r="C18" i="1"/>
  <c r="B18" i="8" s="1"/>
  <c r="T17" i="1"/>
  <c r="D17" i="1"/>
  <c r="C17" i="8" s="1"/>
  <c r="C17" i="1"/>
  <c r="T16" i="1"/>
  <c r="D16" i="1"/>
  <c r="C16" i="1"/>
  <c r="T15" i="1"/>
  <c r="H15" i="1"/>
  <c r="D15" i="1" s="1"/>
  <c r="G15" i="1"/>
  <c r="C15" i="1"/>
  <c r="B15" i="8" s="1"/>
  <c r="T14" i="1"/>
  <c r="D14" i="1"/>
  <c r="C14" i="1"/>
  <c r="T13" i="1"/>
  <c r="H13" i="1"/>
  <c r="T12" i="1"/>
  <c r="D12" i="1"/>
  <c r="C12" i="1"/>
  <c r="T11" i="1"/>
  <c r="D11" i="1"/>
  <c r="C11" i="1"/>
  <c r="B11" i="8" s="1"/>
  <c r="T10" i="1"/>
  <c r="H10" i="1"/>
  <c r="D10" i="1" s="1"/>
  <c r="G10" i="1"/>
  <c r="C10" i="1"/>
  <c r="T9" i="1"/>
  <c r="D9" i="1"/>
  <c r="C9" i="1"/>
  <c r="B9" i="8" s="1"/>
  <c r="T8" i="1"/>
  <c r="S8" i="1"/>
  <c r="D8" i="1"/>
  <c r="C8" i="8" s="1"/>
  <c r="C8" i="1"/>
  <c r="T7" i="1"/>
  <c r="D7" i="1"/>
  <c r="C7" i="1"/>
  <c r="J6" i="1"/>
  <c r="T6" i="1" s="1"/>
  <c r="H6" i="1"/>
  <c r="G6" i="1"/>
  <c r="D6" i="1"/>
  <c r="C6" i="1"/>
  <c r="B6" i="8" s="1"/>
  <c r="T5" i="1"/>
  <c r="D5" i="1"/>
  <c r="C5" i="1"/>
  <c r="B5" i="8" s="1"/>
  <c r="T4" i="1"/>
  <c r="D4" i="1"/>
  <c r="C4" i="8" s="1"/>
  <c r="C4" i="1"/>
  <c r="B4" i="8" s="1"/>
  <c r="T3" i="1"/>
  <c r="D3" i="1"/>
  <c r="C3" i="8" s="1"/>
  <c r="C3" i="1"/>
  <c r="T2" i="1"/>
  <c r="D2" i="1"/>
  <c r="C2" i="1"/>
  <c r="O63" i="1" l="1"/>
  <c r="O64" i="1"/>
  <c r="O65" i="1"/>
  <c r="O33" i="1"/>
  <c r="T61" i="1"/>
  <c r="N11" i="1"/>
  <c r="D23" i="1"/>
  <c r="N23" i="1" s="1"/>
  <c r="N29" i="1"/>
  <c r="N33" i="1"/>
  <c r="O10" i="1"/>
  <c r="C10" i="8"/>
  <c r="C60" i="8"/>
  <c r="O3" i="1"/>
  <c r="B3" i="8"/>
  <c r="O24" i="1"/>
  <c r="C24" i="8"/>
  <c r="O31" i="1"/>
  <c r="C31" i="8"/>
  <c r="O67" i="1"/>
  <c r="C67" i="8"/>
  <c r="N6" i="1"/>
  <c r="C6" i="8"/>
  <c r="N12" i="1"/>
  <c r="B12" i="8"/>
  <c r="N16" i="1"/>
  <c r="B16" i="8"/>
  <c r="N18" i="1"/>
  <c r="O19" i="1"/>
  <c r="C19" i="8"/>
  <c r="O20" i="1"/>
  <c r="C20" i="8"/>
  <c r="O22" i="1"/>
  <c r="B23" i="8"/>
  <c r="O25" i="1"/>
  <c r="C25" i="8"/>
  <c r="O29" i="1"/>
  <c r="N30" i="1"/>
  <c r="O39" i="1"/>
  <c r="C39" i="8"/>
  <c r="O43" i="1"/>
  <c r="C43" i="8"/>
  <c r="T60" i="1"/>
  <c r="C70" i="1"/>
  <c r="B70" i="8" s="1"/>
  <c r="C72" i="8"/>
  <c r="N10" i="1"/>
  <c r="B10" i="8"/>
  <c r="O17" i="1"/>
  <c r="B17" i="8"/>
  <c r="N25" i="1"/>
  <c r="B25" i="8"/>
  <c r="O30" i="1"/>
  <c r="C30" i="8"/>
  <c r="O54" i="1"/>
  <c r="C54" i="8"/>
  <c r="O68" i="1"/>
  <c r="C68" i="8"/>
  <c r="N74" i="1"/>
  <c r="B72" i="8"/>
  <c r="N2" i="1"/>
  <c r="B2" i="8"/>
  <c r="N4" i="1"/>
  <c r="O5" i="1"/>
  <c r="C5" i="8"/>
  <c r="N7" i="1"/>
  <c r="B7" i="8"/>
  <c r="O9" i="1"/>
  <c r="C9" i="8"/>
  <c r="O2" i="1"/>
  <c r="C2" i="8"/>
  <c r="O4" i="1"/>
  <c r="N5" i="1"/>
  <c r="O7" i="1"/>
  <c r="C7" i="8"/>
  <c r="N9" i="1"/>
  <c r="O11" i="1"/>
  <c r="C11" i="8"/>
  <c r="O12" i="1"/>
  <c r="C12" i="8"/>
  <c r="N14" i="1"/>
  <c r="B14" i="8"/>
  <c r="O16" i="1"/>
  <c r="C16" i="8"/>
  <c r="O18" i="1"/>
  <c r="N19" i="1"/>
  <c r="N24" i="1"/>
  <c r="N27" i="1"/>
  <c r="B27" i="8"/>
  <c r="O32" i="1"/>
  <c r="B32" i="8"/>
  <c r="O36" i="1"/>
  <c r="C36" i="8"/>
  <c r="O38" i="1"/>
  <c r="C38" i="8"/>
  <c r="O44" i="1"/>
  <c r="C44" i="8"/>
  <c r="O46" i="1"/>
  <c r="C46" i="8"/>
  <c r="O52" i="1"/>
  <c r="B52" i="8"/>
  <c r="O55" i="1"/>
  <c r="O56" i="1"/>
  <c r="O57" i="1"/>
  <c r="C60" i="1"/>
  <c r="B60" i="8" s="1"/>
  <c r="C61" i="1"/>
  <c r="B61" i="8" s="1"/>
  <c r="O8" i="1"/>
  <c r="B8" i="8"/>
  <c r="N20" i="1"/>
  <c r="B20" i="8"/>
  <c r="O40" i="1"/>
  <c r="C40" i="8"/>
  <c r="O14" i="1"/>
  <c r="C14" i="8"/>
  <c r="O15" i="1"/>
  <c r="C15" i="8"/>
  <c r="O21" i="1"/>
  <c r="B21" i="8"/>
  <c r="C23" i="8"/>
  <c r="O26" i="1"/>
  <c r="B26" i="8"/>
  <c r="O27" i="1"/>
  <c r="C27" i="8"/>
  <c r="O28" i="1"/>
  <c r="B28" i="8"/>
  <c r="N31" i="1"/>
  <c r="B31" i="8"/>
  <c r="O34" i="1"/>
  <c r="C34" i="8"/>
  <c r="O35" i="1"/>
  <c r="C35" i="8"/>
  <c r="O45" i="1"/>
  <c r="C45" i="8"/>
  <c r="O61" i="1"/>
  <c r="C61" i="8"/>
  <c r="O74" i="1"/>
  <c r="C74" i="8"/>
  <c r="D62" i="1"/>
  <c r="T62" i="1"/>
  <c r="C62" i="1"/>
  <c r="B62" i="8" s="1"/>
  <c r="N15" i="1"/>
  <c r="O41" i="1"/>
  <c r="O66" i="1"/>
  <c r="O6" i="1"/>
  <c r="D13" i="1"/>
  <c r="C13" i="8" s="1"/>
  <c r="G37" i="1"/>
  <c r="C37" i="1" s="1"/>
  <c r="T37" i="1"/>
  <c r="D53" i="1"/>
  <c r="C58" i="1"/>
  <c r="B58" i="8" s="1"/>
  <c r="T58" i="1"/>
  <c r="C69" i="1"/>
  <c r="B69" i="8" s="1"/>
  <c r="D70" i="1"/>
  <c r="G71" i="1"/>
  <c r="B6" i="7"/>
  <c r="C13" i="1"/>
  <c r="N3" i="1"/>
  <c r="N8" i="1"/>
  <c r="G13" i="1"/>
  <c r="N17" i="1"/>
  <c r="N21" i="1"/>
  <c r="N26" i="1"/>
  <c r="N28" i="1"/>
  <c r="N32" i="1"/>
  <c r="G53" i="1"/>
  <c r="T53" i="1"/>
  <c r="D58" i="1"/>
  <c r="C59" i="1"/>
  <c r="B59" i="8" s="1"/>
  <c r="T59" i="1"/>
  <c r="D69" i="1"/>
  <c r="C69" i="8" s="1"/>
  <c r="J71" i="1"/>
  <c r="D75" i="1"/>
  <c r="N75" i="1" s="1"/>
  <c r="D76" i="1"/>
  <c r="N76" i="1" s="1"/>
  <c r="D77" i="1"/>
  <c r="D78" i="1"/>
  <c r="B3" i="7"/>
  <c r="B4" i="7" s="1"/>
  <c r="B5" i="7" s="1"/>
  <c r="O23" i="1" l="1"/>
  <c r="O59" i="1"/>
  <c r="O78" i="1"/>
  <c r="C78" i="8"/>
  <c r="N13" i="1"/>
  <c r="B13" i="8"/>
  <c r="O62" i="1"/>
  <c r="C62" i="8"/>
  <c r="O60" i="1"/>
  <c r="O77" i="1"/>
  <c r="C77" i="8"/>
  <c r="O37" i="1"/>
  <c r="B37" i="8"/>
  <c r="O76" i="1"/>
  <c r="C76" i="8"/>
  <c r="N70" i="1"/>
  <c r="O58" i="1"/>
  <c r="C58" i="8"/>
  <c r="O75" i="1"/>
  <c r="C75" i="8"/>
  <c r="N72" i="1"/>
  <c r="O70" i="1"/>
  <c r="C70" i="8"/>
  <c r="O53" i="1"/>
  <c r="C53" i="8"/>
  <c r="O72" i="1"/>
  <c r="O69" i="1"/>
  <c r="O13" i="1"/>
  <c r="N78" i="1"/>
  <c r="C71" i="1"/>
  <c r="B71" i="8" s="1"/>
  <c r="D71" i="1"/>
  <c r="T71" i="1"/>
  <c r="B11" i="7"/>
  <c r="B18" i="7"/>
  <c r="B15" i="7"/>
  <c r="B21" i="7"/>
  <c r="N77" i="1"/>
  <c r="N69" i="1"/>
  <c r="O71" i="1" l="1"/>
  <c r="C71" i="8"/>
  <c r="J48" i="1"/>
  <c r="C15" i="7"/>
  <c r="J49" i="1"/>
  <c r="C18" i="7"/>
  <c r="N73" i="1"/>
  <c r="O73" i="1"/>
  <c r="J50" i="1"/>
  <c r="C21" i="7"/>
  <c r="N71" i="1"/>
  <c r="B25" i="7"/>
  <c r="J51" i="1" s="1"/>
  <c r="C11" i="7"/>
  <c r="J47" i="1"/>
  <c r="H48" i="1" l="1"/>
  <c r="T48" i="1"/>
  <c r="G48" i="1"/>
  <c r="C48" i="1"/>
  <c r="B48" i="8" s="1"/>
  <c r="D48" i="1"/>
  <c r="T47" i="1"/>
  <c r="G47" i="1"/>
  <c r="D47" i="1"/>
  <c r="C47" i="8" s="1"/>
  <c r="C47" i="1"/>
  <c r="B47" i="8" s="1"/>
  <c r="H47" i="1"/>
  <c r="D50" i="1"/>
  <c r="C50" i="8" s="1"/>
  <c r="T50" i="1"/>
  <c r="C50" i="1"/>
  <c r="B50" i="8" s="1"/>
  <c r="H50" i="1"/>
  <c r="G50" i="1"/>
  <c r="C49" i="1"/>
  <c r="B49" i="8" s="1"/>
  <c r="H49" i="1"/>
  <c r="T49" i="1"/>
  <c r="G49" i="1"/>
  <c r="D49" i="1"/>
  <c r="T51" i="1"/>
  <c r="G51" i="1"/>
  <c r="D51" i="1"/>
  <c r="C51" i="1"/>
  <c r="B51" i="8" s="1"/>
  <c r="H51" i="1"/>
  <c r="E15" i="7"/>
  <c r="O51" i="1" l="1"/>
  <c r="C51" i="8"/>
  <c r="O49" i="1"/>
  <c r="C49" i="8"/>
  <c r="O48" i="1"/>
  <c r="C48" i="8"/>
  <c r="O47" i="1"/>
  <c r="O50" i="1"/>
  <c r="E18" i="7"/>
  <c r="J42" i="1" s="1"/>
  <c r="G15" i="7" s="1"/>
  <c r="T42" i="1" l="1"/>
  <c r="H42" i="1"/>
  <c r="D42" i="1" s="1"/>
  <c r="C42" i="8" s="1"/>
  <c r="G42" i="1"/>
  <c r="C42" i="1" s="1"/>
  <c r="B42" i="8" s="1"/>
  <c r="O42" i="1" l="1"/>
</calcChain>
</file>

<file path=xl/sharedStrings.xml><?xml version="1.0" encoding="utf-8"?>
<sst xmlns="http://schemas.openxmlformats.org/spreadsheetml/2006/main" count="629" uniqueCount="287">
  <si>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</si>
  <si>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</si>
  <si>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</si>
  <si>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</si>
  <si>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</si>
  <si>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</si>
  <si>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</si>
  <si>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</si>
  <si>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</si>
  <si>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</si>
  <si>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</si>
  <si>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</si>
  <si>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</si>
  <si>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</si>
  <si>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</si>
  <si>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Forma de Definição</t>
  </si>
  <si>
    <t>Fontes Utilizadas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</si>
  <si>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</si>
  <si>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</si>
  <si>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</si>
  <si>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</si>
  <si>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</si>
  <si>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</si>
  <si>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</si>
  <si>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(STERMAN, 2007)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</si>
  <si>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</si>
  <si>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</si>
  <si>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</si>
  <si>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</si>
  <si>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</si>
  <si>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</si>
  <si>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</si>
  <si>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</si>
  <si>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</si>
  <si>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</si>
  <si>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</si>
  <si>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</si>
  <si>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</si>
  <si>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</si>
  <si>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</si>
  <si>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</si>
  <si>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</si>
  <si>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</si>
  <si>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NA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</si>
  <si>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</si>
  <si>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</si>
  <si>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</si>
  <si>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</si>
  <si>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</si>
  <si>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Variável não utilizada.</t>
  </si>
  <si>
    <t>aReferencePrice</t>
  </si>
  <si>
    <t>Preço de Referência em Equilíbrio com Demanda de Referência</t>
  </si>
  <si>
    <t>$</t>
  </si>
  <si>
    <t>(WOHLERS, 2017)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</si>
  <si>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</si>
  <si>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</si>
  <si>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</si>
  <si>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</si>
  <si>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</si>
  <si>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</si>
  <si>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</si>
  <si>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</si>
  <si>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</si>
  <si>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</si>
  <si>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</si>
  <si>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fonte de informação para definição deste parâmetro. Adotado o valor arbitrado por Sterman, com um fator de variação 10.</t>
  </si>
  <si>
    <t>aWOMStrength</t>
  </si>
  <si>
    <t>Força da Difusão do Produto “Boca a Boca”</t>
  </si>
  <si>
    <t>Utilizado o range testado por Sterman (2007).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</si>
  <si>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</si>
  <si>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</si>
  <si>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</si>
  <si>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</si>
  <si>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</si>
  <si>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Manteve-se o parâmetro definido por Sterman (2007).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</si>
  <si>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</si>
  <si>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</si>
  <si>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</si>
  <si>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</si>
  <si>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</si>
  <si>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</si>
  <si>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</si>
  <si>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</si>
  <si>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</si>
  <si>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</si>
  <si>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</si>
  <si>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</si>
  <si>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</si>
  <si>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</si>
  <si>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</si>
  <si>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</si>
  <si>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</si>
  <si>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Arbitrado o valor de 0,7 a 1, pressupondo que o custo será reduzido em 30% caso a empresa produza a mesma quantidade de produtos vendidos inicialmente.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</si>
  <si>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</si>
  <si>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</si>
  <si>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</si>
  <si>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</si>
  <si>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</si>
  <si>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</si>
  <si>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</si>
  <si>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</si>
  <si>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</si>
  <si>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</si>
  <si>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</si>
  <si>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</si>
  <si>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</si>
  <si>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</si>
  <si>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</si>
  <si>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</si>
  <si>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</si>
  <si>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</si>
  <si>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</si>
  <si>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</si>
  <si>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</si>
  <si>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</si>
  <si>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</si>
  <si>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</si>
  <si>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</si>
  <si>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</si>
  <si>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</si>
  <si>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</si>
  <si>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</si>
  <si>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O módulo PeD deve ser ativado na análise.</t>
  </si>
  <si>
    <t>aTempoMedioRealizacaoPeD</t>
  </si>
  <si>
    <t>Tempo Médio para um investimento em PeD gerar uma patente.</t>
  </si>
  <si>
    <t>Arbitrado.</t>
  </si>
  <si>
    <t>aCustoMedioPatente</t>
  </si>
  <si>
    <t>Custo médio de obtenção de uma patente.</t>
  </si>
  <si>
    <t>$ / patente</t>
  </si>
  <si>
    <t>Tentar fazer busca de patentes pela 3D systems, e olhar apenas patentes ganhas nos últios 5 anos.</t>
  </si>
  <si>
    <t>Calculado considerando todo o investimento observado em P&amp;D da 3D Systems, dividido pelo número de patentes de posse da 3D systems observado.</t>
  </si>
  <si>
    <t>aTempoMedioAvaliacao</t>
  </si>
  <si>
    <t>Tempo Médio para a rejeição ou concessão de uma patente.</t>
  </si>
  <si>
    <t>(UK INTELLECTUAL PROPERTY OFFICE, 2013)</t>
  </si>
  <si>
    <t>O tempo médio de avaliação foi considerado como incerto, variando de 1,5 a 3 anos. A média observada é de 1 ano e 8 meses).</t>
  </si>
  <si>
    <t>aTaxaRejeicao</t>
  </si>
  <si>
    <t>Percentual de patentes solicitadas que são rejeitadas.</t>
  </si>
  <si>
    <t>%</t>
  </si>
  <si>
    <t>A Taxa de rejeição média calculada foi de 0,4. Esta variável também foi considerada como incerta, devido ao fato de que o crescimento do número de patentes emitidas pode aumentar esta taxa ao longo do tempo.</t>
  </si>
  <si>
    <t>aTempoVencimentoPatentes</t>
  </si>
  <si>
    <t>Tempo de Expiração de uma patente.</t>
  </si>
  <si>
    <t xml:space="preserve">Considerado como 18, visto que, no modelo, a patente </t>
  </si>
  <si>
    <t>aTempodeInutilizacaoPatente</t>
  </si>
  <si>
    <t>results</t>
  </si>
  <si>
    <t>Considera-se que uma patente em donmínio público não será útil (ou seja, não gerará performance) idenfinidamente. Foram arbitrados tempos máximos e mínimos para esta variável.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</si>
  <si>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</si>
  <si>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</si>
  <si>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</si>
  <si>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</si>
  <si>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</si>
  <si>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(3D HUBS, 2017b)</t>
  </si>
  <si>
    <t>Considerou-se os mesmos valores mínimos e máximos de índices de performance empregados na 3D Printer Index).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</si>
  <si>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</si>
  <si>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</si>
  <si>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</si>
  <si>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</si>
  <si>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</si>
  <si>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Como referência, adotou-se o valor de performance máximo.</t>
  </si>
  <si>
    <t>aInitialInvestimentoNaoRealizadoPeD</t>
  </si>
  <si>
    <t>(QUANDL, 2017)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</si>
  <si>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</si>
  <si>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</si>
  <si>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Dois últimos anos do relatório de patentes. Pressupõe-se que apenas metade das patentes são relacionadas à tecnologia embarcada em impressoras 3D.</t>
  </si>
  <si>
    <t>aInitialPatentesEmpresa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</si>
  <si>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</si>
  <si>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</si>
  <si>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</si>
  <si>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</si>
  <si>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</si>
  <si>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</si>
  <si>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Não há informação disponível para determinar a fração inicial de pedidos que é oriúnda de substituições de impressoras 3D em fim de vida útil.</t>
  </si>
  <si>
    <t>aTotalInitialInstalledBaseInutilizado</t>
  </si>
  <si>
    <t>aInitialIndustryShipments</t>
  </si>
  <si>
    <t>(WOHLERS ASSOCIATES, 2013, 2014, 2015 ; WHOLERS, 2016)</t>
  </si>
  <si>
    <t>Utilizou-se a última informação disponível sobre o número de impressoras 3D profissionais vendidas como referência para calibrar as condições iniciais do modelo.</t>
  </si>
  <si>
    <t>aInitialSharePlayers1</t>
  </si>
  <si>
    <t>(ERNST &amp; YOUNG GMBH, 2016)</t>
  </si>
  <si>
    <t>O Market Share Inicial das empresas considera que três empresas (3D Systems, Stratasys e EOS) dominam 70% do mercado (ERNST &amp; YOUNG GMBH, 2016, p. 54).</t>
  </si>
  <si>
    <t>aInitialSharePlayers2</t>
  </si>
  <si>
    <t>Idem à variável anterior.</t>
  </si>
  <si>
    <t>aInitialSharePlayers3</t>
  </si>
  <si>
    <t>aInitialSharePlayers4</t>
  </si>
  <si>
    <t>aPatentShare1</t>
  </si>
  <si>
    <t>Share de Patentes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</si>
  <si>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</si>
  <si>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</si>
  <si>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</si>
  <si>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</si>
  <si>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</si>
  <si>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</si>
  <si>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Variável considerada como incerta, pressupondo que os players podem optar por tornar todo o seu investimento em Patentes Open Source.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</si>
  <si>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</si>
  <si>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</si>
  <si>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</si>
  <si>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</si>
  <si>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</si>
  <si>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</si>
  <si>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</si>
  <si>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</si>
  <si>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</si>
  <si>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Foi considerado que o player tem a mesma liberdade de decisão que o player analisado, variando seu market share desejado em 1/3 a mais ou a menos do que seu market share inicial.</t>
  </si>
  <si>
    <t>aDesiredMarketShare3</t>
  </si>
  <si>
    <t>aDesiredMarketShare4</t>
  </si>
  <si>
    <t>aSwitchForCapacityStrategy2</t>
  </si>
  <si>
    <t>Estratégia de Capacidade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</si>
  <si>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</si>
  <si>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</si>
  <si>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</si>
  <si>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</si>
  <si>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</si>
  <si>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</si>
  <si>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</si>
  <si>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</si>
  <si>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</si>
  <si>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</si>
  <si>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</si>
  <si>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</si>
  <si>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</si>
  <si>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</si>
  <si>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Não há informações disponíveis sobre empresas que atuem no ramo de impressoras profissionais com patentes open source.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</si>
  <si>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</si>
  <si>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</si>
  <si>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</si>
  <si>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</si>
  <si>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</si>
  <si>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</si>
  <si>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</si>
  <si>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</si>
  <si>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</si>
  <si>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</si>
  <si>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</si>
  <si>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</si>
  <si>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</si>
  <si>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</si>
  <si>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</si>
  <si>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</si>
  <si>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</si>
  <si>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</si>
  <si>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</si>
  <si>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</si>
  <si>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</si>
  <si>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</si>
  <si>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</si>
  <si>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</si>
  <si>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</si>
  <si>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</si>
  <si>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</si>
  <si>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</si>
  <si>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</si>
  <si>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</si>
  <si>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</si>
  <si>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</si>
  <si>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</si>
  <si>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</si>
  <si>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</si>
  <si>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</si>
  <si>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</si>
  <si>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</si>
  <si>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</si>
  <si>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</si>
  <si>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</si>
  <si>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</si>
  <si>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</si>
  <si>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Inv. 3D Systems</t>
  </si>
  <si>
    <t>Inv PeD 3D Systems</t>
  </si>
  <si>
    <t>Demanda Global Inicial</t>
  </si>
  <si>
    <t>Preço Inicial</t>
  </si>
  <si>
    <t>Faturamento Total</t>
  </si>
  <si>
    <t>Investimento Anual</t>
  </si>
  <si>
    <t>CustoMédioPatente</t>
  </si>
  <si>
    <t>TaxaAceitacaoPatentes</t>
  </si>
  <si>
    <t>(2 ultimos anos)</t>
  </si>
  <si>
    <t>Investimento Não Realizado</t>
  </si>
  <si>
    <t>(2 – 6 ultimos anos)</t>
  </si>
  <si>
    <t>Defalator Patentes Avaliação</t>
  </si>
  <si>
    <t>pats emp 1</t>
  </si>
  <si>
    <t>perf</t>
  </si>
  <si>
    <t>Deflator Patentes Empresa</t>
  </si>
  <si>
    <t>Perf Inicial</t>
  </si>
  <si>
    <t>Perf Slope</t>
  </si>
  <si>
    <t>Deflator Patentes Domínio Público</t>
  </si>
  <si>
    <t>TempoDepreciacao</t>
  </si>
  <si>
    <t>Mínimo</t>
  </si>
  <si>
    <t>Máximo</t>
  </si>
  <si>
    <t>Forma de Def.</t>
  </si>
  <si>
    <t>P. Original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</si>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</sst>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left" vertical="top" wrapText="1"/>
    </xf>
    <xf numFmtId="2" fontId="5" fillId="0" borderId="1" xfId="0" applyNumberFormat="1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14" sqref="A14"/>
      <selection pane="bottomRight" activeCell="P37" sqref="P37:P78"/>
    </sheetView>
  </sheetViews>
  <sheetFormatPr defaultRowHeight="15" x14ac:dyDescent="0.25"/>
  <cols>
    <col min="1" max="1" width="34.85546875" style="1"/>
    <col min="2" max="2" width="46.7109375" style="1"/>
    <col min="3" max="3" width="14.28515625" style="2"/>
    <col min="4" max="4" width="15.28515625" style="2"/>
    <col min="5" max="5" width="12.7109375" style="1"/>
    <col min="6" max="6" width="6.140625" style="2"/>
    <col min="7" max="8" width="6.140625" style="1"/>
    <col min="9" max="9" width="8.28515625" style="1"/>
    <col min="10" max="10" width="6.28515625" style="1"/>
    <col min="11" max="13" width="6.140625" style="1"/>
    <col min="14" max="15" width="3.5703125" style="1"/>
    <col min="16" max="16" width="13.140625" style="1"/>
    <col min="17" max="17" width="14.5703125" style="1"/>
    <col min="18" max="18" width="43.28515625" style="1"/>
    <col min="19" max="19" width="6.85546875" style="1"/>
    <col min="20" max="20" width="17.28515625" style="1"/>
    <col min="21" max="1025" width="6.140625" style="1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22</v>
      </c>
      <c r="F2" s="2">
        <v>0.5</v>
      </c>
      <c r="G2" s="1">
        <v>0</v>
      </c>
      <c r="H2" s="1">
        <v>30</v>
      </c>
      <c r="I2" s="1" t="s">
        <v>23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285</v>
      </c>
      <c r="Q2" s="1" t="s">
        <v>24</v>
      </c>
      <c r="R2" t="s">
        <v>25</v>
      </c>
      <c r="S2"/>
      <c r="T2" s="1" t="b">
        <f>J2=[1]params_testeithink!J2</f>
        <v>1</v>
      </c>
    </row>
    <row r="3" spans="1:20" x14ac:dyDescent="0.25">
      <c r="A3" s="1" t="s">
        <v>26</v>
      </c>
      <c r="B3" s="1" t="s">
        <v>27</v>
      </c>
      <c r="C3" s="2">
        <f t="shared" si="0"/>
        <v>0.04</v>
      </c>
      <c r="D3" s="2">
        <f t="shared" si="1"/>
        <v>0.04</v>
      </c>
      <c r="E3" s="1" t="s">
        <v>28</v>
      </c>
      <c r="F3" s="2">
        <v>0.5</v>
      </c>
      <c r="G3" s="1">
        <v>0</v>
      </c>
      <c r="H3" s="1">
        <v>1</v>
      </c>
      <c r="I3" s="1" t="s">
        <v>23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285</v>
      </c>
      <c r="Q3" s="1" t="s">
        <v>24</v>
      </c>
      <c r="R3" t="s">
        <v>29</v>
      </c>
      <c r="S3"/>
      <c r="T3" s="1" t="b">
        <f>J3=[1]params_testeithink!J3</f>
        <v>1</v>
      </c>
    </row>
    <row r="4" spans="1:20" x14ac:dyDescent="0.25">
      <c r="A4" s="1" t="s">
        <v>30</v>
      </c>
      <c r="B4" s="1" t="s">
        <v>31</v>
      </c>
      <c r="C4" s="2">
        <f t="shared" si="0"/>
        <v>0.25</v>
      </c>
      <c r="D4" s="2">
        <f t="shared" si="1"/>
        <v>0.25</v>
      </c>
      <c r="E4" s="1" t="s">
        <v>32</v>
      </c>
      <c r="F4" s="2">
        <v>0.5</v>
      </c>
      <c r="G4">
        <v>0.25</v>
      </c>
      <c r="H4">
        <v>10</v>
      </c>
      <c r="I4" s="1" t="s">
        <v>23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285</v>
      </c>
      <c r="Q4" s="1" t="s">
        <v>24</v>
      </c>
      <c r="R4" t="s">
        <v>33</v>
      </c>
      <c r="S4"/>
      <c r="T4" s="1" t="b">
        <f>J4=[1]params_testeithink!J4</f>
        <v>1</v>
      </c>
    </row>
    <row r="5" spans="1:20" x14ac:dyDescent="0.25">
      <c r="A5" s="1" t="s">
        <v>34</v>
      </c>
      <c r="B5" s="1" t="s">
        <v>35</v>
      </c>
      <c r="C5" s="2">
        <f t="shared" si="0"/>
        <v>1</v>
      </c>
      <c r="D5" s="2">
        <f t="shared" si="1"/>
        <v>1</v>
      </c>
      <c r="E5" s="1" t="s">
        <v>36</v>
      </c>
      <c r="F5" s="2">
        <v>0.5</v>
      </c>
      <c r="G5" s="1">
        <v>0</v>
      </c>
      <c r="H5" s="1">
        <v>1</v>
      </c>
      <c r="I5" s="1" t="s">
        <v>23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285</v>
      </c>
      <c r="Q5" s="1" t="s">
        <v>24</v>
      </c>
      <c r="R5" t="s">
        <v>37</v>
      </c>
      <c r="S5"/>
      <c r="T5" s="1" t="b">
        <f>J5=[1]params_testeithink!J5</f>
        <v>1</v>
      </c>
    </row>
    <row r="6" spans="1:20" x14ac:dyDescent="0.25">
      <c r="A6" s="1" t="s">
        <v>38</v>
      </c>
      <c r="B6" s="1" t="s">
        <v>39</v>
      </c>
      <c r="C6" s="2">
        <f t="shared" si="0"/>
        <v>0.1</v>
      </c>
      <c r="D6" s="2">
        <f t="shared" si="1"/>
        <v>0.2</v>
      </c>
      <c r="E6" s="1" t="s">
        <v>40</v>
      </c>
      <c r="F6" s="2">
        <v>10</v>
      </c>
      <c r="G6">
        <f>1/10</f>
        <v>0.1</v>
      </c>
      <c r="H6">
        <f>1/5</f>
        <v>0.2</v>
      </c>
      <c r="I6" s="5" t="s">
        <v>41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42</v>
      </c>
      <c r="Q6" s="1" t="s">
        <v>43</v>
      </c>
      <c r="R6" t="s">
        <v>44</v>
      </c>
      <c r="S6"/>
      <c r="T6" s="1" t="b">
        <f>J6=[1]params_testeithink!J6</f>
        <v>1</v>
      </c>
    </row>
    <row r="7" spans="1:20" x14ac:dyDescent="0.25">
      <c r="A7" s="1" t="s">
        <v>45</v>
      </c>
      <c r="B7" s="1" t="s">
        <v>46</v>
      </c>
      <c r="C7" s="2">
        <f t="shared" si="0"/>
        <v>0.05</v>
      </c>
      <c r="D7" s="2">
        <f t="shared" si="1"/>
        <v>0.05</v>
      </c>
      <c r="E7" s="1" t="s">
        <v>47</v>
      </c>
      <c r="F7" s="2">
        <v>0.5</v>
      </c>
      <c r="G7">
        <v>0</v>
      </c>
      <c r="H7">
        <v>1</v>
      </c>
      <c r="I7" s="6" t="s">
        <v>23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48</v>
      </c>
      <c r="Q7" s="1" t="s">
        <v>43</v>
      </c>
      <c r="R7" t="s">
        <v>49</v>
      </c>
      <c r="S7"/>
      <c r="T7" s="1" t="b">
        <f>J7=[1]params_testeithink!J7</f>
        <v>1</v>
      </c>
    </row>
    <row r="8" spans="1:20" x14ac:dyDescent="0.25">
      <c r="A8" s="5" t="s">
        <v>50</v>
      </c>
      <c r="B8" s="5" t="s">
        <v>51</v>
      </c>
      <c r="C8" s="7">
        <f t="shared" si="0"/>
        <v>107000</v>
      </c>
      <c r="D8" s="7">
        <f t="shared" si="1"/>
        <v>107000</v>
      </c>
      <c r="E8" s="5" t="s">
        <v>52</v>
      </c>
      <c r="F8" s="7">
        <v>0.5</v>
      </c>
      <c r="G8" s="8">
        <v>200000</v>
      </c>
      <c r="H8" s="8">
        <v>200000</v>
      </c>
      <c r="I8" s="5" t="s">
        <v>23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286</v>
      </c>
      <c r="Q8" s="1" t="s">
        <v>53</v>
      </c>
      <c r="R8" s="1" t="s">
        <v>54</v>
      </c>
      <c r="S8" s="1">
        <f>107/0.5</f>
        <v>214</v>
      </c>
      <c r="T8" s="1" t="b">
        <f>J8=[1]params_testeithink!J8</f>
        <v>0</v>
      </c>
    </row>
    <row r="9" spans="1:20" x14ac:dyDescent="0.25">
      <c r="A9" s="1" t="s">
        <v>55</v>
      </c>
      <c r="B9" s="1" t="s">
        <v>56</v>
      </c>
      <c r="C9" s="2">
        <f t="shared" si="0"/>
        <v>0</v>
      </c>
      <c r="D9" s="2">
        <f t="shared" si="1"/>
        <v>1</v>
      </c>
      <c r="E9" s="1" t="s">
        <v>57</v>
      </c>
      <c r="F9" s="2">
        <v>10</v>
      </c>
      <c r="G9">
        <v>0</v>
      </c>
      <c r="H9">
        <v>1</v>
      </c>
      <c r="I9" s="5" t="s">
        <v>41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285</v>
      </c>
      <c r="Q9" s="1" t="s">
        <v>24</v>
      </c>
      <c r="R9" s="1" t="s">
        <v>58</v>
      </c>
      <c r="T9" s="1" t="b">
        <f>J9=[1]params_testeithink!J9</f>
        <v>1</v>
      </c>
    </row>
    <row r="10" spans="1:20" x14ac:dyDescent="0.25">
      <c r="A10" s="9" t="s">
        <v>59</v>
      </c>
      <c r="B10" s="9" t="s">
        <v>60</v>
      </c>
      <c r="C10" s="10">
        <f t="shared" si="0"/>
        <v>25000</v>
      </c>
      <c r="D10" s="10">
        <f t="shared" si="1"/>
        <v>100000</v>
      </c>
      <c r="E10" s="9" t="s">
        <v>61</v>
      </c>
      <c r="F10" s="10">
        <v>1</v>
      </c>
      <c r="G10" s="11">
        <f>J10/2</f>
        <v>25000</v>
      </c>
      <c r="H10" s="11">
        <f>J10*4</f>
        <v>200000</v>
      </c>
      <c r="I10" s="9" t="s">
        <v>41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42</v>
      </c>
      <c r="Q10" s="1" t="s">
        <v>43</v>
      </c>
      <c r="R10" t="s">
        <v>62</v>
      </c>
      <c r="T10" s="1" t="b">
        <f>J10=[1]params_testeithink!J10</f>
        <v>1</v>
      </c>
    </row>
    <row r="11" spans="1:20" x14ac:dyDescent="0.25">
      <c r="A11" s="1" t="s">
        <v>63</v>
      </c>
      <c r="B11" s="1" t="s">
        <v>64</v>
      </c>
      <c r="C11" s="12">
        <f t="shared" si="0"/>
        <v>0</v>
      </c>
      <c r="D11" s="12">
        <f t="shared" si="1"/>
        <v>1.0999999999999999E-2</v>
      </c>
      <c r="E11" s="1" t="s">
        <v>47</v>
      </c>
      <c r="F11" s="2">
        <v>10</v>
      </c>
      <c r="G11">
        <v>0</v>
      </c>
      <c r="H11">
        <v>0.5</v>
      </c>
      <c r="I11" s="5" t="s">
        <v>41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285</v>
      </c>
      <c r="Q11" s="1" t="s">
        <v>24</v>
      </c>
      <c r="R11" t="s">
        <v>65</v>
      </c>
      <c r="T11" s="1" t="b">
        <f>J11=[1]params_testeithink!J11</f>
        <v>1</v>
      </c>
    </row>
    <row r="12" spans="1:20" x14ac:dyDescent="0.25">
      <c r="A12" s="1" t="s">
        <v>66</v>
      </c>
      <c r="B12" s="1" t="s">
        <v>67</v>
      </c>
      <c r="C12" s="2">
        <f t="shared" si="0"/>
        <v>0.4</v>
      </c>
      <c r="D12" s="2">
        <f t="shared" si="1"/>
        <v>1.5</v>
      </c>
      <c r="E12" s="1" t="s">
        <v>57</v>
      </c>
      <c r="F12" s="2">
        <v>6</v>
      </c>
      <c r="G12">
        <v>0.4</v>
      </c>
      <c r="H12">
        <v>1.5</v>
      </c>
      <c r="I12" s="5" t="s">
        <v>41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285</v>
      </c>
      <c r="Q12" s="1" t="s">
        <v>24</v>
      </c>
      <c r="R12" s="1" t="s">
        <v>68</v>
      </c>
      <c r="T12" s="1" t="b">
        <f>J12=[1]params_testeithink!J12</f>
        <v>1</v>
      </c>
    </row>
    <row r="13" spans="1:20" x14ac:dyDescent="0.25">
      <c r="A13" s="9" t="s">
        <v>69</v>
      </c>
      <c r="B13" s="9" t="s">
        <v>70</v>
      </c>
      <c r="C13" s="10">
        <f>D10</f>
        <v>100000</v>
      </c>
      <c r="D13" s="10">
        <f>D10</f>
        <v>100000</v>
      </c>
      <c r="E13" s="9" t="s">
        <v>61</v>
      </c>
      <c r="F13" s="10">
        <v>5</v>
      </c>
      <c r="G13" s="11">
        <f>J53</f>
        <v>64250</v>
      </c>
      <c r="H13" s="11">
        <f>J13*10</f>
        <v>500000</v>
      </c>
      <c r="I13" s="9" t="s">
        <v>23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42</v>
      </c>
      <c r="Q13" s="1" t="s">
        <v>43</v>
      </c>
      <c r="R13" t="s">
        <v>71</v>
      </c>
      <c r="T13" s="1" t="b">
        <f>J13=[1]params_testeithink!J13</f>
        <v>1</v>
      </c>
    </row>
    <row r="14" spans="1:20" x14ac:dyDescent="0.25">
      <c r="A14" s="1" t="s">
        <v>72</v>
      </c>
      <c r="B14" s="1" t="s">
        <v>73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23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285</v>
      </c>
      <c r="Q14" s="1" t="s">
        <v>24</v>
      </c>
      <c r="R14" t="s">
        <v>74</v>
      </c>
      <c r="T14" s="1" t="b">
        <f>J14=[1]params_testeithink!J14</f>
        <v>1</v>
      </c>
    </row>
    <row r="15" spans="1:20" x14ac:dyDescent="0.25">
      <c r="A15" s="1" t="s">
        <v>75</v>
      </c>
      <c r="B15" s="1" t="s">
        <v>76</v>
      </c>
      <c r="C15" s="2">
        <f t="shared" si="4"/>
        <v>6.25E-2</v>
      </c>
      <c r="D15" s="2">
        <f t="shared" si="5"/>
        <v>0.25</v>
      </c>
      <c r="E15" s="1" t="s">
        <v>32</v>
      </c>
      <c r="F15" s="2">
        <v>3</v>
      </c>
      <c r="G15" s="1">
        <f>L15</f>
        <v>6.25E-2</v>
      </c>
      <c r="H15" s="1">
        <f>M15</f>
        <v>0.25</v>
      </c>
      <c r="I15" s="5" t="s">
        <v>41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285</v>
      </c>
      <c r="Q15" s="1" t="s">
        <v>24</v>
      </c>
      <c r="R15" s="1" t="s">
        <v>68</v>
      </c>
      <c r="T15" s="1" t="b">
        <f>J15=[1]params_testeithink!J15</f>
        <v>1</v>
      </c>
    </row>
    <row r="16" spans="1:20" x14ac:dyDescent="0.25">
      <c r="A16" s="1" t="s">
        <v>77</v>
      </c>
      <c r="B16" s="1" t="s">
        <v>78</v>
      </c>
      <c r="C16" s="2">
        <f t="shared" si="4"/>
        <v>1</v>
      </c>
      <c r="D16" s="2">
        <f t="shared" si="5"/>
        <v>1</v>
      </c>
      <c r="E16" s="1" t="s">
        <v>32</v>
      </c>
      <c r="F16" s="2">
        <v>0.5</v>
      </c>
      <c r="G16" s="1">
        <v>1</v>
      </c>
      <c r="H16" s="1">
        <v>1</v>
      </c>
      <c r="I16" s="1" t="s">
        <v>23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285</v>
      </c>
      <c r="Q16" s="1" t="s">
        <v>24</v>
      </c>
      <c r="R16" s="1" t="s">
        <v>74</v>
      </c>
      <c r="T16" s="1" t="b">
        <f>J16=[1]params_testeithink!J16</f>
        <v>1</v>
      </c>
    </row>
    <row r="17" spans="1:20" x14ac:dyDescent="0.25">
      <c r="A17" s="1" t="s">
        <v>79</v>
      </c>
      <c r="B17" s="1" t="s">
        <v>80</v>
      </c>
      <c r="C17" s="2">
        <f t="shared" si="4"/>
        <v>0.5</v>
      </c>
      <c r="D17" s="2">
        <f t="shared" si="5"/>
        <v>1</v>
      </c>
      <c r="E17" s="1" t="s">
        <v>32</v>
      </c>
      <c r="F17" s="2">
        <v>0.5</v>
      </c>
      <c r="G17" s="1">
        <v>0.25</v>
      </c>
      <c r="H17" s="1">
        <v>1</v>
      </c>
      <c r="I17" s="5" t="s">
        <v>41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285</v>
      </c>
      <c r="Q17" s="1" t="s">
        <v>24</v>
      </c>
      <c r="R17" s="1" t="s">
        <v>68</v>
      </c>
      <c r="T17" s="1" t="b">
        <f>J17=[1]params_testeithink!J17</f>
        <v>1</v>
      </c>
    </row>
    <row r="18" spans="1:20" x14ac:dyDescent="0.25">
      <c r="A18" s="1" t="s">
        <v>81</v>
      </c>
      <c r="B18" s="1" t="s">
        <v>82</v>
      </c>
      <c r="C18" s="2">
        <f t="shared" si="4"/>
        <v>1</v>
      </c>
      <c r="D18" s="2">
        <f t="shared" si="5"/>
        <v>1</v>
      </c>
      <c r="E18" s="1" t="s">
        <v>32</v>
      </c>
      <c r="F18" s="2">
        <v>0.5</v>
      </c>
      <c r="G18" s="1">
        <v>0.25</v>
      </c>
      <c r="H18" s="1">
        <v>1</v>
      </c>
      <c r="I18" s="1" t="s">
        <v>23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285</v>
      </c>
      <c r="Q18" s="1" t="s">
        <v>24</v>
      </c>
      <c r="R18" s="1" t="s">
        <v>74</v>
      </c>
      <c r="T18" s="1" t="b">
        <f>J18=[1]params_testeithink!J18</f>
        <v>1</v>
      </c>
    </row>
    <row r="19" spans="1:20" x14ac:dyDescent="0.25">
      <c r="A19" s="1" t="s">
        <v>83</v>
      </c>
      <c r="B19" s="1" t="s">
        <v>84</v>
      </c>
      <c r="C19" s="2">
        <f t="shared" si="4"/>
        <v>0.25</v>
      </c>
      <c r="D19" s="2">
        <f t="shared" si="5"/>
        <v>0.25</v>
      </c>
      <c r="E19" s="1" t="s">
        <v>32</v>
      </c>
      <c r="F19" s="2">
        <v>0.5</v>
      </c>
      <c r="G19" s="1">
        <v>0.25</v>
      </c>
      <c r="H19" s="1">
        <v>1</v>
      </c>
      <c r="I19" s="1" t="s">
        <v>23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285</v>
      </c>
      <c r="Q19" s="1" t="s">
        <v>24</v>
      </c>
      <c r="R19" s="1" t="s">
        <v>74</v>
      </c>
      <c r="T19" s="1" t="b">
        <f>J19=[1]params_testeithink!J19</f>
        <v>1</v>
      </c>
    </row>
    <row r="20" spans="1:20" x14ac:dyDescent="0.25">
      <c r="A20" s="1" t="s">
        <v>85</v>
      </c>
      <c r="B20" s="1" t="s">
        <v>86</v>
      </c>
      <c r="C20" s="2">
        <f t="shared" si="4"/>
        <v>-6</v>
      </c>
      <c r="D20" s="2">
        <f t="shared" si="5"/>
        <v>-2</v>
      </c>
      <c r="E20" s="1" t="s">
        <v>28</v>
      </c>
      <c r="F20" s="2">
        <v>0.5</v>
      </c>
      <c r="G20" s="1">
        <v>-20</v>
      </c>
      <c r="H20" s="1">
        <v>20</v>
      </c>
      <c r="I20" s="5" t="s">
        <v>41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285</v>
      </c>
      <c r="Q20" s="1" t="s">
        <v>24</v>
      </c>
      <c r="R20" t="s">
        <v>87</v>
      </c>
      <c r="T20" s="1" t="b">
        <f>J20=[1]params_testeithink!J20</f>
        <v>1</v>
      </c>
    </row>
    <row r="21" spans="1:20" x14ac:dyDescent="0.25">
      <c r="A21" s="1" t="s">
        <v>88</v>
      </c>
      <c r="B21" s="1" t="s">
        <v>89</v>
      </c>
      <c r="C21" s="2">
        <f t="shared" si="4"/>
        <v>-12</v>
      </c>
      <c r="D21" s="2">
        <f t="shared" si="5"/>
        <v>-4</v>
      </c>
      <c r="E21" s="1" t="s">
        <v>28</v>
      </c>
      <c r="F21" s="2">
        <v>0.5</v>
      </c>
      <c r="G21" s="1">
        <v>-12</v>
      </c>
      <c r="H21" s="1">
        <v>-4</v>
      </c>
      <c r="I21" s="5" t="s">
        <v>41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285</v>
      </c>
      <c r="Q21" s="1" t="s">
        <v>24</v>
      </c>
      <c r="R21" s="1" t="s">
        <v>68</v>
      </c>
      <c r="T21" s="1" t="b">
        <f>J21=[1]params_testeithink!J21</f>
        <v>1</v>
      </c>
    </row>
    <row r="22" spans="1:20" x14ac:dyDescent="0.25">
      <c r="A22" s="1" t="s">
        <v>90</v>
      </c>
      <c r="B22" s="1" t="s">
        <v>91</v>
      </c>
      <c r="C22" s="2">
        <f t="shared" si="4"/>
        <v>0.7</v>
      </c>
      <c r="D22" s="2">
        <f t="shared" si="5"/>
        <v>1</v>
      </c>
      <c r="E22" s="1" t="s">
        <v>47</v>
      </c>
      <c r="F22" s="2">
        <v>0.5</v>
      </c>
      <c r="G22" s="1">
        <v>0.7</v>
      </c>
      <c r="H22" s="1">
        <v>1</v>
      </c>
      <c r="I22" s="5" t="s">
        <v>41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42</v>
      </c>
      <c r="Q22" s="1" t="s">
        <v>43</v>
      </c>
      <c r="R22" t="s">
        <v>92</v>
      </c>
      <c r="T22" s="1" t="b">
        <f>J22=[1]params_testeithink!J22</f>
        <v>1</v>
      </c>
    </row>
    <row r="23" spans="1:20" x14ac:dyDescent="0.25">
      <c r="A23" s="1" t="s">
        <v>93</v>
      </c>
      <c r="B23" s="1" t="s">
        <v>94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95</v>
      </c>
      <c r="F23" s="2">
        <v>0.5</v>
      </c>
      <c r="G23" s="1">
        <f>J23/2</f>
        <v>50000</v>
      </c>
      <c r="H23" s="1">
        <f>J23*2</f>
        <v>200000</v>
      </c>
      <c r="I23" t="s">
        <v>23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42</v>
      </c>
      <c r="Q23" s="1" t="s">
        <v>43</v>
      </c>
      <c r="R23" t="s">
        <v>96</v>
      </c>
      <c r="T23" s="1" t="b">
        <f>J23=[1]params_testeithink!J23</f>
        <v>0</v>
      </c>
    </row>
    <row r="24" spans="1:20" x14ac:dyDescent="0.25">
      <c r="A24" s="1" t="s">
        <v>97</v>
      </c>
      <c r="B24" s="1" t="s">
        <v>98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28</v>
      </c>
      <c r="F24" s="2">
        <v>3</v>
      </c>
      <c r="G24" s="1">
        <v>0.33300000000000002</v>
      </c>
      <c r="H24" s="1">
        <v>3</v>
      </c>
      <c r="I24" s="5" t="s">
        <v>41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285</v>
      </c>
      <c r="Q24" s="1" t="s">
        <v>24</v>
      </c>
      <c r="R24" s="1" t="s">
        <v>68</v>
      </c>
      <c r="T24" s="1" t="b">
        <f>J24=[1]params_testeithink!J24</f>
        <v>1</v>
      </c>
    </row>
    <row r="25" spans="1:20" x14ac:dyDescent="0.25">
      <c r="A25" s="1" t="s">
        <v>99</v>
      </c>
      <c r="B25" s="1" t="s">
        <v>100</v>
      </c>
      <c r="C25" s="2">
        <f t="shared" si="6"/>
        <v>0.2</v>
      </c>
      <c r="D25" s="2">
        <f t="shared" si="7"/>
        <v>0.2</v>
      </c>
      <c r="E25" s="1" t="s">
        <v>47</v>
      </c>
      <c r="F25" s="2">
        <v>0.5</v>
      </c>
      <c r="G25" s="1">
        <v>0.01</v>
      </c>
      <c r="H25" s="1">
        <v>0.2</v>
      </c>
      <c r="I25" s="5" t="s">
        <v>23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" t="s">
        <v>285</v>
      </c>
      <c r="Q25" s="1" t="s">
        <v>24</v>
      </c>
      <c r="R25" s="1" t="s">
        <v>74</v>
      </c>
      <c r="T25" s="1" t="b">
        <f>J25=[1]params_testeithink!J25</f>
        <v>1</v>
      </c>
    </row>
    <row r="26" spans="1:20" x14ac:dyDescent="0.25">
      <c r="A26" s="1" t="s">
        <v>101</v>
      </c>
      <c r="B26" s="1" t="s">
        <v>102</v>
      </c>
      <c r="C26" s="2">
        <f t="shared" si="6"/>
        <v>0.6</v>
      </c>
      <c r="D26" s="2">
        <f t="shared" si="7"/>
        <v>1</v>
      </c>
      <c r="E26" s="1" t="s">
        <v>47</v>
      </c>
      <c r="F26" s="2">
        <v>0.5</v>
      </c>
      <c r="G26" s="1">
        <v>0.6</v>
      </c>
      <c r="H26" s="1">
        <v>1</v>
      </c>
      <c r="I26" s="5" t="s">
        <v>41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285</v>
      </c>
      <c r="Q26" s="1" t="s">
        <v>24</v>
      </c>
      <c r="R26" s="1" t="s">
        <v>68</v>
      </c>
      <c r="T26" s="1" t="b">
        <f>J26=[1]params_testeithink!J26</f>
        <v>1</v>
      </c>
    </row>
    <row r="27" spans="1:20" x14ac:dyDescent="0.25">
      <c r="A27" s="14" t="s">
        <v>103</v>
      </c>
      <c r="B27" s="1" t="s">
        <v>104</v>
      </c>
      <c r="C27" s="2">
        <f t="shared" si="6"/>
        <v>200</v>
      </c>
      <c r="D27" s="2">
        <f t="shared" si="7"/>
        <v>200</v>
      </c>
      <c r="E27" s="1" t="s">
        <v>105</v>
      </c>
      <c r="F27" s="2">
        <v>0.5</v>
      </c>
      <c r="G27" s="1">
        <f>J27/2</f>
        <v>100</v>
      </c>
      <c r="H27" s="1">
        <f>J27*2</f>
        <v>400</v>
      </c>
      <c r="I27" s="1" t="s">
        <v>23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42</v>
      </c>
      <c r="Q27" s="1" t="s">
        <v>43</v>
      </c>
      <c r="R27" t="s">
        <v>106</v>
      </c>
      <c r="T27" s="1" t="b">
        <f>J27=[1]params_testeithink!J27</f>
        <v>1</v>
      </c>
    </row>
    <row r="28" spans="1:20" x14ac:dyDescent="0.25">
      <c r="A28" s="1" t="s">
        <v>107</v>
      </c>
      <c r="B28" s="1" t="s">
        <v>57</v>
      </c>
      <c r="C28" s="2">
        <f t="shared" si="6"/>
        <v>1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23</v>
      </c>
      <c r="J28" s="1">
        <v>1</v>
      </c>
      <c r="K28" s="1">
        <v>1</v>
      </c>
      <c r="L28"/>
      <c r="M28"/>
      <c r="N28" s="1" t="b">
        <f t="shared" si="2"/>
        <v>1</v>
      </c>
      <c r="O28" s="1" t="b">
        <f t="shared" si="3"/>
        <v>0</v>
      </c>
      <c r="P28" s="1" t="s">
        <v>285</v>
      </c>
      <c r="Q28" s="1" t="s">
        <v>24</v>
      </c>
      <c r="R28" s="1" t="s">
        <v>68</v>
      </c>
      <c r="T28" s="1" t="b">
        <f>J28=[1]params_testeithink!J28</f>
        <v>1</v>
      </c>
    </row>
    <row r="29" spans="1:20" x14ac:dyDescent="0.25">
      <c r="A29" s="1" t="s">
        <v>108</v>
      </c>
      <c r="B29" s="1" t="s">
        <v>109</v>
      </c>
      <c r="C29" s="2">
        <f t="shared" si="6"/>
        <v>0.25</v>
      </c>
      <c r="D29" s="2">
        <f t="shared" si="7"/>
        <v>0.25</v>
      </c>
      <c r="E29" s="1" t="s">
        <v>32</v>
      </c>
      <c r="F29" s="2">
        <v>0.5</v>
      </c>
      <c r="G29" s="1">
        <v>0.25</v>
      </c>
      <c r="H29" s="1">
        <v>0.25</v>
      </c>
      <c r="I29" s="1" t="s">
        <v>23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285</v>
      </c>
      <c r="Q29" s="1" t="s">
        <v>24</v>
      </c>
      <c r="R29" s="1" t="s">
        <v>74</v>
      </c>
      <c r="T29" s="1" t="b">
        <f>J29=[1]params_testeithink!J29</f>
        <v>1</v>
      </c>
    </row>
    <row r="30" spans="1:20" x14ac:dyDescent="0.25">
      <c r="A30" s="1" t="s">
        <v>110</v>
      </c>
      <c r="B30" s="1" t="s">
        <v>111</v>
      </c>
      <c r="C30" s="2">
        <f t="shared" si="6"/>
        <v>0.25</v>
      </c>
      <c r="D30" s="2">
        <f t="shared" si="7"/>
        <v>0.25</v>
      </c>
      <c r="E30" s="1" t="s">
        <v>32</v>
      </c>
      <c r="F30" s="2">
        <v>0.5</v>
      </c>
      <c r="G30" s="1">
        <v>0.25</v>
      </c>
      <c r="H30" s="1">
        <v>0.25</v>
      </c>
      <c r="I30" s="1" t="s">
        <v>23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285</v>
      </c>
      <c r="Q30" s="1" t="s">
        <v>24</v>
      </c>
      <c r="R30" s="1" t="s">
        <v>74</v>
      </c>
      <c r="T30" s="1" t="b">
        <f>J30=[1]params_testeithink!J30</f>
        <v>1</v>
      </c>
    </row>
    <row r="31" spans="1:20" x14ac:dyDescent="0.25">
      <c r="A31" s="1" t="s">
        <v>112</v>
      </c>
      <c r="B31" s="1" t="s">
        <v>113</v>
      </c>
      <c r="C31" s="2">
        <f t="shared" si="6"/>
        <v>0.5</v>
      </c>
      <c r="D31" s="2">
        <f t="shared" si="7"/>
        <v>1</v>
      </c>
      <c r="E31" s="1" t="s">
        <v>28</v>
      </c>
      <c r="F31" s="2">
        <v>4</v>
      </c>
      <c r="G31" s="1">
        <v>0.5</v>
      </c>
      <c r="H31" s="1">
        <v>1</v>
      </c>
      <c r="I31" s="5" t="s">
        <v>41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285</v>
      </c>
      <c r="Q31" s="1" t="s">
        <v>24</v>
      </c>
      <c r="R31" s="1" t="s">
        <v>68</v>
      </c>
      <c r="T31" s="1" t="b">
        <f>J31=[1]params_testeithink!J31</f>
        <v>1</v>
      </c>
    </row>
    <row r="32" spans="1:20" x14ac:dyDescent="0.25">
      <c r="A32" s="1" t="s">
        <v>114</v>
      </c>
      <c r="B32" s="1" t="s">
        <v>115</v>
      </c>
      <c r="C32" s="2">
        <f t="shared" si="6"/>
        <v>0</v>
      </c>
      <c r="D32" s="2">
        <f t="shared" si="7"/>
        <v>0.25</v>
      </c>
      <c r="E32" s="1" t="s">
        <v>28</v>
      </c>
      <c r="F32" s="2">
        <v>4</v>
      </c>
      <c r="G32" s="1">
        <v>0</v>
      </c>
      <c r="H32" s="1">
        <v>0.25</v>
      </c>
      <c r="I32" s="5" t="s">
        <v>41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285</v>
      </c>
      <c r="Q32" s="1" t="s">
        <v>24</v>
      </c>
      <c r="R32" s="1" t="s">
        <v>68</v>
      </c>
      <c r="T32" s="1" t="b">
        <f>J32=[1]params_testeithink!J32</f>
        <v>1</v>
      </c>
    </row>
    <row r="33" spans="1:20" x14ac:dyDescent="0.25">
      <c r="A33" s="1" t="s">
        <v>116</v>
      </c>
      <c r="B33" s="1" t="s">
        <v>117</v>
      </c>
      <c r="C33" s="2">
        <f t="shared" si="6"/>
        <v>-0.5</v>
      </c>
      <c r="D33" s="2">
        <f t="shared" si="7"/>
        <v>0</v>
      </c>
      <c r="E33" s="1" t="s">
        <v>28</v>
      </c>
      <c r="F33" s="2">
        <v>4</v>
      </c>
      <c r="G33" s="1">
        <v>-0.5</v>
      </c>
      <c r="H33" s="1">
        <v>0</v>
      </c>
      <c r="I33" s="5" t="s">
        <v>41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285</v>
      </c>
      <c r="Q33" s="1" t="s">
        <v>24</v>
      </c>
      <c r="R33" s="1" t="s">
        <v>68</v>
      </c>
      <c r="T33" s="1" t="b">
        <f>J33=[1]params_testeithink!J33</f>
        <v>1</v>
      </c>
    </row>
    <row r="34" spans="1:20" x14ac:dyDescent="0.25">
      <c r="A34" s="1" t="s">
        <v>118</v>
      </c>
      <c r="B34" s="1" t="s">
        <v>119</v>
      </c>
      <c r="C34" s="2">
        <f t="shared" si="6"/>
        <v>0</v>
      </c>
      <c r="D34" s="2">
        <f t="shared" si="7"/>
        <v>0</v>
      </c>
      <c r="E34" s="1" t="s">
        <v>28</v>
      </c>
      <c r="F34" s="2">
        <v>0.5</v>
      </c>
      <c r="G34" s="1">
        <v>0</v>
      </c>
      <c r="H34" s="1">
        <v>0</v>
      </c>
      <c r="I34" s="1" t="s">
        <v>23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" t="s">
        <v>285</v>
      </c>
      <c r="Q34" s="1" t="s">
        <v>24</v>
      </c>
      <c r="R34" s="1" t="s">
        <v>74</v>
      </c>
      <c r="T34" s="1" t="b">
        <f>J34=[1]params_testeithink!J34</f>
        <v>1</v>
      </c>
    </row>
    <row r="35" spans="1:20" x14ac:dyDescent="0.25">
      <c r="A35" s="1" t="s">
        <v>120</v>
      </c>
      <c r="B35" s="1" t="s">
        <v>121</v>
      </c>
      <c r="C35" s="2">
        <f t="shared" si="6"/>
        <v>1</v>
      </c>
      <c r="D35" s="2">
        <f t="shared" si="7"/>
        <v>1</v>
      </c>
      <c r="E35" s="1" t="s">
        <v>28</v>
      </c>
      <c r="F35" s="2">
        <v>0.5</v>
      </c>
      <c r="G35" s="1">
        <v>1</v>
      </c>
      <c r="H35" s="1">
        <v>1</v>
      </c>
      <c r="I35" s="1" t="s">
        <v>23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42</v>
      </c>
      <c r="Q35" s="1" t="s">
        <v>43</v>
      </c>
      <c r="R35" t="s">
        <v>122</v>
      </c>
      <c r="T35" s="1" t="b">
        <f>J35=[1]params_testeithink!J35</f>
        <v>1</v>
      </c>
    </row>
    <row r="36" spans="1:20" x14ac:dyDescent="0.25">
      <c r="A36" s="1" t="s">
        <v>123</v>
      </c>
      <c r="B36" s="1" t="s">
        <v>124</v>
      </c>
      <c r="C36" s="2">
        <f t="shared" si="6"/>
        <v>1</v>
      </c>
      <c r="D36" s="2">
        <f t="shared" si="7"/>
        <v>4</v>
      </c>
      <c r="E36" s="1" t="s">
        <v>32</v>
      </c>
      <c r="F36" s="2">
        <v>1</v>
      </c>
      <c r="G36" s="1">
        <v>1</v>
      </c>
      <c r="H36" s="1">
        <v>10</v>
      </c>
      <c r="I36" s="5" t="s">
        <v>41</v>
      </c>
      <c r="J36" s="1">
        <v>2</v>
      </c>
      <c r="K36" s="1">
        <v>3</v>
      </c>
      <c r="L36"/>
      <c r="M36"/>
      <c r="N36"/>
      <c r="O36" s="1" t="b">
        <f t="shared" si="8"/>
        <v>1</v>
      </c>
      <c r="P36" s="1" t="s">
        <v>42</v>
      </c>
      <c r="Q36" s="1" t="s">
        <v>43</v>
      </c>
      <c r="R36" t="s">
        <v>125</v>
      </c>
      <c r="T36" s="1" t="b">
        <f>J36=[1]params_testeithink!J36</f>
        <v>0</v>
      </c>
    </row>
    <row r="37" spans="1:20" x14ac:dyDescent="0.25">
      <c r="A37" s="1" t="s">
        <v>126</v>
      </c>
      <c r="B37" s="1" t="s">
        <v>127</v>
      </c>
      <c r="C37" s="2">
        <f t="shared" si="6"/>
        <v>1000000</v>
      </c>
      <c r="D37" s="2">
        <f t="shared" si="7"/>
        <v>3000000</v>
      </c>
      <c r="E37" s="1" t="s">
        <v>128</v>
      </c>
      <c r="F37" s="2">
        <v>0.5</v>
      </c>
      <c r="G37" s="1">
        <f>J37/4</f>
        <v>500000</v>
      </c>
      <c r="H37" s="1">
        <f>J37*4</f>
        <v>8000000</v>
      </c>
      <c r="I37" s="5" t="s">
        <v>41</v>
      </c>
      <c r="J37" s="1">
        <f>2*10^6</f>
        <v>2000000</v>
      </c>
      <c r="K37" s="1">
        <v>100000</v>
      </c>
      <c r="L37"/>
      <c r="M37"/>
      <c r="N37"/>
      <c r="O37" s="1" t="b">
        <f t="shared" si="8"/>
        <v>1</v>
      </c>
      <c r="P37" s="1" t="s">
        <v>286</v>
      </c>
      <c r="Q37" s="1" t="s">
        <v>129</v>
      </c>
      <c r="R37" t="s">
        <v>130</v>
      </c>
      <c r="T37" s="1" t="b">
        <f>J37=[1]params_testeithink!J37</f>
        <v>0</v>
      </c>
    </row>
    <row r="38" spans="1:20" x14ac:dyDescent="0.25">
      <c r="A38" s="1" t="s">
        <v>131</v>
      </c>
      <c r="B38" s="1" t="s">
        <v>132</v>
      </c>
      <c r="C38" s="2">
        <f t="shared" si="6"/>
        <v>1.5</v>
      </c>
      <c r="D38" s="2">
        <f t="shared" si="7"/>
        <v>3</v>
      </c>
      <c r="E38" s="1" t="s">
        <v>32</v>
      </c>
      <c r="F38" s="2">
        <v>0.5</v>
      </c>
      <c r="G38" s="1">
        <v>1.5</v>
      </c>
      <c r="H38" s="1">
        <f>J38*4</f>
        <v>8</v>
      </c>
      <c r="I38" s="5" t="s">
        <v>41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" t="s">
        <v>286</v>
      </c>
      <c r="Q38" s="1" t="s">
        <v>133</v>
      </c>
      <c r="R38" t="s">
        <v>134</v>
      </c>
      <c r="T38" s="1" t="b">
        <f>J38=[1]params_testeithink!J38</f>
        <v>1</v>
      </c>
    </row>
    <row r="39" spans="1:20" x14ac:dyDescent="0.25">
      <c r="A39" s="1" t="s">
        <v>135</v>
      </c>
      <c r="B39" s="1" t="s">
        <v>136</v>
      </c>
      <c r="C39" s="2">
        <f t="shared" si="6"/>
        <v>0.3</v>
      </c>
      <c r="D39" s="2">
        <f t="shared" si="7"/>
        <v>0.60000000000000009</v>
      </c>
      <c r="E39" s="1" t="s">
        <v>137</v>
      </c>
      <c r="F39" s="2">
        <v>0.5</v>
      </c>
      <c r="G39" s="1">
        <v>0.3</v>
      </c>
      <c r="H39" s="1">
        <v>1</v>
      </c>
      <c r="I39" s="5" t="s">
        <v>41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" t="s">
        <v>286</v>
      </c>
      <c r="Q39" s="1" t="s">
        <v>133</v>
      </c>
      <c r="R39" t="s">
        <v>138</v>
      </c>
      <c r="T39" s="1" t="b">
        <f>J39=[1]params_testeithink!J39</f>
        <v>1</v>
      </c>
    </row>
    <row r="40" spans="1:20" x14ac:dyDescent="0.25">
      <c r="A40" s="1" t="s">
        <v>139</v>
      </c>
      <c r="B40" s="1" t="s">
        <v>140</v>
      </c>
      <c r="C40" s="2">
        <f t="shared" si="6"/>
        <v>18</v>
      </c>
      <c r="D40" s="2">
        <f t="shared" si="7"/>
        <v>18</v>
      </c>
      <c r="E40" s="1" t="s">
        <v>32</v>
      </c>
      <c r="F40" s="2">
        <v>0.5</v>
      </c>
      <c r="G40" s="1">
        <f>J40/4</f>
        <v>4.5</v>
      </c>
      <c r="H40" s="1">
        <f>J40*4</f>
        <v>72</v>
      </c>
      <c r="I40" s="1" t="s">
        <v>23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" t="s">
        <v>286</v>
      </c>
      <c r="Q40" s="1" t="s">
        <v>133</v>
      </c>
      <c r="R40" t="s">
        <v>141</v>
      </c>
      <c r="T40" s="1" t="b">
        <f>J40=[1]params_testeithink!J40</f>
        <v>1</v>
      </c>
    </row>
    <row r="41" spans="1:20" x14ac:dyDescent="0.25">
      <c r="A41" s="1" t="s">
        <v>142</v>
      </c>
      <c r="B41" s="1" t="s">
        <v>143</v>
      </c>
      <c r="C41" s="2">
        <f t="shared" si="6"/>
        <v>5</v>
      </c>
      <c r="D41" s="2">
        <f t="shared" si="7"/>
        <v>15</v>
      </c>
      <c r="E41" s="1" t="s">
        <v>32</v>
      </c>
      <c r="F41" s="2">
        <v>0.5</v>
      </c>
      <c r="G41" s="1">
        <f>J41/4</f>
        <v>2.5</v>
      </c>
      <c r="H41" s="1">
        <f>J41*4</f>
        <v>40</v>
      </c>
      <c r="I41" s="5" t="s">
        <v>41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42</v>
      </c>
      <c r="Q41" s="1" t="s">
        <v>43</v>
      </c>
      <c r="R41" t="s">
        <v>144</v>
      </c>
      <c r="T41" s="1" t="b">
        <f>J41=[1]params_testeithink!J41</f>
        <v>1</v>
      </c>
    </row>
    <row r="42" spans="1:20" x14ac:dyDescent="0.25">
      <c r="A42" s="1" t="s">
        <v>145</v>
      </c>
      <c r="B42" s="1" t="s">
        <v>146</v>
      </c>
      <c r="C42" s="2">
        <f t="shared" si="6"/>
        <v>1.2397145020149493E-2</v>
      </c>
      <c r="D42" s="2">
        <f t="shared" si="7"/>
        <v>3.7191435060448481E-2</v>
      </c>
      <c r="E42" s="1" t="s">
        <v>147</v>
      </c>
      <c r="F42" s="2">
        <v>0.5</v>
      </c>
      <c r="G42" s="1">
        <f>J42/4</f>
        <v>6.1985725100747466E-3</v>
      </c>
      <c r="H42" s="1">
        <f>J42*4</f>
        <v>9.9177160161195946E-2</v>
      </c>
      <c r="I42" s="5" t="s">
        <v>41</v>
      </c>
      <c r="J42" s="1">
        <f>CalculoEstoquesIniciaisPatentes!E18</f>
        <v>2.4794290040298986E-2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42</v>
      </c>
      <c r="Q42" s="1" t="s">
        <v>43</v>
      </c>
      <c r="R42" t="s">
        <v>125</v>
      </c>
      <c r="T42" s="1" t="b">
        <f>J42=[1]params_testeithink!J42</f>
        <v>0</v>
      </c>
    </row>
    <row r="43" spans="1:20" x14ac:dyDescent="0.25">
      <c r="A43" s="1" t="s">
        <v>148</v>
      </c>
      <c r="B43" s="1" t="s">
        <v>149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23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" t="s">
        <v>286</v>
      </c>
      <c r="Q43" s="1" t="s">
        <v>150</v>
      </c>
      <c r="R43" t="s">
        <v>151</v>
      </c>
      <c r="T43" s="1" t="b">
        <f>J43=[1]params_testeithink!J43</f>
        <v>1</v>
      </c>
    </row>
    <row r="44" spans="1:20" x14ac:dyDescent="0.25">
      <c r="A44" s="1" t="s">
        <v>152</v>
      </c>
      <c r="B44" s="1" t="s">
        <v>153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23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" t="s">
        <v>286</v>
      </c>
      <c r="Q44" s="1" t="s">
        <v>150</v>
      </c>
      <c r="R44" s="1" t="s">
        <v>151</v>
      </c>
      <c r="T44" s="1" t="b">
        <f>J44=[1]params_testeithink!J44</f>
        <v>1</v>
      </c>
    </row>
    <row r="45" spans="1:20" x14ac:dyDescent="0.25">
      <c r="A45" s="1" t="s">
        <v>154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41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42</v>
      </c>
      <c r="Q45" s="1" t="s">
        <v>43</v>
      </c>
      <c r="R45" t="s">
        <v>155</v>
      </c>
      <c r="T45" s="1" t="b">
        <f>J45=[1]params_testeithink!J45</f>
        <v>0</v>
      </c>
    </row>
    <row r="46" spans="1:20" x14ac:dyDescent="0.25">
      <c r="A46" s="1" t="s">
        <v>156</v>
      </c>
      <c r="B46"/>
      <c r="C46" s="2">
        <f t="shared" si="6"/>
        <v>6</v>
      </c>
      <c r="D46" s="2">
        <f t="shared" si="7"/>
        <v>6</v>
      </c>
      <c r="E46"/>
      <c r="F46" s="2">
        <v>0.5</v>
      </c>
      <c r="G46" s="1">
        <f t="shared" ref="G46:G51" si="9">J46/4</f>
        <v>1.5</v>
      </c>
      <c r="H46" s="1">
        <f t="shared" ref="H46:H51" si="10">J46*4</f>
        <v>24</v>
      </c>
      <c r="I46" s="1" t="s">
        <v>23</v>
      </c>
      <c r="J46" s="1">
        <v>6</v>
      </c>
      <c r="K46" s="1">
        <v>10</v>
      </c>
      <c r="L46"/>
      <c r="M46"/>
      <c r="N46"/>
      <c r="O46" s="1" t="b">
        <f t="shared" si="8"/>
        <v>0</v>
      </c>
      <c r="P46" s="1" t="s">
        <v>286</v>
      </c>
      <c r="Q46" s="1" t="s">
        <v>150</v>
      </c>
      <c r="R46" t="s">
        <v>157</v>
      </c>
      <c r="T46" s="1" t="b">
        <f>J46=[1]params_testeithink!J46</f>
        <v>0</v>
      </c>
    </row>
    <row r="47" spans="1:20" x14ac:dyDescent="0.25">
      <c r="A47" s="1" t="s">
        <v>158</v>
      </c>
      <c r="B47" s="3"/>
      <c r="C47" s="2">
        <f t="shared" si="6"/>
        <v>247491000</v>
      </c>
      <c r="D47" s="2">
        <f t="shared" si="7"/>
        <v>247491000</v>
      </c>
      <c r="E47"/>
      <c r="F47" s="2">
        <v>0.5</v>
      </c>
      <c r="G47" s="1">
        <f t="shared" si="9"/>
        <v>61872750</v>
      </c>
      <c r="H47" s="1">
        <f t="shared" si="10"/>
        <v>989964000</v>
      </c>
      <c r="I47" s="5" t="s">
        <v>23</v>
      </c>
      <c r="J47" s="1">
        <f>CalculoEstoquesIniciaisPatentes!B11</f>
        <v>247491000</v>
      </c>
      <c r="K47" s="1">
        <v>1000</v>
      </c>
      <c r="L47"/>
      <c r="M47"/>
      <c r="N47"/>
      <c r="O47" s="1" t="b">
        <f t="shared" si="8"/>
        <v>0</v>
      </c>
      <c r="P47" s="1" t="s">
        <v>286</v>
      </c>
      <c r="Q47" s="1" t="s">
        <v>159</v>
      </c>
      <c r="R47" t="s">
        <v>160</v>
      </c>
      <c r="T47" s="1" t="b">
        <f>J47=[1]params_testeithink!J47</f>
        <v>0</v>
      </c>
    </row>
    <row r="48" spans="1:20" x14ac:dyDescent="0.25">
      <c r="A48" s="1" t="s">
        <v>161</v>
      </c>
      <c r="B48"/>
      <c r="C48" s="2">
        <f t="shared" si="6"/>
        <v>109.996</v>
      </c>
      <c r="D48" s="2">
        <f t="shared" si="7"/>
        <v>109.996</v>
      </c>
      <c r="E48"/>
      <c r="F48" s="2">
        <v>0.5</v>
      </c>
      <c r="G48" s="1">
        <f t="shared" si="9"/>
        <v>27.498999999999999</v>
      </c>
      <c r="H48" s="1">
        <f t="shared" si="10"/>
        <v>439.98399999999998</v>
      </c>
      <c r="I48" s="5" t="s">
        <v>23</v>
      </c>
      <c r="J48" s="1">
        <f>CalculoEstoquesIniciaisPatentes!B15</f>
        <v>109.996</v>
      </c>
      <c r="K48" s="1">
        <v>100</v>
      </c>
      <c r="L48"/>
      <c r="M48"/>
      <c r="N48"/>
      <c r="O48" s="1" t="b">
        <f t="shared" si="8"/>
        <v>0</v>
      </c>
      <c r="P48" s="1" t="s">
        <v>286</v>
      </c>
      <c r="Q48" s="1" t="s">
        <v>133</v>
      </c>
      <c r="R48" t="s">
        <v>162</v>
      </c>
      <c r="T48" s="1" t="b">
        <f>J48=[1]params_testeithink!J48</f>
        <v>0</v>
      </c>
    </row>
    <row r="49" spans="1:20" x14ac:dyDescent="0.25">
      <c r="A49" s="1" t="s">
        <v>163</v>
      </c>
      <c r="B49"/>
      <c r="C49" s="2">
        <f t="shared" si="6"/>
        <v>371.23649999999998</v>
      </c>
      <c r="D49" s="2">
        <f t="shared" si="7"/>
        <v>371.23649999999998</v>
      </c>
      <c r="E49"/>
      <c r="F49" s="2">
        <v>0.5</v>
      </c>
      <c r="G49" s="1">
        <f t="shared" si="9"/>
        <v>92.809124999999995</v>
      </c>
      <c r="H49" s="1">
        <f t="shared" si="10"/>
        <v>1484.9459999999999</v>
      </c>
      <c r="I49" s="5" t="s">
        <v>23</v>
      </c>
      <c r="J49" s="1">
        <f>CalculoEstoquesIniciaisPatentes!B18</f>
        <v>371.23649999999998</v>
      </c>
      <c r="K49" s="1">
        <v>100</v>
      </c>
      <c r="L49"/>
      <c r="M49"/>
      <c r="N49"/>
      <c r="O49" s="1" t="b">
        <f t="shared" si="8"/>
        <v>0</v>
      </c>
      <c r="P49" s="1" t="s">
        <v>286</v>
      </c>
      <c r="Q49" s="1" t="s">
        <v>133</v>
      </c>
      <c r="R49" t="s">
        <v>164</v>
      </c>
      <c r="T49" s="1" t="b">
        <f>J49=[1]params_testeithink!J49</f>
        <v>0</v>
      </c>
    </row>
    <row r="50" spans="1:20" x14ac:dyDescent="0.25">
      <c r="A50" s="1" t="s">
        <v>165</v>
      </c>
      <c r="B50"/>
      <c r="C50" s="2">
        <f t="shared" si="6"/>
        <v>123.74550000000001</v>
      </c>
      <c r="D50" s="2">
        <f t="shared" si="7"/>
        <v>123.74550000000001</v>
      </c>
      <c r="E50"/>
      <c r="F50" s="2">
        <v>0.5</v>
      </c>
      <c r="G50" s="1">
        <f t="shared" si="9"/>
        <v>30.936375000000002</v>
      </c>
      <c r="H50" s="1">
        <f t="shared" si="10"/>
        <v>494.98200000000003</v>
      </c>
      <c r="I50" s="5" t="s">
        <v>23</v>
      </c>
      <c r="J50" s="1">
        <f>CalculoEstoquesIniciaisPatentes!B21</f>
        <v>123.74550000000001</v>
      </c>
      <c r="K50" s="1">
        <v>20</v>
      </c>
      <c r="L50"/>
      <c r="M50"/>
      <c r="N50"/>
      <c r="O50" s="1" t="b">
        <f t="shared" si="8"/>
        <v>0</v>
      </c>
      <c r="P50" s="1" t="s">
        <v>42</v>
      </c>
      <c r="Q50" s="1" t="s">
        <v>43</v>
      </c>
      <c r="R50" t="s">
        <v>166</v>
      </c>
      <c r="T50" s="1" t="b">
        <f>J50=[1]params_testeithink!J50</f>
        <v>0</v>
      </c>
    </row>
    <row r="51" spans="1:20" x14ac:dyDescent="0.25">
      <c r="A51" s="1" t="s">
        <v>167</v>
      </c>
      <c r="B51"/>
      <c r="C51" s="2">
        <f t="shared" si="6"/>
        <v>1209956000</v>
      </c>
      <c r="D51" s="2">
        <f t="shared" si="7"/>
        <v>1209956000</v>
      </c>
      <c r="E51"/>
      <c r="F51" s="2">
        <v>0.5</v>
      </c>
      <c r="G51" s="1">
        <f t="shared" si="9"/>
        <v>302489000</v>
      </c>
      <c r="H51" s="1">
        <f t="shared" si="10"/>
        <v>4839824000</v>
      </c>
      <c r="I51" s="5" t="s">
        <v>23</v>
      </c>
      <c r="J51" s="1">
        <f>CalculoEstoquesIniciaisPatentes!B25</f>
        <v>1209956000</v>
      </c>
      <c r="K51" s="1">
        <v>1000000</v>
      </c>
      <c r="L51"/>
      <c r="M51"/>
      <c r="N51"/>
      <c r="O51" s="1" t="b">
        <f t="shared" si="8"/>
        <v>0</v>
      </c>
      <c r="P51" s="1" t="s">
        <v>286</v>
      </c>
      <c r="Q51" s="1" t="s">
        <v>159</v>
      </c>
      <c r="R51" t="s">
        <v>168</v>
      </c>
      <c r="T51" s="1" t="b">
        <f>J51=[1]params_testeithink!J51</f>
        <v>0</v>
      </c>
    </row>
    <row r="52" spans="1:20" x14ac:dyDescent="0.25">
      <c r="A52" s="1" t="s">
        <v>169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41</v>
      </c>
      <c r="J52" s="1">
        <v>0.4</v>
      </c>
      <c r="K52"/>
      <c r="L52"/>
      <c r="M52"/>
      <c r="N52"/>
      <c r="O52" s="1" t="b">
        <f t="shared" si="8"/>
        <v>1</v>
      </c>
      <c r="P52" s="1" t="s">
        <v>42</v>
      </c>
      <c r="Q52" s="1" t="s">
        <v>43</v>
      </c>
      <c r="R52" t="s">
        <v>170</v>
      </c>
      <c r="T52" s="1" t="b">
        <f>J52=[1]params_testeithink!J52</f>
        <v>1</v>
      </c>
    </row>
    <row r="53" spans="1:20" x14ac:dyDescent="0.25">
      <c r="A53" s="5" t="s">
        <v>171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23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" t="s">
        <v>286</v>
      </c>
      <c r="Q53" s="1" t="s">
        <v>43</v>
      </c>
      <c r="R53" t="s">
        <v>49</v>
      </c>
      <c r="T53" s="1" t="b">
        <f>J53=[1]params_testeithink!J53</f>
        <v>0</v>
      </c>
    </row>
    <row r="54" spans="1:20" x14ac:dyDescent="0.25">
      <c r="A54" s="5" t="s">
        <v>172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23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" t="s">
        <v>286</v>
      </c>
      <c r="Q54" s="1" t="s">
        <v>173</v>
      </c>
      <c r="R54" t="s">
        <v>174</v>
      </c>
      <c r="T54" s="1" t="b">
        <f>J54=[1]params_testeithink!J54</f>
        <v>0</v>
      </c>
    </row>
    <row r="55" spans="1:20" x14ac:dyDescent="0.25">
      <c r="A55" s="1" t="s">
        <v>175</v>
      </c>
      <c r="B55"/>
      <c r="C55" s="2">
        <f t="shared" si="6"/>
        <v>0.28000000000000003</v>
      </c>
      <c r="D55" s="2">
        <f t="shared" si="7"/>
        <v>0.28000000000000003</v>
      </c>
      <c r="E55" s="1" t="s">
        <v>137</v>
      </c>
      <c r="F55" s="2">
        <v>0.5</v>
      </c>
      <c r="G55" s="1">
        <v>0</v>
      </c>
      <c r="H55" s="1">
        <v>1</v>
      </c>
      <c r="I55" s="1" t="s">
        <v>23</v>
      </c>
      <c r="J55" s="1">
        <v>0.28000000000000003</v>
      </c>
      <c r="K55"/>
      <c r="L55"/>
      <c r="M55"/>
      <c r="N55"/>
      <c r="O55" s="1" t="b">
        <f t="shared" si="8"/>
        <v>0</v>
      </c>
      <c r="P55" s="1" t="s">
        <v>286</v>
      </c>
      <c r="Q55" s="1" t="s">
        <v>176</v>
      </c>
      <c r="R55" t="s">
        <v>177</v>
      </c>
      <c r="T55" s="1" t="b">
        <f>J55=[1]params_testeithink!J55</f>
        <v>1</v>
      </c>
    </row>
    <row r="56" spans="1:20" x14ac:dyDescent="0.25">
      <c r="A56" s="1" t="s">
        <v>178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137</v>
      </c>
      <c r="F56" s="2">
        <v>0.5</v>
      </c>
      <c r="G56" s="1">
        <v>0</v>
      </c>
      <c r="H56" s="1">
        <v>1</v>
      </c>
      <c r="I56" s="1" t="s">
        <v>23</v>
      </c>
      <c r="J56" s="1">
        <v>0.28999999999999998</v>
      </c>
      <c r="K56"/>
      <c r="L56"/>
      <c r="M56"/>
      <c r="N56"/>
      <c r="O56" s="1" t="b">
        <f t="shared" si="8"/>
        <v>0</v>
      </c>
      <c r="P56" s="1" t="s">
        <v>286</v>
      </c>
      <c r="Q56" s="1" t="s">
        <v>176</v>
      </c>
      <c r="R56" t="s">
        <v>179</v>
      </c>
      <c r="T56" s="1" t="b">
        <f>J56=[1]params_testeithink!J56</f>
        <v>1</v>
      </c>
    </row>
    <row r="57" spans="1:20" x14ac:dyDescent="0.25">
      <c r="A57" s="1" t="s">
        <v>180</v>
      </c>
      <c r="B57"/>
      <c r="C57" s="2">
        <f t="shared" si="11"/>
        <v>0.15</v>
      </c>
      <c r="D57" s="2">
        <f t="shared" si="12"/>
        <v>0.15</v>
      </c>
      <c r="E57" s="1" t="s">
        <v>137</v>
      </c>
      <c r="F57" s="2">
        <v>0.5</v>
      </c>
      <c r="G57" s="1">
        <v>0</v>
      </c>
      <c r="H57" s="1">
        <v>1</v>
      </c>
      <c r="I57" s="1" t="s">
        <v>23</v>
      </c>
      <c r="J57" s="1">
        <v>0.15</v>
      </c>
      <c r="K57"/>
      <c r="L57"/>
      <c r="M57"/>
      <c r="N57"/>
      <c r="O57" s="1" t="b">
        <f t="shared" si="8"/>
        <v>0</v>
      </c>
      <c r="P57" s="1" t="s">
        <v>286</v>
      </c>
      <c r="Q57" s="1" t="s">
        <v>176</v>
      </c>
      <c r="R57" s="1" t="s">
        <v>179</v>
      </c>
      <c r="T57" s="1" t="b">
        <f>J57=[1]params_testeithink!J57</f>
        <v>1</v>
      </c>
    </row>
    <row r="58" spans="1:20" x14ac:dyDescent="0.25">
      <c r="A58" s="1" t="s">
        <v>181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137</v>
      </c>
      <c r="F58" s="2">
        <v>0.5</v>
      </c>
      <c r="G58" s="1">
        <v>0</v>
      </c>
      <c r="H58" s="1">
        <v>1</v>
      </c>
      <c r="I58" s="1" t="s">
        <v>23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" t="s">
        <v>286</v>
      </c>
      <c r="Q58" s="1" t="s">
        <v>176</v>
      </c>
      <c r="R58" s="1" t="s">
        <v>179</v>
      </c>
      <c r="T58" s="1" t="b">
        <f>J58=[1]params_testeithink!J58</f>
        <v>1</v>
      </c>
    </row>
    <row r="59" spans="1:20" x14ac:dyDescent="0.25">
      <c r="A59" s="1" t="s">
        <v>182</v>
      </c>
      <c r="B59" s="1" t="s">
        <v>183</v>
      </c>
      <c r="C59" s="2">
        <f t="shared" si="11"/>
        <v>0.28000000000000003</v>
      </c>
      <c r="D59" s="2">
        <f t="shared" si="12"/>
        <v>0.28000000000000003</v>
      </c>
      <c r="E59" s="1" t="s">
        <v>137</v>
      </c>
      <c r="F59" s="2">
        <v>0.5</v>
      </c>
      <c r="G59" s="1">
        <v>0</v>
      </c>
      <c r="H59" s="1">
        <v>1</v>
      </c>
      <c r="I59" s="1" t="s">
        <v>23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" t="s">
        <v>286</v>
      </c>
      <c r="Q59" s="1" t="s">
        <v>133</v>
      </c>
      <c r="R59" t="s">
        <v>184</v>
      </c>
      <c r="T59" s="1" t="b">
        <f>J59=[1]params_testeithink!J59</f>
        <v>1</v>
      </c>
    </row>
    <row r="60" spans="1:20" x14ac:dyDescent="0.25">
      <c r="A60" s="1" t="s">
        <v>185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137</v>
      </c>
      <c r="F60" s="2">
        <v>0.5</v>
      </c>
      <c r="G60" s="1">
        <v>0</v>
      </c>
      <c r="H60" s="1">
        <v>1</v>
      </c>
      <c r="I60" s="1" t="s">
        <v>23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" t="s">
        <v>286</v>
      </c>
      <c r="Q60" s="1" t="s">
        <v>133</v>
      </c>
      <c r="R60" s="1" t="s">
        <v>179</v>
      </c>
      <c r="T60" s="1" t="b">
        <f>J60=[1]params_testeithink!J60</f>
        <v>1</v>
      </c>
    </row>
    <row r="61" spans="1:20" x14ac:dyDescent="0.25">
      <c r="A61" s="1" t="s">
        <v>186</v>
      </c>
      <c r="B61"/>
      <c r="C61" s="2">
        <f t="shared" si="11"/>
        <v>0.15</v>
      </c>
      <c r="D61" s="2">
        <f t="shared" si="12"/>
        <v>0.15</v>
      </c>
      <c r="E61" s="1" t="s">
        <v>137</v>
      </c>
      <c r="F61" s="2">
        <v>0.5</v>
      </c>
      <c r="G61" s="1">
        <v>0</v>
      </c>
      <c r="H61" s="1">
        <v>1</v>
      </c>
      <c r="I61" s="1" t="s">
        <v>23</v>
      </c>
      <c r="J61" s="1">
        <f>J57</f>
        <v>0.15</v>
      </c>
      <c r="K61"/>
      <c r="L61"/>
      <c r="M61"/>
      <c r="N61"/>
      <c r="O61" s="1" t="b">
        <f t="shared" si="8"/>
        <v>0</v>
      </c>
      <c r="P61" s="1" t="s">
        <v>286</v>
      </c>
      <c r="Q61" s="1" t="s">
        <v>133</v>
      </c>
      <c r="R61" s="1" t="s">
        <v>179</v>
      </c>
      <c r="T61" s="1" t="b">
        <f>J61=[1]params_testeithink!J61</f>
        <v>1</v>
      </c>
    </row>
    <row r="62" spans="1:20" x14ac:dyDescent="0.25">
      <c r="A62" s="1" t="s">
        <v>187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137</v>
      </c>
      <c r="F62" s="2">
        <v>0.5</v>
      </c>
      <c r="G62" s="1">
        <v>0</v>
      </c>
      <c r="H62" s="1">
        <v>1</v>
      </c>
      <c r="I62" s="1" t="s">
        <v>23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" t="s">
        <v>286</v>
      </c>
      <c r="Q62" s="1" t="s">
        <v>133</v>
      </c>
      <c r="R62" s="1" t="s">
        <v>179</v>
      </c>
      <c r="T62" s="1" t="b">
        <f>J62=[1]params_testeithink!J62</f>
        <v>1</v>
      </c>
    </row>
    <row r="63" spans="1:20" x14ac:dyDescent="0.25">
      <c r="A63" s="1" t="s">
        <v>188</v>
      </c>
      <c r="B63" s="1" t="s">
        <v>189</v>
      </c>
      <c r="C63" s="2">
        <f t="shared" si="11"/>
        <v>0</v>
      </c>
      <c r="D63" s="2">
        <f t="shared" si="12"/>
        <v>1</v>
      </c>
      <c r="E63" s="1" t="s">
        <v>137</v>
      </c>
      <c r="F63" s="2">
        <v>3</v>
      </c>
      <c r="G63" s="1">
        <v>0</v>
      </c>
      <c r="H63" s="1">
        <v>1</v>
      </c>
      <c r="I63" s="1" t="s">
        <v>41</v>
      </c>
      <c r="J63" s="1">
        <v>0.5</v>
      </c>
      <c r="K63"/>
      <c r="L63"/>
      <c r="M63"/>
      <c r="N63"/>
      <c r="O63" s="1" t="b">
        <f t="shared" si="8"/>
        <v>1</v>
      </c>
      <c r="P63" s="1" t="s">
        <v>42</v>
      </c>
      <c r="Q63" s="1" t="s">
        <v>43</v>
      </c>
      <c r="R63" t="s">
        <v>190</v>
      </c>
      <c r="T63" s="1" t="b">
        <f>J63=[1]params_testeithink!J63</f>
        <v>0</v>
      </c>
    </row>
    <row r="64" spans="1:20" x14ac:dyDescent="0.25">
      <c r="A64" s="1" t="s">
        <v>191</v>
      </c>
      <c r="B64" s="1" t="s">
        <v>189</v>
      </c>
      <c r="C64" s="2">
        <f t="shared" si="11"/>
        <v>0</v>
      </c>
      <c r="D64" s="2">
        <f t="shared" si="12"/>
        <v>1</v>
      </c>
      <c r="E64" s="1" t="s">
        <v>137</v>
      </c>
      <c r="F64" s="2">
        <v>3</v>
      </c>
      <c r="G64" s="1">
        <v>0</v>
      </c>
      <c r="H64" s="1">
        <v>1</v>
      </c>
      <c r="I64" s="1" t="s">
        <v>41</v>
      </c>
      <c r="J64" s="1">
        <v>0.5</v>
      </c>
      <c r="K64"/>
      <c r="L64"/>
      <c r="M64"/>
      <c r="N64"/>
      <c r="O64" s="1" t="b">
        <f t="shared" si="8"/>
        <v>1</v>
      </c>
      <c r="P64" s="1" t="s">
        <v>42</v>
      </c>
      <c r="Q64" s="1" t="s">
        <v>43</v>
      </c>
      <c r="R64" s="1" t="s">
        <v>190</v>
      </c>
      <c r="T64" s="1" t="b">
        <f>J64=[1]params_testeithink!J64</f>
        <v>0</v>
      </c>
    </row>
    <row r="65" spans="1:20" x14ac:dyDescent="0.25">
      <c r="A65" s="1" t="s">
        <v>192</v>
      </c>
      <c r="B65" s="1" t="s">
        <v>189</v>
      </c>
      <c r="C65" s="2">
        <f t="shared" si="11"/>
        <v>0</v>
      </c>
      <c r="D65" s="2">
        <f t="shared" si="12"/>
        <v>1</v>
      </c>
      <c r="E65" s="1" t="s">
        <v>137</v>
      </c>
      <c r="F65" s="2">
        <v>3</v>
      </c>
      <c r="G65" s="1">
        <v>0</v>
      </c>
      <c r="H65" s="1">
        <v>1</v>
      </c>
      <c r="I65" s="1" t="s">
        <v>41</v>
      </c>
      <c r="J65" s="1">
        <v>0.5</v>
      </c>
      <c r="K65"/>
      <c r="L65"/>
      <c r="M65"/>
      <c r="N65"/>
      <c r="O65" s="1" t="b">
        <f t="shared" si="8"/>
        <v>1</v>
      </c>
      <c r="P65" s="1" t="s">
        <v>42</v>
      </c>
      <c r="Q65" s="1" t="s">
        <v>43</v>
      </c>
      <c r="R65" s="1" t="s">
        <v>190</v>
      </c>
      <c r="T65" s="1" t="b">
        <f>J65=[1]params_testeithink!J65</f>
        <v>0</v>
      </c>
    </row>
    <row r="66" spans="1:20" x14ac:dyDescent="0.25">
      <c r="A66" s="1" t="s">
        <v>193</v>
      </c>
      <c r="B66" s="1" t="s">
        <v>194</v>
      </c>
      <c r="C66" s="12">
        <f t="shared" si="11"/>
        <v>0.05</v>
      </c>
      <c r="D66" s="12">
        <f t="shared" si="12"/>
        <v>0.15</v>
      </c>
      <c r="E66" s="1" t="s">
        <v>137</v>
      </c>
      <c r="F66" s="2">
        <v>5</v>
      </c>
      <c r="G66" s="1">
        <f>MIN(Levers_FullDesign!$D$2:$D$12)</f>
        <v>0.05</v>
      </c>
      <c r="H66" s="1">
        <v>0.15</v>
      </c>
      <c r="I66" s="5" t="s">
        <v>41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" t="s">
        <v>286</v>
      </c>
      <c r="Q66" s="1" t="s">
        <v>159</v>
      </c>
      <c r="R66" s="1" t="s">
        <v>195</v>
      </c>
      <c r="T66" s="1" t="b">
        <f>J66=[1]params_testeithink!J66</f>
        <v>1</v>
      </c>
    </row>
    <row r="67" spans="1:20" x14ac:dyDescent="0.25">
      <c r="A67" s="1" t="s">
        <v>196</v>
      </c>
      <c r="B67" s="1" t="s">
        <v>194</v>
      </c>
      <c r="C67" s="12">
        <f t="shared" si="11"/>
        <v>0.05</v>
      </c>
      <c r="D67" s="12">
        <f t="shared" si="12"/>
        <v>0.15</v>
      </c>
      <c r="E67" s="1" t="s">
        <v>137</v>
      </c>
      <c r="F67" s="2">
        <v>5</v>
      </c>
      <c r="G67" s="1">
        <f>MIN(Levers_FullDesign!$D$2:$D$12)</f>
        <v>0.05</v>
      </c>
      <c r="H67" s="1">
        <v>0.15</v>
      </c>
      <c r="I67" s="5" t="s">
        <v>41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" t="s">
        <v>286</v>
      </c>
      <c r="Q67" s="1" t="s">
        <v>159</v>
      </c>
      <c r="R67" t="s">
        <v>179</v>
      </c>
      <c r="T67" s="1" t="b">
        <f>J67=[1]params_testeithink!J67</f>
        <v>1</v>
      </c>
    </row>
    <row r="68" spans="1:20" x14ac:dyDescent="0.25">
      <c r="A68" s="1" t="s">
        <v>197</v>
      </c>
      <c r="B68" s="1" t="s">
        <v>194</v>
      </c>
      <c r="C68" s="12">
        <f t="shared" si="11"/>
        <v>0.05</v>
      </c>
      <c r="D68" s="12">
        <f t="shared" si="12"/>
        <v>0.15</v>
      </c>
      <c r="E68" s="1" t="s">
        <v>137</v>
      </c>
      <c r="F68" s="2">
        <v>5</v>
      </c>
      <c r="G68" s="1">
        <f>MIN(Levers_FullDesign!$D$2:$D$12)</f>
        <v>0.05</v>
      </c>
      <c r="H68" s="1">
        <v>0.15</v>
      </c>
      <c r="I68" s="5" t="s">
        <v>41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" t="s">
        <v>286</v>
      </c>
      <c r="Q68" s="1" t="s">
        <v>159</v>
      </c>
      <c r="R68" s="1" t="s">
        <v>179</v>
      </c>
      <c r="T68" s="1" t="b">
        <f>J68=[1]params_testeithink!J68</f>
        <v>1</v>
      </c>
    </row>
    <row r="69" spans="1:20" x14ac:dyDescent="0.25">
      <c r="A69" s="1" t="s">
        <v>198</v>
      </c>
      <c r="B69" s="1" t="s">
        <v>199</v>
      </c>
      <c r="C69" s="12">
        <f t="shared" si="11"/>
        <v>0.28999999999999998</v>
      </c>
      <c r="D69" s="12">
        <f t="shared" si="12"/>
        <v>0.57999999999999996</v>
      </c>
      <c r="E69" s="1" t="s">
        <v>47</v>
      </c>
      <c r="F69" s="2">
        <v>1</v>
      </c>
      <c r="G69" s="1">
        <f>J56</f>
        <v>0.28999999999999998</v>
      </c>
      <c r="H69" s="1">
        <v>1</v>
      </c>
      <c r="I69" s="5" t="s">
        <v>41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" t="s">
        <v>286</v>
      </c>
      <c r="Q69" s="1" t="s">
        <v>176</v>
      </c>
      <c r="R69" t="s">
        <v>200</v>
      </c>
      <c r="T69" s="1" t="b">
        <f>J69=[1]params_testeithink!J69</f>
        <v>1</v>
      </c>
    </row>
    <row r="70" spans="1:20" x14ac:dyDescent="0.25">
      <c r="A70" s="1" t="s">
        <v>201</v>
      </c>
      <c r="B70" s="1" t="s">
        <v>199</v>
      </c>
      <c r="C70" s="12">
        <f t="shared" si="11"/>
        <v>0.15</v>
      </c>
      <c r="D70" s="12">
        <f t="shared" si="12"/>
        <v>0.3</v>
      </c>
      <c r="E70" s="1" t="s">
        <v>47</v>
      </c>
      <c r="F70" s="2">
        <v>1</v>
      </c>
      <c r="G70" s="1">
        <f>J57</f>
        <v>0.15</v>
      </c>
      <c r="H70" s="1">
        <v>1</v>
      </c>
      <c r="I70" s="5" t="s">
        <v>41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" t="s">
        <v>286</v>
      </c>
      <c r="Q70" s="1" t="s">
        <v>176</v>
      </c>
      <c r="R70" t="s">
        <v>179</v>
      </c>
      <c r="T70" s="1" t="b">
        <f>J70=[1]params_testeithink!J70</f>
        <v>1</v>
      </c>
    </row>
    <row r="71" spans="1:20" x14ac:dyDescent="0.25">
      <c r="A71" s="1" t="s">
        <v>202</v>
      </c>
      <c r="B71" s="1" t="s">
        <v>199</v>
      </c>
      <c r="C71" s="12">
        <f t="shared" si="11"/>
        <v>0.27999999999999992</v>
      </c>
      <c r="D71" s="12">
        <f t="shared" si="12"/>
        <v>0.55999999999999983</v>
      </c>
      <c r="E71" s="1" t="s">
        <v>47</v>
      </c>
      <c r="F71" s="2">
        <v>1</v>
      </c>
      <c r="G71" s="1">
        <f>J58</f>
        <v>0.27999999999999992</v>
      </c>
      <c r="H71" s="1">
        <v>1</v>
      </c>
      <c r="I71" s="5" t="s">
        <v>41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" t="s">
        <v>286</v>
      </c>
      <c r="Q71" s="1" t="s">
        <v>176</v>
      </c>
      <c r="R71" s="1" t="s">
        <v>179</v>
      </c>
      <c r="T71" s="1" t="b">
        <f>J71=[1]params_testeithink!J71</f>
        <v>1</v>
      </c>
    </row>
    <row r="72" spans="1:20" x14ac:dyDescent="0.25">
      <c r="A72" s="1" t="s">
        <v>203</v>
      </c>
      <c r="B72" s="1" t="s">
        <v>204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41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" t="s">
        <v>285</v>
      </c>
      <c r="Q72" s="1" t="s">
        <v>24</v>
      </c>
      <c r="R72" s="1" t="s">
        <v>205</v>
      </c>
      <c r="T72" s="1" t="b">
        <f>J72=[1]params_testeithink!J72</f>
        <v>0</v>
      </c>
    </row>
    <row r="73" spans="1:20" x14ac:dyDescent="0.25">
      <c r="A73" s="1" t="s">
        <v>206</v>
      </c>
      <c r="B73" s="1" t="s">
        <v>204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41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" t="s">
        <v>285</v>
      </c>
      <c r="Q73" s="1" t="s">
        <v>24</v>
      </c>
      <c r="R73" t="s">
        <v>179</v>
      </c>
      <c r="T73" s="1" t="b">
        <f>J73=[1]params_testeithink!J73</f>
        <v>0</v>
      </c>
    </row>
    <row r="74" spans="1:20" x14ac:dyDescent="0.25">
      <c r="A74" s="1" t="s">
        <v>207</v>
      </c>
      <c r="B74" s="1" t="s">
        <v>204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41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" t="s">
        <v>285</v>
      </c>
      <c r="Q74" s="1" t="s">
        <v>24</v>
      </c>
      <c r="R74" t="s">
        <v>179</v>
      </c>
      <c r="T74" s="1" t="b">
        <f>J74=[1]params_testeithink!J74</f>
        <v>0</v>
      </c>
    </row>
    <row r="75" spans="1:20" x14ac:dyDescent="0.25">
      <c r="A75" s="5" t="s">
        <v>208</v>
      </c>
      <c r="B75" s="5" t="s">
        <v>209</v>
      </c>
      <c r="C75" s="7">
        <f t="shared" si="11"/>
        <v>107000</v>
      </c>
      <c r="D75" s="7">
        <f t="shared" si="12"/>
        <v>107000</v>
      </c>
      <c r="E75" s="5" t="s">
        <v>52</v>
      </c>
      <c r="F75" s="7">
        <v>0.5</v>
      </c>
      <c r="G75" s="5">
        <f>J75/10</f>
        <v>10700</v>
      </c>
      <c r="H75" s="5">
        <f>J75*10</f>
        <v>1070000</v>
      </c>
      <c r="I75" s="5" t="s">
        <v>23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" t="s">
        <v>286</v>
      </c>
      <c r="Q75" s="1" t="s">
        <v>53</v>
      </c>
      <c r="R75" t="s">
        <v>54</v>
      </c>
      <c r="T75" s="1" t="b">
        <f>J75=[1]params_testeithink!J75</f>
        <v>0</v>
      </c>
    </row>
    <row r="76" spans="1:20" x14ac:dyDescent="0.25">
      <c r="A76" s="5" t="s">
        <v>210</v>
      </c>
      <c r="B76" s="5" t="s">
        <v>209</v>
      </c>
      <c r="C76" s="7">
        <f t="shared" si="11"/>
        <v>107000</v>
      </c>
      <c r="D76" s="7">
        <f t="shared" si="12"/>
        <v>107000</v>
      </c>
      <c r="E76" s="5" t="s">
        <v>52</v>
      </c>
      <c r="F76" s="7">
        <v>0.5</v>
      </c>
      <c r="G76" s="5">
        <f>J76/10</f>
        <v>10700</v>
      </c>
      <c r="H76" s="5">
        <f>J76*10</f>
        <v>1070000</v>
      </c>
      <c r="I76" s="5" t="s">
        <v>23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" t="s">
        <v>286</v>
      </c>
      <c r="Q76" s="1" t="s">
        <v>53</v>
      </c>
      <c r="R76" t="s">
        <v>179</v>
      </c>
      <c r="T76" s="1" t="b">
        <f>J76=[1]params_testeithink!J76</f>
        <v>0</v>
      </c>
    </row>
    <row r="77" spans="1:20" x14ac:dyDescent="0.25">
      <c r="A77" s="5" t="s">
        <v>211</v>
      </c>
      <c r="B77" s="5" t="s">
        <v>209</v>
      </c>
      <c r="C77" s="7">
        <f t="shared" si="11"/>
        <v>107000</v>
      </c>
      <c r="D77" s="7">
        <f t="shared" si="12"/>
        <v>107000</v>
      </c>
      <c r="E77" s="5" t="s">
        <v>52</v>
      </c>
      <c r="F77" s="7">
        <v>0.5</v>
      </c>
      <c r="G77" s="5">
        <f>J77/10</f>
        <v>10700</v>
      </c>
      <c r="H77" s="5">
        <f>J77*10</f>
        <v>1070000</v>
      </c>
      <c r="I77" s="5" t="s">
        <v>23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" t="s">
        <v>286</v>
      </c>
      <c r="Q77" s="1" t="s">
        <v>53</v>
      </c>
      <c r="R77" s="1" t="s">
        <v>179</v>
      </c>
      <c r="T77" s="1" t="b">
        <f>J77=[1]params_testeithink!J77</f>
        <v>0</v>
      </c>
    </row>
    <row r="78" spans="1:20" x14ac:dyDescent="0.25">
      <c r="A78" s="5" t="s">
        <v>212</v>
      </c>
      <c r="B78" s="5" t="s">
        <v>209</v>
      </c>
      <c r="C78" s="7">
        <f t="shared" si="11"/>
        <v>107000</v>
      </c>
      <c r="D78" s="7">
        <f t="shared" si="12"/>
        <v>107000</v>
      </c>
      <c r="E78" s="5" t="s">
        <v>52</v>
      </c>
      <c r="F78" s="7">
        <v>0.5</v>
      </c>
      <c r="G78" s="5">
        <f>J78/10</f>
        <v>10700</v>
      </c>
      <c r="H78" s="5">
        <f>J78*10</f>
        <v>1070000</v>
      </c>
      <c r="I78" s="5" t="s">
        <v>23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" t="s">
        <v>286</v>
      </c>
      <c r="Q78" s="1" t="s">
        <v>53</v>
      </c>
      <c r="R78" s="1" t="s">
        <v>179</v>
      </c>
      <c r="T78" s="1" t="b">
        <f>J78=[1]params_testeithink!J78</f>
        <v>0</v>
      </c>
    </row>
    <row r="79" spans="1:20" ht="120" x14ac:dyDescent="0.25">
      <c r="A79" s="1" t="s">
        <v>213</v>
      </c>
      <c r="B79" s="1" t="s">
        <v>214</v>
      </c>
      <c r="C79" s="2">
        <f t="shared" si="11"/>
        <v>2</v>
      </c>
      <c r="D79" s="2">
        <f t="shared" si="12"/>
        <v>2</v>
      </c>
      <c r="E79" s="1" t="s">
        <v>28</v>
      </c>
      <c r="F79" s="2">
        <v>0</v>
      </c>
      <c r="G79" s="1">
        <v>1</v>
      </c>
      <c r="H79" s="2">
        <v>3</v>
      </c>
      <c r="I79" s="1" t="s">
        <v>23</v>
      </c>
      <c r="J79" s="2">
        <v>2</v>
      </c>
      <c r="K79" s="1">
        <v>1</v>
      </c>
      <c r="P79" s="1" t="s">
        <v>42</v>
      </c>
      <c r="Q79" s="1" t="s">
        <v>43</v>
      </c>
      <c r="R79" s="15" t="s">
        <v>215</v>
      </c>
      <c r="T79" s="1" t="b">
        <f>J79=[1]params_testeithink!J79</f>
        <v>1</v>
      </c>
    </row>
    <row r="80" spans="1:20" x14ac:dyDescent="0.25">
      <c r="A80" s="1" t="s">
        <v>216</v>
      </c>
      <c r="B80" s="1" t="s">
        <v>217</v>
      </c>
      <c r="C80" s="2">
        <f t="shared" si="11"/>
        <v>0</v>
      </c>
      <c r="D80" s="2">
        <f t="shared" si="12"/>
        <v>0</v>
      </c>
      <c r="E80" s="1" t="s">
        <v>218</v>
      </c>
      <c r="F80" s="2">
        <v>2</v>
      </c>
      <c r="G80" s="1">
        <v>0</v>
      </c>
      <c r="H80" s="1">
        <v>50</v>
      </c>
      <c r="I80" s="1" t="s">
        <v>23</v>
      </c>
      <c r="J80" s="1">
        <v>0</v>
      </c>
      <c r="K80" s="1">
        <v>0</v>
      </c>
      <c r="P80" s="1" t="s">
        <v>42</v>
      </c>
      <c r="Q80" s="1" t="s">
        <v>43</v>
      </c>
      <c r="R80" s="1" t="s">
        <v>219</v>
      </c>
      <c r="T80" s="1" t="b">
        <f>J80=[1]params_testeithink!J80</f>
        <v>1</v>
      </c>
    </row>
  </sheetData>
  <autoFilter ref="A1:T80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94FE-E012-4080-92A2-88A8C5EF8D99}">
  <dimension ref="A1:F80"/>
  <sheetViews>
    <sheetView tabSelected="1" view="pageLayout" zoomScaleNormal="100" workbookViewId="0"/>
  </sheetViews>
  <sheetFormatPr defaultRowHeight="14.25" x14ac:dyDescent="0.2"/>
  <cols>
    <col min="1" max="1" width="32.140625" style="17" customWidth="1"/>
    <col min="2" max="2" width="11.42578125" style="17" customWidth="1"/>
    <col min="3" max="3" width="11.140625" style="17" customWidth="1"/>
    <col min="4" max="4" width="13.5703125" style="17" bestFit="1" customWidth="1"/>
    <col min="5" max="5" width="17.85546875" style="17" customWidth="1"/>
    <col min="6" max="6" width="49.42578125" style="17" customWidth="1"/>
    <col min="7" max="16384" width="9.140625" style="17"/>
  </cols>
  <sheetData>
    <row r="1" spans="1:6" ht="15" x14ac:dyDescent="0.25">
      <c r="A1" s="18" t="str">
        <f>params!A1</f>
        <v>Variavel</v>
      </c>
      <c r="B1" s="18" t="s">
        <v>282</v>
      </c>
      <c r="C1" s="18" t="s">
        <v>283</v>
      </c>
      <c r="D1" s="18" t="s">
        <v>284</v>
      </c>
      <c r="E1" s="18" t="s">
        <v>16</v>
      </c>
      <c r="F1" s="18" t="s">
        <v>17</v>
      </c>
    </row>
    <row r="2" spans="1:6" ht="72" x14ac:dyDescent="0.2">
      <c r="A2" s="19" t="str">
        <f>params!A2</f>
        <v>aUnitsPerHousehold</v>
      </c>
      <c r="B2" s="20">
        <f>params!C2</f>
        <v>1</v>
      </c>
      <c r="C2" s="20">
        <f>params!D2</f>
        <v>1</v>
      </c>
      <c r="D2" s="19" t="str">
        <f>params!P2</f>
        <v>P. Original</v>
      </c>
      <c r="E2" s="19" t="str">
        <f>params!Q2</f>
        <v>(STERMAN, 2007)</v>
      </c>
      <c r="F2" s="19" t="str">
        <f>params!R2</f>
        <v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v>
      </c>
    </row>
    <row r="3" spans="1:6" ht="24" x14ac:dyDescent="0.2">
      <c r="A3" s="19" t="str">
        <f>params!A3</f>
        <v>aDiscountRate</v>
      </c>
      <c r="B3" s="20">
        <f>params!C3</f>
        <v>0.04</v>
      </c>
      <c r="C3" s="20">
        <f>params!D3</f>
        <v>0.04</v>
      </c>
      <c r="D3" s="19" t="str">
        <f>params!P3</f>
        <v>P. Original</v>
      </c>
      <c r="E3" s="19" t="str">
        <f>params!Q3</f>
        <v>(STERMAN, 2007)</v>
      </c>
      <c r="F3" s="19" t="str">
        <f>params!R3</f>
        <v>Mantém-se o parâmetro informado por Sterman, com o propósito de representar um mercado global.</v>
      </c>
    </row>
    <row r="4" spans="1:6" ht="36" x14ac:dyDescent="0.2">
      <c r="A4" s="19" t="str">
        <f>params!A4</f>
        <v>aNormalDeliveryDelay</v>
      </c>
      <c r="B4" s="20">
        <f>params!C4</f>
        <v>0.25</v>
      </c>
      <c r="C4" s="20">
        <f>params!D4</f>
        <v>0.25</v>
      </c>
      <c r="D4" s="19" t="str">
        <f>params!P4</f>
        <v>P. Original</v>
      </c>
      <c r="E4" s="19" t="str">
        <f>params!Q4</f>
        <v>(STERMAN, 2007)</v>
      </c>
      <c r="F4" s="19" t="str">
        <f>params!R4</f>
        <v>Mantém-se o parâmetro informado por Sterman, visto que o propósito do modelo não é representar uma mudança no tempo de entrega esperado pelos consumidores.</v>
      </c>
    </row>
    <row r="5" spans="1:6" ht="24" x14ac:dyDescent="0.2">
      <c r="A5" s="19" t="str">
        <f>params!A5</f>
        <v>aSwitchForCapacity</v>
      </c>
      <c r="B5" s="20">
        <f>params!C5</f>
        <v>1</v>
      </c>
      <c r="C5" s="20">
        <f>params!D5</f>
        <v>1</v>
      </c>
      <c r="D5" s="19" t="str">
        <f>params!P5</f>
        <v>P. Original</v>
      </c>
      <c r="E5" s="19" t="str">
        <f>params!Q5</f>
        <v>(STERMAN, 2007)</v>
      </c>
      <c r="F5" s="19" t="str">
        <f>params!R5</f>
        <v>Mantém-se a decisão de permitir que a capacidade limite a produção dos players.</v>
      </c>
    </row>
    <row r="6" spans="1:6" ht="48" x14ac:dyDescent="0.2">
      <c r="A6" s="19" t="str">
        <f>params!A6</f>
        <v>aFractionalDiscardRate</v>
      </c>
      <c r="B6" s="20">
        <f>params!C6</f>
        <v>0.1</v>
      </c>
      <c r="C6" s="20">
        <f>params!D6</f>
        <v>0.2</v>
      </c>
      <c r="D6" s="19" t="str">
        <f>params!P6</f>
        <v>Arbitrado</v>
      </c>
      <c r="E6" s="19" t="str">
        <f>params!Q6</f>
        <v>NA</v>
      </c>
      <c r="F6" s="19" t="str">
        <f>params!R6</f>
        <v>Foi arbitrado um range de vida útil da impressora de 5 a 10 anos. Considera-se este fator como incerto, visto que novas tecnologias podem “encurtar” a vida útil de equipamentos já instalados, tornando-os obsoletos.</v>
      </c>
    </row>
    <row r="7" spans="1:6" x14ac:dyDescent="0.2">
      <c r="A7" s="19" t="str">
        <f>params!A7</f>
        <v>aInitialDiffusionFraction</v>
      </c>
      <c r="B7" s="20">
        <f>params!C7</f>
        <v>0.05</v>
      </c>
      <c r="C7" s="20">
        <f>params!D7</f>
        <v>0.05</v>
      </c>
      <c r="D7" s="19" t="str">
        <f>params!P7</f>
        <v>Não utilizado.</v>
      </c>
      <c r="E7" s="19" t="str">
        <f>params!Q7</f>
        <v>NA</v>
      </c>
      <c r="F7" s="19" t="str">
        <f>params!R7</f>
        <v>Variável não utilizada.</v>
      </c>
    </row>
    <row r="8" spans="1:6" ht="72" x14ac:dyDescent="0.2">
      <c r="A8" s="19" t="str">
        <f>params!A8</f>
        <v>aReferencePrice</v>
      </c>
      <c r="B8" s="20">
        <f>params!C8</f>
        <v>107000</v>
      </c>
      <c r="C8" s="20">
        <f>params!D8</f>
        <v>107000</v>
      </c>
      <c r="D8" s="19" t="str">
        <f>params!P8</f>
        <v>Estimado</v>
      </c>
      <c r="E8" s="19" t="str">
        <f>params!Q8</f>
        <v>(WOHLERS, 2017)</v>
      </c>
      <c r="F8" s="19" t="str">
        <f>params!R8</f>
        <v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v>
      </c>
    </row>
    <row r="9" spans="1:6" ht="48" x14ac:dyDescent="0.2">
      <c r="A9" s="19" t="str">
        <f>params!A9</f>
        <v>aReferenceIndustryDemandElasticity</v>
      </c>
      <c r="B9" s="20">
        <f>params!C9</f>
        <v>0</v>
      </c>
      <c r="C9" s="20">
        <f>params!D9</f>
        <v>1</v>
      </c>
      <c r="D9" s="19" t="str">
        <f>params!P9</f>
        <v>P. Original</v>
      </c>
      <c r="E9" s="19" t="str">
        <f>params!Q9</f>
        <v>(STERMAN, 2007)</v>
      </c>
      <c r="F9" s="19" t="str">
        <f>params!R9</f>
        <v>Não há série histórica disponível de preços versus demanda para a calibração deste parâmetro. Foram utilizados os limites inseridos por Sterman em sua análise de sensibilidade.</v>
      </c>
    </row>
    <row r="10" spans="1:6" ht="168" x14ac:dyDescent="0.2">
      <c r="A10" s="19" t="str">
        <f>params!A10</f>
        <v>aReferencePopulation</v>
      </c>
      <c r="B10" s="20">
        <f>params!C10</f>
        <v>25000</v>
      </c>
      <c r="C10" s="20">
        <f>params!D10</f>
        <v>100000</v>
      </c>
      <c r="D10" s="19" t="str">
        <f>params!P10</f>
        <v>Arbitrado</v>
      </c>
      <c r="E10" s="19" t="str">
        <f>params!Q10</f>
        <v>NA</v>
      </c>
      <c r="F10" s="19" t="str">
        <f>params!R10</f>
        <v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v>
      </c>
    </row>
    <row r="11" spans="1:6" ht="36" x14ac:dyDescent="0.2">
      <c r="A11" s="19" t="str">
        <f>params!A11</f>
        <v>aInnovatorAdoptionFraction</v>
      </c>
      <c r="B11" s="20">
        <f>params!C11</f>
        <v>0</v>
      </c>
      <c r="C11" s="20">
        <f>params!D11</f>
        <v>1.0999999999999999E-2</v>
      </c>
      <c r="D11" s="19" t="str">
        <f>params!P11</f>
        <v>P. Original</v>
      </c>
      <c r="E11" s="19" t="str">
        <f>params!Q11</f>
        <v>(STERMAN, 2007)</v>
      </c>
      <c r="F11" s="19" t="str">
        <f>params!R11</f>
        <v>Não há fonte de informação para definição deste parâmetro. Adotado o valor arbitrado por Sterman, com um fator de variação 10.</v>
      </c>
    </row>
    <row r="12" spans="1:6" x14ac:dyDescent="0.2">
      <c r="A12" s="19" t="str">
        <f>params!A12</f>
        <v>aWOMStrength</v>
      </c>
      <c r="B12" s="20">
        <f>params!C12</f>
        <v>0.4</v>
      </c>
      <c r="C12" s="20">
        <f>params!D12</f>
        <v>1.5</v>
      </c>
      <c r="D12" s="19" t="str">
        <f>params!P12</f>
        <v>P. Original</v>
      </c>
      <c r="E12" s="19" t="str">
        <f>params!Q12</f>
        <v>(STERMAN, 2007)</v>
      </c>
      <c r="F12" s="19" t="str">
        <f>params!R12</f>
        <v>Utilizado o range testado por Sterman (2007).</v>
      </c>
    </row>
    <row r="13" spans="1:6" ht="36" x14ac:dyDescent="0.2">
      <c r="A13" s="19" t="str">
        <f>params!A13</f>
        <v>aPopulation</v>
      </c>
      <c r="B13" s="20">
        <f>params!C13</f>
        <v>100000</v>
      </c>
      <c r="C13" s="20">
        <f>params!D13</f>
        <v>100000</v>
      </c>
      <c r="D13" s="19" t="str">
        <f>params!P13</f>
        <v>Arbitrado</v>
      </c>
      <c r="E13" s="19" t="str">
        <f>params!Q13</f>
        <v>NA</v>
      </c>
      <c r="F13" s="19" t="str">
        <f>params!R13</f>
        <v>Este parâmetro representa a população total inserida no modelo. Este valor corresponde ao tamanho do mercado máximo arbitrado.</v>
      </c>
    </row>
    <row r="14" spans="1:6" x14ac:dyDescent="0.2">
      <c r="A14" s="19" t="str">
        <f>params!A14</f>
        <v>aSwitchForShipmentsInForecast</v>
      </c>
      <c r="B14" s="20">
        <f>params!C14</f>
        <v>0</v>
      </c>
      <c r="C14" s="20">
        <f>params!D14</f>
        <v>0</v>
      </c>
      <c r="D14" s="19" t="str">
        <f>params!P14</f>
        <v>P. Original</v>
      </c>
      <c r="E14" s="19" t="str">
        <f>params!Q14</f>
        <v>(STERMAN, 2007)</v>
      </c>
      <c r="F14" s="19" t="str">
        <f>params!R14</f>
        <v>Manteve-se o parâmetro definido por Sterman (2007).</v>
      </c>
    </row>
    <row r="15" spans="1:6" x14ac:dyDescent="0.2">
      <c r="A15" s="19" t="str">
        <f>params!A15</f>
        <v>aVolumeReportingDelay</v>
      </c>
      <c r="B15" s="20">
        <f>params!C15</f>
        <v>6.25E-2</v>
      </c>
      <c r="C15" s="20">
        <f>params!D15</f>
        <v>0.25</v>
      </c>
      <c r="D15" s="19" t="str">
        <f>params!P15</f>
        <v>P. Original</v>
      </c>
      <c r="E15" s="19" t="str">
        <f>params!Q15</f>
        <v>(STERMAN, 2007)</v>
      </c>
      <c r="F15" s="19" t="str">
        <f>params!R15</f>
        <v>Utilizado o range testado por Sterman (2007).</v>
      </c>
    </row>
    <row r="16" spans="1:6" x14ac:dyDescent="0.2">
      <c r="A16" s="19" t="str">
        <f>params!A16</f>
        <v>aForecastHorizon</v>
      </c>
      <c r="B16" s="20">
        <f>params!C16</f>
        <v>1</v>
      </c>
      <c r="C16" s="20">
        <f>params!D16</f>
        <v>1</v>
      </c>
      <c r="D16" s="19" t="str">
        <f>params!P16</f>
        <v>P. Original</v>
      </c>
      <c r="E16" s="19" t="str">
        <f>params!Q16</f>
        <v>(STERMAN, 2007)</v>
      </c>
      <c r="F16" s="19" t="str">
        <f>params!R16</f>
        <v>Manteve-se o parâmetro definido por Sterman (2007).</v>
      </c>
    </row>
    <row r="17" spans="1:6" x14ac:dyDescent="0.2">
      <c r="A17" s="19" t="str">
        <f>params!A17</f>
        <v>aCapacityAcquisitionDelay</v>
      </c>
      <c r="B17" s="20">
        <f>params!C17</f>
        <v>0.5</v>
      </c>
      <c r="C17" s="20">
        <f>params!D17</f>
        <v>1</v>
      </c>
      <c r="D17" s="19" t="str">
        <f>params!P17</f>
        <v>P. Original</v>
      </c>
      <c r="E17" s="19" t="str">
        <f>params!Q17</f>
        <v>(STERMAN, 2007)</v>
      </c>
      <c r="F17" s="19" t="str">
        <f>params!R17</f>
        <v>Utilizado o range testado por Sterman (2007).</v>
      </c>
    </row>
    <row r="18" spans="1:6" x14ac:dyDescent="0.2">
      <c r="A18" s="19" t="str">
        <f>params!A18</f>
        <v>aTimeForHistoricalVolume</v>
      </c>
      <c r="B18" s="20">
        <f>params!C18</f>
        <v>1</v>
      </c>
      <c r="C18" s="20">
        <f>params!D18</f>
        <v>1</v>
      </c>
      <c r="D18" s="19" t="str">
        <f>params!P18</f>
        <v>P. Original</v>
      </c>
      <c r="E18" s="19" t="str">
        <f>params!Q18</f>
        <v>(STERMAN, 2007)</v>
      </c>
      <c r="F18" s="19" t="str">
        <f>params!R18</f>
        <v>Manteve-se o parâmetro definido por Sterman (2007).</v>
      </c>
    </row>
    <row r="19" spans="1:6" x14ac:dyDescent="0.2">
      <c r="A19" s="19" t="str">
        <f>params!A19</f>
        <v>aReferenceDeliveryDelay</v>
      </c>
      <c r="B19" s="20">
        <f>params!C19</f>
        <v>0.25</v>
      </c>
      <c r="C19" s="20">
        <f>params!D19</f>
        <v>0.25</v>
      </c>
      <c r="D19" s="19" t="str">
        <f>params!P19</f>
        <v>P. Original</v>
      </c>
      <c r="E19" s="19" t="str">
        <f>params!Q19</f>
        <v>(STERMAN, 2007)</v>
      </c>
      <c r="F19" s="19" t="str">
        <f>params!R19</f>
        <v>Manteve-se o parâmetro definido por Sterman (2007).</v>
      </c>
    </row>
    <row r="20" spans="1:6" ht="24" x14ac:dyDescent="0.2">
      <c r="A20" s="19" t="str">
        <f>params!A20</f>
        <v>aSensOfAttractToAvailability</v>
      </c>
      <c r="B20" s="20">
        <f>params!C20</f>
        <v>-6</v>
      </c>
      <c r="C20" s="20">
        <f>params!D20</f>
        <v>-2</v>
      </c>
      <c r="D20" s="19" t="str">
        <f>params!P20</f>
        <v>P. Original</v>
      </c>
      <c r="E20" s="19" t="str">
        <f>params!Q20</f>
        <v>(STERMAN, 2007)</v>
      </c>
      <c r="F20" s="19" t="str">
        <f>params!R20</f>
        <v>Valor base obtido em Sterman, com uma variação adicionada.</v>
      </c>
    </row>
    <row r="21" spans="1:6" x14ac:dyDescent="0.2">
      <c r="A21" s="19" t="str">
        <f>params!A21</f>
        <v>aSensOfAttractToPrice</v>
      </c>
      <c r="B21" s="20">
        <f>params!C21</f>
        <v>-12</v>
      </c>
      <c r="C21" s="20">
        <f>params!D21</f>
        <v>-4</v>
      </c>
      <c r="D21" s="19" t="str">
        <f>params!P21</f>
        <v>P. Original</v>
      </c>
      <c r="E21" s="19" t="str">
        <f>params!Q21</f>
        <v>(STERMAN, 2007)</v>
      </c>
      <c r="F21" s="19" t="str">
        <f>params!R21</f>
        <v>Utilizado o range testado por Sterman (2007).</v>
      </c>
    </row>
    <row r="22" spans="1:6" ht="36" x14ac:dyDescent="0.2">
      <c r="A22" s="19" t="str">
        <f>params!A22</f>
        <v>aLCStrength</v>
      </c>
      <c r="B22" s="20">
        <f>params!C22</f>
        <v>0.7</v>
      </c>
      <c r="C22" s="20">
        <f>params!D22</f>
        <v>1</v>
      </c>
      <c r="D22" s="19" t="str">
        <f>params!P22</f>
        <v>Arbitrado</v>
      </c>
      <c r="E22" s="19" t="str">
        <f>params!Q22</f>
        <v>NA</v>
      </c>
      <c r="F22" s="19" t="str">
        <f>params!R22</f>
        <v>Arbitrado o valor de 0,7 a 1, pressupondo que o custo será reduzido em 30% caso a empresa produza a mesma quantidade de produtos vendidos inicialmente.</v>
      </c>
    </row>
    <row r="23" spans="1:6" ht="36" x14ac:dyDescent="0.2">
      <c r="A23" s="19" t="str">
        <f>params!A23</f>
        <v>aInitialProductionExperience</v>
      </c>
      <c r="B23" s="20">
        <f>params!C23</f>
        <v>100000</v>
      </c>
      <c r="C23" s="20">
        <f>params!D23</f>
        <v>100000</v>
      </c>
      <c r="D23" s="19" t="str">
        <f>params!P23</f>
        <v>Arbitrado</v>
      </c>
      <c r="E23" s="19" t="str">
        <f>params!Q23</f>
        <v>NA</v>
      </c>
      <c r="F23" s="19" t="str">
        <f>params!R23</f>
        <v>Para simplificação, considerou-se que todos os players iniciam a simulação com o mesmo valor de experiência de produção, equivalente à 20.000 unidades produzidas.</v>
      </c>
    </row>
    <row r="24" spans="1:6" x14ac:dyDescent="0.2">
      <c r="A24" s="19" t="str">
        <f>params!A24</f>
        <v>aRatioOfFixedToVarCost</v>
      </c>
      <c r="B24" s="20">
        <f>params!C24</f>
        <v>0.33300000000000002</v>
      </c>
      <c r="C24" s="20">
        <f>params!D24</f>
        <v>3</v>
      </c>
      <c r="D24" s="19" t="str">
        <f>params!P24</f>
        <v>P. Original</v>
      </c>
      <c r="E24" s="19" t="str">
        <f>params!Q24</f>
        <v>(STERMAN, 2007)</v>
      </c>
      <c r="F24" s="19" t="str">
        <f>params!R24</f>
        <v>Utilizado o range testado por Sterman (2007).</v>
      </c>
    </row>
    <row r="25" spans="1:6" x14ac:dyDescent="0.2">
      <c r="A25" s="19" t="str">
        <f>params!A25</f>
        <v>aNormalProfitMargin</v>
      </c>
      <c r="B25" s="20">
        <f>params!C25</f>
        <v>0.2</v>
      </c>
      <c r="C25" s="20">
        <f>params!D25</f>
        <v>0.2</v>
      </c>
      <c r="D25" s="19" t="str">
        <f>params!P25</f>
        <v>P. Original</v>
      </c>
      <c r="E25" s="19" t="str">
        <f>params!Q25</f>
        <v>(STERMAN, 2007)</v>
      </c>
      <c r="F25" s="19" t="str">
        <f>params!R25</f>
        <v>Manteve-se o parâmetro definido por Sterman (2007).</v>
      </c>
    </row>
    <row r="26" spans="1:6" x14ac:dyDescent="0.2">
      <c r="A26" s="19" t="str">
        <f>params!A26</f>
        <v>aNormalCapacityUtilization</v>
      </c>
      <c r="B26" s="20">
        <f>params!C26</f>
        <v>0.6</v>
      </c>
      <c r="C26" s="20">
        <f>params!D26</f>
        <v>1</v>
      </c>
      <c r="D26" s="19" t="str">
        <f>params!P26</f>
        <v>P. Original</v>
      </c>
      <c r="E26" s="19" t="str">
        <f>params!Q26</f>
        <v>(STERMAN, 2007)</v>
      </c>
      <c r="F26" s="19" t="str">
        <f>params!R26</f>
        <v>Utilizado o range testado por Sterman (2007).</v>
      </c>
    </row>
    <row r="27" spans="1:6" ht="84" x14ac:dyDescent="0.2">
      <c r="A27" s="19" t="str">
        <f>params!A27</f>
        <v>aMinimumEfficientScale</v>
      </c>
      <c r="B27" s="20">
        <f>params!C27</f>
        <v>200</v>
      </c>
      <c r="C27" s="20">
        <f>params!D27</f>
        <v>200</v>
      </c>
      <c r="D27" s="19" t="str">
        <f>params!P27</f>
        <v>Arbitrado</v>
      </c>
      <c r="E27" s="19" t="str">
        <f>params!Q27</f>
        <v>NA</v>
      </c>
      <c r="F27" s="19" t="str">
        <f>params!R27</f>
        <v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v>
      </c>
    </row>
    <row r="28" spans="1:6" x14ac:dyDescent="0.2">
      <c r="A28" s="19" t="str">
        <f>params!A28</f>
        <v>aWeightOnSupplyLine</v>
      </c>
      <c r="B28" s="20">
        <f>params!C28</f>
        <v>1</v>
      </c>
      <c r="C28" s="20">
        <f>params!D28</f>
        <v>1</v>
      </c>
      <c r="D28" s="19" t="str">
        <f>params!P28</f>
        <v>P. Original</v>
      </c>
      <c r="E28" s="19" t="str">
        <f>params!Q28</f>
        <v>(STERMAN, 2007)</v>
      </c>
      <c r="F28" s="19" t="str">
        <f>params!R28</f>
        <v>Utilizado o range testado por Sterman (2007).</v>
      </c>
    </row>
    <row r="29" spans="1:6" x14ac:dyDescent="0.2">
      <c r="A29" s="19" t="str">
        <f>params!A29</f>
        <v>aTimeToPerceiveCompTargetCapacity</v>
      </c>
      <c r="B29" s="20">
        <f>params!C29</f>
        <v>0.25</v>
      </c>
      <c r="C29" s="20">
        <f>params!D29</f>
        <v>0.25</v>
      </c>
      <c r="D29" s="19" t="str">
        <f>params!P29</f>
        <v>P. Original</v>
      </c>
      <c r="E29" s="19" t="str">
        <f>params!Q29</f>
        <v>(STERMAN, 2007)</v>
      </c>
      <c r="F29" s="19" t="str">
        <f>params!R29</f>
        <v>Manteve-se o parâmetro definido por Sterman (2007).</v>
      </c>
    </row>
    <row r="30" spans="1:6" x14ac:dyDescent="0.2">
      <c r="A30" s="19" t="str">
        <f>params!A30</f>
        <v>aPriceAdjustmentTime</v>
      </c>
      <c r="B30" s="20">
        <f>params!C30</f>
        <v>0.25</v>
      </c>
      <c r="C30" s="20">
        <f>params!D30</f>
        <v>0.25</v>
      </c>
      <c r="D30" s="19" t="str">
        <f>params!P30</f>
        <v>P. Original</v>
      </c>
      <c r="E30" s="19" t="str">
        <f>params!Q30</f>
        <v>(STERMAN, 2007)</v>
      </c>
      <c r="F30" s="19" t="str">
        <f>params!R30</f>
        <v>Manteve-se o parâmetro definido por Sterman (2007).</v>
      </c>
    </row>
    <row r="31" spans="1:6" x14ac:dyDescent="0.2">
      <c r="A31" s="19" t="str">
        <f>params!A31</f>
        <v>aSensOfPriceToCosts</v>
      </c>
      <c r="B31" s="20">
        <f>params!C31</f>
        <v>0.5</v>
      </c>
      <c r="C31" s="20">
        <f>params!D31</f>
        <v>1</v>
      </c>
      <c r="D31" s="19" t="str">
        <f>params!P31</f>
        <v>P. Original</v>
      </c>
      <c r="E31" s="19" t="str">
        <f>params!Q31</f>
        <v>(STERMAN, 2007)</v>
      </c>
      <c r="F31" s="19" t="str">
        <f>params!R31</f>
        <v>Utilizado o range testado por Sterman (2007).</v>
      </c>
    </row>
    <row r="32" spans="1:6" x14ac:dyDescent="0.2">
      <c r="A32" s="19" t="str">
        <f>params!A32</f>
        <v>aSensOfPriceToDSBalance</v>
      </c>
      <c r="B32" s="20">
        <f>params!C32</f>
        <v>0</v>
      </c>
      <c r="C32" s="20">
        <f>params!D32</f>
        <v>0.25</v>
      </c>
      <c r="D32" s="19" t="str">
        <f>params!P32</f>
        <v>P. Original</v>
      </c>
      <c r="E32" s="19" t="str">
        <f>params!Q32</f>
        <v>(STERMAN, 2007)</v>
      </c>
      <c r="F32" s="19" t="str">
        <f>params!R32</f>
        <v>Utilizado o range testado por Sterman (2007).</v>
      </c>
    </row>
    <row r="33" spans="1:6" x14ac:dyDescent="0.2">
      <c r="A33" s="19" t="str">
        <f>params!A33</f>
        <v>aSensOfPriceToShare</v>
      </c>
      <c r="B33" s="20">
        <f>params!C33</f>
        <v>-0.5</v>
      </c>
      <c r="C33" s="20">
        <f>params!D33</f>
        <v>0</v>
      </c>
      <c r="D33" s="19" t="str">
        <f>params!P33</f>
        <v>P. Original</v>
      </c>
      <c r="E33" s="19" t="str">
        <f>params!Q33</f>
        <v>(STERMAN, 2007)</v>
      </c>
      <c r="F33" s="19" t="str">
        <f>params!R33</f>
        <v>Utilizado o range testado por Sterman (2007).</v>
      </c>
    </row>
    <row r="34" spans="1:6" x14ac:dyDescent="0.2">
      <c r="A34" s="19" t="str">
        <f>params!A34</f>
        <v>aSwitchForPerfectCapacity</v>
      </c>
      <c r="B34" s="20">
        <f>params!C34</f>
        <v>0</v>
      </c>
      <c r="C34" s="20">
        <f>params!D34</f>
        <v>0</v>
      </c>
      <c r="D34" s="19" t="str">
        <f>params!P34</f>
        <v>P. Original</v>
      </c>
      <c r="E34" s="19" t="str">
        <f>params!Q34</f>
        <v>(STERMAN, 2007)</v>
      </c>
      <c r="F34" s="19" t="str">
        <f>params!R34</f>
        <v>Manteve-se o parâmetro definido por Sterman (2007).</v>
      </c>
    </row>
    <row r="35" spans="1:6" x14ac:dyDescent="0.2">
      <c r="A35" s="19" t="str">
        <f>params!A35</f>
        <v>aPeDLigado</v>
      </c>
      <c r="B35" s="20">
        <f>params!C35</f>
        <v>1</v>
      </c>
      <c r="C35" s="20">
        <f>params!D35</f>
        <v>1</v>
      </c>
      <c r="D35" s="19" t="str">
        <f>params!P35</f>
        <v>Arbitrado</v>
      </c>
      <c r="E35" s="19" t="str">
        <f>params!Q35</f>
        <v>NA</v>
      </c>
      <c r="F35" s="19" t="str">
        <f>params!R35</f>
        <v>O módulo PeD deve ser ativado na análise.</v>
      </c>
    </row>
    <row r="36" spans="1:6" x14ac:dyDescent="0.2">
      <c r="A36" s="19" t="str">
        <f>params!A36</f>
        <v>aTempoMedioRealizacaoPeD</v>
      </c>
      <c r="B36" s="20">
        <f>params!C36</f>
        <v>1</v>
      </c>
      <c r="C36" s="20">
        <f>params!D36</f>
        <v>4</v>
      </c>
      <c r="D36" s="19" t="str">
        <f>params!P36</f>
        <v>Arbitrado</v>
      </c>
      <c r="E36" s="19" t="str">
        <f>params!Q36</f>
        <v>NA</v>
      </c>
      <c r="F36" s="19" t="str">
        <f>params!R36</f>
        <v>Arbitrado.</v>
      </c>
    </row>
    <row r="37" spans="1:6" ht="72" x14ac:dyDescent="0.2">
      <c r="A37" s="19" t="str">
        <f>params!A37</f>
        <v>aCustoMedioPatente</v>
      </c>
      <c r="B37" s="20">
        <f>params!C37</f>
        <v>1000000</v>
      </c>
      <c r="C37" s="20">
        <f>params!D37</f>
        <v>3000000</v>
      </c>
      <c r="D37" s="19" t="str">
        <f>params!P37</f>
        <v>Estimado</v>
      </c>
      <c r="E37" s="19" t="str">
        <f>params!Q37</f>
        <v>Tentar fazer busca de patentes pela 3D systems, e olhar apenas patentes ganhas nos últios 5 anos.</v>
      </c>
      <c r="F37" s="19" t="str">
        <f>params!R37</f>
        <v>Calculado considerando todo o investimento observado em P&amp;D da 3D Systems, dividido pelo número de patentes de posse da 3D systems observado.</v>
      </c>
    </row>
    <row r="38" spans="1:6" ht="36" x14ac:dyDescent="0.2">
      <c r="A38" s="19" t="str">
        <f>params!A38</f>
        <v>aTempoMedioAvaliacao</v>
      </c>
      <c r="B38" s="20">
        <f>params!C38</f>
        <v>1.5</v>
      </c>
      <c r="C38" s="20">
        <f>params!D38</f>
        <v>3</v>
      </c>
      <c r="D38" s="19" t="str">
        <f>params!P38</f>
        <v>Estimado</v>
      </c>
      <c r="E38" s="19" t="str">
        <f>params!Q38</f>
        <v>(UK INTELLECTUAL PROPERTY OFFICE, 2013)</v>
      </c>
      <c r="F38" s="19" t="str">
        <f>params!R38</f>
        <v>O tempo médio de avaliação foi considerado como incerto, variando de 1,5 a 3 anos. A média observada é de 1 ano e 8 meses).</v>
      </c>
    </row>
    <row r="39" spans="1:6" ht="48" x14ac:dyDescent="0.2">
      <c r="A39" s="19" t="str">
        <f>params!A39</f>
        <v>aTaxaRejeicao</v>
      </c>
      <c r="B39" s="20">
        <f>params!C39</f>
        <v>0.3</v>
      </c>
      <c r="C39" s="20">
        <f>params!D39</f>
        <v>0.60000000000000009</v>
      </c>
      <c r="D39" s="19" t="str">
        <f>params!P39</f>
        <v>Estimado</v>
      </c>
      <c r="E39" s="19" t="str">
        <f>params!Q39</f>
        <v>(UK INTELLECTUAL PROPERTY OFFICE, 2013)</v>
      </c>
      <c r="F39" s="19" t="str">
        <f>params!R39</f>
        <v>A Taxa de rejeição média calculada foi de 0,4. Esta variável também foi considerada como incerta, devido ao fato de que o crescimento do número de patentes emitidas pode aumentar esta taxa ao longo do tempo.</v>
      </c>
    </row>
    <row r="40" spans="1:6" ht="36" x14ac:dyDescent="0.2">
      <c r="A40" s="19" t="str">
        <f>params!A40</f>
        <v>aTempoVencimentoPatentes</v>
      </c>
      <c r="B40" s="20">
        <f>params!C40</f>
        <v>18</v>
      </c>
      <c r="C40" s="20">
        <f>params!D40</f>
        <v>18</v>
      </c>
      <c r="D40" s="19" t="str">
        <f>params!P40</f>
        <v>Estimado</v>
      </c>
      <c r="E40" s="19" t="str">
        <f>params!Q40</f>
        <v>(UK INTELLECTUAL PROPERTY OFFICE, 2013)</v>
      </c>
      <c r="F40" s="19" t="str">
        <f>params!R40</f>
        <v xml:space="preserve">Considerado como 18, visto que, no modelo, a patente </v>
      </c>
    </row>
    <row r="41" spans="1:6" ht="48" x14ac:dyDescent="0.2">
      <c r="A41" s="19" t="str">
        <f>params!A41</f>
        <v>aTempodeInutilizacaoPatente</v>
      </c>
      <c r="B41" s="20">
        <f>params!C41</f>
        <v>5</v>
      </c>
      <c r="C41" s="20">
        <f>params!D41</f>
        <v>15</v>
      </c>
      <c r="D41" s="19" t="str">
        <f>params!P41</f>
        <v>Arbitrado</v>
      </c>
      <c r="E41" s="19" t="str">
        <f>params!Q41</f>
        <v>NA</v>
      </c>
      <c r="F41" s="19" t="str">
        <f>params!R41</f>
        <v>Considera-se que uma patente em donmínio público não será útil (ou seja, não gerará performance) idenfinidamente. Foram arbitrados tempos máximos e mínimos para esta variável.</v>
      </c>
    </row>
    <row r="42" spans="1:6" x14ac:dyDescent="0.2">
      <c r="A42" s="19" t="str">
        <f>params!A42</f>
        <v>aPerfSlope</v>
      </c>
      <c r="B42" s="20">
        <f>params!C42</f>
        <v>1.2397145020149493E-2</v>
      </c>
      <c r="C42" s="20">
        <f>params!D42</f>
        <v>3.7191435060448481E-2</v>
      </c>
      <c r="D42" s="19" t="str">
        <f>params!P42</f>
        <v>Arbitrado</v>
      </c>
      <c r="E42" s="19" t="str">
        <f>params!Q42</f>
        <v>NA</v>
      </c>
      <c r="F42" s="19" t="str">
        <f>params!R42</f>
        <v>Arbitrado.</v>
      </c>
    </row>
    <row r="43" spans="1:6" ht="24" x14ac:dyDescent="0.2">
      <c r="A43" s="19" t="str">
        <f>params!A43</f>
        <v>aPerfMin</v>
      </c>
      <c r="B43" s="20">
        <f>params!C43</f>
        <v>0</v>
      </c>
      <c r="C43" s="20">
        <f>params!D43</f>
        <v>0</v>
      </c>
      <c r="D43" s="19" t="str">
        <f>params!P43</f>
        <v>Estimado</v>
      </c>
      <c r="E43" s="19" t="str">
        <f>params!Q43</f>
        <v>(3D HUBS, 2017b)</v>
      </c>
      <c r="F43" s="19" t="str">
        <f>params!R43</f>
        <v>Considerou-se os mesmos valores mínimos e máximos de índices de performance empregados na 3D Printer Index).</v>
      </c>
    </row>
    <row r="44" spans="1:6" ht="24" x14ac:dyDescent="0.2">
      <c r="A44" s="19" t="str">
        <f>params!A44</f>
        <v>aPerfMax</v>
      </c>
      <c r="B44" s="20">
        <f>params!C44</f>
        <v>10</v>
      </c>
      <c r="C44" s="20">
        <f>params!D44</f>
        <v>10</v>
      </c>
      <c r="D44" s="19" t="str">
        <f>params!P44</f>
        <v>Estimado</v>
      </c>
      <c r="E44" s="19" t="str">
        <f>params!Q44</f>
        <v>(3D HUBS, 2017b)</v>
      </c>
      <c r="F44" s="19" t="str">
        <f>params!R44</f>
        <v>Considerou-se os mesmos valores mínimos e máximos de índices de performance empregados na 3D Printer Index).</v>
      </c>
    </row>
    <row r="45" spans="1:6" x14ac:dyDescent="0.2">
      <c r="A45" s="19" t="str">
        <f>params!A45</f>
        <v>aSensOfAttractToPerformance</v>
      </c>
      <c r="B45" s="20">
        <f>params!C45</f>
        <v>-12</v>
      </c>
      <c r="C45" s="20">
        <f>params!D45</f>
        <v>-4</v>
      </c>
      <c r="D45" s="19" t="str">
        <f>params!P45</f>
        <v>Arbitrado</v>
      </c>
      <c r="E45" s="19" t="str">
        <f>params!Q45</f>
        <v>NA</v>
      </c>
      <c r="F45" s="19" t="str">
        <f>params!R45</f>
        <v>Baseado no parâmetro de maior importância em Sterman.</v>
      </c>
    </row>
    <row r="46" spans="1:6" ht="24" x14ac:dyDescent="0.2">
      <c r="A46" s="19" t="str">
        <f>params!A46</f>
        <v>aReferencePerformance</v>
      </c>
      <c r="B46" s="20">
        <f>params!C46</f>
        <v>6</v>
      </c>
      <c r="C46" s="20">
        <f>params!D46</f>
        <v>6</v>
      </c>
      <c r="D46" s="19" t="str">
        <f>params!P46</f>
        <v>Estimado</v>
      </c>
      <c r="E46" s="19" t="str">
        <f>params!Q46</f>
        <v>(3D HUBS, 2017b)</v>
      </c>
      <c r="F46" s="19" t="str">
        <f>params!R46</f>
        <v>Como referência, adotou-se o valor de performance máximo.</v>
      </c>
    </row>
    <row r="47" spans="1:6" ht="48" x14ac:dyDescent="0.2">
      <c r="A47" s="19" t="str">
        <f>params!A47</f>
        <v>aInitialInvestimentoNaoRealizadoPeD</v>
      </c>
      <c r="B47" s="21">
        <f>params!C47</f>
        <v>247491000</v>
      </c>
      <c r="C47" s="21">
        <f>params!D47</f>
        <v>247491000</v>
      </c>
      <c r="D47" s="19" t="str">
        <f>params!P47</f>
        <v>Estimado</v>
      </c>
      <c r="E47" s="19" t="str">
        <f>params!Q47</f>
        <v>(QUANDL, 2017)</v>
      </c>
      <c r="F47" s="19" t="str">
        <f>params!R47</f>
        <v>Calculado com base no investimento em P&amp;D da 3D Systems nos últimos quatro anos, estimando que metade de seu investimento em P&amp;D é direcionado para tecnologia embarcada em impressoras 3D.</v>
      </c>
    </row>
    <row r="48" spans="1:6" ht="36" x14ac:dyDescent="0.2">
      <c r="A48" s="19" t="str">
        <f>params!A48</f>
        <v>aInitialPatentesRequisitadas</v>
      </c>
      <c r="B48" s="20">
        <f>params!C48</f>
        <v>109.996</v>
      </c>
      <c r="C48" s="20">
        <f>params!D48</f>
        <v>109.996</v>
      </c>
      <c r="D48" s="19" t="str">
        <f>params!P48</f>
        <v>Estimado</v>
      </c>
      <c r="E48" s="19" t="str">
        <f>params!Q48</f>
        <v>(UK INTELLECTUAL PROPERTY OFFICE, 2013)</v>
      </c>
      <c r="F48" s="19" t="str">
        <f>params!R48</f>
        <v>Dois últimos anos do relatório de patentes. Pressupõe-se que apenas metade das patentes são relacionadas à tecnologia embarcada em impressoras 3D.</v>
      </c>
    </row>
    <row r="49" spans="1:6" ht="72" x14ac:dyDescent="0.2">
      <c r="A49" s="19" t="str">
        <f>params!A49</f>
        <v>aInitialPatentesEmpresa</v>
      </c>
      <c r="B49" s="20">
        <f>params!C49</f>
        <v>371.23649999999998</v>
      </c>
      <c r="C49" s="20">
        <f>params!D49</f>
        <v>371.23649999999998</v>
      </c>
      <c r="D49" s="19" t="str">
        <f>params!P49</f>
        <v>Estimado</v>
      </c>
      <c r="E49" s="19" t="str">
        <f>params!Q49</f>
        <v>(UK INTELLECTUAL PROPERTY OFFICE, 2013)</v>
      </c>
      <c r="F49" s="19" t="str">
        <f>params!R49</f>
        <v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v>
      </c>
    </row>
    <row r="50" spans="1:6" ht="24" x14ac:dyDescent="0.2">
      <c r="A50" s="19" t="str">
        <f>params!A50</f>
        <v>aInitialsPatentesEmDominioPublicoUteis</v>
      </c>
      <c r="B50" s="20">
        <f>params!C50</f>
        <v>123.74550000000001</v>
      </c>
      <c r="C50" s="20">
        <f>params!D50</f>
        <v>123.74550000000001</v>
      </c>
      <c r="D50" s="19" t="str">
        <f>params!P50</f>
        <v>Arbitrado</v>
      </c>
      <c r="E50" s="19" t="str">
        <f>params!Q50</f>
        <v>NA</v>
      </c>
      <c r="F50" s="19" t="str">
        <f>params!R50</f>
        <v>Considerou a existência de patentes em domínio público (ex.: FDM, SLS, etc).</v>
      </c>
    </row>
    <row r="51" spans="1:6" ht="24" x14ac:dyDescent="0.2">
      <c r="A51" s="19" t="str">
        <f>params!A51</f>
        <v>aInitialsInvestimentoPeDDepreciar</v>
      </c>
      <c r="B51" s="21">
        <f>params!C51</f>
        <v>1209956000</v>
      </c>
      <c r="C51" s="21">
        <f>params!D51</f>
        <v>1209956000</v>
      </c>
      <c r="D51" s="19" t="str">
        <f>params!P51</f>
        <v>Estimado</v>
      </c>
      <c r="E51" s="19" t="str">
        <f>params!Q51</f>
        <v>(QUANDL, 2017)</v>
      </c>
      <c r="F51" s="19" t="str">
        <f>params!R51</f>
        <v>Estimado considerando o orçamento atual da 3D Systems, aplicado durante 10 anos.</v>
      </c>
    </row>
    <row r="52" spans="1:6" ht="36" x14ac:dyDescent="0.2">
      <c r="A52" s="19" t="str">
        <f>params!A52</f>
        <v>aInitialReorderShare</v>
      </c>
      <c r="B52" s="20">
        <f>params!C52</f>
        <v>0.1</v>
      </c>
      <c r="C52" s="20">
        <f>params!D52</f>
        <v>0.8</v>
      </c>
      <c r="D52" s="19" t="str">
        <f>params!P52</f>
        <v>Arbitrado</v>
      </c>
      <c r="E52" s="19" t="str">
        <f>params!Q52</f>
        <v>NA</v>
      </c>
      <c r="F52" s="19" t="str">
        <f>params!R52</f>
        <v>Não há informação disponível para determinar a fração inicial de pedidos que é oriúnda de substituições de impressoras 3D em fim de vida útil.</v>
      </c>
    </row>
    <row r="53" spans="1:6" x14ac:dyDescent="0.2">
      <c r="A53" s="19" t="str">
        <f>params!A53</f>
        <v>aTotalInitialInstalledBaseInutilizado</v>
      </c>
      <c r="B53" s="20">
        <f>params!C53</f>
        <v>64250</v>
      </c>
      <c r="C53" s="20">
        <f>params!D53</f>
        <v>64250</v>
      </c>
      <c r="D53" s="19" t="str">
        <f>params!P53</f>
        <v>Estimado</v>
      </c>
      <c r="E53" s="19" t="str">
        <f>params!Q53</f>
        <v>NA</v>
      </c>
      <c r="F53" s="19" t="str">
        <f>params!R53</f>
        <v>Variável não utilizada.</v>
      </c>
    </row>
    <row r="54" spans="1:6" ht="48" x14ac:dyDescent="0.2">
      <c r="A54" s="19" t="str">
        <f>params!A54</f>
        <v>aInitialIndustryShipments</v>
      </c>
      <c r="B54" s="20">
        <f>params!C54</f>
        <v>12850</v>
      </c>
      <c r="C54" s="20">
        <f>params!D54</f>
        <v>12850</v>
      </c>
      <c r="D54" s="19" t="str">
        <f>params!P54</f>
        <v>Estimado</v>
      </c>
      <c r="E54" s="19" t="str">
        <f>params!Q54</f>
        <v>(WOHLERS ASSOCIATES, 2013, 2014, 2015 ; WHOLERS, 2016)</v>
      </c>
      <c r="F54" s="19" t="str">
        <f>params!R54</f>
        <v>Utilizou-se a última informação disponível sobre o número de impressoras 3D profissionais vendidas como referência para calibrar as condições iniciais do modelo.</v>
      </c>
    </row>
    <row r="55" spans="1:6" ht="36" x14ac:dyDescent="0.2">
      <c r="A55" s="19" t="str">
        <f>params!A55</f>
        <v>aInitialSharePlayers1</v>
      </c>
      <c r="B55" s="20">
        <f>params!C55</f>
        <v>0.28000000000000003</v>
      </c>
      <c r="C55" s="20">
        <f>params!D55</f>
        <v>0.28000000000000003</v>
      </c>
      <c r="D55" s="19" t="str">
        <f>params!P55</f>
        <v>Estimado</v>
      </c>
      <c r="E55" s="19" t="str">
        <f>params!Q55</f>
        <v>(ERNST &amp; YOUNG GMBH, 2016)</v>
      </c>
      <c r="F55" s="19" t="str">
        <f>params!R55</f>
        <v>O Market Share Inicial das empresas considera que três empresas (3D Systems, Stratasys e EOS) dominam 70% do mercado (ERNST &amp; YOUNG GMBH, 2016, p. 54).</v>
      </c>
    </row>
    <row r="56" spans="1:6" ht="24" x14ac:dyDescent="0.2">
      <c r="A56" s="19" t="str">
        <f>params!A56</f>
        <v>aInitialSharePlayers2</v>
      </c>
      <c r="B56" s="20">
        <f>params!C56</f>
        <v>0.28999999999999998</v>
      </c>
      <c r="C56" s="20">
        <f>params!D56</f>
        <v>0.28999999999999998</v>
      </c>
      <c r="D56" s="19" t="str">
        <f>params!P56</f>
        <v>Estimado</v>
      </c>
      <c r="E56" s="19" t="str">
        <f>params!Q56</f>
        <v>(ERNST &amp; YOUNG GMBH, 2016)</v>
      </c>
      <c r="F56" s="19" t="str">
        <f>params!R56</f>
        <v>Idem à variável anterior.</v>
      </c>
    </row>
    <row r="57" spans="1:6" ht="24" x14ac:dyDescent="0.2">
      <c r="A57" s="19" t="str">
        <f>params!A57</f>
        <v>aInitialSharePlayers3</v>
      </c>
      <c r="B57" s="20">
        <f>params!C57</f>
        <v>0.15</v>
      </c>
      <c r="C57" s="20">
        <f>params!D57</f>
        <v>0.15</v>
      </c>
      <c r="D57" s="19" t="str">
        <f>params!P57</f>
        <v>Estimado</v>
      </c>
      <c r="E57" s="19" t="str">
        <f>params!Q57</f>
        <v>(ERNST &amp; YOUNG GMBH, 2016)</v>
      </c>
      <c r="F57" s="19" t="str">
        <f>params!R57</f>
        <v>Idem à variável anterior.</v>
      </c>
    </row>
    <row r="58" spans="1:6" ht="24" x14ac:dyDescent="0.2">
      <c r="A58" s="19" t="str">
        <f>params!A58</f>
        <v>aInitialSharePlayers4</v>
      </c>
      <c r="B58" s="20">
        <f>params!C58</f>
        <v>0.27999999999999992</v>
      </c>
      <c r="C58" s="20">
        <f>params!D58</f>
        <v>0.27999999999999992</v>
      </c>
      <c r="D58" s="19" t="str">
        <f>params!P58</f>
        <v>Estimado</v>
      </c>
      <c r="E58" s="19" t="str">
        <f>params!Q58</f>
        <v>(ERNST &amp; YOUNG GMBH, 2016)</v>
      </c>
      <c r="F58" s="19" t="str">
        <f>params!R58</f>
        <v>Idem à variável anterior.</v>
      </c>
    </row>
    <row r="59" spans="1:6" ht="84" x14ac:dyDescent="0.2">
      <c r="A59" s="19" t="str">
        <f>params!A59</f>
        <v>aPatentShare1</v>
      </c>
      <c r="B59" s="20">
        <f>params!C59</f>
        <v>0.28000000000000003</v>
      </c>
      <c r="C59" s="20">
        <f>params!D59</f>
        <v>0.28000000000000003</v>
      </c>
      <c r="D59" s="19" t="str">
        <f>params!P59</f>
        <v>Estimado</v>
      </c>
      <c r="E59" s="19" t="str">
        <f>params!Q59</f>
        <v>(UK INTELLECTUAL PROPERTY OFFICE, 2013)</v>
      </c>
      <c r="F59" s="19" t="str">
        <f>params!R59</f>
        <v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v>
      </c>
    </row>
    <row r="60" spans="1:6" ht="36" x14ac:dyDescent="0.2">
      <c r="A60" s="19" t="str">
        <f>params!A60</f>
        <v>aPatentShare2</v>
      </c>
      <c r="B60" s="20">
        <f>params!C60</f>
        <v>0.28999999999999998</v>
      </c>
      <c r="C60" s="20">
        <f>params!D60</f>
        <v>0.28999999999999998</v>
      </c>
      <c r="D60" s="19" t="str">
        <f>params!P60</f>
        <v>Estimado</v>
      </c>
      <c r="E60" s="19" t="str">
        <f>params!Q60</f>
        <v>(UK INTELLECTUAL PROPERTY OFFICE, 2013)</v>
      </c>
      <c r="F60" s="19" t="str">
        <f>params!R60</f>
        <v>Idem à variável anterior.</v>
      </c>
    </row>
    <row r="61" spans="1:6" ht="36" x14ac:dyDescent="0.2">
      <c r="A61" s="19" t="str">
        <f>params!A61</f>
        <v>aPatentShare3</v>
      </c>
      <c r="B61" s="20">
        <f>params!C61</f>
        <v>0.15</v>
      </c>
      <c r="C61" s="20">
        <f>params!D61</f>
        <v>0.15</v>
      </c>
      <c r="D61" s="19" t="str">
        <f>params!P61</f>
        <v>Estimado</v>
      </c>
      <c r="E61" s="19" t="str">
        <f>params!Q61</f>
        <v>(UK INTELLECTUAL PROPERTY OFFICE, 2013)</v>
      </c>
      <c r="F61" s="19" t="str">
        <f>params!R61</f>
        <v>Idem à variável anterior.</v>
      </c>
    </row>
    <row r="62" spans="1:6" ht="36" x14ac:dyDescent="0.2">
      <c r="A62" s="19" t="str">
        <f>params!A62</f>
        <v>aPatentShare4</v>
      </c>
      <c r="B62" s="20">
        <f>params!C62</f>
        <v>0.27999999999999992</v>
      </c>
      <c r="C62" s="20">
        <f>params!D62</f>
        <v>0.27999999999999992</v>
      </c>
      <c r="D62" s="19" t="str">
        <f>params!P62</f>
        <v>Estimado</v>
      </c>
      <c r="E62" s="19" t="str">
        <f>params!Q62</f>
        <v>(UK INTELLECTUAL PROPERTY OFFICE, 2013)</v>
      </c>
      <c r="F62" s="19" t="str">
        <f>params!R62</f>
        <v>Idem à variável anterior.</v>
      </c>
    </row>
    <row r="63" spans="1:6" ht="36" x14ac:dyDescent="0.2">
      <c r="A63" s="19" t="str">
        <f>params!A63</f>
        <v>aPercPeDAberto2</v>
      </c>
      <c r="B63" s="20">
        <f>params!C63</f>
        <v>0</v>
      </c>
      <c r="C63" s="20">
        <f>params!D63</f>
        <v>1</v>
      </c>
      <c r="D63" s="19" t="str">
        <f>params!P63</f>
        <v>Arbitrado</v>
      </c>
      <c r="E63" s="19" t="str">
        <f>params!Q63</f>
        <v>NA</v>
      </c>
      <c r="F63" s="19" t="str">
        <f>params!R63</f>
        <v>Variável considerada como incerta, pressupondo que os players podem optar por tornar todo o seu investimento em Patentes Open Source.</v>
      </c>
    </row>
    <row r="64" spans="1:6" ht="36" x14ac:dyDescent="0.2">
      <c r="A64" s="19" t="str">
        <f>params!A64</f>
        <v>aPercPeDAberto3</v>
      </c>
      <c r="B64" s="20">
        <f>params!C64</f>
        <v>0</v>
      </c>
      <c r="C64" s="20">
        <f>params!D64</f>
        <v>1</v>
      </c>
      <c r="D64" s="19" t="str">
        <f>params!P64</f>
        <v>Arbitrado</v>
      </c>
      <c r="E64" s="19" t="str">
        <f>params!Q64</f>
        <v>NA</v>
      </c>
      <c r="F64" s="19" t="str">
        <f>params!R64</f>
        <v>Variável considerada como incerta, pressupondo que os players podem optar por tornar todo o seu investimento em Patentes Open Source.</v>
      </c>
    </row>
    <row r="65" spans="1:6" ht="36" x14ac:dyDescent="0.2">
      <c r="A65" s="19" t="str">
        <f>params!A65</f>
        <v>aPercPeDAberto4</v>
      </c>
      <c r="B65" s="20">
        <f>params!C65</f>
        <v>0</v>
      </c>
      <c r="C65" s="20">
        <f>params!D65</f>
        <v>1</v>
      </c>
      <c r="D65" s="19" t="str">
        <f>params!P65</f>
        <v>Arbitrado</v>
      </c>
      <c r="E65" s="19" t="str">
        <f>params!Q65</f>
        <v>NA</v>
      </c>
      <c r="F65" s="19" t="str">
        <f>params!R65</f>
        <v>Variável considerada como incerta, pressupondo que os players podem optar por tornar todo o seu investimento em Patentes Open Source.</v>
      </c>
    </row>
    <row r="66" spans="1:6" ht="24" x14ac:dyDescent="0.2">
      <c r="A66" s="19" t="str">
        <f>params!A66</f>
        <v>aOrcamentoPeD2</v>
      </c>
      <c r="B66" s="20">
        <f>params!C66</f>
        <v>0.05</v>
      </c>
      <c r="C66" s="20">
        <f>params!D66</f>
        <v>0.15</v>
      </c>
      <c r="D66" s="19" t="str">
        <f>params!P66</f>
        <v>Estimado</v>
      </c>
      <c r="E66" s="19" t="str">
        <f>params!Q66</f>
        <v>(QUANDL, 2017)</v>
      </c>
      <c r="F66" s="19" t="str">
        <f>params!R66</f>
        <v>As despesas com PeD da 3D Systems oscilaram entre 6% e 13% da receita entre 2006 e 2016.</v>
      </c>
    </row>
    <row r="67" spans="1:6" x14ac:dyDescent="0.2">
      <c r="A67" s="19" t="str">
        <f>params!A67</f>
        <v>aOrcamentoPeD3</v>
      </c>
      <c r="B67" s="20">
        <f>params!C67</f>
        <v>0.05</v>
      </c>
      <c r="C67" s="20">
        <f>params!D67</f>
        <v>0.15</v>
      </c>
      <c r="D67" s="19" t="str">
        <f>params!P67</f>
        <v>Estimado</v>
      </c>
      <c r="E67" s="19" t="str">
        <f>params!Q67</f>
        <v>(QUANDL, 2017)</v>
      </c>
      <c r="F67" s="19" t="str">
        <f>params!R67</f>
        <v>Idem à variável anterior.</v>
      </c>
    </row>
    <row r="68" spans="1:6" x14ac:dyDescent="0.2">
      <c r="A68" s="19" t="str">
        <f>params!A68</f>
        <v>aOrcamentoPeD4</v>
      </c>
      <c r="B68" s="20">
        <f>params!C68</f>
        <v>0.05</v>
      </c>
      <c r="C68" s="20">
        <f>params!D68</f>
        <v>0.15</v>
      </c>
      <c r="D68" s="19" t="str">
        <f>params!P68</f>
        <v>Estimado</v>
      </c>
      <c r="E68" s="19" t="str">
        <f>params!Q68</f>
        <v>(QUANDL, 2017)</v>
      </c>
      <c r="F68" s="19" t="str">
        <f>params!R68</f>
        <v>Idem à variável anterior.</v>
      </c>
    </row>
    <row r="69" spans="1:6" ht="48" x14ac:dyDescent="0.2">
      <c r="A69" s="19" t="str">
        <f>params!A69</f>
        <v>aDesiredMarketShare2</v>
      </c>
      <c r="B69" s="20">
        <f>params!C69</f>
        <v>0.28999999999999998</v>
      </c>
      <c r="C69" s="20">
        <f>params!D69</f>
        <v>0.57999999999999996</v>
      </c>
      <c r="D69" s="19" t="str">
        <f>params!P69</f>
        <v>Estimado</v>
      </c>
      <c r="E69" s="19" t="str">
        <f>params!Q69</f>
        <v>(ERNST &amp; YOUNG GMBH, 2016)</v>
      </c>
      <c r="F69" s="19" t="str">
        <f>params!R69</f>
        <v>Foi considerado que o player tem a mesma liberdade de decisão que o player analisado, variando seu market share desejado em 1/3 a mais ou a menos do que seu market share inicial.</v>
      </c>
    </row>
    <row r="70" spans="1:6" ht="24" x14ac:dyDescent="0.2">
      <c r="A70" s="19" t="str">
        <f>params!A70</f>
        <v>aDesiredMarketShare3</v>
      </c>
      <c r="B70" s="20">
        <f>params!C70</f>
        <v>0.15</v>
      </c>
      <c r="C70" s="20">
        <f>params!D70</f>
        <v>0.3</v>
      </c>
      <c r="D70" s="19" t="str">
        <f>params!P70</f>
        <v>Estimado</v>
      </c>
      <c r="E70" s="19" t="str">
        <f>params!Q70</f>
        <v>(ERNST &amp; YOUNG GMBH, 2016)</v>
      </c>
      <c r="F70" s="19" t="str">
        <f>params!R70</f>
        <v>Idem à variável anterior.</v>
      </c>
    </row>
    <row r="71" spans="1:6" ht="24" x14ac:dyDescent="0.2">
      <c r="A71" s="19" t="str">
        <f>params!A71</f>
        <v>aDesiredMarketShare4</v>
      </c>
      <c r="B71" s="20">
        <f>params!C71</f>
        <v>0.27999999999999992</v>
      </c>
      <c r="C71" s="20">
        <f>params!D71</f>
        <v>0.55999999999999983</v>
      </c>
      <c r="D71" s="19" t="str">
        <f>params!P71</f>
        <v>Estimado</v>
      </c>
      <c r="E71" s="19" t="str">
        <f>params!Q71</f>
        <v>(ERNST &amp; YOUNG GMBH, 2016)</v>
      </c>
      <c r="F71" s="19" t="str">
        <f>params!R71</f>
        <v>Idem à variável anterior.</v>
      </c>
    </row>
    <row r="72" spans="1:6" ht="60" x14ac:dyDescent="0.2">
      <c r="A72" s="19" t="str">
        <f>params!A72</f>
        <v>aSwitchForCapacityStrategy2</v>
      </c>
      <c r="B72" s="20">
        <f>params!C72</f>
        <v>0.51</v>
      </c>
      <c r="C72" s="20">
        <f>params!D72</f>
        <v>2.5</v>
      </c>
      <c r="D72" s="19" t="str">
        <f>params!P72</f>
        <v>P. Original</v>
      </c>
      <c r="E72" s="19" t="str">
        <f>params!Q72</f>
        <v>(STERMAN, 2007)</v>
      </c>
      <c r="F72" s="19" t="str">
        <f>params!R72</f>
        <v>Foi considerado que o player tem a mesma liberdade de decisão que o player analisado, podendo optar por uma estratégia agressiva ou conservadora. Os ranges de variam entre 0,5 e 2,5 para que, ao arredondados, os valores 1 e 2 tenham a mesma probabilidade de ocorrência.</v>
      </c>
    </row>
    <row r="73" spans="1:6" x14ac:dyDescent="0.2">
      <c r="A73" s="19" t="str">
        <f>params!A73</f>
        <v>aSwitchForCapacityStrategy3</v>
      </c>
      <c r="B73" s="20">
        <f>params!C73</f>
        <v>0.51</v>
      </c>
      <c r="C73" s="20">
        <f>params!D73</f>
        <v>2.5</v>
      </c>
      <c r="D73" s="19" t="str">
        <f>params!P73</f>
        <v>P. Original</v>
      </c>
      <c r="E73" s="19" t="str">
        <f>params!Q73</f>
        <v>(STERMAN, 2007)</v>
      </c>
      <c r="F73" s="19" t="str">
        <f>params!R73</f>
        <v>Idem à variável anterior.</v>
      </c>
    </row>
    <row r="74" spans="1:6" x14ac:dyDescent="0.2">
      <c r="A74" s="19" t="str">
        <f>params!A74</f>
        <v>aSwitchForCapacityStrategy4</v>
      </c>
      <c r="B74" s="20">
        <f>params!C74</f>
        <v>0.51</v>
      </c>
      <c r="C74" s="20">
        <f>params!D74</f>
        <v>2.5</v>
      </c>
      <c r="D74" s="19" t="str">
        <f>params!P74</f>
        <v>P. Original</v>
      </c>
      <c r="E74" s="19" t="str">
        <f>params!Q74</f>
        <v>(STERMAN, 2007)</v>
      </c>
      <c r="F74" s="19" t="str">
        <f>params!R74</f>
        <v>Idem à variável anterior.</v>
      </c>
    </row>
    <row r="75" spans="1:6" ht="72" x14ac:dyDescent="0.2">
      <c r="A75" s="19" t="str">
        <f>params!A75</f>
        <v>aInitialPrice1</v>
      </c>
      <c r="B75" s="20">
        <f>params!C75</f>
        <v>107000</v>
      </c>
      <c r="C75" s="20">
        <f>params!D75</f>
        <v>107000</v>
      </c>
      <c r="D75" s="19" t="str">
        <f>params!P75</f>
        <v>Estimado</v>
      </c>
      <c r="E75" s="19" t="str">
        <f>params!Q75</f>
        <v>(WOHLERS, 2017)</v>
      </c>
      <c r="F75" s="19" t="str">
        <f>params!R75</f>
        <v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v>
      </c>
    </row>
    <row r="76" spans="1:6" x14ac:dyDescent="0.2">
      <c r="A76" s="19" t="str">
        <f>params!A76</f>
        <v>aInitialPrice2</v>
      </c>
      <c r="B76" s="20">
        <f>params!C76</f>
        <v>107000</v>
      </c>
      <c r="C76" s="20">
        <f>params!D76</f>
        <v>107000</v>
      </c>
      <c r="D76" s="19" t="str">
        <f>params!P76</f>
        <v>Estimado</v>
      </c>
      <c r="E76" s="19" t="str">
        <f>params!Q76</f>
        <v>(WOHLERS, 2017)</v>
      </c>
      <c r="F76" s="19" t="str">
        <f>params!R76</f>
        <v>Idem à variável anterior.</v>
      </c>
    </row>
    <row r="77" spans="1:6" x14ac:dyDescent="0.2">
      <c r="A77" s="19" t="str">
        <f>params!A77</f>
        <v>aInitialPrice3</v>
      </c>
      <c r="B77" s="20">
        <f>params!C77</f>
        <v>107000</v>
      </c>
      <c r="C77" s="20">
        <f>params!D77</f>
        <v>107000</v>
      </c>
      <c r="D77" s="19" t="str">
        <f>params!P77</f>
        <v>Estimado</v>
      </c>
      <c r="E77" s="19" t="str">
        <f>params!Q77</f>
        <v>(WOHLERS, 2017)</v>
      </c>
      <c r="F77" s="19" t="str">
        <f>params!R77</f>
        <v>Idem à variável anterior.</v>
      </c>
    </row>
    <row r="78" spans="1:6" x14ac:dyDescent="0.2">
      <c r="A78" s="19" t="str">
        <f>params!A78</f>
        <v>aInitialPrice4</v>
      </c>
      <c r="B78" s="20">
        <f>params!C78</f>
        <v>107000</v>
      </c>
      <c r="C78" s="20">
        <f>params!D78</f>
        <v>107000</v>
      </c>
      <c r="D78" s="19" t="str">
        <f>params!P78</f>
        <v>Estimado</v>
      </c>
      <c r="E78" s="19" t="str">
        <f>params!Q78</f>
        <v>(WOHLERS, 2017)</v>
      </c>
      <c r="F78" s="19" t="str">
        <f>params!R78</f>
        <v>Idem à variável anterior.</v>
      </c>
    </row>
    <row r="79" spans="1:6" ht="72" x14ac:dyDescent="0.2">
      <c r="A79" s="19" t="str">
        <f>params!A79</f>
        <v>aModoInitialCumulativeAdopters</v>
      </c>
      <c r="B79" s="20">
        <f>params!C79</f>
        <v>2</v>
      </c>
      <c r="C79" s="20">
        <f>params!D79</f>
        <v>2</v>
      </c>
      <c r="D79" s="19" t="str">
        <f>params!P79</f>
        <v>Arbitrado</v>
      </c>
      <c r="E79" s="19" t="str">
        <f>params!Q79</f>
        <v>NA</v>
      </c>
      <c r="F79" s="19" t="str">
        <f>params!R79</f>
        <v>1 - Tradicional: Industry Demand X Initial Diffusion Fraction (Sterman)
2 - ReorderShare -&gt; Intalled Base -&gt; Adopters (Novo)
3 - ReorderShare -&gt; InitialAdoptionRate -&gt; Initial Cumulative Adopters (Implementado Inicialmente)
}</v>
      </c>
    </row>
    <row r="80" spans="1:6" ht="36" x14ac:dyDescent="0.2">
      <c r="A80" s="19" t="str">
        <f>params!A80</f>
        <v>aInitialPatentLefts</v>
      </c>
      <c r="B80" s="20">
        <f>params!C80</f>
        <v>0</v>
      </c>
      <c r="C80" s="20">
        <f>params!D80</f>
        <v>0</v>
      </c>
      <c r="D80" s="19" t="str">
        <f>params!P80</f>
        <v>Arbitrado</v>
      </c>
      <c r="E80" s="19" t="str">
        <f>params!Q80</f>
        <v>NA</v>
      </c>
      <c r="F80" s="19" t="str">
        <f>params!R80</f>
        <v>Não há informações disponíveis sobre empresas que atuem no ramo de impressoras profissionais com patentes open source.</v>
      </c>
    </row>
  </sheetData>
  <autoFilter ref="A1:F80" xr:uid="{3C841078-18CE-4AD3-B31D-AB283F6921A1}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75" zoomScaleNormal="75" workbookViewId="0">
      <selection activeCell="C33" sqref="C33"/>
    </sheetView>
  </sheetViews>
  <sheetFormatPr defaultRowHeight="15" x14ac:dyDescent="0.25"/>
  <cols>
    <col min="1" max="1" width="23.7109375"/>
    <col min="2" max="2" width="10.7109375"/>
    <col min="3" max="3" width="19.5703125"/>
    <col min="4" max="4" width="14.85546875"/>
  </cols>
  <sheetData>
    <row r="1" spans="1:4" x14ac:dyDescent="0.25">
      <c r="A1" s="1" t="s">
        <v>220</v>
      </c>
      <c r="B1" s="1" t="s">
        <v>221</v>
      </c>
      <c r="C1" s="1" t="s">
        <v>222</v>
      </c>
      <c r="D1" s="1" t="s">
        <v>223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0.2</v>
      </c>
      <c r="D3">
        <v>0.05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G5" sqref="G5"/>
    </sheetView>
  </sheetViews>
  <sheetFormatPr defaultRowHeight="15" x14ac:dyDescent="0.25"/>
  <cols>
    <col min="1" max="3" width="6.140625" style="1"/>
    <col min="4" max="4" width="14.5703125" style="1"/>
    <col min="5" max="5" width="10.42578125" style="1"/>
    <col min="6" max="6" width="12.85546875" style="1"/>
    <col min="7" max="7" width="9.7109375" style="1"/>
    <col min="8" max="8" width="8.28515625"/>
    <col min="9" max="1025" width="6.140625" style="1"/>
  </cols>
  <sheetData>
    <row r="1" spans="1:7" s="1" customFormat="1" x14ac:dyDescent="0.25">
      <c r="A1" s="1" t="s">
        <v>224</v>
      </c>
      <c r="B1" s="1" t="s">
        <v>225</v>
      </c>
      <c r="C1" s="1" t="s">
        <v>226</v>
      </c>
      <c r="D1" s="1" t="s">
        <v>220</v>
      </c>
      <c r="E1" s="1" t="s">
        <v>221</v>
      </c>
      <c r="F1" s="1" t="s">
        <v>222</v>
      </c>
      <c r="G1" s="1" t="s">
        <v>223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6" t="s">
        <v>227</v>
      </c>
      <c r="B1" t="s">
        <v>228</v>
      </c>
      <c r="C1" t="s">
        <v>229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2" max="2" width="13.7109375"/>
    <col min="3" max="4" width="12.7109375"/>
    <col min="5" max="5" width="6.140625"/>
    <col min="6" max="1025" width="8.140625"/>
  </cols>
  <sheetData>
    <row r="1" spans="1:5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B2" t="s">
        <v>235</v>
      </c>
      <c r="C2" t="s">
        <v>236</v>
      </c>
      <c r="D2" t="s">
        <v>236</v>
      </c>
    </row>
    <row r="3" spans="1:5" x14ac:dyDescent="0.25">
      <c r="B3" t="s">
        <v>237</v>
      </c>
      <c r="C3" t="s">
        <v>238</v>
      </c>
      <c r="D3" t="s">
        <v>238</v>
      </c>
    </row>
    <row r="4" spans="1:5" x14ac:dyDescent="0.25">
      <c r="B4" t="s">
        <v>239</v>
      </c>
      <c r="C4" t="s">
        <v>240</v>
      </c>
      <c r="D4" t="s">
        <v>240</v>
      </c>
    </row>
    <row r="5" spans="1:5" x14ac:dyDescent="0.25">
      <c r="B5" t="s">
        <v>241</v>
      </c>
      <c r="C5" t="s">
        <v>242</v>
      </c>
      <c r="D5" t="s">
        <v>242</v>
      </c>
    </row>
    <row r="6" spans="1:5" x14ac:dyDescent="0.25">
      <c r="B6" t="s">
        <v>243</v>
      </c>
      <c r="C6" t="s">
        <v>244</v>
      </c>
      <c r="D6" t="s">
        <v>244</v>
      </c>
    </row>
    <row r="7" spans="1:5" x14ac:dyDescent="0.25">
      <c r="B7" t="s">
        <v>245</v>
      </c>
      <c r="C7" t="s">
        <v>246</v>
      </c>
      <c r="D7" t="s">
        <v>246</v>
      </c>
    </row>
    <row r="8" spans="1:5" x14ac:dyDescent="0.25">
      <c r="B8" t="s">
        <v>247</v>
      </c>
      <c r="C8" t="s">
        <v>248</v>
      </c>
      <c r="D8" t="s">
        <v>248</v>
      </c>
    </row>
    <row r="9" spans="1:5" x14ac:dyDescent="0.25">
      <c r="B9" t="s">
        <v>249</v>
      </c>
      <c r="C9" t="s">
        <v>250</v>
      </c>
      <c r="D9" t="s">
        <v>250</v>
      </c>
    </row>
    <row r="10" spans="1:5" x14ac:dyDescent="0.25">
      <c r="B10" t="s">
        <v>251</v>
      </c>
      <c r="C10" t="s">
        <v>252</v>
      </c>
      <c r="D10" t="s">
        <v>252</v>
      </c>
    </row>
    <row r="11" spans="1:5" x14ac:dyDescent="0.25">
      <c r="B11" t="s">
        <v>253</v>
      </c>
      <c r="C11" t="s">
        <v>254</v>
      </c>
      <c r="D11" t="s">
        <v>254</v>
      </c>
    </row>
    <row r="12" spans="1:5" x14ac:dyDescent="0.25">
      <c r="B12" t="s">
        <v>255</v>
      </c>
      <c r="C12" t="s">
        <v>256</v>
      </c>
      <c r="D12" t="s">
        <v>256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75" zoomScaleNormal="75" workbookViewId="0">
      <selection activeCell="C17" sqref="C17"/>
    </sheetView>
  </sheetViews>
  <sheetFormatPr defaultRowHeight="15" x14ac:dyDescent="0.25"/>
  <cols>
    <col min="1" max="1" width="15.140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257</v>
      </c>
      <c r="B2">
        <v>250</v>
      </c>
      <c r="C2">
        <f>12000*1.5^10</f>
        <v>691980.46875</v>
      </c>
    </row>
    <row r="3" spans="1:3" x14ac:dyDescent="0.25">
      <c r="A3" t="s">
        <v>258</v>
      </c>
      <c r="B3">
        <v>10000</v>
      </c>
      <c r="C3">
        <f>200000*4</f>
        <v>800000</v>
      </c>
    </row>
    <row r="4" spans="1:3" x14ac:dyDescent="0.25">
      <c r="A4" t="s">
        <v>259</v>
      </c>
      <c r="B4">
        <v>10000</v>
      </c>
      <c r="C4">
        <f>200000*4</f>
        <v>800000</v>
      </c>
    </row>
    <row r="5" spans="1:3" x14ac:dyDescent="0.25">
      <c r="A5" t="s">
        <v>260</v>
      </c>
      <c r="B5">
        <v>10000</v>
      </c>
      <c r="C5">
        <f>200000*4</f>
        <v>800000</v>
      </c>
    </row>
    <row r="6" spans="1:3" x14ac:dyDescent="0.25">
      <c r="A6" t="s">
        <v>261</v>
      </c>
      <c r="B6">
        <v>10000</v>
      </c>
      <c r="C6">
        <f>200000*4</f>
        <v>800000</v>
      </c>
    </row>
    <row r="7" spans="1:3" x14ac:dyDescent="0.25">
      <c r="A7" t="s">
        <v>262</v>
      </c>
      <c r="B7">
        <v>-0.5</v>
      </c>
      <c r="C7">
        <v>0.5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zoomScale="75" zoomScaleNormal="75" workbookViewId="0">
      <selection activeCell="H27" sqref="H27"/>
    </sheetView>
  </sheetViews>
  <sheetFormatPr defaultRowHeight="15" x14ac:dyDescent="0.25"/>
  <cols>
    <col min="1" max="1" width="34.7109375"/>
    <col min="2" max="2" width="28.5703125"/>
    <col min="3" max="3" width="15.28515625"/>
    <col min="4" max="1025" width="10.42578125"/>
  </cols>
  <sheetData>
    <row r="1" spans="1:7" x14ac:dyDescent="0.25">
      <c r="A1" t="s">
        <v>263</v>
      </c>
      <c r="B1" t="s">
        <v>264</v>
      </c>
    </row>
    <row r="2" spans="1:7" x14ac:dyDescent="0.25">
      <c r="A2" t="s">
        <v>265</v>
      </c>
      <c r="B2">
        <f>params!J54</f>
        <v>12850</v>
      </c>
    </row>
    <row r="3" spans="1:7" x14ac:dyDescent="0.25">
      <c r="A3" t="s">
        <v>266</v>
      </c>
      <c r="B3">
        <f>params!J75</f>
        <v>107000</v>
      </c>
    </row>
    <row r="4" spans="1:7" x14ac:dyDescent="0.25">
      <c r="A4" t="s">
        <v>267</v>
      </c>
      <c r="B4">
        <f>B3*B2</f>
        <v>1374950000</v>
      </c>
    </row>
    <row r="5" spans="1:7" x14ac:dyDescent="0.25">
      <c r="A5" t="s">
        <v>268</v>
      </c>
      <c r="B5">
        <f>B4*params!J66</f>
        <v>137495000</v>
      </c>
    </row>
    <row r="6" spans="1:7" x14ac:dyDescent="0.25">
      <c r="A6" t="s">
        <v>269</v>
      </c>
      <c r="B6" s="1">
        <f>params!J37</f>
        <v>2000000</v>
      </c>
    </row>
    <row r="7" spans="1:7" x14ac:dyDescent="0.25">
      <c r="A7" t="s">
        <v>270</v>
      </c>
      <c r="B7" s="1">
        <f>params!J39</f>
        <v>0.4</v>
      </c>
    </row>
    <row r="8" spans="1:7" x14ac:dyDescent="0.25">
      <c r="B8" s="1"/>
    </row>
    <row r="9" spans="1:7" x14ac:dyDescent="0.25">
      <c r="A9" t="s">
        <v>271</v>
      </c>
    </row>
    <row r="10" spans="1:7" x14ac:dyDescent="0.25">
      <c r="A10" s="1" t="s">
        <v>158</v>
      </c>
      <c r="B10">
        <v>0.9</v>
      </c>
    </row>
    <row r="11" spans="1:7" x14ac:dyDescent="0.25">
      <c r="A11" t="s">
        <v>272</v>
      </c>
      <c r="B11">
        <f>B5*params!J36*B10</f>
        <v>247491000</v>
      </c>
      <c r="C11">
        <f>B11/3</f>
        <v>82497000</v>
      </c>
    </row>
    <row r="13" spans="1:7" x14ac:dyDescent="0.25">
      <c r="A13" t="s">
        <v>273</v>
      </c>
    </row>
    <row r="14" spans="1:7" x14ac:dyDescent="0.25">
      <c r="A14" t="s">
        <v>274</v>
      </c>
      <c r="B14">
        <v>0.8</v>
      </c>
      <c r="E14" t="s">
        <v>275</v>
      </c>
      <c r="G14" t="s">
        <v>276</v>
      </c>
    </row>
    <row r="15" spans="1:7" x14ac:dyDescent="0.25">
      <c r="A15" s="1" t="s">
        <v>161</v>
      </c>
      <c r="B15">
        <f>B5 * B14* params!J38 / B6</f>
        <v>109.996</v>
      </c>
      <c r="C15">
        <f>B15/3</f>
        <v>36.665333333333329</v>
      </c>
      <c r="E15">
        <f>C15+C18+C21</f>
        <v>201.65933333333334</v>
      </c>
      <c r="G15">
        <f>E15*params!J42</f>
        <v>5</v>
      </c>
    </row>
    <row r="17" spans="1:6" x14ac:dyDescent="0.25">
      <c r="A17" t="s">
        <v>277</v>
      </c>
      <c r="B17">
        <v>0.5</v>
      </c>
      <c r="E17" t="s">
        <v>278</v>
      </c>
      <c r="F17">
        <v>5</v>
      </c>
    </row>
    <row r="18" spans="1:6" x14ac:dyDescent="0.25">
      <c r="A18" s="1" t="s">
        <v>163</v>
      </c>
      <c r="B18" s="1">
        <f>B5 * B17* (1-B7) * params!J40 / B6</f>
        <v>371.23649999999998</v>
      </c>
      <c r="C18">
        <f>B18/3</f>
        <v>123.74549999999999</v>
      </c>
      <c r="D18" t="s">
        <v>279</v>
      </c>
      <c r="E18">
        <f>F17/E15</f>
        <v>2.4794290040298986E-2</v>
      </c>
    </row>
    <row r="20" spans="1:6" x14ac:dyDescent="0.25">
      <c r="A20" t="s">
        <v>280</v>
      </c>
      <c r="B20">
        <v>0.3</v>
      </c>
    </row>
    <row r="21" spans="1:6" x14ac:dyDescent="0.25">
      <c r="A21" s="1" t="s">
        <v>165</v>
      </c>
      <c r="B21" s="1">
        <f>B5 * B20* (1-B7) *params!J41/ B6</f>
        <v>123.74550000000001</v>
      </c>
      <c r="C21">
        <f>B21/3</f>
        <v>41.2485</v>
      </c>
    </row>
    <row r="24" spans="1:6" x14ac:dyDescent="0.25">
      <c r="A24" t="s">
        <v>281</v>
      </c>
      <c r="B24">
        <f>params!J38+params!J40+params!J36</f>
        <v>22</v>
      </c>
    </row>
    <row r="25" spans="1:6" x14ac:dyDescent="0.25">
      <c r="A25" s="1" t="s">
        <v>167</v>
      </c>
      <c r="B25">
        <f>B11+(B15+B18) * B6</f>
        <v>1209956000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60</vt:i4>
      </vt:variant>
    </vt:vector>
  </HeadingPairs>
  <TitlesOfParts>
    <vt:vector size="68" baseType="lpstr">
      <vt:lpstr>params</vt:lpstr>
      <vt:lpstr>params_formatados</vt:lpstr>
      <vt:lpstr>Levers_FullDesign</vt:lpstr>
      <vt:lpstr>levers</vt:lpstr>
      <vt:lpstr>configs</vt:lpstr>
      <vt:lpstr>VariableNames</vt:lpstr>
      <vt:lpstr>RangesPlausiveis</vt:lpstr>
      <vt:lpstr>CalculoEstoquesIniciaisPatentes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levers!nome1</vt:lpstr>
      <vt:lpstr>params!nome10</vt:lpstr>
      <vt:lpstr>levers!nome11</vt:lpstr>
      <vt:lpstr>params!nome12</vt:lpstr>
      <vt:lpstr>params!nome2</vt:lpstr>
      <vt:lpstr>levers!nome3</vt:lpstr>
      <vt:lpstr>params!nome4</vt:lpstr>
      <vt:lpstr>levers!nome5</vt:lpstr>
      <vt:lpstr>params!nome6</vt:lpstr>
      <vt:lpstr>levers!nome7</vt:lpstr>
      <vt:lpstr>params!nome8</vt:lpstr>
      <vt:lpstr>levers!nome9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144</cp:revision>
  <cp:lastPrinted>2017-12-21T04:52:12Z</cp:lastPrinted>
  <dcterms:created xsi:type="dcterms:W3CDTF">2017-09-19T17:02:08Z</dcterms:created>
  <dcterms:modified xsi:type="dcterms:W3CDTF">2018-01-21T23:39:08Z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