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1" xr2:uid="{00000000-000D-0000-FFFF-FFFF00000000}"/>
  </bookViews>
  <sheets>
    <sheet name="params" sheetId="1" r:id="rId1"/>
    <sheet name="Levers_FullDesign" sheetId="2" r:id="rId2"/>
    <sheet name="levers" sheetId="3" r:id="rId3"/>
    <sheet name="configs" sheetId="4" r:id="rId4"/>
    <sheet name="VariableNames" sheetId="5" r:id="rId5"/>
    <sheet name="RangesPlausiveis" sheetId="6" r:id="rId6"/>
  </sheets>
  <definedNames>
    <definedName name="_FilterDatabase_0" localSheetId="2">levers!$A$1:$G$15</definedName>
    <definedName name="_FilterDatabase_0" localSheetId="0">params!$A$1:$O$78</definedName>
    <definedName name="_FilterDatabase_0_0" localSheetId="2">levers!$A$1:$H$17</definedName>
    <definedName name="_FilterDatabase_0_0" localSheetId="0">params!$A$1:$O$78</definedName>
    <definedName name="_FilterDatabase_0_0_0" localSheetId="2">levers!$A$1:$G$15</definedName>
    <definedName name="_FilterDatabase_0_0_0" localSheetId="0">params!$A$1:$O$78</definedName>
    <definedName name="_FilterDatabase_0_0_0_0" localSheetId="2">levers!$A$1:$H$17</definedName>
    <definedName name="_FilterDatabase_0_0_0_0" localSheetId="0">params!$A$1:$O$78</definedName>
    <definedName name="_FilterDatabase_0_0_0_0_0" localSheetId="2">levers!$A$1:$G$15</definedName>
    <definedName name="_FilterDatabase_0_0_0_0_0" localSheetId="0">params!$A$1:$O$78</definedName>
    <definedName name="_FilterDatabase_0_0_0_0_0_0" localSheetId="2">levers!$A$1:$H$17</definedName>
    <definedName name="_FilterDatabase_0_0_0_0_0_0" localSheetId="0">params!$A$1:$O$78</definedName>
    <definedName name="_FilterDatabase_0_0_0_0_0_0_0" localSheetId="2">levers!$A$1:$G$15</definedName>
    <definedName name="_FilterDatabase_0_0_0_0_0_0_0" localSheetId="0">params!$A$1:$O$78</definedName>
    <definedName name="_FilterDatabase_0_0_0_0_0_0_0_0" localSheetId="2">levers!$A$1:$H$17</definedName>
    <definedName name="_FilterDatabase_0_0_0_0_0_0_0_0" localSheetId="0">params!$A$1:$O$78</definedName>
    <definedName name="_FilterDatabase_0_0_0_0_0_0_0_0_0" localSheetId="2">levers!$A$1:$G$15</definedName>
    <definedName name="_FilterDatabase_0_0_0_0_0_0_0_0_0" localSheetId="0">params!$A$1:$O$78</definedName>
    <definedName name="_FilterDatabase_0_0_0_0_0_0_0_0_0_0" localSheetId="2">levers!$A$1:$H$17</definedName>
    <definedName name="_FilterDatabase_0_0_0_0_0_0_0_0_0_0" localSheetId="0">params!$A$1:$O$78</definedName>
    <definedName name="_FilterDatabase_0_0_0_0_0_0_0_0_0_0_0" localSheetId="2">levers!$A$1:$G$15</definedName>
    <definedName name="_FilterDatabase_0_0_0_0_0_0_0_0_0_0_0" localSheetId="0">params!$A$1:$O$78</definedName>
    <definedName name="_FilterDatabase_0_0_0_0_0_0_0_0_0_0_0_0" localSheetId="2">levers!$A$1:$H$17</definedName>
    <definedName name="_FilterDatabase_0_0_0_0_0_0_0_0_0_0_0_0" localSheetId="0">params!$A$1:$O$78</definedName>
    <definedName name="_FilterDatabase_0_0_0_0_0_0_0_0_0_0_0_0_0" localSheetId="2">levers!$A$1:$G$15</definedName>
    <definedName name="_FilterDatabase_0_0_0_0_0_0_0_0_0_0_0_0_0" localSheetId="0">params!$A$1:$O$78</definedName>
    <definedName name="_FilterDatabase_0_0_0_0_0_0_0_0_0_0_0_0_0_0" localSheetId="2">levers!$A$1:$H$17</definedName>
    <definedName name="_FilterDatabase_0_0_0_0_0_0_0_0_0_0_0_0_0_0" localSheetId="0">params!$A$1:$O$78</definedName>
    <definedName name="_FilterDatabase_0_0_0_0_0_0_0_0_0_0_0_0_0_0_0" localSheetId="2">levers!$A$1:$G$15</definedName>
    <definedName name="_FilterDatabase_0_0_0_0_0_0_0_0_0_0_0_0_0_0_0" localSheetId="0">params!$A$1:$O$78</definedName>
    <definedName name="_FilterDatabase_0_0_0_0_0_0_0_0_0_0_0_0_0_0_0_0" localSheetId="2">levers!$A$1:$H$17</definedName>
    <definedName name="_FilterDatabase_0_0_0_0_0_0_0_0_0_0_0_0_0_0_0_0" localSheetId="0">params!$A$1:$O$78</definedName>
    <definedName name="_FilterDatabase_0_0_0_0_0_0_0_0_0_0_0_0_0_0_0_0_0" localSheetId="2">levers!$A$1:$G$15</definedName>
    <definedName name="_FilterDatabase_0_0_0_0_0_0_0_0_0_0_0_0_0_0_0_0_0" localSheetId="0">params!$A$1:$O$78</definedName>
    <definedName name="_FilterDatabase_0_0_0_0_0_0_0_0_0_0_0_0_0_0_0_0_0_0" localSheetId="2">levers!$A$1:$H$17</definedName>
    <definedName name="_FilterDatabase_0_0_0_0_0_0_0_0_0_0_0_0_0_0_0_0_0_0" localSheetId="0">params!$A$1:$O$78</definedName>
    <definedName name="_FilterDatabase_0_0_0_0_0_0_0_0_0_0_0_0_0_0_0_0_0_0_0" localSheetId="2">levers!$A$1:$G$15</definedName>
    <definedName name="_FilterDatabase_0_0_0_0_0_0_0_0_0_0_0_0_0_0_0_0_0_0_0_0" localSheetId="2">levers!$A$1:$H$17</definedName>
    <definedName name="_FilterDatabase_0_0_0_0_0_0_0_0_0_0_0_0_0_0_0_0_0_0_0_0_0" localSheetId="2">levers!$A$1:$G$15</definedName>
    <definedName name="_FilterDatabase_0_0_0_0_0_0_0_0_0_0_0_0_0_0_0_0_0_0_0_0_0_0" localSheetId="2">levers!$A$1:$H$17</definedName>
    <definedName name="_FilterDatabase_0_0_0_0_0_0_0_0_0_0_0_0_0_0_0_0_0_0_0_0_0_0_0" localSheetId="2">levers!$A$1:$G$15</definedName>
    <definedName name="_FilterDatabase_0_0_0_0_0_0_0_0_0_0_0_0_0_0_0_0_0_0_0_0_0_0_0_0" localSheetId="2">levers!$A$1:$H$17</definedName>
    <definedName name="_FilterDatabase_0_0_0_0_0_0_0_0_0_0_0_0_0_0_0_0_0_0_0_0_0_0_0_0_0" localSheetId="2">levers!$A$1:$G$15</definedName>
    <definedName name="_xlnm._FilterDatabase" localSheetId="2">levers!$A$1:$H$17</definedName>
    <definedName name="_xlnm._FilterDatabase" localSheetId="0">params!$A$1:$O$78</definedName>
  </definedNames>
  <calcPr calcId="171027" iterateDelta="1E-4"/>
</workbook>
</file>

<file path=xl/calcChain.xml><?xml version="1.0" encoding="utf-8"?>
<calcChain xmlns="http://schemas.openxmlformats.org/spreadsheetml/2006/main">
  <c r="D79" i="1" l="1"/>
  <c r="C79" i="1"/>
  <c r="C6" i="6" l="1"/>
  <c r="C5" i="6"/>
  <c r="C4" i="6"/>
  <c r="C3" i="6"/>
  <c r="C2" i="6"/>
  <c r="B2" i="3"/>
  <c r="J78" i="1"/>
  <c r="H78" i="1"/>
  <c r="G78" i="1"/>
  <c r="D78" i="1"/>
  <c r="O78" i="1" s="1"/>
  <c r="C78" i="1"/>
  <c r="N78" i="1" s="1"/>
  <c r="O77" i="1"/>
  <c r="J77" i="1"/>
  <c r="H77" i="1" s="1"/>
  <c r="G77" i="1"/>
  <c r="D77" i="1"/>
  <c r="C77" i="1"/>
  <c r="N77" i="1" s="1"/>
  <c r="J76" i="1"/>
  <c r="G76" i="1" s="1"/>
  <c r="D76" i="1"/>
  <c r="O76" i="1" s="1"/>
  <c r="C76" i="1"/>
  <c r="J75" i="1"/>
  <c r="C75" i="1"/>
  <c r="D74" i="1"/>
  <c r="C74" i="1"/>
  <c r="D73" i="1"/>
  <c r="C73" i="1"/>
  <c r="D72" i="1"/>
  <c r="C72" i="1"/>
  <c r="J70" i="1"/>
  <c r="D70" i="1" s="1"/>
  <c r="O70" i="1" s="1"/>
  <c r="G70" i="1"/>
  <c r="C70" i="1"/>
  <c r="J69" i="1"/>
  <c r="G69" i="1"/>
  <c r="D69" i="1"/>
  <c r="H68" i="1"/>
  <c r="D68" i="1" s="1"/>
  <c r="G68" i="1"/>
  <c r="C68" i="1" s="1"/>
  <c r="O67" i="1"/>
  <c r="H67" i="1"/>
  <c r="D67" i="1" s="1"/>
  <c r="G67" i="1"/>
  <c r="C67" i="1"/>
  <c r="H66" i="1"/>
  <c r="G66" i="1"/>
  <c r="D66" i="1"/>
  <c r="C66" i="1"/>
  <c r="O66" i="1" s="1"/>
  <c r="D65" i="1"/>
  <c r="O65" i="1" s="1"/>
  <c r="C65" i="1"/>
  <c r="O64" i="1"/>
  <c r="D64" i="1"/>
  <c r="C64" i="1"/>
  <c r="D63" i="1"/>
  <c r="O63" i="1" s="1"/>
  <c r="C63" i="1"/>
  <c r="J61" i="1"/>
  <c r="C61" i="1" s="1"/>
  <c r="D61" i="1"/>
  <c r="O61" i="1" s="1"/>
  <c r="J60" i="1"/>
  <c r="C60" i="1" s="1"/>
  <c r="J59" i="1"/>
  <c r="C59" i="1" s="1"/>
  <c r="D59" i="1"/>
  <c r="O59" i="1" s="1"/>
  <c r="J58" i="1"/>
  <c r="D57" i="1"/>
  <c r="C57" i="1"/>
  <c r="D56" i="1"/>
  <c r="O56" i="1" s="1"/>
  <c r="C56" i="1"/>
  <c r="O55" i="1"/>
  <c r="D55" i="1"/>
  <c r="C55" i="1"/>
  <c r="H54" i="1"/>
  <c r="G54" i="1"/>
  <c r="D54" i="1"/>
  <c r="C54" i="1"/>
  <c r="O54" i="1" s="1"/>
  <c r="J53" i="1"/>
  <c r="H53" i="1"/>
  <c r="G53" i="1"/>
  <c r="D53" i="1"/>
  <c r="O53" i="1" s="1"/>
  <c r="C53" i="1"/>
  <c r="D52" i="1"/>
  <c r="O52" i="1" s="1"/>
  <c r="C52" i="1"/>
  <c r="H51" i="1"/>
  <c r="G51" i="1"/>
  <c r="D51" i="1"/>
  <c r="O51" i="1" s="1"/>
  <c r="C51" i="1"/>
  <c r="H50" i="1"/>
  <c r="G50" i="1"/>
  <c r="D50" i="1"/>
  <c r="C50" i="1"/>
  <c r="O50" i="1" s="1"/>
  <c r="H49" i="1"/>
  <c r="G49" i="1"/>
  <c r="D49" i="1"/>
  <c r="C49" i="1"/>
  <c r="O49" i="1" s="1"/>
  <c r="H48" i="1"/>
  <c r="G48" i="1"/>
  <c r="D48" i="1"/>
  <c r="C48" i="1"/>
  <c r="O48" i="1" s="1"/>
  <c r="H47" i="1"/>
  <c r="G47" i="1"/>
  <c r="D47" i="1"/>
  <c r="O47" i="1" s="1"/>
  <c r="C47" i="1"/>
  <c r="H46" i="1"/>
  <c r="G46" i="1"/>
  <c r="D46" i="1"/>
  <c r="C46" i="1"/>
  <c r="O46" i="1" s="1"/>
  <c r="O45" i="1"/>
  <c r="D45" i="1"/>
  <c r="C45" i="1"/>
  <c r="H44" i="1"/>
  <c r="G44" i="1"/>
  <c r="D44" i="1"/>
  <c r="C44" i="1"/>
  <c r="O44" i="1" s="1"/>
  <c r="H43" i="1"/>
  <c r="G43" i="1"/>
  <c r="D43" i="1"/>
  <c r="C43" i="1"/>
  <c r="O43" i="1" s="1"/>
  <c r="K42" i="1"/>
  <c r="J42" i="1"/>
  <c r="H42" i="1"/>
  <c r="G42" i="1"/>
  <c r="C42" i="1" s="1"/>
  <c r="H41" i="1"/>
  <c r="D41" i="1" s="1"/>
  <c r="O41" i="1" s="1"/>
  <c r="G41" i="1"/>
  <c r="C41" i="1"/>
  <c r="H40" i="1"/>
  <c r="G40" i="1"/>
  <c r="D40" i="1"/>
  <c r="O40" i="1" s="1"/>
  <c r="C40" i="1"/>
  <c r="G39" i="1"/>
  <c r="D39" i="1"/>
  <c r="C39" i="1"/>
  <c r="H38" i="1"/>
  <c r="G38" i="1"/>
  <c r="C38" i="1" s="1"/>
  <c r="D38" i="1"/>
  <c r="O38" i="1" s="1"/>
  <c r="H37" i="1"/>
  <c r="D37" i="1" s="1"/>
  <c r="O37" i="1" s="1"/>
  <c r="G37" i="1"/>
  <c r="C37" i="1" s="1"/>
  <c r="D36" i="1"/>
  <c r="O36" i="1" s="1"/>
  <c r="C36" i="1"/>
  <c r="D35" i="1"/>
  <c r="C35" i="1"/>
  <c r="D34" i="1"/>
  <c r="C34" i="1"/>
  <c r="N34" i="1" s="1"/>
  <c r="D33" i="1"/>
  <c r="C33" i="1"/>
  <c r="N33" i="1" s="1"/>
  <c r="H32" i="1"/>
  <c r="D32" i="1"/>
  <c r="C32" i="1"/>
  <c r="H31" i="1"/>
  <c r="D31" i="1" s="1"/>
  <c r="O31" i="1" s="1"/>
  <c r="C31" i="1"/>
  <c r="O30" i="1"/>
  <c r="N30" i="1"/>
  <c r="D30" i="1"/>
  <c r="C30" i="1"/>
  <c r="O29" i="1"/>
  <c r="N29" i="1"/>
  <c r="D29" i="1"/>
  <c r="C29" i="1"/>
  <c r="O28" i="1"/>
  <c r="N28" i="1"/>
  <c r="D28" i="1"/>
  <c r="C28" i="1"/>
  <c r="H27" i="1"/>
  <c r="G27" i="1"/>
  <c r="D27" i="1"/>
  <c r="O27" i="1" s="1"/>
  <c r="C27" i="1"/>
  <c r="N27" i="1" s="1"/>
  <c r="D26" i="1"/>
  <c r="C26" i="1"/>
  <c r="N26" i="1" s="1"/>
  <c r="D25" i="1"/>
  <c r="O25" i="1" s="1"/>
  <c r="C25" i="1"/>
  <c r="L24" i="1"/>
  <c r="H24" i="1"/>
  <c r="D24" i="1" s="1"/>
  <c r="O24" i="1" s="1"/>
  <c r="C24" i="1"/>
  <c r="H23" i="1"/>
  <c r="G23" i="1"/>
  <c r="D23" i="1"/>
  <c r="O23" i="1" s="1"/>
  <c r="C23" i="1"/>
  <c r="N23" i="1" s="1"/>
  <c r="D22" i="1"/>
  <c r="O22" i="1" s="1"/>
  <c r="C22" i="1"/>
  <c r="D21" i="1"/>
  <c r="C21" i="1"/>
  <c r="N21" i="1" s="1"/>
  <c r="D20" i="1"/>
  <c r="O20" i="1" s="1"/>
  <c r="C20" i="1"/>
  <c r="D19" i="1"/>
  <c r="C19" i="1"/>
  <c r="N19" i="1" s="1"/>
  <c r="D18" i="1"/>
  <c r="O18" i="1" s="1"/>
  <c r="C18" i="1"/>
  <c r="D17" i="1"/>
  <c r="C17" i="1"/>
  <c r="N17" i="1" s="1"/>
  <c r="D16" i="1"/>
  <c r="O16" i="1" s="1"/>
  <c r="C16" i="1"/>
  <c r="D15" i="1"/>
  <c r="C15" i="1"/>
  <c r="N15" i="1" s="1"/>
  <c r="D14" i="1"/>
  <c r="O14" i="1" s="1"/>
  <c r="C14" i="1"/>
  <c r="H13" i="1"/>
  <c r="D13" i="1" s="1"/>
  <c r="G13" i="1"/>
  <c r="C13" i="1" s="1"/>
  <c r="N13" i="1" s="1"/>
  <c r="O12" i="1"/>
  <c r="N12" i="1"/>
  <c r="D12" i="1"/>
  <c r="C12" i="1"/>
  <c r="O11" i="1"/>
  <c r="N11" i="1"/>
  <c r="D11" i="1"/>
  <c r="C11" i="1"/>
  <c r="H10" i="1"/>
  <c r="G10" i="1"/>
  <c r="D10" i="1"/>
  <c r="O10" i="1" s="1"/>
  <c r="C10" i="1"/>
  <c r="N10" i="1" s="1"/>
  <c r="D9" i="1"/>
  <c r="C9" i="1"/>
  <c r="N9" i="1" s="1"/>
  <c r="R8" i="1"/>
  <c r="N8" i="1"/>
  <c r="D8" i="1"/>
  <c r="O8" i="1" s="1"/>
  <c r="C8" i="1"/>
  <c r="O7" i="1"/>
  <c r="N7" i="1"/>
  <c r="D7" i="1"/>
  <c r="C7" i="1"/>
  <c r="J6" i="1"/>
  <c r="H6" i="1"/>
  <c r="G6" i="1"/>
  <c r="C6" i="1" s="1"/>
  <c r="D6" i="1"/>
  <c r="D5" i="1"/>
  <c r="O5" i="1" s="1"/>
  <c r="C5" i="1"/>
  <c r="D4" i="1"/>
  <c r="C4" i="1"/>
  <c r="N4" i="1" s="1"/>
  <c r="D3" i="1"/>
  <c r="C3" i="1"/>
  <c r="N3" i="1" s="1"/>
  <c r="N2" i="1"/>
  <c r="D2" i="1"/>
  <c r="O2" i="1" s="1"/>
  <c r="C2" i="1"/>
  <c r="N6" i="1" l="1"/>
  <c r="O6" i="1"/>
  <c r="J71" i="1"/>
  <c r="C58" i="1"/>
  <c r="J62" i="1"/>
  <c r="O69" i="1"/>
  <c r="O72" i="1"/>
  <c r="N72" i="1"/>
  <c r="O74" i="1"/>
  <c r="N74" i="1"/>
  <c r="O32" i="1"/>
  <c r="N32" i="1"/>
  <c r="O26" i="1"/>
  <c r="O34" i="1"/>
  <c r="O39" i="1"/>
  <c r="O4" i="1"/>
  <c r="N5" i="1"/>
  <c r="O3" i="1"/>
  <c r="O9" i="1"/>
  <c r="O13" i="1"/>
  <c r="O15" i="1"/>
  <c r="O17" i="1"/>
  <c r="O19" i="1"/>
  <c r="O21" i="1"/>
  <c r="N25" i="1"/>
  <c r="N31" i="1"/>
  <c r="D42" i="1"/>
  <c r="O42" i="1" s="1"/>
  <c r="O57" i="1"/>
  <c r="C69" i="1"/>
  <c r="N69" i="1" s="1"/>
  <c r="N70" i="1"/>
  <c r="O73" i="1"/>
  <c r="N73" i="1"/>
  <c r="N14" i="1"/>
  <c r="N16" i="1"/>
  <c r="N18" i="1"/>
  <c r="N20" i="1"/>
  <c r="N22" i="1"/>
  <c r="N24" i="1"/>
  <c r="O33" i="1"/>
  <c r="O35" i="1"/>
  <c r="D58" i="1"/>
  <c r="O58" i="1" s="1"/>
  <c r="D60" i="1"/>
  <c r="O60" i="1" s="1"/>
  <c r="O68" i="1"/>
  <c r="G71" i="1"/>
  <c r="D75" i="1"/>
  <c r="O75" i="1" s="1"/>
  <c r="H75" i="1"/>
  <c r="G75" i="1"/>
  <c r="N76" i="1"/>
  <c r="H76" i="1"/>
  <c r="D71" i="1" l="1"/>
  <c r="C71" i="1"/>
  <c r="N71" i="1" s="1"/>
  <c r="N75" i="1"/>
  <c r="C62" i="1"/>
  <c r="D62" i="1"/>
  <c r="O62" i="1" l="1"/>
  <c r="O71" i="1"/>
</calcChain>
</file>

<file path=xl/sharedStrings.xml><?xml version="1.0" encoding="utf-8"?>
<sst xmlns="http://schemas.openxmlformats.org/spreadsheetml/2006/main" count="448" uniqueCount="220">
  <si>
    <t>Variavel</t>
  </si>
  <si>
    <t>NomeAmigavel</t>
  </si>
  <si>
    <t>Min</t>
  </si>
  <si>
    <t>Max</t>
  </si>
  <si>
    <t>Unidade</t>
  </si>
  <si>
    <t>Var</t>
  </si>
  <si>
    <t>MinPlausivel</t>
  </si>
  <si>
    <t>MaxPlausivel</t>
  </si>
  <si>
    <t>Tipo</t>
  </si>
  <si>
    <t>CenarioBase</t>
  </si>
  <si>
    <t>Sterman</t>
  </si>
  <si>
    <t>Sterman Min</t>
  </si>
  <si>
    <t>Sterman Max</t>
  </si>
  <si>
    <t>Igual</t>
  </si>
  <si>
    <t>Inc</t>
  </si>
  <si>
    <t>Fonte</t>
  </si>
  <si>
    <t>Justificativa</t>
  </si>
  <si>
    <t>Calculo</t>
  </si>
  <si>
    <t>aUnitsPerHousehold</t>
  </si>
  <si>
    <t>Unidades por Consumidor</t>
  </si>
  <si>
    <t>{1/ano}</t>
  </si>
  <si>
    <t>Fixo</t>
  </si>
  <si>
    <t>Este parâmetro representa o número de unidades vendidas em média para cada consumidor. Considerando que a estimativa de consumidores é um parâmetro incerto, optou-se por manter este valor igual à um. Sendo assim, o parâmetro que representa o tamanho do mercado corresponderá dimensionalmente ao número de produtos.</t>
  </si>
  <si>
    <t>aDiscountRate</t>
  </si>
  <si>
    <t>Taxa de Desconto</t>
  </si>
  <si>
    <t>adimensional</t>
  </si>
  <si>
    <t>Mantém-se o parâmetro informado por Sterman, com o propósito de representar um mercado global.</t>
  </si>
  <si>
    <t>aNormalDeliveryDelay</t>
  </si>
  <si>
    <t>Tempo de Entrega Padrão</t>
  </si>
  <si>
    <t>anos</t>
  </si>
  <si>
    <t>Mantém-se o parâmetro informado por Sterman, visto que o propósito do modelo não é representar uma mudança no tempo de entrega esperado pelos consumidores.</t>
  </si>
  <si>
    <t>aSwitchForCapacity</t>
  </si>
  <si>
    <t>Configuração: Capacidade influencia a produção ou não.</t>
  </si>
  <si>
    <t>Booleano (0 ou 1)</t>
  </si>
  <si>
    <t>Mantém-se a decisão de permitir que a capacidade limite a produção dos players.</t>
  </si>
  <si>
    <t>aFractionalDiscardRate</t>
  </si>
  <si>
    <t>Percentual de Produtos Descartados</t>
  </si>
  <si>
    <t>% (produtos / produtos)</t>
  </si>
  <si>
    <t>Incerto</t>
  </si>
  <si>
    <t>Arbitrado</t>
  </si>
  <si>
    <t>Estimou-se que a vida útil da impressora varia de 5 a 15 anos. Considera-se este fator como incerto, visto que novas tecnologias podem “encurtar” a vida útil de equipamentos já instalados.</t>
  </si>
  <si>
    <t>aInitialDiffusionFraction</t>
  </si>
  <si>
    <t>Fração Inicial de Difusão dos Produtos</t>
  </si>
  <si>
    <t xml:space="preserve">% </t>
  </si>
  <si>
    <t>Não utilizado.</t>
  </si>
  <si>
    <t>Este parâmetro não é utilizado com a formulação de inicialização dos estoques atual.</t>
  </si>
  <si>
    <t>aReferencePrice</t>
  </si>
  <si>
    <t>Preço de Referência em Equilíbrio com Demanda de Referência</t>
  </si>
  <si>
    <t>$</t>
  </si>
  <si>
    <t>O Preço médio atual das Impressoras profissionais é de 107 k (Palestra wholers Report). Imagina-se que desde 2007 o preço tenha caído até 50%, logo o preço em 2007 pode ser estimado como 200k.</t>
  </si>
  <si>
    <t>aReferenceIndustryDemandElasticity</t>
  </si>
  <si>
    <t>Elasticidade da Demanda de referência</t>
  </si>
  <si>
    <t>?</t>
  </si>
  <si>
    <t>Não há série histórica disponível de preços versus demanda para a calibração deste parâmetro. Foram utilizados os limites inseridos por Sterman em sua análise de sensibilidade.</t>
  </si>
  <si>
    <t>aReferencePopulation</t>
  </si>
  <si>
    <t>Mercado Consumidor de Referência.</t>
  </si>
  <si>
    <t>Consumidores</t>
  </si>
  <si>
    <t>Este parâmetro define a escala do modelo, e representa uma estimativa do tamanho do mercado disponível para a manufatura aditiva, considerando o preço atual. Considerando que a última demanda anual foi da ordem de 12000 impressoras por ano, e a análise considera que a impressora tem vida útil ao redor de 4 anos, estima-se um mercado para 50.000 impressoras instaladas em um dado momento de tempo.</t>
  </si>
  <si>
    <t>aInnovatorAdoptionFraction</t>
  </si>
  <si>
    <t>Fração de Consumidores Inovadores</t>
  </si>
  <si>
    <t>Não há base para definição deste parâmetro. Adotado o valor arbitrado por Sterman.</t>
  </si>
  <si>
    <t>aWOMStrength</t>
  </si>
  <si>
    <t>Força da Difusão do Produto “Boca a Boca”</t>
  </si>
  <si>
    <t>Este parâmetro no caso base foi obtido por tentativa e erro a partir do mercado potencial de 50.000 definido anteriormente. O número “baixo” reflete a adoção relativamente lenta da impressão 3D.</t>
  </si>
  <si>
    <t>aPopulation</t>
  </si>
  <si>
    <t>Número Total de Consumidores no modelo</t>
  </si>
  <si>
    <t>aSwitchForShipmentsInForecast</t>
  </si>
  <si>
    <t>Configuração: Entregas Influencia a Produção.</t>
  </si>
  <si>
    <t>aVolumeReportingDelay</t>
  </si>
  <si>
    <t>Tempo de delay de report da demanda</t>
  </si>
  <si>
    <t>aForecastHorizon</t>
  </si>
  <si>
    <t>Horizonte de Previsão</t>
  </si>
  <si>
    <t>aCapacityAcquisitionDelay</t>
  </si>
  <si>
    <t>Delay no tempo de aquisição de capacidade</t>
  </si>
  <si>
    <t>aTimeForHistoricalVolume</t>
  </si>
  <si>
    <t>Tempo de coleta de dados históricos</t>
  </si>
  <si>
    <t>aReferenceDeliveryDelay</t>
  </si>
  <si>
    <t>Tempo padrão de entrega</t>
  </si>
  <si>
    <t>aSensOfAttractToAvailability</t>
  </si>
  <si>
    <t>Sensibilidade da atratividade ao tempo de entrega</t>
  </si>
  <si>
    <t>aSensOfAttractToPrice</t>
  </si>
  <si>
    <t>Sensibilidade da atratividade ao preço</t>
  </si>
  <si>
    <t>aLCStrength</t>
  </si>
  <si>
    <t>Força da Curva de Aprendizagem</t>
  </si>
  <si>
    <t>aInitialProductionExperience</t>
  </si>
  <si>
    <t>Experiência de Produção Inicial</t>
  </si>
  <si>
    <t>Unidades Produzidas</t>
  </si>
  <si>
    <t>aRatioOfFixedToVarCost</t>
  </si>
  <si>
    <t>Razão dos Custos Fixos em relação aos custos variáveis</t>
  </si>
  <si>
    <t>aNormalProfitMargin</t>
  </si>
  <si>
    <t>Margem de Lucro padrão</t>
  </si>
  <si>
    <t>aNormalCapacityUtilization</t>
  </si>
  <si>
    <t>Utilização da Capacidade padrão</t>
  </si>
  <si>
    <t>aMinimumEfficientScale</t>
  </si>
  <si>
    <t>Escala mínima de eficiência</t>
  </si>
  <si>
    <t>Unidades de Produção</t>
  </si>
  <si>
    <t>aWeightOnSupplyLine</t>
  </si>
  <si>
    <t>aTimeToPerceiveCompTargetCapacity</t>
  </si>
  <si>
    <t>Tempo de reconhecimento da capacidade alvo de outros players.</t>
  </si>
  <si>
    <t>aPriceAdjustmentTime</t>
  </si>
  <si>
    <t>Tempo de delay do ajuste de preços.</t>
  </si>
  <si>
    <t>aSensOfPriceToCosts</t>
  </si>
  <si>
    <t>Sensibilidade do Preço aos Custos</t>
  </si>
  <si>
    <t>aSensOfPriceToDSBalance</t>
  </si>
  <si>
    <t>Sensibilidade do preço à Oferta e Demanda</t>
  </si>
  <si>
    <t>aSensOfPriceToShare</t>
  </si>
  <si>
    <t>Sensibilidade do Preço ao Market-Share</t>
  </si>
  <si>
    <t>aSwitchForPerfectCapacity</t>
  </si>
  <si>
    <t>Configuração: Capacidade Perfeita</t>
  </si>
  <si>
    <t>aPeDLigado</t>
  </si>
  <si>
    <t>Configuração: PeD Ligado</t>
  </si>
  <si>
    <t>aTempoMedioRealizacaoPeD</t>
  </si>
  <si>
    <t>Tempo Médio para um investimento em PeD gerar uma patente.</t>
  </si>
  <si>
    <t>aCustoMedioPatente</t>
  </si>
  <si>
    <t>Custo médio de obtenção de uma patente.</t>
  </si>
  <si>
    <t>$ / patente</t>
  </si>
  <si>
    <t>aTempoMedioAvaliacao</t>
  </si>
  <si>
    <t>Tempo Médio para a rejeição ou concessão de uma patente.</t>
  </si>
  <si>
    <t>aTaxaRejeicao</t>
  </si>
  <si>
    <t>Percentual de patentes solicitadas que são rejeitadas.</t>
  </si>
  <si>
    <t>%</t>
  </si>
  <si>
    <t>aTempoVencimentoPatentes</t>
  </si>
  <si>
    <t>Tempo de Expiração de uma patente.</t>
  </si>
  <si>
    <t>aTempodeInutilizacaoPatente</t>
  </si>
  <si>
    <t>results</t>
  </si>
  <si>
    <t>aPerfSlope</t>
  </si>
  <si>
    <t>Melhoria em performance por patente que a empresa tem acesso.</t>
  </si>
  <si>
    <t>Unidades de Performance / Patentes</t>
  </si>
  <si>
    <t>aPerfMin</t>
  </si>
  <si>
    <t>Índice de Performance Mínimo</t>
  </si>
  <si>
    <t>aPerfMax</t>
  </si>
  <si>
    <t>Índice de Performance Máximo</t>
  </si>
  <si>
    <t>aSensOfAttractToPerformance</t>
  </si>
  <si>
    <t>aReferencePerformance</t>
  </si>
  <si>
    <t>aInitialInvestimentoNaoRealizadoPeD</t>
  </si>
  <si>
    <t>aInitialPatentesRequisitadas</t>
  </si>
  <si>
    <t>aInitialPatentesEmpresa</t>
  </si>
  <si>
    <t>aInitialsPatentesEmDominioPublicoUteis</t>
  </si>
  <si>
    <t>aInitialsInvestimentoPeDDepreciar</t>
  </si>
  <si>
    <t>aInitialReorderShare</t>
  </si>
  <si>
    <t>aTotalInitialInstalledBase</t>
  </si>
  <si>
    <t>aInitialIndustryShipments</t>
  </si>
  <si>
    <t>aInitialSharePlayers1</t>
  </si>
  <si>
    <t>aInitialSharePlayers2</t>
  </si>
  <si>
    <t>aInitialSharePlayers3</t>
  </si>
  <si>
    <t>aInitialSharePlayers4</t>
  </si>
  <si>
    <t>aPatentShare1</t>
  </si>
  <si>
    <t>Share de Patentes</t>
  </si>
  <si>
    <t>aPatentShare2</t>
  </si>
  <si>
    <t>aPatentShare3</t>
  </si>
  <si>
    <t>aPatentShare4</t>
  </si>
  <si>
    <t>aPercPeDAberto2</t>
  </si>
  <si>
    <t>Percentual do Orçamento de PeD aplicado ao desenvolvimento de tecnologia sem proteção intelectual (dos outros players)</t>
  </si>
  <si>
    <t>aPercPeDAberto3</t>
  </si>
  <si>
    <t>aPercPeDAberto4</t>
  </si>
  <si>
    <t>aOrcamentoPeD2</t>
  </si>
  <si>
    <t>Percentual de Orçamento Direcionado a PeD</t>
  </si>
  <si>
    <t>Estimado</t>
  </si>
  <si>
    <t>As despesas com PeD da 3D Systems oscilaram entre 6% e 13% da receita entre 2006 e 2016.</t>
  </si>
  <si>
    <t>aOrcamentoPeD3</t>
  </si>
  <si>
    <t>aOrcamentoPeD4</t>
  </si>
  <si>
    <t>aDesiredMarketShare2</t>
  </si>
  <si>
    <t>Market Share Desejado* Na Estratégia Agressiva (talvez seja melhor separar)</t>
  </si>
  <si>
    <t>aDesiredMarketShare3</t>
  </si>
  <si>
    <t>aDesiredMarketShare4</t>
  </si>
  <si>
    <t>aSwitchForCapacityStrategy2</t>
  </si>
  <si>
    <t>Estratégia de Capacidade</t>
  </si>
  <si>
    <t>aSwitchForCapacityStrategy3</t>
  </si>
  <si>
    <t>aSwitchForCapacityStrategy4</t>
  </si>
  <si>
    <t>aInitialPrice1</t>
  </si>
  <si>
    <t>Preço de Referência Inicial</t>
  </si>
  <si>
    <t>aInitialPrice2</t>
  </si>
  <si>
    <t>aInitialPrice3</t>
  </si>
  <si>
    <t>aInitialPrice4</t>
  </si>
  <si>
    <t>aSwitchForCapacityStrategy1</t>
  </si>
  <si>
    <t>aPercPeDAberto1</t>
  </si>
  <si>
    <t>aDesiredMarketShare1</t>
  </si>
  <si>
    <t>aOrcamentoPeD1</t>
  </si>
  <si>
    <t>Lever</t>
  </si>
  <si>
    <t>LeverCode</t>
  </si>
  <si>
    <t>CasoBase</t>
  </si>
  <si>
    <t>Start</t>
  </si>
  <si>
    <t>Finish</t>
  </si>
  <si>
    <t>Step</t>
  </si>
  <si>
    <t>ModelName</t>
  </si>
  <si>
    <t>ResultName</t>
  </si>
  <si>
    <t>ChartName</t>
  </si>
  <si>
    <t>TextName</t>
  </si>
  <si>
    <t>EquationName</t>
  </si>
  <si>
    <t>Tempo</t>
  </si>
  <si>
    <t>Anos</t>
  </si>
  <si>
    <t>PotentialAdopters</t>
  </si>
  <si>
    <t>Clientes Potenciais</t>
  </si>
  <si>
    <t>Adopters</t>
  </si>
  <si>
    <t>Clientes</t>
  </si>
  <si>
    <t>AdvEffectiveness</t>
  </si>
  <si>
    <t>Efetividade do Anúncio</t>
  </si>
  <si>
    <t>ContactRate</t>
  </si>
  <si>
    <t>Taxa de Contato</t>
  </si>
  <si>
    <t>AdoptionFraction</t>
  </si>
  <si>
    <t>Taxa de Adoção</t>
  </si>
  <si>
    <t>TotalPopulation</t>
  </si>
  <si>
    <t>População Total</t>
  </si>
  <si>
    <t>Adoption_From_Advertising</t>
  </si>
  <si>
    <t>Novos Clientes em Propaganda</t>
  </si>
  <si>
    <t>Adoption_From_Word_of_Mouth</t>
  </si>
  <si>
    <t>Novos Clientes por Boca a Boca</t>
  </si>
  <si>
    <t>Adoption_Rate</t>
  </si>
  <si>
    <t>Taxa de novos Clientes</t>
  </si>
  <si>
    <t>Replicacao</t>
  </si>
  <si>
    <t>Replicação</t>
  </si>
  <si>
    <t>fIndustryOrderRate</t>
  </si>
  <si>
    <t>sPrice1</t>
  </si>
  <si>
    <t>sPrice2</t>
  </si>
  <si>
    <t>sPrice3</t>
  </si>
  <si>
    <t>sPrice4</t>
  </si>
  <si>
    <t>VariacaoDemanda</t>
  </si>
  <si>
    <t>aModoInitialCumulativeAdopters</t>
  </si>
  <si>
    <t>Modo de Inicialização dos Cumulative Adopters</t>
  </si>
  <si>
    <t>1 - Tradicional: Industry Demand X Initial Diffusion Fraction (Sterman)
2 - ReorderShare -&gt; Intalled Base -&gt; Adopters (Novo)
3 - ReorderShare -&gt; InitialAdoptionRate -&gt; Initial Cumulative Adopters (Implementado Inicialmente)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</si>
</sst>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ont="1"/>
    <xf numFmtId="2" fontId="0" fillId="0" borderId="0" xfId="0" applyNumberFormat="1" applyFont="1"/>
    <xf numFmtId="0" fontId="1" fillId="0" borderId="0" xfId="0" applyFont="1"/>
    <xf numFmtId="2" fontId="1" fillId="0" borderId="0" xfId="0" applyNumberFormat="1" applyFont="1"/>
    <xf numFmtId="0" fontId="0" fillId="2" borderId="0" xfId="0" applyFont="1" applyFill="1"/>
    <xf numFmtId="0" fontId="0" fillId="3" borderId="0" xfId="0" applyFont="1" applyFill="1"/>
    <xf numFmtId="2" fontId="0" fillId="2" borderId="0" xfId="0" applyNumberFormat="1" applyFont="1" applyFill="1"/>
    <xf numFmtId="0" fontId="0" fillId="2" borderId="0" xfId="0" applyFill="1"/>
    <xf numFmtId="0" fontId="0" fillId="4" borderId="0" xfId="0" applyFont="1" applyFill="1"/>
    <xf numFmtId="2" fontId="0" fillId="4" borderId="0" xfId="0" applyNumberFormat="1" applyFont="1" applyFill="1"/>
    <xf numFmtId="0" fontId="0" fillId="4" borderId="0" xfId="0" applyFill="1"/>
    <xf numFmtId="164" fontId="0" fillId="0" borderId="0" xfId="0" applyNumberFormat="1" applyFont="1"/>
    <xf numFmtId="0" fontId="0" fillId="5" borderId="0" xfId="0" applyFont="1" applyFill="1"/>
    <xf numFmtId="0" fontId="0" fillId="0" borderId="0" xfId="0" applyFont="1" applyAlignment="1">
      <alignment horizontal="left"/>
    </xf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I79"/>
  <sheetViews>
    <sheetView zoomScale="85" zoomScaleNormal="85" workbookViewId="0">
      <pane xSplit="2" ySplit="1" topLeftCell="C71" activePane="bottomRight" state="frozen"/>
      <selection pane="topRight" activeCell="C1" sqref="C1"/>
      <selection pane="bottomLeft" activeCell="A47" sqref="A47"/>
      <selection pane="bottomRight" activeCell="A79" sqref="A79"/>
    </sheetView>
  </sheetViews>
  <sheetFormatPr defaultRowHeight="15" x14ac:dyDescent="0.25"/>
  <cols>
    <col min="1" max="1" width="23.140625" style="1"/>
    <col min="2" max="2" width="34.5703125" style="1"/>
    <col min="3" max="3" width="10" style="2"/>
    <col min="4" max="4" width="12.28515625" style="2"/>
    <col min="5" max="5" width="10.42578125" style="1"/>
    <col min="6" max="6" width="6.140625" style="2"/>
    <col min="7" max="8" width="6.140625" style="1"/>
    <col min="9" max="9" width="9.85546875" style="1" customWidth="1"/>
    <col min="10" max="10" width="7.7109375" style="1"/>
    <col min="11" max="14" width="6.140625" style="1"/>
    <col min="15" max="15" width="3.5703125" style="1"/>
    <col min="16" max="16" width="15.42578125" style="1"/>
    <col min="17" max="17" width="18.42578125" style="1"/>
    <col min="18" max="18" width="8.28515625" style="1"/>
    <col min="19" max="1023" width="6.140625" style="1"/>
    <col min="1024" max="1025" width="6.140625"/>
  </cols>
  <sheetData>
    <row r="1" spans="1:18" x14ac:dyDescent="0.25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  <c r="P1" s="1" t="s">
        <v>15</v>
      </c>
      <c r="Q1" t="s">
        <v>16</v>
      </c>
      <c r="R1" s="1" t="s">
        <v>17</v>
      </c>
    </row>
    <row r="2" spans="1:18" x14ac:dyDescent="0.25">
      <c r="A2" s="1" t="s">
        <v>18</v>
      </c>
      <c r="B2" s="1" t="s">
        <v>19</v>
      </c>
      <c r="C2" s="2">
        <f t="shared" ref="C2:C22" si="0">IF(I2="Incerto",MAX(G2,J2-(ABS(F2*J2))),J2)</f>
        <v>1</v>
      </c>
      <c r="D2" s="2">
        <f t="shared" ref="D2:D22" si="1">IF(I2="Incerto",MIN(H2,J2+(ABS(F2*J2))),J2)</f>
        <v>1</v>
      </c>
      <c r="E2" s="1" t="s">
        <v>20</v>
      </c>
      <c r="F2" s="2">
        <v>0.5</v>
      </c>
      <c r="G2" s="1">
        <v>0</v>
      </c>
      <c r="H2" s="1">
        <v>30</v>
      </c>
      <c r="I2" s="1" t="s">
        <v>21</v>
      </c>
      <c r="J2">
        <v>1</v>
      </c>
      <c r="K2" s="1">
        <v>1</v>
      </c>
      <c r="L2"/>
      <c r="M2"/>
      <c r="N2" s="1" t="b">
        <f t="shared" ref="N2:N34" si="2">C2=D2</f>
        <v>1</v>
      </c>
      <c r="O2" s="1" t="b">
        <f t="shared" ref="O2:O33" si="3">D2&gt;C2</f>
        <v>0</v>
      </c>
      <c r="P2" s="1" t="s">
        <v>10</v>
      </c>
      <c r="Q2" t="s">
        <v>22</v>
      </c>
      <c r="R2"/>
    </row>
    <row r="3" spans="1:18" x14ac:dyDescent="0.25">
      <c r="A3" s="1" t="s">
        <v>23</v>
      </c>
      <c r="B3" s="1" t="s">
        <v>24</v>
      </c>
      <c r="C3" s="2">
        <f t="shared" si="0"/>
        <v>0.04</v>
      </c>
      <c r="D3" s="2">
        <f t="shared" si="1"/>
        <v>0.04</v>
      </c>
      <c r="E3" s="1" t="s">
        <v>25</v>
      </c>
      <c r="F3" s="2">
        <v>0.5</v>
      </c>
      <c r="G3" s="1">
        <v>0</v>
      </c>
      <c r="H3" s="1">
        <v>1</v>
      </c>
      <c r="I3" s="1" t="s">
        <v>21</v>
      </c>
      <c r="J3">
        <v>0.04</v>
      </c>
      <c r="K3" s="1">
        <v>0.04</v>
      </c>
      <c r="L3"/>
      <c r="M3"/>
      <c r="N3" s="1" t="b">
        <f t="shared" si="2"/>
        <v>1</v>
      </c>
      <c r="O3" s="1" t="b">
        <f t="shared" si="3"/>
        <v>0</v>
      </c>
      <c r="P3" s="1" t="s">
        <v>10</v>
      </c>
      <c r="Q3" t="s">
        <v>26</v>
      </c>
      <c r="R3"/>
    </row>
    <row r="4" spans="1:18" x14ac:dyDescent="0.25">
      <c r="A4" s="1" t="s">
        <v>27</v>
      </c>
      <c r="B4" s="1" t="s">
        <v>28</v>
      </c>
      <c r="C4" s="2">
        <f t="shared" si="0"/>
        <v>0.25</v>
      </c>
      <c r="D4" s="2">
        <f t="shared" si="1"/>
        <v>0.25</v>
      </c>
      <c r="E4" s="1" t="s">
        <v>29</v>
      </c>
      <c r="F4" s="2">
        <v>0.5</v>
      </c>
      <c r="G4">
        <v>0.25</v>
      </c>
      <c r="H4">
        <v>10</v>
      </c>
      <c r="I4" s="1" t="s">
        <v>21</v>
      </c>
      <c r="J4">
        <v>0.25</v>
      </c>
      <c r="K4" s="1">
        <v>0.25</v>
      </c>
      <c r="L4"/>
      <c r="M4"/>
      <c r="N4" s="1" t="b">
        <f t="shared" si="2"/>
        <v>1</v>
      </c>
      <c r="O4" s="1" t="b">
        <f t="shared" si="3"/>
        <v>0</v>
      </c>
      <c r="P4" s="1" t="s">
        <v>10</v>
      </c>
      <c r="Q4" t="s">
        <v>30</v>
      </c>
      <c r="R4"/>
    </row>
    <row r="5" spans="1:18" x14ac:dyDescent="0.25">
      <c r="A5" s="1" t="s">
        <v>31</v>
      </c>
      <c r="B5" s="1" t="s">
        <v>32</v>
      </c>
      <c r="C5" s="2">
        <f t="shared" si="0"/>
        <v>1</v>
      </c>
      <c r="D5" s="2">
        <f t="shared" si="1"/>
        <v>1</v>
      </c>
      <c r="E5" s="1" t="s">
        <v>33</v>
      </c>
      <c r="F5" s="2">
        <v>0.5</v>
      </c>
      <c r="G5" s="1">
        <v>0</v>
      </c>
      <c r="H5" s="1">
        <v>1</v>
      </c>
      <c r="I5" s="1" t="s">
        <v>21</v>
      </c>
      <c r="J5" s="1">
        <v>1</v>
      </c>
      <c r="K5" s="1">
        <v>1</v>
      </c>
      <c r="L5"/>
      <c r="M5"/>
      <c r="N5" s="1" t="b">
        <f t="shared" si="2"/>
        <v>1</v>
      </c>
      <c r="O5" s="1" t="b">
        <f t="shared" si="3"/>
        <v>0</v>
      </c>
      <c r="P5" s="1" t="s">
        <v>10</v>
      </c>
      <c r="Q5" t="s">
        <v>34</v>
      </c>
      <c r="R5"/>
    </row>
    <row r="6" spans="1:18" x14ac:dyDescent="0.25">
      <c r="A6" s="1" t="s">
        <v>35</v>
      </c>
      <c r="B6" s="1" t="s">
        <v>36</v>
      </c>
      <c r="C6" s="2">
        <f t="shared" si="0"/>
        <v>0.1</v>
      </c>
      <c r="D6" s="2">
        <f t="shared" si="1"/>
        <v>0.2</v>
      </c>
      <c r="E6" s="1" t="s">
        <v>37</v>
      </c>
      <c r="F6" s="2">
        <v>10</v>
      </c>
      <c r="G6">
        <f>1/10</f>
        <v>0.1</v>
      </c>
      <c r="H6">
        <f>1/5</f>
        <v>0.2</v>
      </c>
      <c r="I6" s="5" t="s">
        <v>38</v>
      </c>
      <c r="J6" s="5">
        <f>1/5</f>
        <v>0.2</v>
      </c>
      <c r="K6" s="1">
        <v>0.1</v>
      </c>
      <c r="L6">
        <v>0.1</v>
      </c>
      <c r="M6">
        <v>0.5</v>
      </c>
      <c r="N6" s="1" t="b">
        <f t="shared" si="2"/>
        <v>0</v>
      </c>
      <c r="O6" s="1" t="b">
        <f t="shared" si="3"/>
        <v>1</v>
      </c>
      <c r="P6" s="1" t="s">
        <v>39</v>
      </c>
      <c r="Q6" t="s">
        <v>40</v>
      </c>
      <c r="R6"/>
    </row>
    <row r="7" spans="1:18" x14ac:dyDescent="0.25">
      <c r="A7" s="1" t="s">
        <v>41</v>
      </c>
      <c r="B7" s="1" t="s">
        <v>42</v>
      </c>
      <c r="C7" s="2">
        <f t="shared" si="0"/>
        <v>0.05</v>
      </c>
      <c r="D7" s="2">
        <f t="shared" si="1"/>
        <v>0.05</v>
      </c>
      <c r="E7" s="1" t="s">
        <v>43</v>
      </c>
      <c r="F7" s="2">
        <v>0.5</v>
      </c>
      <c r="G7">
        <v>0</v>
      </c>
      <c r="H7">
        <v>1</v>
      </c>
      <c r="I7" s="6" t="s">
        <v>21</v>
      </c>
      <c r="J7" s="1">
        <v>0.05</v>
      </c>
      <c r="K7" s="1">
        <v>1E-3</v>
      </c>
      <c r="L7"/>
      <c r="M7"/>
      <c r="N7" s="1" t="b">
        <f t="shared" si="2"/>
        <v>1</v>
      </c>
      <c r="O7" s="1" t="b">
        <f t="shared" si="3"/>
        <v>0</v>
      </c>
      <c r="P7" s="1" t="s">
        <v>44</v>
      </c>
      <c r="Q7" t="s">
        <v>45</v>
      </c>
      <c r="R7"/>
    </row>
    <row r="8" spans="1:18" x14ac:dyDescent="0.25">
      <c r="A8" s="5" t="s">
        <v>46</v>
      </c>
      <c r="B8" s="5" t="s">
        <v>47</v>
      </c>
      <c r="C8" s="7">
        <f t="shared" si="0"/>
        <v>100000</v>
      </c>
      <c r="D8" s="7">
        <f t="shared" si="1"/>
        <v>100000</v>
      </c>
      <c r="E8" s="5" t="s">
        <v>48</v>
      </c>
      <c r="F8" s="7">
        <v>0.5</v>
      </c>
      <c r="G8" s="8">
        <v>200000</v>
      </c>
      <c r="H8" s="8">
        <v>200000</v>
      </c>
      <c r="I8" s="5" t="s">
        <v>21</v>
      </c>
      <c r="J8" s="5">
        <v>100000</v>
      </c>
      <c r="K8" s="5">
        <v>1000</v>
      </c>
      <c r="L8" s="8"/>
      <c r="M8" s="8"/>
      <c r="N8" s="5" t="b">
        <f t="shared" si="2"/>
        <v>1</v>
      </c>
      <c r="O8" s="5" t="b">
        <f t="shared" si="3"/>
        <v>0</v>
      </c>
      <c r="P8" s="1" t="s">
        <v>39</v>
      </c>
      <c r="Q8" s="1" t="s">
        <v>49</v>
      </c>
      <c r="R8" s="1">
        <f>107/0.5</f>
        <v>214</v>
      </c>
    </row>
    <row r="9" spans="1:18" x14ac:dyDescent="0.25">
      <c r="A9" s="1" t="s">
        <v>50</v>
      </c>
      <c r="B9" s="1" t="s">
        <v>51</v>
      </c>
      <c r="C9" s="2">
        <f t="shared" si="0"/>
        <v>0</v>
      </c>
      <c r="D9" s="2">
        <f t="shared" si="1"/>
        <v>1</v>
      </c>
      <c r="E9" s="1" t="s">
        <v>52</v>
      </c>
      <c r="F9" s="2">
        <v>10</v>
      </c>
      <c r="G9">
        <v>0</v>
      </c>
      <c r="H9">
        <v>1</v>
      </c>
      <c r="I9" s="5" t="s">
        <v>38</v>
      </c>
      <c r="J9" s="1">
        <v>0.2</v>
      </c>
      <c r="K9" s="1">
        <v>0.2</v>
      </c>
      <c r="L9">
        <v>0</v>
      </c>
      <c r="M9">
        <v>1</v>
      </c>
      <c r="N9" s="1" t="b">
        <f t="shared" si="2"/>
        <v>0</v>
      </c>
      <c r="O9" s="1" t="b">
        <f t="shared" si="3"/>
        <v>1</v>
      </c>
      <c r="P9" s="1" t="s">
        <v>10</v>
      </c>
      <c r="Q9" s="1" t="s">
        <v>53</v>
      </c>
    </row>
    <row r="10" spans="1:18" x14ac:dyDescent="0.25">
      <c r="A10" s="9" t="s">
        <v>54</v>
      </c>
      <c r="B10" s="9" t="s">
        <v>55</v>
      </c>
      <c r="C10" s="10">
        <f t="shared" si="0"/>
        <v>25000</v>
      </c>
      <c r="D10" s="10">
        <f t="shared" si="1"/>
        <v>100000</v>
      </c>
      <c r="E10" s="9" t="s">
        <v>56</v>
      </c>
      <c r="F10" s="10">
        <v>1</v>
      </c>
      <c r="G10" s="11">
        <f>J10/2</f>
        <v>25000</v>
      </c>
      <c r="H10" s="11">
        <f>J10*2</f>
        <v>100000</v>
      </c>
      <c r="I10" s="9" t="s">
        <v>38</v>
      </c>
      <c r="J10" s="9">
        <v>50000</v>
      </c>
      <c r="K10" s="9">
        <v>60000000</v>
      </c>
      <c r="L10" s="11"/>
      <c r="M10" s="11"/>
      <c r="N10" s="9" t="b">
        <f t="shared" si="2"/>
        <v>0</v>
      </c>
      <c r="O10" s="9" t="b">
        <f t="shared" si="3"/>
        <v>1</v>
      </c>
      <c r="P10" s="1" t="s">
        <v>39</v>
      </c>
      <c r="Q10" t="s">
        <v>57</v>
      </c>
    </row>
    <row r="11" spans="1:18" x14ac:dyDescent="0.25">
      <c r="A11" s="1" t="s">
        <v>58</v>
      </c>
      <c r="B11" s="1" t="s">
        <v>59</v>
      </c>
      <c r="C11" s="12">
        <f t="shared" si="0"/>
        <v>0</v>
      </c>
      <c r="D11" s="12">
        <f t="shared" si="1"/>
        <v>6.0000000000000001E-3</v>
      </c>
      <c r="E11" s="1" t="s">
        <v>43</v>
      </c>
      <c r="F11" s="2">
        <v>5</v>
      </c>
      <c r="G11">
        <v>0</v>
      </c>
      <c r="H11">
        <v>0.5</v>
      </c>
      <c r="I11" s="5" t="s">
        <v>38</v>
      </c>
      <c r="J11" s="1">
        <v>1E-3</v>
      </c>
      <c r="K11" s="1">
        <v>1E-3</v>
      </c>
      <c r="L11"/>
      <c r="M11"/>
      <c r="N11" s="1" t="b">
        <f t="shared" si="2"/>
        <v>0</v>
      </c>
      <c r="O11" s="1" t="b">
        <f t="shared" si="3"/>
        <v>1</v>
      </c>
      <c r="P11" s="1" t="s">
        <v>10</v>
      </c>
      <c r="Q11" t="s">
        <v>60</v>
      </c>
    </row>
    <row r="12" spans="1:18" x14ac:dyDescent="0.25">
      <c r="A12" s="1" t="s">
        <v>61</v>
      </c>
      <c r="B12" s="1" t="s">
        <v>62</v>
      </c>
      <c r="C12" s="2">
        <f t="shared" si="0"/>
        <v>0.3</v>
      </c>
      <c r="D12" s="2">
        <f t="shared" si="1"/>
        <v>1.6</v>
      </c>
      <c r="E12" s="1" t="s">
        <v>52</v>
      </c>
      <c r="F12" s="2">
        <v>3</v>
      </c>
      <c r="G12">
        <v>0.3</v>
      </c>
      <c r="H12">
        <v>2.5</v>
      </c>
      <c r="I12" s="5" t="s">
        <v>38</v>
      </c>
      <c r="J12" s="13">
        <v>0.4</v>
      </c>
      <c r="K12" s="1">
        <v>1</v>
      </c>
      <c r="L12">
        <v>0.5</v>
      </c>
      <c r="M12">
        <v>2.5</v>
      </c>
      <c r="N12" s="1" t="b">
        <f t="shared" si="2"/>
        <v>0</v>
      </c>
      <c r="O12" s="1" t="b">
        <f t="shared" si="3"/>
        <v>1</v>
      </c>
      <c r="P12" s="1" t="s">
        <v>39</v>
      </c>
      <c r="Q12" t="s">
        <v>63</v>
      </c>
    </row>
    <row r="13" spans="1:18" x14ac:dyDescent="0.25">
      <c r="A13" s="9" t="s">
        <v>64</v>
      </c>
      <c r="B13" s="9" t="s">
        <v>65</v>
      </c>
      <c r="C13" s="10">
        <f t="shared" si="0"/>
        <v>64250</v>
      </c>
      <c r="D13" s="10">
        <f t="shared" si="1"/>
        <v>300000</v>
      </c>
      <c r="E13" s="9" t="s">
        <v>56</v>
      </c>
      <c r="F13" s="10">
        <v>5</v>
      </c>
      <c r="G13" s="11">
        <f>J53</f>
        <v>64250</v>
      </c>
      <c r="H13" s="11">
        <f>J13*10</f>
        <v>500000</v>
      </c>
      <c r="I13" s="9" t="s">
        <v>38</v>
      </c>
      <c r="J13" s="9">
        <v>50000</v>
      </c>
      <c r="K13" s="9">
        <v>100000000</v>
      </c>
      <c r="L13" s="11"/>
      <c r="M13" s="11"/>
      <c r="N13" s="9" t="b">
        <f t="shared" si="2"/>
        <v>0</v>
      </c>
      <c r="O13" s="9" t="b">
        <f t="shared" si="3"/>
        <v>1</v>
      </c>
      <c r="P13" s="1" t="s">
        <v>39</v>
      </c>
      <c r="Q13"/>
    </row>
    <row r="14" spans="1:18" x14ac:dyDescent="0.25">
      <c r="A14" s="1" t="s">
        <v>66</v>
      </c>
      <c r="B14" s="1" t="s">
        <v>67</v>
      </c>
      <c r="C14" s="2">
        <f t="shared" si="0"/>
        <v>0</v>
      </c>
      <c r="D14" s="2">
        <f t="shared" si="1"/>
        <v>0</v>
      </c>
      <c r="E14"/>
      <c r="F14" s="2">
        <v>0.5</v>
      </c>
      <c r="G14" s="1">
        <v>0</v>
      </c>
      <c r="H14" s="1">
        <v>0</v>
      </c>
      <c r="I14" s="1" t="s">
        <v>21</v>
      </c>
      <c r="J14" s="1">
        <v>0</v>
      </c>
      <c r="K14" s="1">
        <v>0</v>
      </c>
      <c r="L14"/>
      <c r="M14"/>
      <c r="N14" s="1" t="b">
        <f t="shared" si="2"/>
        <v>1</v>
      </c>
      <c r="O14" s="1" t="b">
        <f t="shared" si="3"/>
        <v>0</v>
      </c>
      <c r="P14" s="1" t="s">
        <v>10</v>
      </c>
      <c r="Q14"/>
    </row>
    <row r="15" spans="1:18" x14ac:dyDescent="0.25">
      <c r="A15" s="1" t="s">
        <v>68</v>
      </c>
      <c r="B15" s="1" t="s">
        <v>69</v>
      </c>
      <c r="C15" s="2">
        <f t="shared" si="0"/>
        <v>0.25</v>
      </c>
      <c r="D15" s="2">
        <f t="shared" si="1"/>
        <v>0.375</v>
      </c>
      <c r="E15" s="1" t="s">
        <v>29</v>
      </c>
      <c r="F15" s="2">
        <v>0.5</v>
      </c>
      <c r="G15" s="1">
        <v>0.25</v>
      </c>
      <c r="H15" s="1">
        <v>1</v>
      </c>
      <c r="I15" s="5" t="s">
        <v>38</v>
      </c>
      <c r="J15" s="1">
        <v>0.25</v>
      </c>
      <c r="K15" s="1">
        <v>0.25</v>
      </c>
      <c r="L15" s="1">
        <v>6.25E-2</v>
      </c>
      <c r="M15" s="1">
        <v>0.25</v>
      </c>
      <c r="N15" s="1" t="b">
        <f t="shared" si="2"/>
        <v>0</v>
      </c>
      <c r="O15" s="1" t="b">
        <f t="shared" si="3"/>
        <v>1</v>
      </c>
      <c r="P15" s="1" t="s">
        <v>39</v>
      </c>
      <c r="Q15"/>
    </row>
    <row r="16" spans="1:18" x14ac:dyDescent="0.25">
      <c r="A16" s="1" t="s">
        <v>70</v>
      </c>
      <c r="B16" s="1" t="s">
        <v>71</v>
      </c>
      <c r="C16" s="2">
        <f t="shared" si="0"/>
        <v>1</v>
      </c>
      <c r="D16" s="2">
        <f t="shared" si="1"/>
        <v>1</v>
      </c>
      <c r="E16" s="1" t="s">
        <v>29</v>
      </c>
      <c r="F16" s="2">
        <v>0.5</v>
      </c>
      <c r="G16" s="1">
        <v>1</v>
      </c>
      <c r="H16" s="1">
        <v>1</v>
      </c>
      <c r="I16" s="1" t="s">
        <v>21</v>
      </c>
      <c r="J16" s="1">
        <v>1</v>
      </c>
      <c r="K16" s="1">
        <v>1</v>
      </c>
      <c r="L16"/>
      <c r="M16"/>
      <c r="N16" s="1" t="b">
        <f t="shared" si="2"/>
        <v>1</v>
      </c>
      <c r="O16" s="1" t="b">
        <f t="shared" si="3"/>
        <v>0</v>
      </c>
      <c r="P16" s="1" t="s">
        <v>39</v>
      </c>
      <c r="Q16"/>
    </row>
    <row r="17" spans="1:17" x14ac:dyDescent="0.25">
      <c r="A17" s="1" t="s">
        <v>72</v>
      </c>
      <c r="B17" s="1" t="s">
        <v>73</v>
      </c>
      <c r="C17" s="2">
        <f t="shared" si="0"/>
        <v>0.5</v>
      </c>
      <c r="D17" s="2">
        <f t="shared" si="1"/>
        <v>1.5</v>
      </c>
      <c r="E17" s="1" t="s">
        <v>29</v>
      </c>
      <c r="F17" s="2">
        <v>0.5</v>
      </c>
      <c r="G17" s="1">
        <v>0.25</v>
      </c>
      <c r="H17" s="1">
        <v>3</v>
      </c>
      <c r="I17" s="5" t="s">
        <v>38</v>
      </c>
      <c r="J17" s="1">
        <v>1</v>
      </c>
      <c r="K17" s="1">
        <v>1</v>
      </c>
      <c r="L17" s="1">
        <v>0.5</v>
      </c>
      <c r="M17" s="1">
        <v>1</v>
      </c>
      <c r="N17" s="1" t="b">
        <f t="shared" si="2"/>
        <v>0</v>
      </c>
      <c r="O17" s="1" t="b">
        <f t="shared" si="3"/>
        <v>1</v>
      </c>
      <c r="P17" s="1" t="s">
        <v>39</v>
      </c>
      <c r="Q17"/>
    </row>
    <row r="18" spans="1:17" x14ac:dyDescent="0.25">
      <c r="A18" s="1" t="s">
        <v>74</v>
      </c>
      <c r="B18" s="1" t="s">
        <v>75</v>
      </c>
      <c r="C18" s="2">
        <f t="shared" si="0"/>
        <v>1</v>
      </c>
      <c r="D18" s="2">
        <f t="shared" si="1"/>
        <v>1</v>
      </c>
      <c r="E18" s="1" t="s">
        <v>29</v>
      </c>
      <c r="F18" s="2">
        <v>0.5</v>
      </c>
      <c r="G18" s="1">
        <v>0.25</v>
      </c>
      <c r="H18" s="1">
        <v>1</v>
      </c>
      <c r="I18" s="1" t="s">
        <v>21</v>
      </c>
      <c r="J18" s="1">
        <v>1</v>
      </c>
      <c r="K18" s="1">
        <v>1</v>
      </c>
      <c r="L18"/>
      <c r="M18"/>
      <c r="N18" s="1" t="b">
        <f t="shared" si="2"/>
        <v>1</v>
      </c>
      <c r="O18" s="1" t="b">
        <f t="shared" si="3"/>
        <v>0</v>
      </c>
      <c r="P18" s="1" t="s">
        <v>39</v>
      </c>
      <c r="Q18"/>
    </row>
    <row r="19" spans="1:17" x14ac:dyDescent="0.25">
      <c r="A19" s="1" t="s">
        <v>76</v>
      </c>
      <c r="B19" s="1" t="s">
        <v>77</v>
      </c>
      <c r="C19" s="2">
        <f t="shared" si="0"/>
        <v>0.25</v>
      </c>
      <c r="D19" s="2">
        <f t="shared" si="1"/>
        <v>0.25</v>
      </c>
      <c r="E19" s="1" t="s">
        <v>29</v>
      </c>
      <c r="F19" s="2">
        <v>0.5</v>
      </c>
      <c r="G19" s="1">
        <v>0.25</v>
      </c>
      <c r="H19" s="1">
        <v>1</v>
      </c>
      <c r="I19" s="1" t="s">
        <v>21</v>
      </c>
      <c r="J19" s="1">
        <v>0.25</v>
      </c>
      <c r="K19" s="1">
        <v>0.25</v>
      </c>
      <c r="L19"/>
      <c r="M19"/>
      <c r="N19" s="1" t="b">
        <f t="shared" si="2"/>
        <v>1</v>
      </c>
      <c r="O19" s="1" t="b">
        <f t="shared" si="3"/>
        <v>0</v>
      </c>
      <c r="P19" s="1" t="s">
        <v>39</v>
      </c>
      <c r="Q19"/>
    </row>
    <row r="20" spans="1:17" x14ac:dyDescent="0.25">
      <c r="A20" s="1" t="s">
        <v>78</v>
      </c>
      <c r="B20" s="1" t="s">
        <v>79</v>
      </c>
      <c r="C20" s="2">
        <f t="shared" si="0"/>
        <v>-6</v>
      </c>
      <c r="D20" s="2">
        <f t="shared" si="1"/>
        <v>-2</v>
      </c>
      <c r="E20" s="1" t="s">
        <v>25</v>
      </c>
      <c r="F20" s="2">
        <v>0.5</v>
      </c>
      <c r="G20" s="1">
        <v>-20</v>
      </c>
      <c r="H20" s="1">
        <v>20</v>
      </c>
      <c r="I20" s="5" t="s">
        <v>38</v>
      </c>
      <c r="J20" s="1">
        <v>-4</v>
      </c>
      <c r="K20" s="1">
        <v>-4</v>
      </c>
      <c r="L20"/>
      <c r="M20"/>
      <c r="N20" s="1" t="b">
        <f t="shared" si="2"/>
        <v>0</v>
      </c>
      <c r="O20" s="1" t="b">
        <f t="shared" si="3"/>
        <v>1</v>
      </c>
      <c r="P20" s="1" t="s">
        <v>39</v>
      </c>
      <c r="Q20"/>
    </row>
    <row r="21" spans="1:17" x14ac:dyDescent="0.25">
      <c r="A21" s="1" t="s">
        <v>80</v>
      </c>
      <c r="B21" s="1" t="s">
        <v>81</v>
      </c>
      <c r="C21" s="2">
        <f t="shared" si="0"/>
        <v>-12</v>
      </c>
      <c r="D21" s="2">
        <f t="shared" si="1"/>
        <v>-4</v>
      </c>
      <c r="E21" s="1" t="s">
        <v>25</v>
      </c>
      <c r="F21" s="2">
        <v>0.5</v>
      </c>
      <c r="G21" s="1">
        <v>-20</v>
      </c>
      <c r="H21" s="1">
        <v>20</v>
      </c>
      <c r="I21" s="5" t="s">
        <v>38</v>
      </c>
      <c r="J21" s="1">
        <v>-8</v>
      </c>
      <c r="K21" s="1">
        <v>-8</v>
      </c>
      <c r="L21" s="1">
        <v>-12</v>
      </c>
      <c r="M21" s="1">
        <v>-4</v>
      </c>
      <c r="N21" s="1" t="b">
        <f t="shared" si="2"/>
        <v>0</v>
      </c>
      <c r="O21" s="1" t="b">
        <f t="shared" si="3"/>
        <v>1</v>
      </c>
      <c r="P21" s="1" t="s">
        <v>39</v>
      </c>
      <c r="Q21"/>
    </row>
    <row r="22" spans="1:17" x14ac:dyDescent="0.25">
      <c r="A22" s="1" t="s">
        <v>82</v>
      </c>
      <c r="B22" s="1" t="s">
        <v>83</v>
      </c>
      <c r="C22" s="2">
        <f t="shared" si="0"/>
        <v>0.7</v>
      </c>
      <c r="D22" s="2">
        <f t="shared" si="1"/>
        <v>1</v>
      </c>
      <c r="E22" s="1" t="s">
        <v>43</v>
      </c>
      <c r="F22" s="2">
        <v>0.5</v>
      </c>
      <c r="G22" s="1">
        <v>0.7</v>
      </c>
      <c r="H22" s="1">
        <v>1</v>
      </c>
      <c r="I22" s="5" t="s">
        <v>38</v>
      </c>
      <c r="J22" s="1">
        <v>0.7</v>
      </c>
      <c r="K22" s="1">
        <v>0.7</v>
      </c>
      <c r="L22"/>
      <c r="M22"/>
      <c r="N22" s="1" t="b">
        <f t="shared" si="2"/>
        <v>0</v>
      </c>
      <c r="O22" s="1" t="b">
        <f t="shared" si="3"/>
        <v>1</v>
      </c>
      <c r="P22" s="1" t="s">
        <v>39</v>
      </c>
      <c r="Q22"/>
    </row>
    <row r="23" spans="1:17" x14ac:dyDescent="0.25">
      <c r="A23" s="1" t="s">
        <v>84</v>
      </c>
      <c r="B23" s="1" t="s">
        <v>85</v>
      </c>
      <c r="C23" s="2">
        <f>IF(H23="Incerto",MAX(G23,J23-(ABS(F23*J23))),J23)</f>
        <v>20000</v>
      </c>
      <c r="D23" s="2">
        <f>IF(H23="Incerto",MIN(G23,J23+(ABS(F23*J23))),J23)</f>
        <v>20000</v>
      </c>
      <c r="E23" s="1" t="s">
        <v>86</v>
      </c>
      <c r="F23" s="2">
        <v>0.5</v>
      </c>
      <c r="G23" s="1">
        <f>J23/2</f>
        <v>10000</v>
      </c>
      <c r="H23" s="1">
        <f>J23*2</f>
        <v>40000</v>
      </c>
      <c r="I23" t="s">
        <v>21</v>
      </c>
      <c r="J23" s="1">
        <v>20000</v>
      </c>
      <c r="K23" s="1">
        <v>10000000</v>
      </c>
      <c r="L23"/>
      <c r="M23"/>
      <c r="N23" s="1" t="b">
        <f t="shared" si="2"/>
        <v>1</v>
      </c>
      <c r="O23" s="1" t="b">
        <f t="shared" si="3"/>
        <v>0</v>
      </c>
      <c r="P23" s="1" t="s">
        <v>39</v>
      </c>
      <c r="Q23"/>
    </row>
    <row r="24" spans="1:17" x14ac:dyDescent="0.25">
      <c r="A24" s="1" t="s">
        <v>87</v>
      </c>
      <c r="B24" s="1" t="s">
        <v>88</v>
      </c>
      <c r="C24" s="2">
        <f t="shared" ref="C24:C55" si="4">IF(I24="Incerto",MAX(G24,J24-(ABS(F24*J24))),J24)</f>
        <v>1.5</v>
      </c>
      <c r="D24" s="2">
        <f t="shared" ref="D24:D55" si="5">IF(I24="Incerto",MIN(H24,J24+(ABS(F24*J24))),J24)</f>
        <v>4.5</v>
      </c>
      <c r="E24" s="1" t="s">
        <v>25</v>
      </c>
      <c r="F24" s="2">
        <v>0.5</v>
      </c>
      <c r="G24" s="1">
        <v>0.1</v>
      </c>
      <c r="H24" s="1">
        <f>J24*3</f>
        <v>9</v>
      </c>
      <c r="I24" s="5" t="s">
        <v>38</v>
      </c>
      <c r="J24" s="1">
        <v>3</v>
      </c>
      <c r="K24" s="1">
        <v>3</v>
      </c>
      <c r="L24" s="1">
        <f>1/3</f>
        <v>0.33333333333333331</v>
      </c>
      <c r="M24" s="1">
        <v>3</v>
      </c>
      <c r="N24" s="1" t="b">
        <f t="shared" si="2"/>
        <v>0</v>
      </c>
      <c r="O24" s="1" t="b">
        <f t="shared" si="3"/>
        <v>1</v>
      </c>
      <c r="P24" s="1" t="s">
        <v>39</v>
      </c>
      <c r="Q24"/>
    </row>
    <row r="25" spans="1:17" x14ac:dyDescent="0.25">
      <c r="A25" s="1" t="s">
        <v>89</v>
      </c>
      <c r="B25" s="1" t="s">
        <v>90</v>
      </c>
      <c r="C25" s="2">
        <f t="shared" si="4"/>
        <v>0.1</v>
      </c>
      <c r="D25" s="2">
        <f t="shared" si="5"/>
        <v>0.2</v>
      </c>
      <c r="E25" s="1" t="s">
        <v>43</v>
      </c>
      <c r="F25" s="2">
        <v>0.5</v>
      </c>
      <c r="G25" s="1">
        <v>0.01</v>
      </c>
      <c r="H25" s="1">
        <v>0.2</v>
      </c>
      <c r="I25" s="5" t="s">
        <v>38</v>
      </c>
      <c r="J25" s="1">
        <v>0.2</v>
      </c>
      <c r="K25" s="1">
        <v>0.2</v>
      </c>
      <c r="L25"/>
      <c r="M25"/>
      <c r="N25" s="1" t="b">
        <f t="shared" si="2"/>
        <v>0</v>
      </c>
      <c r="O25" s="1" t="b">
        <f t="shared" si="3"/>
        <v>1</v>
      </c>
      <c r="P25" s="1" t="s">
        <v>39</v>
      </c>
      <c r="Q25"/>
    </row>
    <row r="26" spans="1:17" x14ac:dyDescent="0.25">
      <c r="A26" s="1" t="s">
        <v>91</v>
      </c>
      <c r="B26" s="1" t="s">
        <v>92</v>
      </c>
      <c r="C26" s="2">
        <f t="shared" si="4"/>
        <v>0.7</v>
      </c>
      <c r="D26" s="2">
        <f t="shared" si="5"/>
        <v>1</v>
      </c>
      <c r="E26" s="1" t="s">
        <v>43</v>
      </c>
      <c r="F26" s="2">
        <v>0.5</v>
      </c>
      <c r="G26" s="1">
        <v>0.7</v>
      </c>
      <c r="H26" s="1">
        <v>1</v>
      </c>
      <c r="I26" s="5" t="s">
        <v>38</v>
      </c>
      <c r="J26" s="1">
        <v>0.8</v>
      </c>
      <c r="K26" s="1">
        <v>0.8</v>
      </c>
      <c r="L26" s="1">
        <v>0.6</v>
      </c>
      <c r="M26" s="1">
        <v>1</v>
      </c>
      <c r="N26" s="1" t="b">
        <f t="shared" si="2"/>
        <v>0</v>
      </c>
      <c r="O26" s="1" t="b">
        <f t="shared" si="3"/>
        <v>1</v>
      </c>
      <c r="P26" s="1" t="s">
        <v>39</v>
      </c>
      <c r="Q26"/>
    </row>
    <row r="27" spans="1:17" x14ac:dyDescent="0.25">
      <c r="A27" s="14" t="s">
        <v>93</v>
      </c>
      <c r="B27" s="1" t="s">
        <v>94</v>
      </c>
      <c r="C27" s="2">
        <f t="shared" si="4"/>
        <v>200</v>
      </c>
      <c r="D27" s="2">
        <f t="shared" si="5"/>
        <v>200</v>
      </c>
      <c r="E27" s="1" t="s">
        <v>95</v>
      </c>
      <c r="F27" s="2">
        <v>0.5</v>
      </c>
      <c r="G27" s="1">
        <f>J27/2</f>
        <v>100</v>
      </c>
      <c r="H27" s="1">
        <f>J27*2</f>
        <v>400</v>
      </c>
      <c r="I27" s="1" t="s">
        <v>21</v>
      </c>
      <c r="J27" s="1">
        <v>200</v>
      </c>
      <c r="K27" s="1">
        <v>100000</v>
      </c>
      <c r="L27"/>
      <c r="M27"/>
      <c r="N27" s="1" t="b">
        <f t="shared" si="2"/>
        <v>1</v>
      </c>
      <c r="O27" s="1" t="b">
        <f t="shared" si="3"/>
        <v>0</v>
      </c>
      <c r="P27" s="1" t="s">
        <v>39</v>
      </c>
      <c r="Q27"/>
    </row>
    <row r="28" spans="1:17" x14ac:dyDescent="0.25">
      <c r="A28" s="1" t="s">
        <v>96</v>
      </c>
      <c r="B28" s="1" t="s">
        <v>52</v>
      </c>
      <c r="C28" s="2">
        <f t="shared" si="4"/>
        <v>0.5</v>
      </c>
      <c r="D28" s="2">
        <f t="shared" si="5"/>
        <v>1</v>
      </c>
      <c r="E28"/>
      <c r="F28" s="2">
        <v>0.5</v>
      </c>
      <c r="G28" s="1">
        <v>0</v>
      </c>
      <c r="H28" s="1">
        <v>1</v>
      </c>
      <c r="I28" s="5" t="s">
        <v>38</v>
      </c>
      <c r="J28" s="1">
        <v>1</v>
      </c>
      <c r="K28" s="1">
        <v>1</v>
      </c>
      <c r="L28"/>
      <c r="M28"/>
      <c r="N28" s="1" t="b">
        <f t="shared" si="2"/>
        <v>0</v>
      </c>
      <c r="O28" s="1" t="b">
        <f t="shared" si="3"/>
        <v>1</v>
      </c>
      <c r="P28" s="1" t="s">
        <v>39</v>
      </c>
      <c r="Q28"/>
    </row>
    <row r="29" spans="1:17" x14ac:dyDescent="0.25">
      <c r="A29" s="1" t="s">
        <v>97</v>
      </c>
      <c r="B29" s="1" t="s">
        <v>98</v>
      </c>
      <c r="C29" s="2">
        <f t="shared" si="4"/>
        <v>0.25</v>
      </c>
      <c r="D29" s="2">
        <f t="shared" si="5"/>
        <v>0.25</v>
      </c>
      <c r="E29" s="1" t="s">
        <v>29</v>
      </c>
      <c r="F29" s="2">
        <v>0.5</v>
      </c>
      <c r="G29" s="1">
        <v>0.25</v>
      </c>
      <c r="H29" s="1">
        <v>0.25</v>
      </c>
      <c r="I29" s="1" t="s">
        <v>21</v>
      </c>
      <c r="J29" s="1">
        <v>0.25</v>
      </c>
      <c r="K29" s="1">
        <v>0.25</v>
      </c>
      <c r="L29"/>
      <c r="M29"/>
      <c r="N29" s="1" t="b">
        <f t="shared" si="2"/>
        <v>1</v>
      </c>
      <c r="O29" s="1" t="b">
        <f t="shared" si="3"/>
        <v>0</v>
      </c>
      <c r="P29" s="1" t="s">
        <v>39</v>
      </c>
      <c r="Q29"/>
    </row>
    <row r="30" spans="1:17" x14ac:dyDescent="0.25">
      <c r="A30" s="1" t="s">
        <v>99</v>
      </c>
      <c r="B30" s="1" t="s">
        <v>100</v>
      </c>
      <c r="C30" s="2">
        <f t="shared" si="4"/>
        <v>1</v>
      </c>
      <c r="D30" s="2">
        <f t="shared" si="5"/>
        <v>1</v>
      </c>
      <c r="E30" s="1" t="s">
        <v>29</v>
      </c>
      <c r="F30" s="2">
        <v>0.5</v>
      </c>
      <c r="G30" s="1">
        <v>0.25</v>
      </c>
      <c r="H30" s="1">
        <v>0.25</v>
      </c>
      <c r="I30" s="1" t="s">
        <v>21</v>
      </c>
      <c r="J30" s="1">
        <v>1</v>
      </c>
      <c r="K30" s="1">
        <v>1</v>
      </c>
      <c r="L30"/>
      <c r="M30"/>
      <c r="N30" s="1" t="b">
        <f t="shared" si="2"/>
        <v>1</v>
      </c>
      <c r="O30" s="1" t="b">
        <f t="shared" si="3"/>
        <v>0</v>
      </c>
      <c r="P30" s="1" t="s">
        <v>39</v>
      </c>
      <c r="Q30"/>
    </row>
    <row r="31" spans="1:17" x14ac:dyDescent="0.25">
      <c r="A31" s="1" t="s">
        <v>101</v>
      </c>
      <c r="B31" s="1" t="s">
        <v>102</v>
      </c>
      <c r="C31" s="2">
        <f t="shared" si="4"/>
        <v>0.5</v>
      </c>
      <c r="D31" s="2">
        <f t="shared" si="5"/>
        <v>1.5</v>
      </c>
      <c r="E31" s="1" t="s">
        <v>25</v>
      </c>
      <c r="F31" s="2">
        <v>0.5</v>
      </c>
      <c r="G31" s="1">
        <v>0</v>
      </c>
      <c r="H31" s="1">
        <f>J31*3</f>
        <v>3</v>
      </c>
      <c r="I31" s="5" t="s">
        <v>38</v>
      </c>
      <c r="J31" s="1">
        <v>1</v>
      </c>
      <c r="K31" s="1">
        <v>1</v>
      </c>
      <c r="L31" s="1">
        <v>0.5</v>
      </c>
      <c r="M31" s="1">
        <v>1</v>
      </c>
      <c r="N31" s="1" t="b">
        <f t="shared" si="2"/>
        <v>0</v>
      </c>
      <c r="O31" s="1" t="b">
        <f t="shared" si="3"/>
        <v>1</v>
      </c>
      <c r="P31" s="1" t="s">
        <v>39</v>
      </c>
      <c r="Q31"/>
    </row>
    <row r="32" spans="1:17" x14ac:dyDescent="0.25">
      <c r="A32" s="1" t="s">
        <v>103</v>
      </c>
      <c r="B32" s="1" t="s">
        <v>104</v>
      </c>
      <c r="C32" s="2">
        <f t="shared" si="4"/>
        <v>0.125</v>
      </c>
      <c r="D32" s="2">
        <f t="shared" si="5"/>
        <v>0.375</v>
      </c>
      <c r="E32" s="1" t="s">
        <v>25</v>
      </c>
      <c r="F32" s="2">
        <v>0.5</v>
      </c>
      <c r="G32" s="1">
        <v>0</v>
      </c>
      <c r="H32" s="1">
        <f>J32*3</f>
        <v>0.75</v>
      </c>
      <c r="I32" s="5" t="s">
        <v>38</v>
      </c>
      <c r="J32" s="1">
        <v>0.25</v>
      </c>
      <c r="K32" s="1">
        <v>0.25</v>
      </c>
      <c r="L32" s="1">
        <v>0</v>
      </c>
      <c r="M32" s="1">
        <v>0.25</v>
      </c>
      <c r="N32" s="1" t="b">
        <f t="shared" si="2"/>
        <v>0</v>
      </c>
      <c r="O32" s="1" t="b">
        <f t="shared" si="3"/>
        <v>1</v>
      </c>
      <c r="P32" s="1" t="s">
        <v>39</v>
      </c>
      <c r="Q32"/>
    </row>
    <row r="33" spans="1:17" x14ac:dyDescent="0.25">
      <c r="A33" s="1" t="s">
        <v>105</v>
      </c>
      <c r="B33" s="1" t="s">
        <v>106</v>
      </c>
      <c r="C33" s="2">
        <f t="shared" si="4"/>
        <v>-0.15000000000000002</v>
      </c>
      <c r="D33" s="2">
        <f t="shared" si="5"/>
        <v>-0.05</v>
      </c>
      <c r="E33" s="1" t="s">
        <v>25</v>
      </c>
      <c r="F33" s="2">
        <v>0.5</v>
      </c>
      <c r="G33" s="1">
        <v>-1</v>
      </c>
      <c r="H33" s="1">
        <v>0</v>
      </c>
      <c r="I33" s="5" t="s">
        <v>38</v>
      </c>
      <c r="J33" s="1">
        <v>-0.1</v>
      </c>
      <c r="K33" s="1">
        <v>-0.1</v>
      </c>
      <c r="L33" s="1">
        <v>-0.5</v>
      </c>
      <c r="M33" s="1">
        <v>0</v>
      </c>
      <c r="N33" s="1" t="b">
        <f t="shared" si="2"/>
        <v>0</v>
      </c>
      <c r="O33" s="1" t="b">
        <f t="shared" si="3"/>
        <v>1</v>
      </c>
      <c r="P33" s="1" t="s">
        <v>39</v>
      </c>
      <c r="Q33"/>
    </row>
    <row r="34" spans="1:17" x14ac:dyDescent="0.25">
      <c r="A34" s="1" t="s">
        <v>107</v>
      </c>
      <c r="B34" s="1" t="s">
        <v>108</v>
      </c>
      <c r="C34" s="2">
        <f t="shared" si="4"/>
        <v>0</v>
      </c>
      <c r="D34" s="2">
        <f t="shared" si="5"/>
        <v>0</v>
      </c>
      <c r="E34" s="1" t="s">
        <v>25</v>
      </c>
      <c r="F34" s="2">
        <v>0.5</v>
      </c>
      <c r="G34" s="1">
        <v>0</v>
      </c>
      <c r="H34" s="1">
        <v>0</v>
      </c>
      <c r="I34" s="1" t="s">
        <v>21</v>
      </c>
      <c r="J34" s="1">
        <v>0</v>
      </c>
      <c r="K34" s="1">
        <v>0</v>
      </c>
      <c r="L34"/>
      <c r="M34"/>
      <c r="N34" s="1" t="b">
        <f t="shared" si="2"/>
        <v>1</v>
      </c>
      <c r="O34" s="1" t="b">
        <f t="shared" ref="O34:O65" si="6">D34&gt;C34</f>
        <v>0</v>
      </c>
      <c r="P34" s="1" t="s">
        <v>39</v>
      </c>
      <c r="Q34"/>
    </row>
    <row r="35" spans="1:17" x14ac:dyDescent="0.25">
      <c r="A35" s="1" t="s">
        <v>109</v>
      </c>
      <c r="B35" s="1" t="s">
        <v>110</v>
      </c>
      <c r="C35" s="2">
        <f t="shared" si="4"/>
        <v>1</v>
      </c>
      <c r="D35" s="2">
        <f t="shared" si="5"/>
        <v>1</v>
      </c>
      <c r="E35" s="1" t="s">
        <v>25</v>
      </c>
      <c r="F35" s="2">
        <v>0.5</v>
      </c>
      <c r="G35" s="1">
        <v>1</v>
      </c>
      <c r="H35" s="1">
        <v>1</v>
      </c>
      <c r="I35" s="1" t="s">
        <v>21</v>
      </c>
      <c r="J35" s="1">
        <v>1</v>
      </c>
      <c r="K35" s="1">
        <v>0</v>
      </c>
      <c r="L35"/>
      <c r="M35"/>
      <c r="N35"/>
      <c r="O35" s="1" t="b">
        <f t="shared" si="6"/>
        <v>0</v>
      </c>
      <c r="P35" s="1" t="s">
        <v>39</v>
      </c>
      <c r="Q35"/>
    </row>
    <row r="36" spans="1:17" x14ac:dyDescent="0.25">
      <c r="A36" s="1" t="s">
        <v>111</v>
      </c>
      <c r="B36" s="1" t="s">
        <v>112</v>
      </c>
      <c r="C36" s="2">
        <f t="shared" si="4"/>
        <v>2.5</v>
      </c>
      <c r="D36" s="2">
        <f t="shared" si="5"/>
        <v>7.5</v>
      </c>
      <c r="E36" s="1" t="s">
        <v>29</v>
      </c>
      <c r="F36" s="2">
        <v>0.5</v>
      </c>
      <c r="G36" s="1">
        <v>1</v>
      </c>
      <c r="H36" s="1">
        <v>10</v>
      </c>
      <c r="I36" s="5" t="s">
        <v>38</v>
      </c>
      <c r="J36" s="1">
        <v>5</v>
      </c>
      <c r="K36" s="1">
        <v>5</v>
      </c>
      <c r="L36"/>
      <c r="M36"/>
      <c r="N36"/>
      <c r="O36" s="1" t="b">
        <f t="shared" si="6"/>
        <v>1</v>
      </c>
      <c r="P36" s="1" t="s">
        <v>39</v>
      </c>
      <c r="Q36"/>
    </row>
    <row r="37" spans="1:17" x14ac:dyDescent="0.25">
      <c r="A37" s="1" t="s">
        <v>113</v>
      </c>
      <c r="B37" s="1" t="s">
        <v>114</v>
      </c>
      <c r="C37" s="2">
        <f t="shared" si="4"/>
        <v>1500000</v>
      </c>
      <c r="D37" s="2">
        <f t="shared" si="5"/>
        <v>4500000</v>
      </c>
      <c r="E37" s="1" t="s">
        <v>115</v>
      </c>
      <c r="F37" s="2">
        <v>0.5</v>
      </c>
      <c r="G37" s="1">
        <f t="shared" ref="G37:G44" si="7">J37/4</f>
        <v>750000</v>
      </c>
      <c r="H37" s="1">
        <f>J37*4</f>
        <v>12000000</v>
      </c>
      <c r="I37" s="5" t="s">
        <v>38</v>
      </c>
      <c r="J37" s="1">
        <v>3000000</v>
      </c>
      <c r="K37" s="1">
        <v>100000</v>
      </c>
      <c r="L37"/>
      <c r="M37"/>
      <c r="N37"/>
      <c r="O37" s="1" t="b">
        <f t="shared" si="6"/>
        <v>1</v>
      </c>
      <c r="P37" s="1" t="s">
        <v>39</v>
      </c>
      <c r="Q37"/>
    </row>
    <row r="38" spans="1:17" x14ac:dyDescent="0.25">
      <c r="A38" s="1" t="s">
        <v>116</v>
      </c>
      <c r="B38" s="1" t="s">
        <v>117</v>
      </c>
      <c r="C38" s="2">
        <f t="shared" si="4"/>
        <v>1</v>
      </c>
      <c r="D38" s="2">
        <f t="shared" si="5"/>
        <v>3</v>
      </c>
      <c r="E38" s="1" t="s">
        <v>29</v>
      </c>
      <c r="F38" s="2">
        <v>0.5</v>
      </c>
      <c r="G38" s="1">
        <f t="shared" si="7"/>
        <v>0.5</v>
      </c>
      <c r="H38" s="1">
        <f>J38*4</f>
        <v>8</v>
      </c>
      <c r="I38" s="5" t="s">
        <v>38</v>
      </c>
      <c r="J38" s="1">
        <v>2</v>
      </c>
      <c r="K38" s="1">
        <v>2</v>
      </c>
      <c r="L38"/>
      <c r="M38"/>
      <c r="N38"/>
      <c r="O38" s="1" t="b">
        <f t="shared" si="6"/>
        <v>1</v>
      </c>
      <c r="P38" s="1" t="s">
        <v>39</v>
      </c>
      <c r="Q38"/>
    </row>
    <row r="39" spans="1:17" x14ac:dyDescent="0.25">
      <c r="A39" s="1" t="s">
        <v>118</v>
      </c>
      <c r="B39" s="1" t="s">
        <v>119</v>
      </c>
      <c r="C39" s="2">
        <f t="shared" si="4"/>
        <v>0.2</v>
      </c>
      <c r="D39" s="2">
        <f t="shared" si="5"/>
        <v>0.60000000000000009</v>
      </c>
      <c r="E39" s="1" t="s">
        <v>120</v>
      </c>
      <c r="F39" s="2">
        <v>0.5</v>
      </c>
      <c r="G39" s="1">
        <f t="shared" si="7"/>
        <v>0.1</v>
      </c>
      <c r="H39" s="1">
        <v>1</v>
      </c>
      <c r="I39" s="5" t="s">
        <v>38</v>
      </c>
      <c r="J39" s="1">
        <v>0.4</v>
      </c>
      <c r="K39" s="1">
        <v>0.4</v>
      </c>
      <c r="L39"/>
      <c r="M39"/>
      <c r="N39"/>
      <c r="O39" s="1" t="b">
        <f t="shared" si="6"/>
        <v>1</v>
      </c>
      <c r="P39" s="1" t="s">
        <v>39</v>
      </c>
      <c r="Q39"/>
    </row>
    <row r="40" spans="1:17" x14ac:dyDescent="0.25">
      <c r="A40" s="1" t="s">
        <v>121</v>
      </c>
      <c r="B40" s="1" t="s">
        <v>122</v>
      </c>
      <c r="C40" s="2">
        <f t="shared" si="4"/>
        <v>18</v>
      </c>
      <c r="D40" s="2">
        <f t="shared" si="5"/>
        <v>18</v>
      </c>
      <c r="E40" s="1" t="s">
        <v>29</v>
      </c>
      <c r="F40" s="2">
        <v>0.5</v>
      </c>
      <c r="G40" s="1">
        <f t="shared" si="7"/>
        <v>4.5</v>
      </c>
      <c r="H40" s="1">
        <f>J40*4</f>
        <v>72</v>
      </c>
      <c r="I40" s="1" t="s">
        <v>21</v>
      </c>
      <c r="J40" s="1">
        <v>18</v>
      </c>
      <c r="K40" s="1">
        <v>18</v>
      </c>
      <c r="L40"/>
      <c r="M40"/>
      <c r="N40"/>
      <c r="O40" s="1" t="b">
        <f t="shared" si="6"/>
        <v>0</v>
      </c>
      <c r="P40" s="1" t="s">
        <v>39</v>
      </c>
      <c r="Q40"/>
    </row>
    <row r="41" spans="1:17" x14ac:dyDescent="0.25">
      <c r="A41" s="1" t="s">
        <v>123</v>
      </c>
      <c r="B41" s="1" t="s">
        <v>124</v>
      </c>
      <c r="C41" s="2">
        <f t="shared" si="4"/>
        <v>5</v>
      </c>
      <c r="D41" s="2">
        <f t="shared" si="5"/>
        <v>15</v>
      </c>
      <c r="E41" s="1" t="s">
        <v>29</v>
      </c>
      <c r="F41" s="2">
        <v>0.5</v>
      </c>
      <c r="G41" s="1">
        <f t="shared" si="7"/>
        <v>2.5</v>
      </c>
      <c r="H41" s="1">
        <f>J41*4</f>
        <v>40</v>
      </c>
      <c r="I41" s="5" t="s">
        <v>38</v>
      </c>
      <c r="J41" s="1">
        <v>10</v>
      </c>
      <c r="K41" s="1">
        <v>10</v>
      </c>
      <c r="L41"/>
      <c r="M41"/>
      <c r="N41"/>
      <c r="O41" s="1" t="b">
        <f t="shared" si="6"/>
        <v>1</v>
      </c>
      <c r="P41" s="1" t="s">
        <v>39</v>
      </c>
      <c r="Q41"/>
    </row>
    <row r="42" spans="1:17" x14ac:dyDescent="0.25">
      <c r="A42" s="1" t="s">
        <v>125</v>
      </c>
      <c r="B42" s="1" t="s">
        <v>126</v>
      </c>
      <c r="C42" s="2">
        <f t="shared" si="4"/>
        <v>1.6666666666666666E-2</v>
      </c>
      <c r="D42" s="2">
        <f t="shared" si="5"/>
        <v>0.05</v>
      </c>
      <c r="E42" s="1" t="s">
        <v>127</v>
      </c>
      <c r="F42" s="2">
        <v>0.5</v>
      </c>
      <c r="G42" s="1">
        <f t="shared" si="7"/>
        <v>8.3333333333333332E-3</v>
      </c>
      <c r="H42" s="1">
        <f>J42*4</f>
        <v>0.13333333333333333</v>
      </c>
      <c r="I42" s="5" t="s">
        <v>38</v>
      </c>
      <c r="J42" s="1">
        <f>1/30</f>
        <v>3.3333333333333333E-2</v>
      </c>
      <c r="K42" s="1">
        <f>1/30</f>
        <v>3.3333333333333333E-2</v>
      </c>
      <c r="L42"/>
      <c r="M42"/>
      <c r="N42"/>
      <c r="O42" s="1" t="b">
        <f t="shared" si="6"/>
        <v>1</v>
      </c>
      <c r="P42" s="1" t="s">
        <v>39</v>
      </c>
      <c r="Q42"/>
    </row>
    <row r="43" spans="1:17" x14ac:dyDescent="0.25">
      <c r="A43" s="1" t="s">
        <v>128</v>
      </c>
      <c r="B43" s="1" t="s">
        <v>129</v>
      </c>
      <c r="C43" s="2">
        <f t="shared" si="4"/>
        <v>0</v>
      </c>
      <c r="D43" s="2">
        <f t="shared" si="5"/>
        <v>0</v>
      </c>
      <c r="E43"/>
      <c r="F43" s="2">
        <v>0.5</v>
      </c>
      <c r="G43" s="1">
        <f t="shared" si="7"/>
        <v>0</v>
      </c>
      <c r="H43" s="1">
        <f>J43*4</f>
        <v>0</v>
      </c>
      <c r="I43" s="1" t="s">
        <v>21</v>
      </c>
      <c r="J43" s="1">
        <v>0</v>
      </c>
      <c r="K43" s="1">
        <v>0</v>
      </c>
      <c r="L43"/>
      <c r="M43"/>
      <c r="N43"/>
      <c r="O43" s="1" t="b">
        <f t="shared" si="6"/>
        <v>0</v>
      </c>
      <c r="P43" s="1" t="s">
        <v>39</v>
      </c>
      <c r="Q43"/>
    </row>
    <row r="44" spans="1:17" x14ac:dyDescent="0.25">
      <c r="A44" s="1" t="s">
        <v>130</v>
      </c>
      <c r="B44" s="1" t="s">
        <v>131</v>
      </c>
      <c r="C44" s="2">
        <f t="shared" si="4"/>
        <v>10</v>
      </c>
      <c r="D44" s="2">
        <f t="shared" si="5"/>
        <v>10</v>
      </c>
      <c r="E44"/>
      <c r="F44" s="2">
        <v>0.5</v>
      </c>
      <c r="G44" s="1">
        <f t="shared" si="7"/>
        <v>2.5</v>
      </c>
      <c r="H44" s="1">
        <f>J44*4</f>
        <v>40</v>
      </c>
      <c r="I44" s="1" t="s">
        <v>21</v>
      </c>
      <c r="J44" s="1">
        <v>10</v>
      </c>
      <c r="K44" s="1">
        <v>10</v>
      </c>
      <c r="L44"/>
      <c r="M44"/>
      <c r="N44"/>
      <c r="O44" s="1" t="b">
        <f t="shared" si="6"/>
        <v>0</v>
      </c>
      <c r="P44" s="1" t="s">
        <v>39</v>
      </c>
      <c r="Q44"/>
    </row>
    <row r="45" spans="1:17" x14ac:dyDescent="0.25">
      <c r="A45" s="1" t="s">
        <v>132</v>
      </c>
      <c r="B45"/>
      <c r="C45" s="2">
        <f t="shared" si="4"/>
        <v>-6</v>
      </c>
      <c r="D45" s="2">
        <f t="shared" si="5"/>
        <v>-2</v>
      </c>
      <c r="E45"/>
      <c r="F45" s="2">
        <v>0.5</v>
      </c>
      <c r="G45" s="1">
        <v>-20</v>
      </c>
      <c r="H45" s="1">
        <v>0</v>
      </c>
      <c r="I45" s="5" t="s">
        <v>38</v>
      </c>
      <c r="J45" s="1">
        <v>-4</v>
      </c>
      <c r="K45" s="1">
        <v>-4</v>
      </c>
      <c r="L45"/>
      <c r="M45"/>
      <c r="N45"/>
      <c r="O45" s="1" t="b">
        <f t="shared" si="6"/>
        <v>1</v>
      </c>
      <c r="P45" s="1" t="s">
        <v>39</v>
      </c>
      <c r="Q45"/>
    </row>
    <row r="46" spans="1:17" x14ac:dyDescent="0.25">
      <c r="A46" s="1" t="s">
        <v>133</v>
      </c>
      <c r="B46"/>
      <c r="C46" s="2">
        <f t="shared" si="4"/>
        <v>10</v>
      </c>
      <c r="D46" s="2">
        <f t="shared" si="5"/>
        <v>10</v>
      </c>
      <c r="E46"/>
      <c r="F46" s="2">
        <v>0.5</v>
      </c>
      <c r="G46" s="1">
        <f t="shared" ref="G46:G51" si="8">J46/4</f>
        <v>2.5</v>
      </c>
      <c r="H46" s="1">
        <f t="shared" ref="H46:H51" si="9">J46*4</f>
        <v>40</v>
      </c>
      <c r="I46" s="1" t="s">
        <v>21</v>
      </c>
      <c r="J46" s="1">
        <v>10</v>
      </c>
      <c r="K46" s="1">
        <v>10</v>
      </c>
      <c r="L46"/>
      <c r="M46"/>
      <c r="N46"/>
      <c r="O46" s="1" t="b">
        <f t="shared" si="6"/>
        <v>0</v>
      </c>
      <c r="P46" s="1" t="s">
        <v>39</v>
      </c>
      <c r="Q46"/>
    </row>
    <row r="47" spans="1:17" x14ac:dyDescent="0.25">
      <c r="A47" s="1" t="s">
        <v>134</v>
      </c>
      <c r="B47" s="3"/>
      <c r="C47" s="2">
        <f t="shared" si="4"/>
        <v>2000</v>
      </c>
      <c r="D47" s="2">
        <f t="shared" si="5"/>
        <v>2000</v>
      </c>
      <c r="E47"/>
      <c r="F47" s="2">
        <v>0.5</v>
      </c>
      <c r="G47" s="1">
        <f t="shared" si="8"/>
        <v>500</v>
      </c>
      <c r="H47" s="1">
        <f t="shared" si="9"/>
        <v>8000</v>
      </c>
      <c r="I47" s="5" t="s">
        <v>21</v>
      </c>
      <c r="J47" s="1">
        <v>2000</v>
      </c>
      <c r="K47" s="1">
        <v>1000</v>
      </c>
      <c r="L47"/>
      <c r="M47"/>
      <c r="N47"/>
      <c r="O47" s="1" t="b">
        <f t="shared" si="6"/>
        <v>0</v>
      </c>
      <c r="P47" s="1" t="s">
        <v>39</v>
      </c>
      <c r="Q47"/>
    </row>
    <row r="48" spans="1:17" x14ac:dyDescent="0.25">
      <c r="A48" s="1" t="s">
        <v>135</v>
      </c>
      <c r="B48"/>
      <c r="C48" s="2">
        <f t="shared" si="4"/>
        <v>200</v>
      </c>
      <c r="D48" s="2">
        <f t="shared" si="5"/>
        <v>200</v>
      </c>
      <c r="E48"/>
      <c r="F48" s="2">
        <v>0.5</v>
      </c>
      <c r="G48" s="1">
        <f t="shared" si="8"/>
        <v>50</v>
      </c>
      <c r="H48" s="1">
        <f t="shared" si="9"/>
        <v>800</v>
      </c>
      <c r="I48" s="5" t="s">
        <v>21</v>
      </c>
      <c r="J48" s="1">
        <v>200</v>
      </c>
      <c r="K48" s="1">
        <v>100</v>
      </c>
      <c r="L48"/>
      <c r="M48"/>
      <c r="N48"/>
      <c r="O48" s="1" t="b">
        <f t="shared" si="6"/>
        <v>0</v>
      </c>
      <c r="P48" s="1" t="s">
        <v>39</v>
      </c>
      <c r="Q48"/>
    </row>
    <row r="49" spans="1:17" x14ac:dyDescent="0.25">
      <c r="A49" s="1" t="s">
        <v>136</v>
      </c>
      <c r="B49"/>
      <c r="C49" s="2">
        <f t="shared" si="4"/>
        <v>200</v>
      </c>
      <c r="D49" s="2">
        <f t="shared" si="5"/>
        <v>200</v>
      </c>
      <c r="E49"/>
      <c r="F49" s="2">
        <v>0.5</v>
      </c>
      <c r="G49" s="1">
        <f t="shared" si="8"/>
        <v>50</v>
      </c>
      <c r="H49" s="1">
        <f t="shared" si="9"/>
        <v>800</v>
      </c>
      <c r="I49" s="5" t="s">
        <v>21</v>
      </c>
      <c r="J49" s="1">
        <v>200</v>
      </c>
      <c r="K49" s="1">
        <v>100</v>
      </c>
      <c r="L49"/>
      <c r="M49"/>
      <c r="N49"/>
      <c r="O49" s="1" t="b">
        <f t="shared" si="6"/>
        <v>0</v>
      </c>
      <c r="P49" s="1" t="s">
        <v>39</v>
      </c>
      <c r="Q49"/>
    </row>
    <row r="50" spans="1:17" x14ac:dyDescent="0.25">
      <c r="A50" s="1" t="s">
        <v>137</v>
      </c>
      <c r="B50"/>
      <c r="C50" s="2">
        <f t="shared" si="4"/>
        <v>20</v>
      </c>
      <c r="D50" s="2">
        <f t="shared" si="5"/>
        <v>20</v>
      </c>
      <c r="E50"/>
      <c r="F50" s="2">
        <v>0.5</v>
      </c>
      <c r="G50" s="1">
        <f t="shared" si="8"/>
        <v>5</v>
      </c>
      <c r="H50" s="1">
        <f t="shared" si="9"/>
        <v>80</v>
      </c>
      <c r="I50" s="5" t="s">
        <v>21</v>
      </c>
      <c r="J50" s="1">
        <v>20</v>
      </c>
      <c r="K50" s="1">
        <v>20</v>
      </c>
      <c r="L50"/>
      <c r="M50"/>
      <c r="N50"/>
      <c r="O50" s="1" t="b">
        <f t="shared" si="6"/>
        <v>0</v>
      </c>
      <c r="P50" s="1" t="s">
        <v>39</v>
      </c>
      <c r="Q50"/>
    </row>
    <row r="51" spans="1:17" x14ac:dyDescent="0.25">
      <c r="A51" s="1" t="s">
        <v>138</v>
      </c>
      <c r="B51"/>
      <c r="C51" s="2">
        <f t="shared" si="4"/>
        <v>1000000</v>
      </c>
      <c r="D51" s="2">
        <f t="shared" si="5"/>
        <v>1000000</v>
      </c>
      <c r="E51"/>
      <c r="F51" s="2">
        <v>0.5</v>
      </c>
      <c r="G51" s="1">
        <f t="shared" si="8"/>
        <v>250000</v>
      </c>
      <c r="H51" s="1">
        <f t="shared" si="9"/>
        <v>4000000</v>
      </c>
      <c r="I51" s="5" t="s">
        <v>21</v>
      </c>
      <c r="J51" s="1">
        <v>1000000</v>
      </c>
      <c r="K51" s="1">
        <v>1000000</v>
      </c>
      <c r="L51"/>
      <c r="M51"/>
      <c r="N51"/>
      <c r="O51" s="1" t="b">
        <f t="shared" si="6"/>
        <v>0</v>
      </c>
      <c r="P51" s="1" t="s">
        <v>39</v>
      </c>
      <c r="Q51"/>
    </row>
    <row r="52" spans="1:17" x14ac:dyDescent="0.25">
      <c r="A52" s="1" t="s">
        <v>139</v>
      </c>
      <c r="B52"/>
      <c r="C52" s="2">
        <f t="shared" si="4"/>
        <v>0.03</v>
      </c>
      <c r="D52" s="2">
        <f t="shared" si="5"/>
        <v>0.9</v>
      </c>
      <c r="E52"/>
      <c r="F52" s="2">
        <v>3</v>
      </c>
      <c r="G52" s="1">
        <v>0.03</v>
      </c>
      <c r="H52" s="1">
        <v>0.9</v>
      </c>
      <c r="I52" s="1" t="s">
        <v>38</v>
      </c>
      <c r="J52" s="1">
        <v>0.4</v>
      </c>
      <c r="K52"/>
      <c r="L52"/>
      <c r="M52"/>
      <c r="N52"/>
      <c r="O52" s="1" t="b">
        <f t="shared" si="6"/>
        <v>1</v>
      </c>
      <c r="P52" s="1" t="s">
        <v>39</v>
      </c>
      <c r="Q52"/>
    </row>
    <row r="53" spans="1:17" x14ac:dyDescent="0.25">
      <c r="A53" s="5" t="s">
        <v>140</v>
      </c>
      <c r="B53" s="8"/>
      <c r="C53" s="7">
        <f t="shared" si="4"/>
        <v>64250</v>
      </c>
      <c r="D53" s="7">
        <f t="shared" si="5"/>
        <v>64250</v>
      </c>
      <c r="E53" s="8"/>
      <c r="F53" s="7">
        <v>0.5</v>
      </c>
      <c r="G53" s="5">
        <f>J53*0.1</f>
        <v>6425</v>
      </c>
      <c r="H53" s="5">
        <f>J53*10</f>
        <v>642500</v>
      </c>
      <c r="I53" s="5" t="s">
        <v>21</v>
      </c>
      <c r="J53" s="5">
        <f>J54*5</f>
        <v>64250</v>
      </c>
      <c r="K53" s="8"/>
      <c r="L53" s="8"/>
      <c r="M53" s="8"/>
      <c r="N53" s="8"/>
      <c r="O53" s="5" t="b">
        <f t="shared" si="6"/>
        <v>0</v>
      </c>
      <c r="P53" s="1" t="s">
        <v>39</v>
      </c>
      <c r="Q53"/>
    </row>
    <row r="54" spans="1:17" x14ac:dyDescent="0.25">
      <c r="A54" s="5" t="s">
        <v>141</v>
      </c>
      <c r="B54" s="8"/>
      <c r="C54" s="7">
        <f t="shared" si="4"/>
        <v>12850</v>
      </c>
      <c r="D54" s="7">
        <f t="shared" si="5"/>
        <v>12850</v>
      </c>
      <c r="E54" s="8"/>
      <c r="F54" s="7">
        <v>0.5</v>
      </c>
      <c r="G54" s="5">
        <f>J54*0.1</f>
        <v>1285</v>
      </c>
      <c r="H54" s="5">
        <f>J54*10</f>
        <v>128500</v>
      </c>
      <c r="I54" s="5" t="s">
        <v>21</v>
      </c>
      <c r="J54" s="5">
        <v>12850</v>
      </c>
      <c r="K54" s="8"/>
      <c r="L54" s="8"/>
      <c r="M54" s="8"/>
      <c r="N54" s="8"/>
      <c r="O54" s="5" t="b">
        <f t="shared" si="6"/>
        <v>0</v>
      </c>
      <c r="P54" s="1" t="s">
        <v>39</v>
      </c>
      <c r="Q54"/>
    </row>
    <row r="55" spans="1:17" x14ac:dyDescent="0.25">
      <c r="A55" s="1" t="s">
        <v>142</v>
      </c>
      <c r="B55"/>
      <c r="C55" s="2">
        <f t="shared" si="4"/>
        <v>0.28000000000000003</v>
      </c>
      <c r="D55" s="2">
        <f t="shared" si="5"/>
        <v>0.28000000000000003</v>
      </c>
      <c r="E55" s="1" t="s">
        <v>120</v>
      </c>
      <c r="F55" s="2">
        <v>0.5</v>
      </c>
      <c r="G55" s="1">
        <v>0</v>
      </c>
      <c r="H55" s="1">
        <v>1</v>
      </c>
      <c r="I55" s="1" t="s">
        <v>21</v>
      </c>
      <c r="J55" s="1">
        <v>0.28000000000000003</v>
      </c>
      <c r="K55"/>
      <c r="L55"/>
      <c r="M55"/>
      <c r="N55"/>
      <c r="O55" s="1" t="b">
        <f t="shared" si="6"/>
        <v>0</v>
      </c>
      <c r="P55" s="1" t="s">
        <v>39</v>
      </c>
      <c r="Q55"/>
    </row>
    <row r="56" spans="1:17" x14ac:dyDescent="0.25">
      <c r="A56" s="1" t="s">
        <v>143</v>
      </c>
      <c r="B56"/>
      <c r="C56" s="2">
        <f t="shared" ref="C56:C79" si="10">IF(I56="Incerto",MAX(G56,J56-(ABS(F56*J56))),J56)</f>
        <v>0.28999999999999998</v>
      </c>
      <c r="D56" s="2">
        <f t="shared" ref="D56:D79" si="11">IF(I56="Incerto",MIN(H56,J56+(ABS(F56*J56))),J56)</f>
        <v>0.28999999999999998</v>
      </c>
      <c r="E56" s="1" t="s">
        <v>120</v>
      </c>
      <c r="F56" s="2">
        <v>0.5</v>
      </c>
      <c r="G56" s="1">
        <v>0</v>
      </c>
      <c r="H56" s="1">
        <v>1</v>
      </c>
      <c r="I56" s="1" t="s">
        <v>21</v>
      </c>
      <c r="J56" s="1">
        <v>0.28999999999999998</v>
      </c>
      <c r="K56"/>
      <c r="L56"/>
      <c r="M56"/>
      <c r="N56"/>
      <c r="O56" s="1" t="b">
        <f t="shared" si="6"/>
        <v>0</v>
      </c>
      <c r="P56" s="1" t="s">
        <v>39</v>
      </c>
      <c r="Q56"/>
    </row>
    <row r="57" spans="1:17" x14ac:dyDescent="0.25">
      <c r="A57" s="1" t="s">
        <v>144</v>
      </c>
      <c r="B57"/>
      <c r="C57" s="2">
        <f t="shared" si="10"/>
        <v>0.15</v>
      </c>
      <c r="D57" s="2">
        <f t="shared" si="11"/>
        <v>0.15</v>
      </c>
      <c r="E57" s="1" t="s">
        <v>120</v>
      </c>
      <c r="F57" s="2">
        <v>0.5</v>
      </c>
      <c r="G57" s="1">
        <v>0</v>
      </c>
      <c r="H57" s="1">
        <v>1</v>
      </c>
      <c r="I57" s="1" t="s">
        <v>21</v>
      </c>
      <c r="J57" s="1">
        <v>0.15</v>
      </c>
      <c r="K57"/>
      <c r="L57"/>
      <c r="M57"/>
      <c r="N57"/>
      <c r="O57" s="1" t="b">
        <f t="shared" si="6"/>
        <v>0</v>
      </c>
      <c r="P57" s="1" t="s">
        <v>39</v>
      </c>
      <c r="Q57"/>
    </row>
    <row r="58" spans="1:17" x14ac:dyDescent="0.25">
      <c r="A58" s="1" t="s">
        <v>145</v>
      </c>
      <c r="B58"/>
      <c r="C58" s="2">
        <f t="shared" si="10"/>
        <v>0.27999999999999992</v>
      </c>
      <c r="D58" s="2">
        <f t="shared" si="11"/>
        <v>0.27999999999999992</v>
      </c>
      <c r="E58" s="1" t="s">
        <v>120</v>
      </c>
      <c r="F58" s="2">
        <v>0.5</v>
      </c>
      <c r="G58" s="1">
        <v>0</v>
      </c>
      <c r="H58" s="1">
        <v>1</v>
      </c>
      <c r="I58" s="1" t="s">
        <v>21</v>
      </c>
      <c r="J58" s="1">
        <f>1-SUM(J55:J57)</f>
        <v>0.27999999999999992</v>
      </c>
      <c r="K58"/>
      <c r="L58"/>
      <c r="M58"/>
      <c r="N58"/>
      <c r="O58" s="1" t="b">
        <f t="shared" si="6"/>
        <v>0</v>
      </c>
      <c r="P58" s="1" t="s">
        <v>39</v>
      </c>
      <c r="Q58"/>
    </row>
    <row r="59" spans="1:17" x14ac:dyDescent="0.25">
      <c r="A59" s="1" t="s">
        <v>146</v>
      </c>
      <c r="B59" s="1" t="s">
        <v>147</v>
      </c>
      <c r="C59" s="2">
        <f t="shared" si="10"/>
        <v>0.28000000000000003</v>
      </c>
      <c r="D59" s="2">
        <f t="shared" si="11"/>
        <v>0.28000000000000003</v>
      </c>
      <c r="E59" s="1" t="s">
        <v>120</v>
      </c>
      <c r="F59" s="2">
        <v>0.5</v>
      </c>
      <c r="G59" s="1">
        <v>0</v>
      </c>
      <c r="H59" s="1">
        <v>1</v>
      </c>
      <c r="I59" s="1" t="s">
        <v>21</v>
      </c>
      <c r="J59" s="1">
        <f>J55</f>
        <v>0.28000000000000003</v>
      </c>
      <c r="K59" s="1">
        <v>0.5</v>
      </c>
      <c r="L59"/>
      <c r="M59"/>
      <c r="N59"/>
      <c r="O59" s="1" t="b">
        <f t="shared" si="6"/>
        <v>0</v>
      </c>
      <c r="P59" s="1" t="s">
        <v>39</v>
      </c>
      <c r="Q59"/>
    </row>
    <row r="60" spans="1:17" x14ac:dyDescent="0.25">
      <c r="A60" s="1" t="s">
        <v>148</v>
      </c>
      <c r="B60"/>
      <c r="C60" s="2">
        <f t="shared" si="10"/>
        <v>0.28999999999999998</v>
      </c>
      <c r="D60" s="2">
        <f t="shared" si="11"/>
        <v>0.28999999999999998</v>
      </c>
      <c r="E60" s="1" t="s">
        <v>120</v>
      </c>
      <c r="F60" s="2">
        <v>0.5</v>
      </c>
      <c r="G60" s="1">
        <v>0</v>
      </c>
      <c r="H60" s="1">
        <v>1</v>
      </c>
      <c r="I60" s="1" t="s">
        <v>21</v>
      </c>
      <c r="J60" s="1">
        <f>J56</f>
        <v>0.28999999999999998</v>
      </c>
      <c r="K60"/>
      <c r="L60"/>
      <c r="M60"/>
      <c r="N60"/>
      <c r="O60" s="1" t="b">
        <f t="shared" si="6"/>
        <v>0</v>
      </c>
      <c r="P60" s="1" t="s">
        <v>39</v>
      </c>
      <c r="Q60"/>
    </row>
    <row r="61" spans="1:17" x14ac:dyDescent="0.25">
      <c r="A61" s="1" t="s">
        <v>149</v>
      </c>
      <c r="B61"/>
      <c r="C61" s="2">
        <f t="shared" si="10"/>
        <v>0.15</v>
      </c>
      <c r="D61" s="2">
        <f t="shared" si="11"/>
        <v>0.15</v>
      </c>
      <c r="E61" s="1" t="s">
        <v>120</v>
      </c>
      <c r="F61" s="2">
        <v>0.5</v>
      </c>
      <c r="G61" s="1">
        <v>0</v>
      </c>
      <c r="H61" s="1">
        <v>1</v>
      </c>
      <c r="I61" s="1" t="s">
        <v>21</v>
      </c>
      <c r="J61" s="1">
        <f>J57</f>
        <v>0.15</v>
      </c>
      <c r="K61"/>
      <c r="L61"/>
      <c r="M61"/>
      <c r="N61"/>
      <c r="O61" s="1" t="b">
        <f t="shared" si="6"/>
        <v>0</v>
      </c>
      <c r="P61" s="1" t="s">
        <v>39</v>
      </c>
      <c r="Q61"/>
    </row>
    <row r="62" spans="1:17" x14ac:dyDescent="0.25">
      <c r="A62" s="1" t="s">
        <v>150</v>
      </c>
      <c r="B62"/>
      <c r="C62" s="2">
        <f t="shared" si="10"/>
        <v>0.27999999999999992</v>
      </c>
      <c r="D62" s="2">
        <f t="shared" si="11"/>
        <v>0.27999999999999992</v>
      </c>
      <c r="E62" s="1" t="s">
        <v>120</v>
      </c>
      <c r="F62" s="2">
        <v>0.5</v>
      </c>
      <c r="G62" s="1">
        <v>0</v>
      </c>
      <c r="H62" s="1">
        <v>1</v>
      </c>
      <c r="I62" s="1" t="s">
        <v>21</v>
      </c>
      <c r="J62" s="1">
        <f>J58</f>
        <v>0.27999999999999992</v>
      </c>
      <c r="K62"/>
      <c r="L62"/>
      <c r="M62"/>
      <c r="N62"/>
      <c r="O62" s="1" t="b">
        <f t="shared" si="6"/>
        <v>0</v>
      </c>
      <c r="P62" s="1" t="s">
        <v>39</v>
      </c>
      <c r="Q62"/>
    </row>
    <row r="63" spans="1:17" x14ac:dyDescent="0.25">
      <c r="A63" s="1" t="s">
        <v>151</v>
      </c>
      <c r="B63" s="1" t="s">
        <v>152</v>
      </c>
      <c r="C63" s="2">
        <f t="shared" si="10"/>
        <v>0</v>
      </c>
      <c r="D63" s="2">
        <f t="shared" si="11"/>
        <v>1</v>
      </c>
      <c r="E63" s="1" t="s">
        <v>120</v>
      </c>
      <c r="F63" s="2">
        <v>3</v>
      </c>
      <c r="G63" s="1">
        <v>0</v>
      </c>
      <c r="H63" s="1">
        <v>1</v>
      </c>
      <c r="I63" s="1" t="s">
        <v>38</v>
      </c>
      <c r="J63" s="1">
        <v>0.5</v>
      </c>
      <c r="K63"/>
      <c r="L63"/>
      <c r="M63"/>
      <c r="N63"/>
      <c r="O63" s="1" t="b">
        <f t="shared" si="6"/>
        <v>1</v>
      </c>
      <c r="P63" s="1" t="s">
        <v>39</v>
      </c>
      <c r="Q63"/>
    </row>
    <row r="64" spans="1:17" x14ac:dyDescent="0.25">
      <c r="A64" s="1" t="s">
        <v>153</v>
      </c>
      <c r="B64" s="1" t="s">
        <v>152</v>
      </c>
      <c r="C64" s="2">
        <f t="shared" si="10"/>
        <v>0</v>
      </c>
      <c r="D64" s="2">
        <f t="shared" si="11"/>
        <v>1</v>
      </c>
      <c r="E64" s="1" t="s">
        <v>120</v>
      </c>
      <c r="F64" s="2">
        <v>3</v>
      </c>
      <c r="G64" s="1">
        <v>0</v>
      </c>
      <c r="H64" s="1">
        <v>1</v>
      </c>
      <c r="I64" s="1" t="s">
        <v>38</v>
      </c>
      <c r="J64" s="1">
        <v>0.5</v>
      </c>
      <c r="K64"/>
      <c r="L64"/>
      <c r="M64"/>
      <c r="N64"/>
      <c r="O64" s="1" t="b">
        <f t="shared" si="6"/>
        <v>1</v>
      </c>
      <c r="P64" s="1" t="s">
        <v>39</v>
      </c>
      <c r="Q64"/>
    </row>
    <row r="65" spans="1:17" x14ac:dyDescent="0.25">
      <c r="A65" s="1" t="s">
        <v>154</v>
      </c>
      <c r="B65" s="1" t="s">
        <v>152</v>
      </c>
      <c r="C65" s="2">
        <f t="shared" si="10"/>
        <v>0</v>
      </c>
      <c r="D65" s="2">
        <f t="shared" si="11"/>
        <v>1</v>
      </c>
      <c r="E65" s="1" t="s">
        <v>120</v>
      </c>
      <c r="F65" s="2">
        <v>3</v>
      </c>
      <c r="G65" s="1">
        <v>0</v>
      </c>
      <c r="H65" s="1">
        <v>1</v>
      </c>
      <c r="I65" s="1" t="s">
        <v>38</v>
      </c>
      <c r="J65" s="1">
        <v>0.5</v>
      </c>
      <c r="K65"/>
      <c r="L65"/>
      <c r="M65"/>
      <c r="N65"/>
      <c r="O65" s="1" t="b">
        <f t="shared" si="6"/>
        <v>1</v>
      </c>
      <c r="P65" s="1" t="s">
        <v>39</v>
      </c>
      <c r="Q65"/>
    </row>
    <row r="66" spans="1:17" x14ac:dyDescent="0.25">
      <c r="A66" s="1" t="s">
        <v>155</v>
      </c>
      <c r="B66" s="1" t="s">
        <v>156</v>
      </c>
      <c r="C66" s="12">
        <f t="shared" si="10"/>
        <v>0.05</v>
      </c>
      <c r="D66" s="12">
        <f t="shared" si="11"/>
        <v>0.15</v>
      </c>
      <c r="E66" s="1" t="s">
        <v>120</v>
      </c>
      <c r="F66" s="2">
        <v>5</v>
      </c>
      <c r="G66" s="1">
        <f>MIN(Levers_FullDesign!$D$2:$D$12)</f>
        <v>0.05</v>
      </c>
      <c r="H66" s="1">
        <f>MAX(Levers_FullDesign!$D$2:$D$14)</f>
        <v>0.15</v>
      </c>
      <c r="I66" s="5" t="s">
        <v>38</v>
      </c>
      <c r="J66" s="1">
        <v>0.1</v>
      </c>
      <c r="K66" s="1">
        <v>1E-3</v>
      </c>
      <c r="L66"/>
      <c r="M66"/>
      <c r="N66"/>
      <c r="O66" s="1" t="b">
        <f t="shared" ref="O66:O78" si="12">D66&gt;C66</f>
        <v>1</v>
      </c>
      <c r="P66" s="1" t="s">
        <v>157</v>
      </c>
      <c r="Q66" s="1" t="s">
        <v>158</v>
      </c>
    </row>
    <row r="67" spans="1:17" x14ac:dyDescent="0.25">
      <c r="A67" s="1" t="s">
        <v>159</v>
      </c>
      <c r="B67" s="1" t="s">
        <v>156</v>
      </c>
      <c r="C67" s="12">
        <f t="shared" si="10"/>
        <v>0.05</v>
      </c>
      <c r="D67" s="12">
        <f t="shared" si="11"/>
        <v>0.15</v>
      </c>
      <c r="E67" s="1" t="s">
        <v>120</v>
      </c>
      <c r="F67" s="2">
        <v>5</v>
      </c>
      <c r="G67" s="1">
        <f>MIN(Levers_FullDesign!$D$2:$D$12)</f>
        <v>0.05</v>
      </c>
      <c r="H67" s="1">
        <f>MAX(Levers_FullDesign!$D$2:$D$14)</f>
        <v>0.15</v>
      </c>
      <c r="I67" s="5" t="s">
        <v>38</v>
      </c>
      <c r="J67" s="1">
        <v>0.1</v>
      </c>
      <c r="K67" s="1">
        <v>1E-3</v>
      </c>
      <c r="L67"/>
      <c r="M67"/>
      <c r="N67"/>
      <c r="O67" s="1" t="b">
        <f t="shared" si="12"/>
        <v>1</v>
      </c>
      <c r="P67" s="1" t="s">
        <v>157</v>
      </c>
    </row>
    <row r="68" spans="1:17" x14ac:dyDescent="0.25">
      <c r="A68" s="1" t="s">
        <v>160</v>
      </c>
      <c r="B68" s="1" t="s">
        <v>156</v>
      </c>
      <c r="C68" s="12">
        <f t="shared" si="10"/>
        <v>0.05</v>
      </c>
      <c r="D68" s="12">
        <f t="shared" si="11"/>
        <v>0.15</v>
      </c>
      <c r="E68" s="1" t="s">
        <v>120</v>
      </c>
      <c r="F68" s="2">
        <v>5</v>
      </c>
      <c r="G68" s="1">
        <f>MIN(Levers_FullDesign!$D$2:$D$12)</f>
        <v>0.05</v>
      </c>
      <c r="H68" s="1">
        <f>MAX(Levers_FullDesign!$D$2:$D$14)</f>
        <v>0.15</v>
      </c>
      <c r="I68" s="5" t="s">
        <v>38</v>
      </c>
      <c r="J68" s="1">
        <v>0.1</v>
      </c>
      <c r="K68" s="1">
        <v>1E-3</v>
      </c>
      <c r="L68"/>
      <c r="M68"/>
      <c r="N68"/>
      <c r="O68" s="1" t="b">
        <f t="shared" si="12"/>
        <v>1</v>
      </c>
      <c r="P68" s="1" t="s">
        <v>157</v>
      </c>
    </row>
    <row r="69" spans="1:17" x14ac:dyDescent="0.25">
      <c r="A69" s="1" t="s">
        <v>161</v>
      </c>
      <c r="B69" s="1" t="s">
        <v>162</v>
      </c>
      <c r="C69" s="2">
        <f t="shared" si="10"/>
        <v>0.28999999999999998</v>
      </c>
      <c r="D69" s="2">
        <f t="shared" si="11"/>
        <v>0.43499999999999994</v>
      </c>
      <c r="E69" s="1" t="s">
        <v>43</v>
      </c>
      <c r="F69" s="2">
        <v>0.5</v>
      </c>
      <c r="G69" s="1">
        <f>J56</f>
        <v>0.28999999999999998</v>
      </c>
      <c r="H69" s="1">
        <v>1</v>
      </c>
      <c r="I69" s="5" t="s">
        <v>38</v>
      </c>
      <c r="J69" s="1">
        <f>J56</f>
        <v>0.28999999999999998</v>
      </c>
      <c r="K69" s="5">
        <v>0.5</v>
      </c>
      <c r="L69" s="5">
        <v>0.6</v>
      </c>
      <c r="M69" s="5">
        <v>1</v>
      </c>
      <c r="N69" s="1" t="b">
        <f t="shared" ref="N69:N78" si="13">C69=D69</f>
        <v>0</v>
      </c>
      <c r="O69" s="1" t="b">
        <f t="shared" si="12"/>
        <v>1</v>
      </c>
      <c r="P69" s="1" t="s">
        <v>39</v>
      </c>
    </row>
    <row r="70" spans="1:17" x14ac:dyDescent="0.25">
      <c r="A70" s="1" t="s">
        <v>163</v>
      </c>
      <c r="B70" s="1" t="s">
        <v>162</v>
      </c>
      <c r="C70" s="2">
        <f t="shared" si="10"/>
        <v>0.15</v>
      </c>
      <c r="D70" s="2">
        <f t="shared" si="11"/>
        <v>0.22499999999999998</v>
      </c>
      <c r="E70" s="1" t="s">
        <v>43</v>
      </c>
      <c r="F70" s="2">
        <v>0.5</v>
      </c>
      <c r="G70" s="1">
        <f>J57</f>
        <v>0.15</v>
      </c>
      <c r="H70" s="1">
        <v>1</v>
      </c>
      <c r="I70" s="5" t="s">
        <v>38</v>
      </c>
      <c r="J70" s="1">
        <f>J57</f>
        <v>0.15</v>
      </c>
      <c r="K70" s="5">
        <v>0.5</v>
      </c>
      <c r="L70" s="5">
        <v>0.6</v>
      </c>
      <c r="M70" s="5">
        <v>1</v>
      </c>
      <c r="N70" s="1" t="b">
        <f t="shared" si="13"/>
        <v>0</v>
      </c>
      <c r="O70" s="1" t="b">
        <f t="shared" si="12"/>
        <v>1</v>
      </c>
      <c r="P70" s="1" t="s">
        <v>39</v>
      </c>
    </row>
    <row r="71" spans="1:17" x14ac:dyDescent="0.25">
      <c r="A71" s="1" t="s">
        <v>164</v>
      </c>
      <c r="B71" s="1" t="s">
        <v>162</v>
      </c>
      <c r="C71" s="2">
        <f t="shared" si="10"/>
        <v>0.27999999999999992</v>
      </c>
      <c r="D71" s="2">
        <f t="shared" si="11"/>
        <v>0.41999999999999987</v>
      </c>
      <c r="E71" s="1" t="s">
        <v>43</v>
      </c>
      <c r="F71" s="2">
        <v>0.5</v>
      </c>
      <c r="G71" s="1">
        <f>J58</f>
        <v>0.27999999999999992</v>
      </c>
      <c r="H71" s="1">
        <v>1</v>
      </c>
      <c r="I71" s="5" t="s">
        <v>38</v>
      </c>
      <c r="J71" s="1">
        <f>J58</f>
        <v>0.27999999999999992</v>
      </c>
      <c r="K71" s="5">
        <v>0.5</v>
      </c>
      <c r="L71" s="5">
        <v>0.6</v>
      </c>
      <c r="M71" s="5">
        <v>1</v>
      </c>
      <c r="N71" s="1" t="b">
        <f t="shared" si="13"/>
        <v>0</v>
      </c>
      <c r="O71" s="1" t="b">
        <f t="shared" si="12"/>
        <v>1</v>
      </c>
      <c r="P71" s="1" t="s">
        <v>39</v>
      </c>
    </row>
    <row r="72" spans="1:17" x14ac:dyDescent="0.25">
      <c r="A72" s="1" t="s">
        <v>165</v>
      </c>
      <c r="B72" s="1" t="s">
        <v>166</v>
      </c>
      <c r="C72" s="2">
        <f t="shared" si="10"/>
        <v>0.51</v>
      </c>
      <c r="D72" s="2">
        <f t="shared" si="11"/>
        <v>2.5</v>
      </c>
      <c r="E72"/>
      <c r="F72" s="2">
        <v>5</v>
      </c>
      <c r="G72" s="1">
        <v>0.51</v>
      </c>
      <c r="H72" s="1">
        <v>2.5</v>
      </c>
      <c r="I72" s="5" t="s">
        <v>38</v>
      </c>
      <c r="J72" s="1">
        <v>1.5</v>
      </c>
      <c r="K72" s="1">
        <v>1</v>
      </c>
      <c r="L72"/>
      <c r="M72"/>
      <c r="N72" s="1" t="b">
        <f t="shared" si="13"/>
        <v>0</v>
      </c>
      <c r="O72" s="1" t="b">
        <f t="shared" si="12"/>
        <v>1</v>
      </c>
      <c r="P72" s="1" t="s">
        <v>39</v>
      </c>
    </row>
    <row r="73" spans="1:17" x14ac:dyDescent="0.25">
      <c r="A73" s="1" t="s">
        <v>167</v>
      </c>
      <c r="B73" s="1" t="s">
        <v>166</v>
      </c>
      <c r="C73" s="2">
        <f t="shared" si="10"/>
        <v>0.51</v>
      </c>
      <c r="D73" s="2">
        <f t="shared" si="11"/>
        <v>2.5</v>
      </c>
      <c r="E73"/>
      <c r="F73" s="2">
        <v>5</v>
      </c>
      <c r="G73" s="1">
        <v>0.51</v>
      </c>
      <c r="H73" s="1">
        <v>2.5</v>
      </c>
      <c r="I73" s="5" t="s">
        <v>38</v>
      </c>
      <c r="J73" s="1">
        <v>1.5</v>
      </c>
      <c r="K73" s="1">
        <v>1</v>
      </c>
      <c r="L73"/>
      <c r="M73"/>
      <c r="N73" s="1" t="b">
        <f t="shared" si="13"/>
        <v>0</v>
      </c>
      <c r="O73" s="1" t="b">
        <f t="shared" si="12"/>
        <v>1</v>
      </c>
      <c r="P73" s="1" t="s">
        <v>39</v>
      </c>
    </row>
    <row r="74" spans="1:17" x14ac:dyDescent="0.25">
      <c r="A74" s="1" t="s">
        <v>168</v>
      </c>
      <c r="B74" s="1" t="s">
        <v>166</v>
      </c>
      <c r="C74" s="2">
        <f t="shared" si="10"/>
        <v>0.51</v>
      </c>
      <c r="D74" s="2">
        <f t="shared" si="11"/>
        <v>2.5</v>
      </c>
      <c r="E74"/>
      <c r="F74" s="2">
        <v>5</v>
      </c>
      <c r="G74" s="1">
        <v>0.51</v>
      </c>
      <c r="H74" s="1">
        <v>2.5</v>
      </c>
      <c r="I74" s="5" t="s">
        <v>38</v>
      </c>
      <c r="J74" s="1">
        <v>1.5</v>
      </c>
      <c r="K74" s="1">
        <v>1</v>
      </c>
      <c r="L74"/>
      <c r="M74"/>
      <c r="N74" s="1" t="b">
        <f t="shared" si="13"/>
        <v>0</v>
      </c>
      <c r="O74" s="1" t="b">
        <f t="shared" si="12"/>
        <v>1</v>
      </c>
      <c r="P74" s="1" t="s">
        <v>39</v>
      </c>
    </row>
    <row r="75" spans="1:17" x14ac:dyDescent="0.25">
      <c r="A75" s="5" t="s">
        <v>169</v>
      </c>
      <c r="B75" s="5" t="s">
        <v>170</v>
      </c>
      <c r="C75" s="7">
        <f t="shared" si="10"/>
        <v>100000</v>
      </c>
      <c r="D75" s="7">
        <f t="shared" si="11"/>
        <v>100000</v>
      </c>
      <c r="E75" s="5" t="s">
        <v>48</v>
      </c>
      <c r="F75" s="7">
        <v>0.5</v>
      </c>
      <c r="G75" s="5">
        <f>J75/10</f>
        <v>10000</v>
      </c>
      <c r="H75" s="5">
        <f>J75*10</f>
        <v>1000000</v>
      </c>
      <c r="I75" s="5" t="s">
        <v>21</v>
      </c>
      <c r="J75" s="5">
        <f>$J$8</f>
        <v>100000</v>
      </c>
      <c r="K75" s="5">
        <v>1000</v>
      </c>
      <c r="L75" s="8"/>
      <c r="M75" s="8"/>
      <c r="N75" s="5" t="b">
        <f t="shared" si="13"/>
        <v>1</v>
      </c>
      <c r="O75" s="5" t="b">
        <f t="shared" si="12"/>
        <v>0</v>
      </c>
      <c r="P75" s="1" t="s">
        <v>39</v>
      </c>
    </row>
    <row r="76" spans="1:17" x14ac:dyDescent="0.25">
      <c r="A76" s="5" t="s">
        <v>171</v>
      </c>
      <c r="B76" s="5" t="s">
        <v>170</v>
      </c>
      <c r="C76" s="7">
        <f t="shared" si="10"/>
        <v>100000</v>
      </c>
      <c r="D76" s="7">
        <f t="shared" si="11"/>
        <v>100000</v>
      </c>
      <c r="E76" s="5" t="s">
        <v>48</v>
      </c>
      <c r="F76" s="7">
        <v>0.5</v>
      </c>
      <c r="G76" s="5">
        <f>J76/10</f>
        <v>10000</v>
      </c>
      <c r="H76" s="5">
        <f>J76*10</f>
        <v>1000000</v>
      </c>
      <c r="I76" s="5" t="s">
        <v>21</v>
      </c>
      <c r="J76" s="5">
        <f>$J$8</f>
        <v>100000</v>
      </c>
      <c r="K76" s="5">
        <v>1000</v>
      </c>
      <c r="L76" s="8"/>
      <c r="M76" s="8"/>
      <c r="N76" s="5" t="b">
        <f t="shared" si="13"/>
        <v>1</v>
      </c>
      <c r="O76" s="5" t="b">
        <f t="shared" si="12"/>
        <v>0</v>
      </c>
      <c r="P76" s="1" t="s">
        <v>39</v>
      </c>
    </row>
    <row r="77" spans="1:17" x14ac:dyDescent="0.25">
      <c r="A77" s="5" t="s">
        <v>172</v>
      </c>
      <c r="B77" s="5" t="s">
        <v>170</v>
      </c>
      <c r="C77" s="7">
        <f t="shared" si="10"/>
        <v>100000</v>
      </c>
      <c r="D77" s="7">
        <f t="shared" si="11"/>
        <v>100000</v>
      </c>
      <c r="E77" s="5" t="s">
        <v>48</v>
      </c>
      <c r="F77" s="7">
        <v>0.5</v>
      </c>
      <c r="G77" s="5">
        <f>J77/10</f>
        <v>10000</v>
      </c>
      <c r="H77" s="5">
        <f>J77*10</f>
        <v>1000000</v>
      </c>
      <c r="I77" s="5" t="s">
        <v>21</v>
      </c>
      <c r="J77" s="5">
        <f>$J$8</f>
        <v>100000</v>
      </c>
      <c r="K77" s="5">
        <v>1000</v>
      </c>
      <c r="L77" s="8"/>
      <c r="M77" s="8"/>
      <c r="N77" s="5" t="b">
        <f t="shared" si="13"/>
        <v>1</v>
      </c>
      <c r="O77" s="5" t="b">
        <f t="shared" si="12"/>
        <v>0</v>
      </c>
      <c r="P77" s="1" t="s">
        <v>39</v>
      </c>
    </row>
    <row r="78" spans="1:17" x14ac:dyDescent="0.25">
      <c r="A78" s="5" t="s">
        <v>173</v>
      </c>
      <c r="B78" s="5" t="s">
        <v>170</v>
      </c>
      <c r="C78" s="7">
        <f t="shared" si="10"/>
        <v>100000</v>
      </c>
      <c r="D78" s="7">
        <f t="shared" si="11"/>
        <v>100000</v>
      </c>
      <c r="E78" s="5" t="s">
        <v>48</v>
      </c>
      <c r="F78" s="7">
        <v>0.5</v>
      </c>
      <c r="G78" s="5">
        <f>J78/10</f>
        <v>10000</v>
      </c>
      <c r="H78" s="5">
        <f>J78*10</f>
        <v>1000000</v>
      </c>
      <c r="I78" s="5" t="s">
        <v>21</v>
      </c>
      <c r="J78" s="5">
        <f>$J$8</f>
        <v>100000</v>
      </c>
      <c r="K78" s="5">
        <v>1000</v>
      </c>
      <c r="L78" s="8"/>
      <c r="M78" s="8"/>
      <c r="N78" s="5" t="b">
        <f t="shared" si="13"/>
        <v>1</v>
      </c>
      <c r="O78" s="5" t="b">
        <f t="shared" si="12"/>
        <v>0</v>
      </c>
      <c r="P78" s="1" t="s">
        <v>39</v>
      </c>
    </row>
    <row r="79" spans="1:17" ht="225" x14ac:dyDescent="0.25">
      <c r="A79" s="16" t="s">
        <v>217</v>
      </c>
      <c r="B79" s="16" t="s">
        <v>218</v>
      </c>
      <c r="C79" s="17">
        <f t="shared" si="10"/>
        <v>2</v>
      </c>
      <c r="D79" s="17">
        <f t="shared" si="11"/>
        <v>2</v>
      </c>
      <c r="E79" s="16" t="s">
        <v>25</v>
      </c>
      <c r="F79" s="17">
        <v>0</v>
      </c>
      <c r="G79" s="16">
        <v>1</v>
      </c>
      <c r="H79" s="17">
        <v>3</v>
      </c>
      <c r="I79" s="16" t="s">
        <v>21</v>
      </c>
      <c r="J79" s="17">
        <v>2</v>
      </c>
      <c r="K79" s="16">
        <v>1</v>
      </c>
      <c r="L79" s="16"/>
      <c r="M79" s="16"/>
      <c r="N79" s="16"/>
      <c r="O79" s="16"/>
      <c r="P79" s="16" t="s">
        <v>39</v>
      </c>
      <c r="Q79" s="18" t="s">
        <v>219</v>
      </c>
    </row>
  </sheetData>
  <autoFilter ref="A1:O78" xr:uid="{00000000-0009-0000-0000-000000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"/>
  <sheetViews>
    <sheetView tabSelected="1" zoomScale="85" zoomScaleNormal="85" workbookViewId="0">
      <selection activeCell="D8" sqref="D8"/>
    </sheetView>
  </sheetViews>
  <sheetFormatPr defaultRowHeight="15" x14ac:dyDescent="0.25"/>
  <cols>
    <col min="1" max="1" width="27.140625" customWidth="1"/>
    <col min="2" max="2" width="12.7109375"/>
    <col min="3" max="3" width="15.7109375"/>
    <col min="4" max="4" width="17" bestFit="1" customWidth="1"/>
  </cols>
  <sheetData>
    <row r="1" spans="1:4" x14ac:dyDescent="0.25">
      <c r="A1" s="1" t="s">
        <v>174</v>
      </c>
      <c r="B1" s="1" t="s">
        <v>175</v>
      </c>
      <c r="C1" s="1" t="s">
        <v>176</v>
      </c>
      <c r="D1" s="1" t="s">
        <v>177</v>
      </c>
    </row>
    <row r="2" spans="1:4" x14ac:dyDescent="0.25">
      <c r="A2" s="1">
        <v>1</v>
      </c>
      <c r="B2">
        <v>0</v>
      </c>
      <c r="C2">
        <v>0.3</v>
      </c>
      <c r="D2">
        <v>0.05</v>
      </c>
    </row>
    <row r="3" spans="1:4" x14ac:dyDescent="0.25">
      <c r="A3">
        <v>2</v>
      </c>
      <c r="B3">
        <v>0.5</v>
      </c>
      <c r="C3">
        <v>0.2</v>
      </c>
      <c r="D3">
        <v>0.1</v>
      </c>
    </row>
    <row r="4" spans="1:4" x14ac:dyDescent="0.25">
      <c r="B4">
        <v>0.9</v>
      </c>
      <c r="C4">
        <v>0.4</v>
      </c>
      <c r="D4">
        <v>0.15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3"/>
  <sheetViews>
    <sheetView zoomScale="85" zoomScaleNormal="85" workbookViewId="0">
      <selection activeCell="F4" sqref="F4"/>
    </sheetView>
  </sheetViews>
  <sheetFormatPr defaultRowHeight="15" x14ac:dyDescent="0.25"/>
  <cols>
    <col min="1" max="3" width="6.140625" style="1"/>
    <col min="4" max="4" width="16.7109375" style="1"/>
    <col min="5" max="5" width="12.42578125" style="1"/>
    <col min="6" max="6" width="15.140625" style="1"/>
    <col min="7" max="7" width="11.28515625" style="1"/>
    <col min="8" max="8" width="9.85546875"/>
    <col min="9" max="9" width="7.28515625" style="1"/>
    <col min="10" max="1025" width="6.140625" style="1"/>
  </cols>
  <sheetData>
    <row r="1" spans="1:9" x14ac:dyDescent="0.25">
      <c r="A1" s="1" t="s">
        <v>178</v>
      </c>
      <c r="B1" s="1" t="s">
        <v>179</v>
      </c>
      <c r="C1" s="1" t="s">
        <v>180</v>
      </c>
      <c r="D1" s="1" t="s">
        <v>174</v>
      </c>
      <c r="E1" s="1" t="s">
        <v>175</v>
      </c>
      <c r="F1" s="1" t="s">
        <v>176</v>
      </c>
      <c r="G1" s="1" t="s">
        <v>177</v>
      </c>
      <c r="I1"/>
    </row>
    <row r="2" spans="1:9" x14ac:dyDescent="0.25">
      <c r="A2" s="1">
        <v>1</v>
      </c>
      <c r="B2" s="1" t="str">
        <f>"C."&amp;D2&amp;"-."&amp;F2</f>
        <v>C.1-.0,3</v>
      </c>
      <c r="C2" s="1">
        <v>1</v>
      </c>
      <c r="D2" s="1">
        <v>1</v>
      </c>
      <c r="E2" s="1">
        <v>0</v>
      </c>
      <c r="F2" s="1">
        <v>0.3</v>
      </c>
      <c r="G2" s="1">
        <v>1E-3</v>
      </c>
    </row>
    <row r="3" spans="1:9" x14ac:dyDescent="0.25">
      <c r="D3" s="1">
        <v>1</v>
      </c>
      <c r="E3" s="1">
        <v>1</v>
      </c>
      <c r="F3" s="1">
        <v>0.3</v>
      </c>
      <c r="G3" s="1">
        <v>1E-3</v>
      </c>
    </row>
  </sheetData>
  <autoFilter ref="A1:G15" xr:uid="{00000000-0009-0000-0000-000002000000}"/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"/>
  <sheetViews>
    <sheetView zoomScale="85" zoomScaleNormal="85" workbookViewId="0">
      <selection activeCell="D18" sqref="D18"/>
    </sheetView>
  </sheetViews>
  <sheetFormatPr defaultRowHeight="15" x14ac:dyDescent="0.25"/>
  <cols>
    <col min="1" max="1025" width="8.140625"/>
  </cols>
  <sheetData>
    <row r="1" spans="1:3" x14ac:dyDescent="0.25">
      <c r="A1" s="15" t="s">
        <v>181</v>
      </c>
      <c r="B1" t="s">
        <v>182</v>
      </c>
      <c r="C1" t="s">
        <v>183</v>
      </c>
    </row>
    <row r="2" spans="1:3" x14ac:dyDescent="0.25">
      <c r="A2">
        <v>2015</v>
      </c>
      <c r="B2">
        <v>2025</v>
      </c>
      <c r="C2">
        <v>0.125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="85" zoomScaleNormal="85" workbookViewId="0">
      <selection activeCell="D18" sqref="D18"/>
    </sheetView>
  </sheetViews>
  <sheetFormatPr defaultRowHeight="15" x14ac:dyDescent="0.25"/>
  <cols>
    <col min="2" max="2" width="15.85546875"/>
    <col min="3" max="4" width="14.85546875"/>
    <col min="5" max="5" width="6.140625"/>
    <col min="6" max="1025" width="8.140625"/>
  </cols>
  <sheetData>
    <row r="1" spans="1:5" x14ac:dyDescent="0.25">
      <c r="A1" t="s">
        <v>184</v>
      </c>
      <c r="B1" t="s">
        <v>185</v>
      </c>
      <c r="C1" t="s">
        <v>186</v>
      </c>
      <c r="D1" t="s">
        <v>187</v>
      </c>
      <c r="E1" t="s">
        <v>188</v>
      </c>
    </row>
    <row r="2" spans="1:5" x14ac:dyDescent="0.25">
      <c r="B2" t="s">
        <v>189</v>
      </c>
      <c r="C2" t="s">
        <v>190</v>
      </c>
      <c r="D2" t="s">
        <v>190</v>
      </c>
    </row>
    <row r="3" spans="1:5" x14ac:dyDescent="0.25">
      <c r="B3" t="s">
        <v>191</v>
      </c>
      <c r="C3" t="s">
        <v>192</v>
      </c>
      <c r="D3" t="s">
        <v>192</v>
      </c>
    </row>
    <row r="4" spans="1:5" x14ac:dyDescent="0.25">
      <c r="B4" t="s">
        <v>193</v>
      </c>
      <c r="C4" t="s">
        <v>194</v>
      </c>
      <c r="D4" t="s">
        <v>194</v>
      </c>
    </row>
    <row r="5" spans="1:5" x14ac:dyDescent="0.25">
      <c r="B5" t="s">
        <v>195</v>
      </c>
      <c r="C5" t="s">
        <v>196</v>
      </c>
      <c r="D5" t="s">
        <v>196</v>
      </c>
    </row>
    <row r="6" spans="1:5" x14ac:dyDescent="0.25">
      <c r="B6" t="s">
        <v>197</v>
      </c>
      <c r="C6" t="s">
        <v>198</v>
      </c>
      <c r="D6" t="s">
        <v>198</v>
      </c>
    </row>
    <row r="7" spans="1:5" x14ac:dyDescent="0.25">
      <c r="B7" t="s">
        <v>199</v>
      </c>
      <c r="C7" t="s">
        <v>200</v>
      </c>
      <c r="D7" t="s">
        <v>200</v>
      </c>
    </row>
    <row r="8" spans="1:5" x14ac:dyDescent="0.25">
      <c r="B8" t="s">
        <v>201</v>
      </c>
      <c r="C8" t="s">
        <v>202</v>
      </c>
      <c r="D8" t="s">
        <v>202</v>
      </c>
    </row>
    <row r="9" spans="1:5" x14ac:dyDescent="0.25">
      <c r="B9" t="s">
        <v>203</v>
      </c>
      <c r="C9" t="s">
        <v>204</v>
      </c>
      <c r="D9" t="s">
        <v>204</v>
      </c>
    </row>
    <row r="10" spans="1:5" x14ac:dyDescent="0.25">
      <c r="B10" t="s">
        <v>205</v>
      </c>
      <c r="C10" t="s">
        <v>206</v>
      </c>
      <c r="D10" t="s">
        <v>206</v>
      </c>
    </row>
    <row r="11" spans="1:5" x14ac:dyDescent="0.25">
      <c r="B11" t="s">
        <v>207</v>
      </c>
      <c r="C11" t="s">
        <v>208</v>
      </c>
      <c r="D11" t="s">
        <v>208</v>
      </c>
    </row>
    <row r="12" spans="1:5" x14ac:dyDescent="0.25">
      <c r="B12" t="s">
        <v>209</v>
      </c>
      <c r="C12" t="s">
        <v>210</v>
      </c>
      <c r="D12" t="s">
        <v>210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D12" sqref="D12"/>
    </sheetView>
  </sheetViews>
  <sheetFormatPr defaultRowHeight="15" x14ac:dyDescent="0.25"/>
  <cols>
    <col min="1" max="1" width="17.28515625"/>
  </cols>
  <sheetData>
    <row r="1" spans="1:3" x14ac:dyDescent="0.25">
      <c r="A1" t="s">
        <v>0</v>
      </c>
      <c r="B1" t="s">
        <v>2</v>
      </c>
      <c r="C1" t="s">
        <v>3</v>
      </c>
    </row>
    <row r="2" spans="1:3" x14ac:dyDescent="0.25">
      <c r="A2" t="s">
        <v>211</v>
      </c>
      <c r="B2">
        <v>250</v>
      </c>
      <c r="C2">
        <f>12000*1.5^10</f>
        <v>691980.46875</v>
      </c>
    </row>
    <row r="3" spans="1:3" x14ac:dyDescent="0.25">
      <c r="A3" t="s">
        <v>212</v>
      </c>
      <c r="B3">
        <v>10000</v>
      </c>
      <c r="C3">
        <f>200000*4</f>
        <v>800000</v>
      </c>
    </row>
    <row r="4" spans="1:3" x14ac:dyDescent="0.25">
      <c r="A4" t="s">
        <v>213</v>
      </c>
      <c r="B4">
        <v>10000</v>
      </c>
      <c r="C4">
        <f>200000*4</f>
        <v>800000</v>
      </c>
    </row>
    <row r="5" spans="1:3" x14ac:dyDescent="0.25">
      <c r="A5" t="s">
        <v>214</v>
      </c>
      <c r="B5">
        <v>10000</v>
      </c>
      <c r="C5">
        <f>200000*4</f>
        <v>800000</v>
      </c>
    </row>
    <row r="6" spans="1:3" x14ac:dyDescent="0.25">
      <c r="A6" t="s">
        <v>215</v>
      </c>
      <c r="B6">
        <v>10000</v>
      </c>
      <c r="C6">
        <f>200000*4</f>
        <v>800000</v>
      </c>
    </row>
    <row r="7" spans="1:3" x14ac:dyDescent="0.25">
      <c r="A7" t="s">
        <v>216</v>
      </c>
      <c r="B7">
        <v>-2</v>
      </c>
      <c r="C7">
        <v>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708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45</vt:i4>
      </vt:variant>
    </vt:vector>
  </HeadingPairs>
  <TitlesOfParts>
    <vt:vector size="51" baseType="lpstr">
      <vt:lpstr>params</vt:lpstr>
      <vt:lpstr>Levers_FullDesign</vt:lpstr>
      <vt:lpstr>levers</vt:lpstr>
      <vt:lpstr>configs</vt:lpstr>
      <vt:lpstr>VariableNames</vt:lpstr>
      <vt:lpstr>RangesPlausiveis</vt:lpstr>
      <vt:lpstr>levers!_FilterDatabase_0</vt:lpstr>
      <vt:lpstr>params!_FilterDatabase_0</vt:lpstr>
      <vt:lpstr>levers!_FilterDatabase_0_0</vt:lpstr>
      <vt:lpstr>params!_FilterDatabase_0_0</vt:lpstr>
      <vt:lpstr>levers!_FilterDatabase_0_0_0</vt:lpstr>
      <vt:lpstr>params!_FilterDatabase_0_0_0</vt:lpstr>
      <vt:lpstr>levers!_FilterDatabase_0_0_0_0</vt:lpstr>
      <vt:lpstr>params!_FilterDatabase_0_0_0_0</vt:lpstr>
      <vt:lpstr>levers!_FilterDatabase_0_0_0_0_0</vt:lpstr>
      <vt:lpstr>params!_FilterDatabase_0_0_0_0_0</vt:lpstr>
      <vt:lpstr>levers!_FilterDatabase_0_0_0_0_0_0</vt:lpstr>
      <vt:lpstr>params!_FilterDatabase_0_0_0_0_0_0</vt:lpstr>
      <vt:lpstr>levers!_FilterDatabase_0_0_0_0_0_0_0</vt:lpstr>
      <vt:lpstr>params!_FilterDatabase_0_0_0_0_0_0_0</vt:lpstr>
      <vt:lpstr>levers!_FilterDatabase_0_0_0_0_0_0_0_0</vt:lpstr>
      <vt:lpstr>params!_FilterDatabase_0_0_0_0_0_0_0_0</vt:lpstr>
      <vt:lpstr>levers!_FilterDatabase_0_0_0_0_0_0_0_0_0</vt:lpstr>
      <vt:lpstr>params!_FilterDatabase_0_0_0_0_0_0_0_0_0</vt:lpstr>
      <vt:lpstr>levers!_FilterDatabase_0_0_0_0_0_0_0_0_0_0</vt:lpstr>
      <vt:lpstr>params!_FilterDatabase_0_0_0_0_0_0_0_0_0_0</vt:lpstr>
      <vt:lpstr>levers!_FilterDatabase_0_0_0_0_0_0_0_0_0_0_0</vt:lpstr>
      <vt:lpstr>params!_FilterDatabase_0_0_0_0_0_0_0_0_0_0_0</vt:lpstr>
      <vt:lpstr>levers!_FilterDatabase_0_0_0_0_0_0_0_0_0_0_0_0</vt:lpstr>
      <vt:lpstr>params!_FilterDatabase_0_0_0_0_0_0_0_0_0_0_0_0</vt:lpstr>
      <vt:lpstr>levers!_FilterDatabase_0_0_0_0_0_0_0_0_0_0_0_0_0</vt:lpstr>
      <vt:lpstr>params!_FilterDatabase_0_0_0_0_0_0_0_0_0_0_0_0_0</vt:lpstr>
      <vt:lpstr>levers!_FilterDatabase_0_0_0_0_0_0_0_0_0_0_0_0_0_0</vt:lpstr>
      <vt:lpstr>params!_FilterDatabase_0_0_0_0_0_0_0_0_0_0_0_0_0_0</vt:lpstr>
      <vt:lpstr>levers!_FilterDatabase_0_0_0_0_0_0_0_0_0_0_0_0_0_0_0</vt:lpstr>
      <vt:lpstr>params!_FilterDatabase_0_0_0_0_0_0_0_0_0_0_0_0_0_0_0</vt:lpstr>
      <vt:lpstr>levers!_FilterDatabase_0_0_0_0_0_0_0_0_0_0_0_0_0_0_0_0</vt:lpstr>
      <vt:lpstr>params!_FilterDatabase_0_0_0_0_0_0_0_0_0_0_0_0_0_0_0_0</vt:lpstr>
      <vt:lpstr>levers!_FilterDatabase_0_0_0_0_0_0_0_0_0_0_0_0_0_0_0_0_0</vt:lpstr>
      <vt:lpstr>params!_FilterDatabase_0_0_0_0_0_0_0_0_0_0_0_0_0_0_0_0_0</vt:lpstr>
      <vt:lpstr>levers!_FilterDatabase_0_0_0_0_0_0_0_0_0_0_0_0_0_0_0_0_0_0</vt:lpstr>
      <vt:lpstr>params!_FilterDatabase_0_0_0_0_0_0_0_0_0_0_0_0_0_0_0_0_0_0</vt:lpstr>
      <vt:lpstr>levers!_FilterDatabase_0_0_0_0_0_0_0_0_0_0_0_0_0_0_0_0_0_0_0</vt:lpstr>
      <vt:lpstr>levers!_FilterDatabase_0_0_0_0_0_0_0_0_0_0_0_0_0_0_0_0_0_0_0_0</vt:lpstr>
      <vt:lpstr>levers!_FilterDatabase_0_0_0_0_0_0_0_0_0_0_0_0_0_0_0_0_0_0_0_0_0</vt:lpstr>
      <vt:lpstr>levers!_FilterDatabase_0_0_0_0_0_0_0_0_0_0_0_0_0_0_0_0_0_0_0_0_0_0</vt:lpstr>
      <vt:lpstr>levers!_FilterDatabase_0_0_0_0_0_0_0_0_0_0_0_0_0_0_0_0_0_0_0_0_0_0_0</vt:lpstr>
      <vt:lpstr>levers!_FilterDatabase_0_0_0_0_0_0_0_0_0_0_0_0_0_0_0_0_0_0_0_0_0_0_0_0</vt:lpstr>
      <vt:lpstr>levers!_FilterDatabase_0_0_0_0_0_0_0_0_0_0_0_0_0_0_0_0_0_0_0_0_0_0_0_0_0</vt:lpstr>
      <vt:lpstr>levers!_FiltrarBancodeDados</vt:lpstr>
      <vt:lpstr>params!_FiltrarBancodeDados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Pedro Lima</dc:creator>
  <dc:description/>
  <cp:lastModifiedBy>Pedro Lima</cp:lastModifiedBy>
  <cp:revision>101</cp:revision>
  <cp:lastPrinted>2017-12-21T04:52:12Z</cp:lastPrinted>
  <dcterms:created xsi:type="dcterms:W3CDTF">2017-09-19T17:02:08Z</dcterms:created>
  <dcterms:modified xsi:type="dcterms:W3CDTF">2018-01-05T17:07:44Z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