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12"/>
  <workbookPr/>
  <mc:AlternateContent xmlns:mc="http://schemas.openxmlformats.org/markup-compatibility/2006">
    <mc:Choice Requires="x15">
      <x15ac:absPath xmlns:x15ac="http://schemas.microsoft.com/office/spreadsheetml/2010/11/ac" url="C:\Users\Fatec\Downloads\"/>
    </mc:Choice>
  </mc:AlternateContent>
  <xr:revisionPtr revIDLastSave="0" documentId="13_ncr:1_{B841C431-5F14-479A-B281-754DC79488A1}" xr6:coauthVersionLast="47" xr6:coauthVersionMax="47" xr10:uidLastSave="{00000000-0000-0000-0000-000000000000}"/>
  <bookViews>
    <workbookView xWindow="0" yWindow="0" windowWidth="28800" windowHeight="12105" firstSheet="2" activeTab="2" xr2:uid="{00000000-000D-0000-FFFF-FFFF00000000}"/>
  </bookViews>
  <sheets>
    <sheet name="Pesquisa Inicial" sheetId="2" r:id="rId1"/>
    <sheet name="inicial" sheetId="16" r:id="rId2"/>
    <sheet name="planejamento mensal" sheetId="15" r:id="rId3"/>
    <sheet name="Planilha1" sheetId="18" r:id="rId4"/>
    <sheet name="Vendas regional" sheetId="14" r:id="rId5"/>
    <sheet name="Franquia" sheetId="8" r:id="rId6"/>
    <sheet name="CUSTO ARMAZÉM" sheetId="9" r:id="rId7"/>
    <sheet name="CUSTO EQUIPES FUNCIONÁRIOS_x0009__x0009__x0009_" sheetId="10" r:id="rId8"/>
    <sheet name="VALOR DOS PACOTES DE SERVIÇO_x0009__x0009_" sheetId="11" r:id="rId9"/>
    <sheet name="POSTO DE ATENDIMENTO (PA)_x0009__x0009__x0009__x0009__x0009__x0009_" sheetId="12" r:id="rId10"/>
    <sheet name="DADOS" sheetId="3" r:id="rId11"/>
    <sheet name="GRÁFICO" sheetId="6" state="hidden" r:id="rId12"/>
    <sheet name="Planilha1 (2)" sheetId="5" state="hidden" r:id="rId1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04" i="15" l="1"/>
  <c r="Q95" i="15"/>
  <c r="Q86" i="15"/>
  <c r="Q77" i="15"/>
  <c r="Q68" i="15"/>
  <c r="Q60" i="15"/>
  <c r="Q51" i="15"/>
  <c r="Q42" i="15"/>
  <c r="Q33" i="15"/>
  <c r="Q25" i="15"/>
  <c r="Q16" i="15"/>
  <c r="A19" i="12"/>
  <c r="A20" i="12"/>
  <c r="B20" i="12" l="1"/>
  <c r="N3" i="15"/>
  <c r="K7" i="15" l="1"/>
  <c r="J7" i="15"/>
  <c r="I7" i="15"/>
  <c r="G7" i="15"/>
  <c r="E19" i="9"/>
  <c r="N103" i="15"/>
  <c r="T103" i="15" s="1"/>
  <c r="N102" i="15"/>
  <c r="T102" i="15" s="1"/>
  <c r="N101" i="15"/>
  <c r="N100" i="15"/>
  <c r="N94" i="15"/>
  <c r="N93" i="15"/>
  <c r="N92" i="15"/>
  <c r="T92" i="15" s="1"/>
  <c r="N91" i="15"/>
  <c r="N85" i="15"/>
  <c r="T85" i="15" s="1"/>
  <c r="N84" i="15"/>
  <c r="N83" i="15"/>
  <c r="N82" i="15"/>
  <c r="N76" i="15"/>
  <c r="N75" i="15"/>
  <c r="N74" i="15"/>
  <c r="N73" i="15"/>
  <c r="N67" i="15"/>
  <c r="T67" i="15" s="1"/>
  <c r="N66" i="15"/>
  <c r="N65" i="15"/>
  <c r="T65" i="15" s="1"/>
  <c r="N64" i="15"/>
  <c r="N59" i="15"/>
  <c r="N58" i="15"/>
  <c r="N57" i="15"/>
  <c r="N56" i="15"/>
  <c r="N50" i="15"/>
  <c r="N49" i="15"/>
  <c r="T49" i="15" s="1"/>
  <c r="N48" i="15"/>
  <c r="T48" i="15" s="1"/>
  <c r="N47" i="15"/>
  <c r="N41" i="15"/>
  <c r="N40" i="15"/>
  <c r="N39" i="15"/>
  <c r="T39" i="15" s="1"/>
  <c r="N38" i="15"/>
  <c r="T38" i="15" s="1"/>
  <c r="N32" i="15"/>
  <c r="T32" i="15" s="1"/>
  <c r="N31" i="15"/>
  <c r="N30" i="15"/>
  <c r="N29" i="15"/>
  <c r="N24" i="15"/>
  <c r="N23" i="15"/>
  <c r="N22" i="15"/>
  <c r="N21" i="15"/>
  <c r="N15" i="15"/>
  <c r="N14" i="15"/>
  <c r="N13" i="15"/>
  <c r="N12" i="15"/>
  <c r="E16" i="10"/>
  <c r="C16" i="10"/>
  <c r="D16" i="10"/>
  <c r="N5" i="15"/>
  <c r="T5" i="15" s="1"/>
  <c r="N6" i="15"/>
  <c r="T6" i="15" s="1"/>
  <c r="T101" i="15"/>
  <c r="T94" i="15"/>
  <c r="T93" i="15"/>
  <c r="T91" i="15"/>
  <c r="T84" i="15"/>
  <c r="T83" i="15"/>
  <c r="T82" i="15"/>
  <c r="T73" i="15"/>
  <c r="T76" i="15"/>
  <c r="T75" i="15"/>
  <c r="T74" i="15"/>
  <c r="T66" i="15"/>
  <c r="T64" i="15"/>
  <c r="T59" i="15"/>
  <c r="T58" i="15"/>
  <c r="T57" i="15"/>
  <c r="T56" i="15"/>
  <c r="T60" i="15" s="1"/>
  <c r="T50" i="15"/>
  <c r="T41" i="15"/>
  <c r="T40" i="15"/>
  <c r="T47" i="15"/>
  <c r="T29" i="15"/>
  <c r="T31" i="15"/>
  <c r="T30" i="15"/>
  <c r="T22" i="15"/>
  <c r="T23" i="15"/>
  <c r="T24" i="15"/>
  <c r="T21" i="15"/>
  <c r="T12" i="15"/>
  <c r="T3" i="15"/>
  <c r="N4" i="15"/>
  <c r="T4" i="15" s="1"/>
  <c r="U101" i="15"/>
  <c r="U102" i="15"/>
  <c r="U103" i="15"/>
  <c r="U100" i="15"/>
  <c r="U104" i="15" s="1"/>
  <c r="U92" i="15"/>
  <c r="U93" i="15"/>
  <c r="U94" i="15"/>
  <c r="U91" i="15"/>
  <c r="U95" i="15" s="1"/>
  <c r="U83" i="15"/>
  <c r="U84" i="15"/>
  <c r="U85" i="15"/>
  <c r="U82" i="15"/>
  <c r="U86" i="15" s="1"/>
  <c r="U73" i="15"/>
  <c r="U74" i="15"/>
  <c r="U75" i="15"/>
  <c r="U76" i="15"/>
  <c r="U65" i="15"/>
  <c r="U66" i="15"/>
  <c r="U67" i="15"/>
  <c r="U64" i="15"/>
  <c r="U68" i="15" s="1"/>
  <c r="U57" i="15"/>
  <c r="U58" i="15"/>
  <c r="U59" i="15"/>
  <c r="U56" i="15"/>
  <c r="U60" i="15" s="1"/>
  <c r="U48" i="15"/>
  <c r="U49" i="15"/>
  <c r="U50" i="15"/>
  <c r="U47" i="15"/>
  <c r="U51" i="15" s="1"/>
  <c r="U39" i="15"/>
  <c r="U40" i="15"/>
  <c r="U41" i="15"/>
  <c r="U38" i="15"/>
  <c r="U42" i="15" s="1"/>
  <c r="U30" i="15"/>
  <c r="U31" i="15"/>
  <c r="U32" i="15"/>
  <c r="U29" i="15"/>
  <c r="U33" i="15" s="1"/>
  <c r="U22" i="15"/>
  <c r="U23" i="15"/>
  <c r="U24" i="15"/>
  <c r="U21" i="15"/>
  <c r="U25" i="15" s="1"/>
  <c r="U13" i="15"/>
  <c r="U14" i="15"/>
  <c r="U15" i="15"/>
  <c r="U12" i="15"/>
  <c r="U16" i="15" s="1"/>
  <c r="U4" i="15"/>
  <c r="U5" i="15"/>
  <c r="U6" i="15"/>
  <c r="U3" i="15"/>
  <c r="U7" i="15" s="1"/>
  <c r="T15" i="15"/>
  <c r="T14" i="15"/>
  <c r="T13" i="15"/>
  <c r="A21" i="12"/>
  <c r="E12" i="15"/>
  <c r="F12" i="15" s="1"/>
  <c r="H12" i="15" s="1"/>
  <c r="L12" i="15" s="1"/>
  <c r="E13" i="15"/>
  <c r="F13" i="15" s="1"/>
  <c r="H13" i="15" s="1"/>
  <c r="L13" i="15" s="1"/>
  <c r="R13" i="15" s="1"/>
  <c r="E14" i="15"/>
  <c r="F14" i="15" s="1"/>
  <c r="H14" i="15" s="1"/>
  <c r="L14" i="15" s="1"/>
  <c r="E15" i="15"/>
  <c r="F15" i="15" s="1"/>
  <c r="H15" i="15" s="1"/>
  <c r="L15" i="15" s="1"/>
  <c r="R15" i="15" s="1"/>
  <c r="G19" i="9"/>
  <c r="B19" i="12"/>
  <c r="E15" i="10"/>
  <c r="E14" i="10"/>
  <c r="D15" i="10"/>
  <c r="D14" i="10"/>
  <c r="C15" i="10"/>
  <c r="C14" i="10"/>
  <c r="C17" i="10" s="1"/>
  <c r="Q7" i="15"/>
  <c r="E103" i="15"/>
  <c r="F103" i="15" s="1"/>
  <c r="H103" i="15" s="1"/>
  <c r="L103" i="15" s="1"/>
  <c r="R103" i="15" s="1"/>
  <c r="E102" i="15"/>
  <c r="F102" i="15" s="1"/>
  <c r="H102" i="15" s="1"/>
  <c r="L102" i="15" s="1"/>
  <c r="M102" i="15" s="1"/>
  <c r="P102" i="15" s="1"/>
  <c r="E101" i="15"/>
  <c r="F101" i="15" s="1"/>
  <c r="H101" i="15" s="1"/>
  <c r="L101" i="15" s="1"/>
  <c r="R101" i="15" s="1"/>
  <c r="E100" i="15"/>
  <c r="F100" i="15" s="1"/>
  <c r="H100" i="15" s="1"/>
  <c r="L100" i="15" s="1"/>
  <c r="L104" i="15" s="1"/>
  <c r="Q105" i="15" s="1"/>
  <c r="E94" i="15"/>
  <c r="F94" i="15" s="1"/>
  <c r="H94" i="15" s="1"/>
  <c r="L94" i="15" s="1"/>
  <c r="R94" i="15" s="1"/>
  <c r="E93" i="15"/>
  <c r="F93" i="15" s="1"/>
  <c r="H93" i="15" s="1"/>
  <c r="L93" i="15" s="1"/>
  <c r="R93" i="15" s="1"/>
  <c r="E92" i="15"/>
  <c r="F92" i="15" s="1"/>
  <c r="H92" i="15" s="1"/>
  <c r="L92" i="15" s="1"/>
  <c r="E91" i="15"/>
  <c r="F91" i="15" s="1"/>
  <c r="H91" i="15" s="1"/>
  <c r="L91" i="15" s="1"/>
  <c r="E85" i="15"/>
  <c r="F85" i="15" s="1"/>
  <c r="H85" i="15" s="1"/>
  <c r="L85" i="15" s="1"/>
  <c r="E84" i="15"/>
  <c r="F84" i="15" s="1"/>
  <c r="H84" i="15" s="1"/>
  <c r="L84" i="15" s="1"/>
  <c r="M84" i="15" s="1"/>
  <c r="P84" i="15" s="1"/>
  <c r="E83" i="15"/>
  <c r="F83" i="15" s="1"/>
  <c r="H83" i="15" s="1"/>
  <c r="L83" i="15" s="1"/>
  <c r="M83" i="15" s="1"/>
  <c r="P83" i="15" s="1"/>
  <c r="E82" i="15"/>
  <c r="F82" i="15" s="1"/>
  <c r="H82" i="15" s="1"/>
  <c r="L82" i="15" s="1"/>
  <c r="E76" i="15"/>
  <c r="F76" i="15" s="1"/>
  <c r="H76" i="15" s="1"/>
  <c r="L76" i="15" s="1"/>
  <c r="E75" i="15"/>
  <c r="F75" i="15" s="1"/>
  <c r="H75" i="15" s="1"/>
  <c r="L75" i="15" s="1"/>
  <c r="E74" i="15"/>
  <c r="F74" i="15" s="1"/>
  <c r="H74" i="15" s="1"/>
  <c r="L74" i="15" s="1"/>
  <c r="R74" i="15" s="1"/>
  <c r="E73" i="15"/>
  <c r="F73" i="15" s="1"/>
  <c r="H73" i="15" s="1"/>
  <c r="L73" i="15" s="1"/>
  <c r="E67" i="15"/>
  <c r="F67" i="15" s="1"/>
  <c r="H67" i="15" s="1"/>
  <c r="L67" i="15" s="1"/>
  <c r="E66" i="15"/>
  <c r="F66" i="15" s="1"/>
  <c r="H66" i="15" s="1"/>
  <c r="L66" i="15" s="1"/>
  <c r="M66" i="15" s="1"/>
  <c r="P66" i="15" s="1"/>
  <c r="E65" i="15"/>
  <c r="F65" i="15" s="1"/>
  <c r="H65" i="15" s="1"/>
  <c r="L65" i="15" s="1"/>
  <c r="E64" i="15"/>
  <c r="F64" i="15" s="1"/>
  <c r="H64" i="15" s="1"/>
  <c r="L64" i="15" s="1"/>
  <c r="E59" i="15"/>
  <c r="F59" i="15" s="1"/>
  <c r="H59" i="15" s="1"/>
  <c r="L59" i="15" s="1"/>
  <c r="E58" i="15"/>
  <c r="F58" i="15" s="1"/>
  <c r="H58" i="15" s="1"/>
  <c r="L58" i="15" s="1"/>
  <c r="E57" i="15"/>
  <c r="F57" i="15" s="1"/>
  <c r="H57" i="15" s="1"/>
  <c r="L57" i="15" s="1"/>
  <c r="M57" i="15" s="1"/>
  <c r="P57" i="15" s="1"/>
  <c r="E56" i="15"/>
  <c r="F56" i="15" s="1"/>
  <c r="H56" i="15" s="1"/>
  <c r="L56" i="15" s="1"/>
  <c r="E50" i="15"/>
  <c r="F50" i="15" s="1"/>
  <c r="H50" i="15" s="1"/>
  <c r="L50" i="15" s="1"/>
  <c r="R50" i="15" s="1"/>
  <c r="E49" i="15"/>
  <c r="F49" i="15" s="1"/>
  <c r="H49" i="15" s="1"/>
  <c r="L49" i="15" s="1"/>
  <c r="E48" i="15"/>
  <c r="F48" i="15" s="1"/>
  <c r="H48" i="15" s="1"/>
  <c r="L48" i="15" s="1"/>
  <c r="R48" i="15" s="1"/>
  <c r="E47" i="15"/>
  <c r="F47" i="15" s="1"/>
  <c r="H47" i="15" s="1"/>
  <c r="L47" i="15" s="1"/>
  <c r="E41" i="15"/>
  <c r="F41" i="15" s="1"/>
  <c r="H41" i="15" s="1"/>
  <c r="L41" i="15" s="1"/>
  <c r="R41" i="15" s="1"/>
  <c r="E40" i="15"/>
  <c r="F40" i="15" s="1"/>
  <c r="H40" i="15" s="1"/>
  <c r="L40" i="15" s="1"/>
  <c r="M40" i="15" s="1"/>
  <c r="P40" i="15" s="1"/>
  <c r="E39" i="15"/>
  <c r="F39" i="15" s="1"/>
  <c r="H39" i="15" s="1"/>
  <c r="L39" i="15" s="1"/>
  <c r="E38" i="15"/>
  <c r="F38" i="15" s="1"/>
  <c r="H38" i="15" s="1"/>
  <c r="L38" i="15" s="1"/>
  <c r="L42" i="15" s="1"/>
  <c r="Q43" i="15" s="1"/>
  <c r="E32" i="15"/>
  <c r="F32" i="15" s="1"/>
  <c r="H32" i="15" s="1"/>
  <c r="L32" i="15" s="1"/>
  <c r="E31" i="15"/>
  <c r="F31" i="15" s="1"/>
  <c r="H31" i="15" s="1"/>
  <c r="L31" i="15" s="1"/>
  <c r="E30" i="15"/>
  <c r="F30" i="15" s="1"/>
  <c r="H30" i="15" s="1"/>
  <c r="L30" i="15" s="1"/>
  <c r="R30" i="15" s="1"/>
  <c r="E29" i="15"/>
  <c r="F29" i="15" s="1"/>
  <c r="H29" i="15" s="1"/>
  <c r="L29" i="15" s="1"/>
  <c r="E24" i="15"/>
  <c r="F24" i="15" s="1"/>
  <c r="H24" i="15" s="1"/>
  <c r="L24" i="15" s="1"/>
  <c r="M24" i="15" s="1"/>
  <c r="P24" i="15" s="1"/>
  <c r="E23" i="15"/>
  <c r="F23" i="15" s="1"/>
  <c r="H23" i="15" s="1"/>
  <c r="L23" i="15" s="1"/>
  <c r="R23" i="15" s="1"/>
  <c r="E22" i="15"/>
  <c r="F22" i="15" s="1"/>
  <c r="H22" i="15" s="1"/>
  <c r="L22" i="15" s="1"/>
  <c r="M22" i="15" s="1"/>
  <c r="P22" i="15" s="1"/>
  <c r="E21" i="15"/>
  <c r="F21" i="15" s="1"/>
  <c r="H21" i="15" s="1"/>
  <c r="L21" i="15" s="1"/>
  <c r="D19" i="9"/>
  <c r="C4" i="16" s="1"/>
  <c r="E3" i="15"/>
  <c r="F3" i="15" s="1"/>
  <c r="E5" i="15"/>
  <c r="F5" i="15" s="1"/>
  <c r="H5" i="15" s="1"/>
  <c r="L5" i="15" s="1"/>
  <c r="R5" i="15" s="1"/>
  <c r="E4" i="15"/>
  <c r="F4" i="15" s="1"/>
  <c r="H4" i="15" s="1"/>
  <c r="L4" i="15" s="1"/>
  <c r="R4" i="15" s="1"/>
  <c r="E6" i="15"/>
  <c r="F6" i="15" s="1"/>
  <c r="H6" i="15" s="1"/>
  <c r="L6" i="15" s="1"/>
  <c r="R6" i="15" s="1"/>
  <c r="H3" i="15" l="1"/>
  <c r="L3" i="15" s="1"/>
  <c r="F7" i="15"/>
  <c r="R21" i="15"/>
  <c r="L25" i="15"/>
  <c r="Q26" i="15" s="1"/>
  <c r="M29" i="15"/>
  <c r="P29" i="15" s="1"/>
  <c r="L33" i="15"/>
  <c r="Q34" i="15" s="1"/>
  <c r="R47" i="15"/>
  <c r="L51" i="15"/>
  <c r="Q52" i="15" s="1"/>
  <c r="R56" i="15"/>
  <c r="L60" i="15"/>
  <c r="Q61" i="15" s="1"/>
  <c r="R64" i="15"/>
  <c r="L68" i="15"/>
  <c r="Q69" i="15" s="1"/>
  <c r="R73" i="15"/>
  <c r="L77" i="15"/>
  <c r="Q78" i="15" s="1"/>
  <c r="M82" i="15"/>
  <c r="P82" i="15" s="1"/>
  <c r="L86" i="15"/>
  <c r="Q87" i="15" s="1"/>
  <c r="R91" i="15"/>
  <c r="L95" i="15"/>
  <c r="Q96" i="15" s="1"/>
  <c r="R12" i="15"/>
  <c r="L16" i="15"/>
  <c r="Q17" i="15" s="1"/>
  <c r="M67" i="15"/>
  <c r="P67" i="15" s="1"/>
  <c r="R67" i="15"/>
  <c r="U77" i="15"/>
  <c r="T16" i="15"/>
  <c r="E17" i="10"/>
  <c r="M92" i="15"/>
  <c r="P92" i="15" s="1"/>
  <c r="M75" i="15"/>
  <c r="P75" i="15" s="1"/>
  <c r="M59" i="15"/>
  <c r="P59" i="15" s="1"/>
  <c r="M49" i="15"/>
  <c r="P49" i="15" s="1"/>
  <c r="M101" i="15"/>
  <c r="P101" i="15" s="1"/>
  <c r="M93" i="15"/>
  <c r="P93" i="15" s="1"/>
  <c r="R29" i="15"/>
  <c r="M23" i="15"/>
  <c r="P23" i="15" s="1"/>
  <c r="M12" i="15"/>
  <c r="P12" i="15" s="1"/>
  <c r="M100" i="15"/>
  <c r="P100" i="15" s="1"/>
  <c r="R100" i="15"/>
  <c r="R102" i="15"/>
  <c r="M103" i="15"/>
  <c r="P103" i="15" s="1"/>
  <c r="M94" i="15"/>
  <c r="P94" i="15" s="1"/>
  <c r="M91" i="15"/>
  <c r="P91" i="15" s="1"/>
  <c r="R85" i="15"/>
  <c r="M85" i="15"/>
  <c r="P85" i="15" s="1"/>
  <c r="R83" i="15"/>
  <c r="R76" i="15"/>
  <c r="M76" i="15"/>
  <c r="P76" i="15" s="1"/>
  <c r="M73" i="15"/>
  <c r="P73" i="15" s="1"/>
  <c r="M74" i="15"/>
  <c r="P74" i="15" s="1"/>
  <c r="R65" i="15"/>
  <c r="M65" i="15"/>
  <c r="P65" i="15" s="1"/>
  <c r="M64" i="15"/>
  <c r="P64" i="15" s="1"/>
  <c r="R58" i="15"/>
  <c r="M58" i="15"/>
  <c r="P58" i="15" s="1"/>
  <c r="M56" i="15"/>
  <c r="P56" i="15" s="1"/>
  <c r="M48" i="15"/>
  <c r="P48" i="15" s="1"/>
  <c r="M47" i="15"/>
  <c r="P47" i="15" s="1"/>
  <c r="M50" i="15"/>
  <c r="P50" i="15" s="1"/>
  <c r="R39" i="15"/>
  <c r="M39" i="15"/>
  <c r="P39" i="15" s="1"/>
  <c r="R38" i="15"/>
  <c r="M38" i="15"/>
  <c r="P38" i="15" s="1"/>
  <c r="M41" i="15"/>
  <c r="P41" i="15" s="1"/>
  <c r="R31" i="15"/>
  <c r="M31" i="15"/>
  <c r="P31" i="15" s="1"/>
  <c r="M32" i="15"/>
  <c r="P32" i="15" s="1"/>
  <c r="M30" i="15"/>
  <c r="P30" i="15" s="1"/>
  <c r="R22" i="15"/>
  <c r="M21" i="15"/>
  <c r="P21" i="15" s="1"/>
  <c r="R14" i="15"/>
  <c r="M14" i="15"/>
  <c r="P14" i="15" s="1"/>
  <c r="M13" i="15"/>
  <c r="P13" i="15" s="1"/>
  <c r="M15" i="15"/>
  <c r="P15" i="15" s="1"/>
  <c r="T100" i="15"/>
  <c r="M3" i="15"/>
  <c r="P3" i="15" s="1"/>
  <c r="M4" i="15"/>
  <c r="P4" i="15" s="1"/>
  <c r="M6" i="15"/>
  <c r="P6" i="15" s="1"/>
  <c r="M5" i="15"/>
  <c r="P5" i="15" s="1"/>
  <c r="R92" i="15"/>
  <c r="R84" i="15"/>
  <c r="R82" i="15"/>
  <c r="R75" i="15"/>
  <c r="R66" i="15"/>
  <c r="R57" i="15"/>
  <c r="R59" i="15"/>
  <c r="R49" i="15"/>
  <c r="R40" i="15"/>
  <c r="R32" i="15"/>
  <c r="R24" i="15"/>
  <c r="C5" i="8"/>
  <c r="C3" i="16" s="1"/>
  <c r="C5" i="16" s="1"/>
  <c r="D17" i="10"/>
  <c r="G17" i="10" s="1"/>
  <c r="L11" i="14"/>
  <c r="L12" i="14"/>
  <c r="L13" i="14"/>
  <c r="L10" i="14"/>
  <c r="I157" i="14"/>
  <c r="F157" i="14"/>
  <c r="C157" i="14"/>
  <c r="L154" i="14"/>
  <c r="L155" i="14"/>
  <c r="L156" i="14"/>
  <c r="L153" i="14"/>
  <c r="I144" i="14"/>
  <c r="F144" i="14"/>
  <c r="C144" i="14"/>
  <c r="L141" i="14"/>
  <c r="L142" i="14"/>
  <c r="L143" i="14"/>
  <c r="L140" i="14"/>
  <c r="I131" i="14"/>
  <c r="F131" i="14"/>
  <c r="C131" i="14"/>
  <c r="L128" i="14"/>
  <c r="L129" i="14"/>
  <c r="L130" i="14"/>
  <c r="L127" i="14"/>
  <c r="L117" i="14"/>
  <c r="L116" i="14"/>
  <c r="L115" i="14"/>
  <c r="L114" i="14"/>
  <c r="I118" i="14"/>
  <c r="F118" i="14"/>
  <c r="C118" i="14"/>
  <c r="L104" i="14"/>
  <c r="L103" i="14"/>
  <c r="L102" i="14"/>
  <c r="L101" i="14"/>
  <c r="I105" i="14"/>
  <c r="F105" i="14"/>
  <c r="C105" i="14"/>
  <c r="L89" i="14"/>
  <c r="L90" i="14"/>
  <c r="L91" i="14"/>
  <c r="I92" i="14"/>
  <c r="F92" i="14"/>
  <c r="C92" i="14"/>
  <c r="L88" i="14"/>
  <c r="L76" i="14"/>
  <c r="L77" i="14"/>
  <c r="L78" i="14"/>
  <c r="I79" i="14"/>
  <c r="F79" i="14"/>
  <c r="C79" i="14"/>
  <c r="L75" i="14"/>
  <c r="L63" i="14"/>
  <c r="L64" i="14"/>
  <c r="L65" i="14"/>
  <c r="L62" i="14"/>
  <c r="I66" i="14"/>
  <c r="F66" i="14"/>
  <c r="C66" i="14"/>
  <c r="I53" i="14"/>
  <c r="F53" i="14"/>
  <c r="C53" i="14"/>
  <c r="L50" i="14"/>
  <c r="L51" i="14"/>
  <c r="L52" i="14"/>
  <c r="L49" i="14"/>
  <c r="I40" i="14"/>
  <c r="F40" i="14"/>
  <c r="C40" i="14"/>
  <c r="L39" i="14"/>
  <c r="L38" i="14"/>
  <c r="L37" i="14"/>
  <c r="L36" i="14"/>
  <c r="I27" i="14"/>
  <c r="F27" i="14"/>
  <c r="C27" i="14"/>
  <c r="L26" i="14"/>
  <c r="L25" i="14"/>
  <c r="L24" i="14"/>
  <c r="L23" i="14"/>
  <c r="I14" i="14"/>
  <c r="F14" i="14"/>
  <c r="C14" i="14"/>
  <c r="L144" i="14"/>
  <c r="L131" i="14"/>
  <c r="L157" i="14"/>
  <c r="L118" i="14"/>
  <c r="L105" i="14"/>
  <c r="L92" i="14"/>
  <c r="L66" i="14"/>
  <c r="L27" i="14"/>
  <c r="L14" i="14"/>
  <c r="L40" i="14"/>
  <c r="L53" i="14"/>
  <c r="L79" i="14"/>
  <c r="L150" i="14"/>
  <c r="O150" i="14"/>
  <c r="I150" i="14"/>
  <c r="F150" i="14"/>
  <c r="L149" i="14"/>
  <c r="O149" i="14"/>
  <c r="I149" i="14"/>
  <c r="F149" i="14"/>
  <c r="L148" i="14"/>
  <c r="O148" i="14"/>
  <c r="I148" i="14"/>
  <c r="F148" i="14"/>
  <c r="L147" i="14"/>
  <c r="O147" i="14"/>
  <c r="I147" i="14"/>
  <c r="F147" i="14"/>
  <c r="L137" i="14"/>
  <c r="O137" i="14"/>
  <c r="I137" i="14"/>
  <c r="F137" i="14"/>
  <c r="L136" i="14"/>
  <c r="O136" i="14"/>
  <c r="I136" i="14"/>
  <c r="F136" i="14"/>
  <c r="L135" i="14"/>
  <c r="O135" i="14"/>
  <c r="I135" i="14"/>
  <c r="F135" i="14"/>
  <c r="L134" i="14"/>
  <c r="O134" i="14"/>
  <c r="I134" i="14"/>
  <c r="F134" i="14"/>
  <c r="L124" i="14"/>
  <c r="O124" i="14"/>
  <c r="I124" i="14"/>
  <c r="F124" i="14"/>
  <c r="L123" i="14"/>
  <c r="O123" i="14"/>
  <c r="I123" i="14"/>
  <c r="F123" i="14"/>
  <c r="L122" i="14"/>
  <c r="O122" i="14"/>
  <c r="I122" i="14"/>
  <c r="F122" i="14"/>
  <c r="L121" i="14"/>
  <c r="O121" i="14"/>
  <c r="I121" i="14"/>
  <c r="F121" i="14"/>
  <c r="L111" i="14"/>
  <c r="O111" i="14"/>
  <c r="I111" i="14"/>
  <c r="F111" i="14"/>
  <c r="L110" i="14"/>
  <c r="O110" i="14"/>
  <c r="I110" i="14"/>
  <c r="F110" i="14"/>
  <c r="L109" i="14"/>
  <c r="O109" i="14"/>
  <c r="I109" i="14"/>
  <c r="F109" i="14"/>
  <c r="L108" i="14"/>
  <c r="O108" i="14"/>
  <c r="I108" i="14"/>
  <c r="F108" i="14"/>
  <c r="L98" i="14"/>
  <c r="O98" i="14"/>
  <c r="I98" i="14"/>
  <c r="F98" i="14"/>
  <c r="L97" i="14"/>
  <c r="O97" i="14"/>
  <c r="I97" i="14"/>
  <c r="F97" i="14"/>
  <c r="L96" i="14"/>
  <c r="O96" i="14"/>
  <c r="I96" i="14"/>
  <c r="F96" i="14"/>
  <c r="L95" i="14"/>
  <c r="O95" i="14"/>
  <c r="I95" i="14"/>
  <c r="F95" i="14"/>
  <c r="L85" i="14"/>
  <c r="O85" i="14"/>
  <c r="I85" i="14"/>
  <c r="F85" i="14"/>
  <c r="L84" i="14"/>
  <c r="O84" i="14"/>
  <c r="I84" i="14"/>
  <c r="F84" i="14"/>
  <c r="L83" i="14"/>
  <c r="O83" i="14"/>
  <c r="I83" i="14"/>
  <c r="F83" i="14"/>
  <c r="L82" i="14"/>
  <c r="O82" i="14"/>
  <c r="I82" i="14"/>
  <c r="F82" i="14"/>
  <c r="L72" i="14"/>
  <c r="O72" i="14"/>
  <c r="I72" i="14"/>
  <c r="F72" i="14"/>
  <c r="L71" i="14"/>
  <c r="O71" i="14"/>
  <c r="I71" i="14"/>
  <c r="F71" i="14"/>
  <c r="L70" i="14"/>
  <c r="O70" i="14"/>
  <c r="I70" i="14"/>
  <c r="F70" i="14"/>
  <c r="L69" i="14"/>
  <c r="O69" i="14"/>
  <c r="I69" i="14"/>
  <c r="F69" i="14"/>
  <c r="L59" i="14"/>
  <c r="O59" i="14"/>
  <c r="I59" i="14"/>
  <c r="F59" i="14"/>
  <c r="L58" i="14"/>
  <c r="O58" i="14"/>
  <c r="I58" i="14"/>
  <c r="F58" i="14"/>
  <c r="L57" i="14"/>
  <c r="O57" i="14"/>
  <c r="I57" i="14"/>
  <c r="F57" i="14"/>
  <c r="L56" i="14"/>
  <c r="O56" i="14"/>
  <c r="I56" i="14"/>
  <c r="F56" i="14"/>
  <c r="L46" i="14"/>
  <c r="O46" i="14"/>
  <c r="I46" i="14"/>
  <c r="F46" i="14"/>
  <c r="L45" i="14"/>
  <c r="O45" i="14"/>
  <c r="I45" i="14"/>
  <c r="F45" i="14"/>
  <c r="L44" i="14"/>
  <c r="O44" i="14"/>
  <c r="I44" i="14"/>
  <c r="F44" i="14"/>
  <c r="L43" i="14"/>
  <c r="O43" i="14"/>
  <c r="I43" i="14"/>
  <c r="F43" i="14"/>
  <c r="L33" i="14"/>
  <c r="O33" i="14"/>
  <c r="I33" i="14"/>
  <c r="F33" i="14"/>
  <c r="L32" i="14"/>
  <c r="O32" i="14"/>
  <c r="I32" i="14"/>
  <c r="F32" i="14"/>
  <c r="L31" i="14"/>
  <c r="O31" i="14"/>
  <c r="I31" i="14"/>
  <c r="F31" i="14"/>
  <c r="L30" i="14"/>
  <c r="O30" i="14"/>
  <c r="I30" i="14"/>
  <c r="F30" i="14"/>
  <c r="L20" i="14"/>
  <c r="O20" i="14"/>
  <c r="I20" i="14"/>
  <c r="F20" i="14"/>
  <c r="L19" i="14"/>
  <c r="O19" i="14"/>
  <c r="I19" i="14"/>
  <c r="F19" i="14"/>
  <c r="L18" i="14"/>
  <c r="O18" i="14"/>
  <c r="I18" i="14"/>
  <c r="F18" i="14"/>
  <c r="L17" i="14"/>
  <c r="O17" i="14"/>
  <c r="I17" i="14"/>
  <c r="F17" i="14"/>
  <c r="L7" i="14"/>
  <c r="O7" i="14"/>
  <c r="L6" i="14"/>
  <c r="O6" i="14"/>
  <c r="L5" i="14"/>
  <c r="O5" i="14"/>
  <c r="L4" i="14"/>
  <c r="O4" i="14"/>
  <c r="I7" i="14"/>
  <c r="F7" i="14"/>
  <c r="I6" i="14"/>
  <c r="F6" i="14"/>
  <c r="I5" i="14"/>
  <c r="F5" i="14"/>
  <c r="I4" i="14"/>
  <c r="F4" i="14"/>
  <c r="B53" i="8"/>
  <c r="B31" i="8"/>
  <c r="A19" i="9"/>
  <c r="B41" i="8"/>
  <c r="B54" i="8"/>
  <c r="P27" i="3"/>
  <c r="Y27" i="3"/>
  <c r="P26" i="3"/>
  <c r="Y26" i="3"/>
  <c r="P25" i="3"/>
  <c r="Y25" i="3"/>
  <c r="P24" i="3"/>
  <c r="Y24" i="3"/>
  <c r="P23" i="3"/>
  <c r="Y23" i="3"/>
  <c r="P22" i="3"/>
  <c r="Y22" i="3"/>
  <c r="P21" i="3"/>
  <c r="Y21" i="3"/>
  <c r="P20" i="3"/>
  <c r="Y20" i="3"/>
  <c r="P19" i="3"/>
  <c r="Y19" i="3"/>
  <c r="P18" i="3"/>
  <c r="Y18" i="3"/>
  <c r="P17" i="3"/>
  <c r="Y17" i="3"/>
  <c r="P16" i="3"/>
  <c r="Y16" i="3"/>
  <c r="P15" i="3"/>
  <c r="Y15" i="3"/>
  <c r="P14" i="3"/>
  <c r="Y14" i="3"/>
  <c r="P13" i="3"/>
  <c r="Y13" i="3"/>
  <c r="P12" i="3"/>
  <c r="Y12" i="3"/>
  <c r="P11" i="3"/>
  <c r="Y11" i="3"/>
  <c r="P10" i="3"/>
  <c r="Y10" i="3"/>
  <c r="P9" i="3"/>
  <c r="Y9" i="3"/>
  <c r="P8" i="3"/>
  <c r="Y8" i="3"/>
  <c r="P7" i="3"/>
  <c r="Y7" i="3"/>
  <c r="P6" i="3"/>
  <c r="Y6" i="3"/>
  <c r="P5" i="3"/>
  <c r="Y5" i="3"/>
  <c r="P4" i="3"/>
  <c r="Y4" i="3"/>
  <c r="P3" i="3"/>
  <c r="Y3" i="3"/>
  <c r="N27" i="3"/>
  <c r="X27" i="3"/>
  <c r="N26" i="3"/>
  <c r="X26" i="3"/>
  <c r="N25" i="3"/>
  <c r="X25" i="3"/>
  <c r="N24" i="3"/>
  <c r="X24" i="3"/>
  <c r="N23" i="3"/>
  <c r="X23" i="3"/>
  <c r="N22" i="3"/>
  <c r="X22" i="3"/>
  <c r="N21" i="3"/>
  <c r="X21" i="3"/>
  <c r="N20" i="3"/>
  <c r="X20" i="3"/>
  <c r="N19" i="3"/>
  <c r="X19" i="3"/>
  <c r="N18" i="3"/>
  <c r="X18" i="3"/>
  <c r="N17" i="3"/>
  <c r="X17" i="3"/>
  <c r="N16" i="3"/>
  <c r="X16" i="3"/>
  <c r="N15" i="3"/>
  <c r="X15" i="3"/>
  <c r="N14" i="3"/>
  <c r="X14" i="3"/>
  <c r="N13" i="3"/>
  <c r="X13" i="3"/>
  <c r="N12" i="3"/>
  <c r="X12" i="3"/>
  <c r="N11" i="3"/>
  <c r="X11" i="3"/>
  <c r="N10" i="3"/>
  <c r="X10" i="3"/>
  <c r="N9" i="3"/>
  <c r="X9" i="3"/>
  <c r="N8" i="3"/>
  <c r="X8" i="3"/>
  <c r="N7" i="3"/>
  <c r="X7" i="3"/>
  <c r="N6" i="3"/>
  <c r="X6" i="3"/>
  <c r="N5" i="3"/>
  <c r="X5" i="3"/>
  <c r="N4" i="3"/>
  <c r="X4" i="3"/>
  <c r="N3" i="3"/>
  <c r="X3" i="3"/>
  <c r="L27" i="3"/>
  <c r="W27" i="3"/>
  <c r="L26" i="3"/>
  <c r="W26" i="3"/>
  <c r="L25" i="3"/>
  <c r="W25" i="3"/>
  <c r="L24" i="3"/>
  <c r="W24" i="3"/>
  <c r="L23" i="3"/>
  <c r="W23" i="3"/>
  <c r="L22" i="3"/>
  <c r="W22" i="3"/>
  <c r="L21" i="3"/>
  <c r="W21" i="3"/>
  <c r="L20" i="3"/>
  <c r="W20" i="3"/>
  <c r="L19" i="3"/>
  <c r="W19" i="3"/>
  <c r="L18" i="3"/>
  <c r="W18" i="3"/>
  <c r="L17" i="3"/>
  <c r="W17" i="3"/>
  <c r="L16" i="3"/>
  <c r="W16" i="3"/>
  <c r="L15" i="3"/>
  <c r="W15" i="3"/>
  <c r="L14" i="3"/>
  <c r="W14" i="3"/>
  <c r="L13" i="3"/>
  <c r="W13" i="3"/>
  <c r="L12" i="3"/>
  <c r="W12" i="3"/>
  <c r="L11" i="3"/>
  <c r="W11" i="3"/>
  <c r="L10" i="3"/>
  <c r="W10" i="3"/>
  <c r="L9" i="3"/>
  <c r="W9" i="3"/>
  <c r="L8" i="3"/>
  <c r="W8" i="3"/>
  <c r="L7" i="3"/>
  <c r="W7" i="3"/>
  <c r="L6" i="3"/>
  <c r="W6" i="3"/>
  <c r="L5" i="3"/>
  <c r="W5" i="3"/>
  <c r="L4" i="3"/>
  <c r="W4" i="3"/>
  <c r="L3" i="3"/>
  <c r="W3" i="3"/>
  <c r="J27" i="3"/>
  <c r="V27" i="3"/>
  <c r="J26" i="3"/>
  <c r="V26" i="3"/>
  <c r="J25" i="3"/>
  <c r="V25" i="3"/>
  <c r="J24" i="3"/>
  <c r="V24" i="3"/>
  <c r="J23" i="3"/>
  <c r="V23" i="3"/>
  <c r="J22" i="3"/>
  <c r="V22" i="3"/>
  <c r="J21" i="3"/>
  <c r="V21" i="3"/>
  <c r="J20" i="3"/>
  <c r="V20" i="3"/>
  <c r="J19" i="3"/>
  <c r="V19" i="3"/>
  <c r="J18" i="3"/>
  <c r="V18" i="3"/>
  <c r="J17" i="3"/>
  <c r="V17" i="3"/>
  <c r="J16" i="3"/>
  <c r="V16" i="3"/>
  <c r="J15" i="3"/>
  <c r="V15" i="3"/>
  <c r="J14" i="3"/>
  <c r="V14" i="3"/>
  <c r="J13" i="3"/>
  <c r="V13" i="3"/>
  <c r="J12" i="3"/>
  <c r="V12" i="3"/>
  <c r="J11" i="3"/>
  <c r="V11" i="3"/>
  <c r="J10" i="3"/>
  <c r="V10" i="3"/>
  <c r="J9" i="3"/>
  <c r="V9" i="3"/>
  <c r="J8" i="3"/>
  <c r="V8" i="3"/>
  <c r="J7" i="3"/>
  <c r="V7" i="3"/>
  <c r="J6" i="3"/>
  <c r="V6" i="3"/>
  <c r="J5" i="3"/>
  <c r="V5" i="3"/>
  <c r="J4" i="3"/>
  <c r="V4" i="3"/>
  <c r="J3" i="3"/>
  <c r="V3" i="3"/>
  <c r="H27" i="3"/>
  <c r="U27" i="3"/>
  <c r="H26" i="3"/>
  <c r="U26" i="3"/>
  <c r="H25" i="3"/>
  <c r="U25" i="3"/>
  <c r="H24" i="3"/>
  <c r="U24" i="3"/>
  <c r="H23" i="3"/>
  <c r="U23" i="3"/>
  <c r="H22" i="3"/>
  <c r="U22" i="3"/>
  <c r="H21" i="3"/>
  <c r="U21" i="3"/>
  <c r="H20" i="3"/>
  <c r="U20" i="3"/>
  <c r="H19" i="3"/>
  <c r="U19" i="3"/>
  <c r="H18" i="3"/>
  <c r="U18" i="3"/>
  <c r="H17" i="3"/>
  <c r="U17" i="3"/>
  <c r="H16" i="3"/>
  <c r="U16" i="3"/>
  <c r="H15" i="3"/>
  <c r="U15" i="3"/>
  <c r="H14" i="3"/>
  <c r="U14" i="3"/>
  <c r="H13" i="3"/>
  <c r="U13" i="3"/>
  <c r="H12" i="3"/>
  <c r="U12" i="3"/>
  <c r="H11" i="3"/>
  <c r="U11" i="3"/>
  <c r="H10" i="3"/>
  <c r="U10" i="3"/>
  <c r="H9" i="3"/>
  <c r="U9" i="3"/>
  <c r="H8" i="3"/>
  <c r="U8" i="3"/>
  <c r="H7" i="3"/>
  <c r="U7" i="3"/>
  <c r="H6" i="3"/>
  <c r="U6" i="3"/>
  <c r="H5" i="3"/>
  <c r="U5" i="3"/>
  <c r="H4" i="3"/>
  <c r="U4" i="3"/>
  <c r="H3" i="3"/>
  <c r="U3" i="3"/>
  <c r="F4" i="3"/>
  <c r="T4" i="3"/>
  <c r="F5" i="3"/>
  <c r="T5" i="3"/>
  <c r="F6" i="3"/>
  <c r="T6" i="3"/>
  <c r="F7" i="3"/>
  <c r="T7" i="3"/>
  <c r="F8" i="3"/>
  <c r="T8" i="3"/>
  <c r="F9" i="3"/>
  <c r="T9" i="3"/>
  <c r="F10" i="3"/>
  <c r="T10" i="3"/>
  <c r="F11" i="3"/>
  <c r="T11" i="3"/>
  <c r="F12" i="3"/>
  <c r="T12" i="3"/>
  <c r="F13" i="3"/>
  <c r="T13" i="3"/>
  <c r="F14" i="3"/>
  <c r="T14" i="3"/>
  <c r="F15" i="3"/>
  <c r="T15" i="3"/>
  <c r="F16" i="3"/>
  <c r="T16" i="3"/>
  <c r="F17" i="3"/>
  <c r="T17" i="3"/>
  <c r="F18" i="3"/>
  <c r="T18" i="3"/>
  <c r="F19" i="3"/>
  <c r="T19" i="3"/>
  <c r="F20" i="3"/>
  <c r="T20" i="3"/>
  <c r="F21" i="3"/>
  <c r="T21" i="3"/>
  <c r="F22" i="3"/>
  <c r="T22" i="3"/>
  <c r="F23" i="3"/>
  <c r="T23" i="3"/>
  <c r="F24" i="3"/>
  <c r="T24" i="3"/>
  <c r="F25" i="3"/>
  <c r="T25" i="3"/>
  <c r="F26" i="3"/>
  <c r="T26" i="3"/>
  <c r="F27" i="3"/>
  <c r="T27" i="3"/>
  <c r="F3" i="3"/>
  <c r="T3" i="3"/>
  <c r="D4" i="3"/>
  <c r="S4" i="3"/>
  <c r="D5" i="3"/>
  <c r="Q5" i="3"/>
  <c r="D6" i="3"/>
  <c r="R6" i="3"/>
  <c r="D7" i="3"/>
  <c r="S7" i="3"/>
  <c r="D8" i="3"/>
  <c r="S8" i="3"/>
  <c r="D9" i="3"/>
  <c r="Q9" i="3"/>
  <c r="D10" i="3"/>
  <c r="R10" i="3"/>
  <c r="D11" i="3"/>
  <c r="S11" i="3"/>
  <c r="D12" i="3"/>
  <c r="S12" i="3"/>
  <c r="D13" i="3"/>
  <c r="Q13" i="3"/>
  <c r="D14" i="3"/>
  <c r="R14" i="3"/>
  <c r="D15" i="3"/>
  <c r="S15" i="3"/>
  <c r="D16" i="3"/>
  <c r="S16" i="3"/>
  <c r="D17" i="3"/>
  <c r="Q17" i="3"/>
  <c r="D18" i="3"/>
  <c r="R18" i="3"/>
  <c r="D19" i="3"/>
  <c r="S19" i="3"/>
  <c r="D20" i="3"/>
  <c r="S20" i="3"/>
  <c r="D21" i="3"/>
  <c r="Q21" i="3"/>
  <c r="D22" i="3"/>
  <c r="R22" i="3"/>
  <c r="D23" i="3"/>
  <c r="S23" i="3"/>
  <c r="D24" i="3"/>
  <c r="S24" i="3"/>
  <c r="D25" i="3"/>
  <c r="Q25" i="3"/>
  <c r="D26" i="3"/>
  <c r="R26" i="3"/>
  <c r="D27" i="3"/>
  <c r="S27" i="3"/>
  <c r="D3" i="3"/>
  <c r="D51" i="2"/>
  <c r="C38" i="2"/>
  <c r="Q3" i="3"/>
  <c r="R3" i="3"/>
  <c r="Q26" i="3"/>
  <c r="Q24" i="3"/>
  <c r="Q22" i="3"/>
  <c r="Q20" i="3"/>
  <c r="Q18" i="3"/>
  <c r="Q16" i="3"/>
  <c r="Q14" i="3"/>
  <c r="Q12" i="3"/>
  <c r="Q10" i="3"/>
  <c r="Q8" i="3"/>
  <c r="Q6" i="3"/>
  <c r="Q4" i="3"/>
  <c r="S25" i="3"/>
  <c r="S21" i="3"/>
  <c r="S17" i="3"/>
  <c r="S13" i="3"/>
  <c r="S9" i="3"/>
  <c r="S5" i="3"/>
  <c r="R27" i="3"/>
  <c r="R25" i="3"/>
  <c r="R23" i="3"/>
  <c r="R21" i="3"/>
  <c r="R19" i="3"/>
  <c r="R17" i="3"/>
  <c r="R15" i="3"/>
  <c r="R13" i="3"/>
  <c r="R11" i="3"/>
  <c r="R9" i="3"/>
  <c r="R7" i="3"/>
  <c r="R5" i="3"/>
  <c r="S3" i="3"/>
  <c r="S26" i="3"/>
  <c r="S22" i="3"/>
  <c r="S18" i="3"/>
  <c r="S14" i="3"/>
  <c r="S10" i="3"/>
  <c r="S6" i="3"/>
  <c r="Q27" i="3"/>
  <c r="Q23" i="3"/>
  <c r="Q19" i="3"/>
  <c r="Q15" i="3"/>
  <c r="Q11" i="3"/>
  <c r="Q7" i="3"/>
  <c r="R24" i="3"/>
  <c r="R20" i="3"/>
  <c r="R16" i="3"/>
  <c r="R12" i="3"/>
  <c r="R8" i="3"/>
  <c r="R4" i="3"/>
  <c r="C43" i="2"/>
  <c r="C40" i="2"/>
  <c r="C47" i="2"/>
  <c r="C41" i="2"/>
  <c r="C44" i="2"/>
  <c r="C45" i="2"/>
  <c r="C48" i="2"/>
  <c r="C42" i="2"/>
  <c r="C49" i="2"/>
  <c r="C39" i="2"/>
  <c r="C46" i="2"/>
  <c r="C51" i="2"/>
  <c r="R3" i="15" l="1"/>
  <c r="L7" i="15"/>
  <c r="Q8" i="15" s="1"/>
  <c r="P16" i="15"/>
  <c r="G18" i="10"/>
  <c r="R16" i="15"/>
  <c r="T17" i="15" s="1"/>
  <c r="V17" i="15" s="1"/>
  <c r="C8" i="16" s="1"/>
  <c r="R51" i="15"/>
  <c r="R7" i="15"/>
  <c r="R42" i="15"/>
  <c r="R104" i="15"/>
  <c r="R95" i="15"/>
  <c r="R68" i="15"/>
  <c r="R77" i="15"/>
  <c r="R86" i="15"/>
  <c r="R60" i="15"/>
  <c r="T61" i="15" s="1"/>
  <c r="R33" i="15"/>
  <c r="R25" i="15"/>
  <c r="T68" i="15" l="1"/>
  <c r="T104" i="15"/>
  <c r="T105" i="15" s="1"/>
  <c r="T95" i="15"/>
  <c r="T96" i="15" s="1"/>
  <c r="T86" i="15"/>
  <c r="T87" i="15" s="1"/>
  <c r="T77" i="15"/>
  <c r="T78" i="15" s="1"/>
  <c r="T51" i="15"/>
  <c r="T52" i="15" s="1"/>
  <c r="T33" i="15"/>
  <c r="T34" i="15" s="1"/>
  <c r="T25" i="15"/>
  <c r="T26" i="15" s="1"/>
  <c r="V26" i="15" s="1"/>
  <c r="C9" i="16" s="1"/>
  <c r="T69" i="15" l="1"/>
  <c r="V69" i="15" s="1"/>
  <c r="C14" i="16" s="1"/>
  <c r="V34" i="15"/>
  <c r="C10" i="16" s="1"/>
  <c r="V78" i="15"/>
  <c r="C15" i="16" s="1"/>
  <c r="V52" i="15"/>
  <c r="C12" i="16" s="1"/>
  <c r="V61" i="15"/>
  <c r="C13" i="16" s="1"/>
  <c r="V105" i="15" l="1"/>
  <c r="C18" i="16" s="1"/>
  <c r="V96" i="15"/>
  <c r="C17" i="16" s="1"/>
  <c r="V87" i="15"/>
  <c r="C16" i="16" s="1"/>
  <c r="T7" i="15" l="1"/>
  <c r="T8" i="15" s="1"/>
  <c r="V8" i="15" s="1"/>
  <c r="C7" i="16" s="1"/>
  <c r="T42" i="15" l="1"/>
  <c r="T43" i="15" s="1"/>
  <c r="V43" i="15" l="1"/>
  <c r="C11" i="16" s="1"/>
  <c r="C19" i="16" s="1"/>
  <c r="C20" i="1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 desconhecido</author>
  </authors>
  <commentList>
    <comment ref="B4" authorId="0" shapeId="0" xr:uid="{00000000-0006-0000-0500-000001000000}">
      <text>
        <r>
          <rPr>
            <sz val="10"/>
            <rFont val="Arial"/>
            <family val="2"/>
          </rPr>
          <t xml:space="preserve">iran:
</t>
        </r>
        <r>
          <rPr>
            <sz val="9"/>
            <color rgb="FF000000"/>
            <rFont val="Segoe UI"/>
            <family val="2"/>
            <charset val="1"/>
          </rPr>
          <t>valor de aquisição e ampliação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 desconhecido</author>
  </authors>
  <commentList>
    <comment ref="B3" authorId="0" shapeId="0" xr:uid="{00000000-0006-0000-0600-000001000000}">
      <text>
        <r>
          <rPr>
            <sz val="10"/>
            <rFont val="Arial"/>
            <family val="2"/>
          </rPr>
          <t xml:space="preserve">iran: </t>
        </r>
        <r>
          <rPr>
            <sz val="9"/>
            <color rgb="FF000000"/>
            <rFont val="Segoe UI"/>
            <family val="2"/>
            <charset val="1"/>
          </rPr>
          <t>custo para contratar equipe, pago no primeiro mês (janeiro) junto com salário.</t>
        </r>
      </text>
    </comment>
    <comment ref="C13" authorId="0" shapeId="0" xr:uid="{00000000-0006-0000-0600-000002000000}">
      <text>
        <r>
          <rPr>
            <sz val="10"/>
            <rFont val="Arial"/>
            <family val="2"/>
          </rPr>
          <t xml:space="preserve">iran: </t>
        </r>
        <r>
          <rPr>
            <sz val="9"/>
            <color rgb="FF000000"/>
            <rFont val="Segoe UI"/>
            <family val="2"/>
            <charset val="1"/>
          </rPr>
          <t>custo para contratar equipe, pago no primeiro mês (janeiro) junto com salário.</t>
        </r>
      </text>
    </comment>
  </commentList>
</comments>
</file>

<file path=xl/sharedStrings.xml><?xml version="1.0" encoding="utf-8"?>
<sst xmlns="http://schemas.openxmlformats.org/spreadsheetml/2006/main" count="1026" uniqueCount="298">
  <si>
    <t>PROJ INTEG I - GPI -  2024 2</t>
  </si>
  <si>
    <t>Demanda Nacional 2024</t>
  </si>
  <si>
    <t>10 milhoes</t>
  </si>
  <si>
    <t>Previsão do número total de celulares em unidade a serem comercializados no país neste ano corrente.</t>
  </si>
  <si>
    <t>Fonte(s):</t>
  </si>
  <si>
    <t>https://valor.globo.com/publicacoes/especiais/telecomunicacoes/noticia/2024/05/28/venda-de-celular-tem-leve-alta-apos-3-anos-de-queda.ghtml</t>
  </si>
  <si>
    <t>Pesquisa de Preços</t>
  </si>
  <si>
    <t>Aparelho</t>
  </si>
  <si>
    <t>Modelo</t>
  </si>
  <si>
    <t>Preço</t>
  </si>
  <si>
    <t>No Jogo será:</t>
  </si>
  <si>
    <t>iPhone 15 PRO Max 1Tb</t>
  </si>
  <si>
    <t>O Importado mais caro</t>
  </si>
  <si>
    <t>Fonte:</t>
  </si>
  <si>
    <t>https://tecnologia.ig.com.br/2023-09-13/iphone-15-pro-max-celular-mais-caro-brasil-veja-top-5.html.ampstories</t>
  </si>
  <si>
    <t>Galaxy Z Fold 5</t>
  </si>
  <si>
    <t>O Nacional mais caro</t>
  </si>
  <si>
    <t>https://www.oficinadanet.com.br/smartphones/40556-celulares-mais-caros-brasil#:~:text=O%20novo%20Galaxy%20Z%20Fold,Qualcomm%20Snapdragon%208%20Gen%202.</t>
  </si>
  <si>
    <t>iPhone 12 Apple 64GB Branco Tela 6,1” 12MP iOS</t>
  </si>
  <si>
    <t>O Importado mais barato</t>
  </si>
  <si>
    <t>https://www.magazineluiza.com.br/iphone-12-apple-64gb-branco-tela-61-12mp-ios/p/231147400/te/ip12/</t>
  </si>
  <si>
    <t>Smartphone Samsung Galaxy J1</t>
  </si>
  <si>
    <t>O Nacional mais barato</t>
  </si>
  <si>
    <t>https://www.magazineluiza.com.br/smartphone-samsung-galaxy-j1-mini-4g-dual-chip-j105-8gb-tela-4-wi-fi-android-5-1-camera-5mp-anatel/p/ad41g3332e/te/galx/?&amp;seller_id=kgtelecom&amp;utm_source=google&amp;utm_medium=cpc&amp;utm_term=76953&amp;utm_campaign=google_eco_per_ven_pla_tc_sor_3p_te-b&amp;utm_content=&amp;partner_id=76953&amp;gclsrc=aw.ds&amp;gclid=Cj0KCQjw3bm3BhDJARIsAKnHoVUldcVEqvtBRypGn3Zx9BXIUjLh31Ee1T7AR6WA2Qi3Yo_KNrDPjzEaAv01EALw_wcB</t>
  </si>
  <si>
    <t>Obs: ordenar os preços de 1 a 4 por ordem de valor, sendo o 1 mais caro e o 4 mais barato</t>
  </si>
  <si>
    <t>Demografia e dados Sócio-Econômicos</t>
  </si>
  <si>
    <t>População</t>
  </si>
  <si>
    <t>Classes sociais em %</t>
  </si>
  <si>
    <t>A</t>
  </si>
  <si>
    <t>B</t>
  </si>
  <si>
    <t>C</t>
  </si>
  <si>
    <t>D</t>
  </si>
  <si>
    <t>E</t>
  </si>
  <si>
    <t>1) Região Sul</t>
  </si>
  <si>
    <t xml:space="preserve">	29.933.315</t>
  </si>
  <si>
    <t>2) Região Sudeste</t>
  </si>
  <si>
    <t>3) Região Nordeste</t>
  </si>
  <si>
    <t xml:space="preserve">	54.644.582</t>
  </si>
  <si>
    <t xml:space="preserve">4) Região Cento-Oeste </t>
  </si>
  <si>
    <t>5) Região Norte</t>
  </si>
  <si>
    <t>IBGE – Censo Demográfico</t>
  </si>
  <si>
    <t>Obs: Para o desenvolvimento do Planejamento Estratégico da Empresa, pesquisem mais informações que considerarem relevantes!</t>
  </si>
  <si>
    <t>Sazonalidade</t>
  </si>
  <si>
    <t xml:space="preserve">Comportamento de vendas ao longo do ano no varejo. </t>
  </si>
  <si>
    <t>Considerando datas comemorativas e períodos especifícos (janeiro menos circulação de dinheiro e dezembro mais, por exemplo).</t>
  </si>
  <si>
    <t>Mês</t>
  </si>
  <si>
    <t>%</t>
  </si>
  <si>
    <t>Qtde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</si>
  <si>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</si>
  <si>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</si>
  <si>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</si>
  <si>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</si>
  <si>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</si>
  <si>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</si>
  <si>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</si>
  <si>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</si>
  <si>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</si>
  <si>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</si>
  <si>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</si>
  <si>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</si>
  <si>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Total</t>
  </si>
  <si>
    <t>https://www.ecommercebrasil.com.br/artigos/analise-detalhada-do-mercado-de-smartphones-e-maiores-vendas-de-2023</t>
  </si>
  <si>
    <t>Obs: Ao inserir as porcentagens mensais, a soma deve corresponder a 100% da Demanda!</t>
  </si>
  <si>
    <t>Na coluna Qtde será realizada o cálculo automático sobre o item 1 da pesquisa</t>
  </si>
  <si>
    <t>MARKET SHARE</t>
  </si>
  <si>
    <t>Com estes números pesquisados proponha um valor inicial de Market Share Nacional para a sua Empresa.</t>
  </si>
  <si>
    <t>Empresa:</t>
  </si>
  <si>
    <t>PsyTech</t>
  </si>
  <si>
    <t>Se já definiu o nome</t>
  </si>
  <si>
    <t>Market Share</t>
  </si>
  <si>
    <t>635520 a 1290900</t>
  </si>
  <si>
    <t>Obs: No desenvolvimento do Planej. Estratégico vcs definirão em algumas semanas o valor definitivo a ser colocado como objetivo!</t>
  </si>
  <si>
    <t>valores iniciais</t>
  </si>
  <si>
    <t>Produto</t>
  </si>
  <si>
    <t>Valor</t>
  </si>
  <si>
    <t>FRANQUIA</t>
  </si>
  <si>
    <t>ARMAZEM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</si>
  <si>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</si>
  <si>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</si>
  <si>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</si>
  <si>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</si>
  <si>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</si>
  <si>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</si>
  <si>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</si>
  <si>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</si>
  <si>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</si>
  <si>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</si>
  <si>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</si>
  <si>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</si>
  <si>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total anual</t>
  </si>
  <si>
    <t xml:space="preserve"> modelo celulares</t>
  </si>
  <si>
    <t>Valor de compra de cada modelo</t>
  </si>
  <si>
    <t>valor de imposto</t>
  </si>
  <si>
    <t>valor dos aparelhos com imposto</t>
  </si>
  <si>
    <t>EBR</t>
  </si>
  <si>
    <t>valor dos aparelhos com EBR</t>
  </si>
  <si>
    <t xml:space="preserve">custo armazem por aparelho mensal </t>
  </si>
  <si>
    <t>valor de equipes funcionarios</t>
  </si>
  <si>
    <t>custo pa</t>
  </si>
  <si>
    <t>valor por aparelho sem lucro</t>
  </si>
  <si>
    <t>lucro por aparelho</t>
  </si>
  <si>
    <t>valor de venda</t>
  </si>
  <si>
    <t>valor do plano por aparelho</t>
  </si>
  <si>
    <t>Quantos comprado</t>
  </si>
  <si>
    <t>total gasto por modelo na compra</t>
  </si>
  <si>
    <t>vendido</t>
  </si>
  <si>
    <t>Valor total vendido de cada modelo</t>
  </si>
  <si>
    <t>lucro com plano</t>
  </si>
  <si>
    <t>lucro total janeiro</t>
  </si>
  <si>
    <t>valor gasto janeiro</t>
  </si>
  <si>
    <t>lucro total fevereiro</t>
  </si>
  <si>
    <t>valor gasto fevereiro</t>
  </si>
  <si>
    <t>lucro total março</t>
  </si>
  <si>
    <t>valor gasto março</t>
  </si>
  <si>
    <t>lucro total abril</t>
  </si>
  <si>
    <t>valor gasto abril</t>
  </si>
  <si>
    <t>lucro total maio</t>
  </si>
  <si>
    <t>valor gasto maio</t>
  </si>
  <si>
    <t>lucro total junho</t>
  </si>
  <si>
    <t>valor gasto junho</t>
  </si>
  <si>
    <t>lucro total julho</t>
  </si>
  <si>
    <t>valor gasto julho</t>
  </si>
  <si>
    <t>lucro total agosto</t>
  </si>
  <si>
    <t>valor gasto agosto</t>
  </si>
  <si>
    <t>lucro total setembro</t>
  </si>
  <si>
    <t>valor gasto setembro</t>
  </si>
  <si>
    <t>lucro total outubro</t>
  </si>
  <si>
    <t>valor gasto outubro</t>
  </si>
  <si>
    <t>lucro total novembro</t>
  </si>
  <si>
    <t>valor gasto novembro</t>
  </si>
  <si>
    <t>lucro total dezembro</t>
  </si>
  <si>
    <t>valor gasto dezembro</t>
  </si>
  <si>
    <t xml:space="preserve">Valor de vendas </t>
  </si>
  <si>
    <t>Valor dos produtos em janeiro</t>
  </si>
  <si>
    <t>Sul/sudeste</t>
  </si>
  <si>
    <t>NORDESTE</t>
  </si>
  <si>
    <t>NORTE/Centro-oeste</t>
  </si>
  <si>
    <t>Centro-oeste/norte</t>
  </si>
  <si>
    <t xml:space="preserve">vendas nas regioes/ janeiro </t>
  </si>
  <si>
    <t>Valor dos produtos em Fevereiro</t>
  </si>
  <si>
    <t>vendas nas regioes/ fevereiro</t>
  </si>
  <si>
    <t>Valor dos produtos em março</t>
  </si>
  <si>
    <t>vendas nas regioes/ março</t>
  </si>
  <si>
    <t>Valor dos produtos em Abril</t>
  </si>
  <si>
    <t>vendas nas regioes/Abril</t>
  </si>
  <si>
    <t>Valor dos produtos em Maio</t>
  </si>
  <si>
    <t>vendas nas regioes/maio</t>
  </si>
  <si>
    <t>Valor dos produtos em Junho</t>
  </si>
  <si>
    <t>vendas nas regioes/junho</t>
  </si>
  <si>
    <t>Valor dos produtos em Julho</t>
  </si>
  <si>
    <t>vendas nas regioes/Julho</t>
  </si>
  <si>
    <t>Valor dos produtos em Agosto</t>
  </si>
  <si>
    <t>vendas nas regioes/Agosto</t>
  </si>
  <si>
    <t>Valor dos produtos em setembro</t>
  </si>
  <si>
    <t>vendas nas regioes em setembro</t>
  </si>
  <si>
    <t>Valor dos produtos em outubro</t>
  </si>
  <si>
    <t>vendas nas regioes em outubro</t>
  </si>
  <si>
    <t>Valor dos produtos em novembro</t>
  </si>
  <si>
    <t>vendas nas regioes em novembro</t>
  </si>
  <si>
    <t>Valor dos produtos em dezembro</t>
  </si>
  <si>
    <t>vendas nas regioes dezembro</t>
  </si>
  <si>
    <t>VALOR DA FRANQUIA PARA ATUAÇÃO NAS REGIÕES DO BRASIL</t>
  </si>
  <si>
    <t>REGIÃO</t>
  </si>
  <si>
    <t xml:space="preserve">VALOR </t>
  </si>
  <si>
    <t>SUL/SUDESTE</t>
  </si>
  <si>
    <t>NORTE/C.OESTE</t>
  </si>
  <si>
    <t>Franquia</t>
  </si>
  <si>
    <t>Porto Alegre</t>
  </si>
  <si>
    <t>Florianopolis</t>
  </si>
  <si>
    <t>Curitiba</t>
  </si>
  <si>
    <t>Joinville</t>
  </si>
  <si>
    <t>Londrina</t>
  </si>
  <si>
    <t>Canos</t>
  </si>
  <si>
    <t>Cascavel</t>
  </si>
  <si>
    <t>Caxias do sul</t>
  </si>
  <si>
    <t>São Paulo</t>
  </si>
  <si>
    <t>Rio de janeiro</t>
  </si>
  <si>
    <t>Belo horizonte</t>
  </si>
  <si>
    <t>Vitoria</t>
  </si>
  <si>
    <t>Campinas</t>
  </si>
  <si>
    <t>Duque de caxias</t>
  </si>
  <si>
    <t>Itajuba</t>
  </si>
  <si>
    <t>São josé dos campos</t>
  </si>
  <si>
    <t>Sorocaba</t>
  </si>
  <si>
    <t>Vila velha</t>
  </si>
  <si>
    <t>Uberlândia</t>
  </si>
  <si>
    <t>São Gonçalo</t>
  </si>
  <si>
    <t>Riberão Preto</t>
  </si>
  <si>
    <t>Juiz de Fora</t>
  </si>
  <si>
    <t xml:space="preserve"> São Luís</t>
  </si>
  <si>
    <t xml:space="preserve"> Teresina</t>
  </si>
  <si>
    <t>Fortaleza</t>
  </si>
  <si>
    <t>Recife</t>
  </si>
  <si>
    <t>Salvador</t>
  </si>
  <si>
    <t>Natal</t>
  </si>
  <si>
    <t xml:space="preserve">Maceio </t>
  </si>
  <si>
    <t>NORTE/centro oeste</t>
  </si>
  <si>
    <t>Manaus</t>
  </si>
  <si>
    <t>Belem</t>
  </si>
  <si>
    <t>Porto velho</t>
  </si>
  <si>
    <t xml:space="preserve">Ananindeua </t>
  </si>
  <si>
    <t>Brasilia</t>
  </si>
  <si>
    <t>Campo grande</t>
  </si>
  <si>
    <t>Goiania</t>
  </si>
  <si>
    <t>Cuiaba</t>
  </si>
  <si>
    <t>Aparecida de Goiânia</t>
  </si>
  <si>
    <t>Sinop</t>
  </si>
  <si>
    <t xml:space="preserve">Total INICIAL </t>
  </si>
  <si>
    <t>CUSTO ARMAZÉM</t>
  </si>
  <si>
    <t>1 LOTE = 5000 CELULARES</t>
  </si>
  <si>
    <t>CAPACIDADE ARMAZÉM Nº LOTES</t>
  </si>
  <si>
    <t xml:space="preserve">AQUISIÇÃO </t>
  </si>
  <si>
    <t>MANUTENÇÃO MENSAL</t>
  </si>
  <si>
    <t>REGIAO</t>
  </si>
  <si>
    <t>AQUISIÇÃO</t>
  </si>
  <si>
    <t>MENSAL</t>
  </si>
  <si>
    <t>NORTE/CENTRO OESTE</t>
  </si>
  <si>
    <t>SULDESTE/sul</t>
  </si>
  <si>
    <t>CUSTO EQUIPES FUNCIONÁRIOS</t>
  </si>
  <si>
    <t>1 EQUIPE = 10 FUNCIONÁRIOS</t>
  </si>
  <si>
    <t>CONTRATAÇÃO</t>
  </si>
  <si>
    <t>TREINAMENTO</t>
  </si>
  <si>
    <t>SALÁRIO MENSAL</t>
  </si>
  <si>
    <t>LOGÍSTICA</t>
  </si>
  <si>
    <t>COMERCIAL</t>
  </si>
  <si>
    <t>INFRAESTRUTURA</t>
  </si>
  <si>
    <t>1 EQUIPE LOGÍSTICA MOVIMENTA 10 LOTES</t>
  </si>
  <si>
    <t>1 EQUIPE COMERCIAL VENDE 5 LOTES</t>
  </si>
  <si>
    <t>1 EQUIPE INFRAESTRUTURA INSTALA E MANTÉM 5 ERBs/MÊS</t>
  </si>
  <si>
    <t xml:space="preserve">QUANTIDADE DE EQUIPE </t>
  </si>
  <si>
    <t>VALOR DOS PACOTES DE SERVIÇO</t>
  </si>
  <si>
    <t>MODELO CELULAR</t>
  </si>
  <si>
    <t>VALOR</t>
  </si>
  <si>
    <t>IMPORTADO + CARO</t>
  </si>
  <si>
    <t>NACIONAL + CARO</t>
  </si>
  <si>
    <t>IMPORTADO + BARATO</t>
  </si>
  <si>
    <t>NACIONAL + BARATO</t>
  </si>
  <si>
    <t>POSTO DE ATENDIMENTO (PA)</t>
  </si>
  <si>
    <t>1 PA = 10 ATENDENTES</t>
  </si>
  <si>
    <t>NÍVEL DE SERVIÇO PAs</t>
  </si>
  <si>
    <t>NÍVEL DE OCUPAÇÃO</t>
  </si>
  <si>
    <t>NÍVEL 5</t>
  </si>
  <si>
    <t>&lt; 49%</t>
  </si>
  <si>
    <t>CUSTO MÊS 1 PA</t>
  </si>
  <si>
    <t>NÍVEL 4</t>
  </si>
  <si>
    <t>ENTRE 50 E 64%</t>
  </si>
  <si>
    <t>1 PA ATENDE 27.000 CLIENTES</t>
  </si>
  <si>
    <t>NÍVEL 3</t>
  </si>
  <si>
    <t>ENTRE 65 E 74%</t>
  </si>
  <si>
    <t>NÍVEL 2</t>
  </si>
  <si>
    <t>ENTRE 75 A 89%</t>
  </si>
  <si>
    <t>NÍVEL DE SERVIÇO GERAL É A MÉDIA GERAL ENTRE OS DOIS NÍVEIS DE SERVIÇO</t>
  </si>
  <si>
    <t>NÍVEL 1</t>
  </si>
  <si>
    <t>&gt; 90%</t>
  </si>
  <si>
    <t>ERB (ESTAÇÃO RÁDIO BASE)</t>
  </si>
  <si>
    <t>CUSTO DE INSTALAÇÃO 1 ERB</t>
  </si>
  <si>
    <t>NÍVEL DE SERVIÇO ERBs</t>
  </si>
  <si>
    <t>EXCELENTE</t>
  </si>
  <si>
    <t>&lt; 50%</t>
  </si>
  <si>
    <t>BOM</t>
  </si>
  <si>
    <t>QTDE DE CLIENTES SUPORTADOS POR UMA ERB POR REGIÃO</t>
  </si>
  <si>
    <t>ENTRE 50,01 E 60%</t>
  </si>
  <si>
    <t>REGULAR</t>
  </si>
  <si>
    <t>QTD CELULARES</t>
  </si>
  <si>
    <t>ENTRE 60,01 E 75%</t>
  </si>
  <si>
    <t>RUIM</t>
  </si>
  <si>
    <t>SUL / SUDESTE</t>
  </si>
  <si>
    <t>ENTRE 75,01 A 85%</t>
  </si>
  <si>
    <t>PÉSSIMO</t>
  </si>
  <si>
    <t>&gt; 85,01%</t>
  </si>
  <si>
    <t>CENTRO-OESTE / NORTE</t>
  </si>
  <si>
    <t>Resposta do Time</t>
  </si>
  <si>
    <t>QUESTÃO</t>
  </si>
  <si>
    <t>RESPOSTA</t>
  </si>
  <si>
    <t>grupo</t>
  </si>
  <si>
    <t>bruna</t>
  </si>
  <si>
    <t>david</t>
  </si>
  <si>
    <t xml:space="preserve">lucas </t>
  </si>
  <si>
    <t>leonardo</t>
  </si>
  <si>
    <t>pedro</t>
  </si>
  <si>
    <t>vinicius</t>
  </si>
  <si>
    <t>QTD CERTO TOTAL</t>
  </si>
  <si>
    <t>QTD ERRADO TOTAL</t>
  </si>
  <si>
    <t>GRUPO</t>
  </si>
  <si>
    <t>BRUNA</t>
  </si>
  <si>
    <t>DAVID</t>
  </si>
  <si>
    <t>LUCAS</t>
  </si>
  <si>
    <t>LEONARDO</t>
  </si>
  <si>
    <t>PEDRO</t>
  </si>
  <si>
    <t>VINICIUS</t>
  </si>
  <si>
    <t>d</t>
  </si>
  <si>
    <t>b</t>
  </si>
  <si>
    <t>c</t>
  </si>
  <si>
    <t>a</t>
  </si>
  <si>
    <t>(Tudo)</t>
  </si>
  <si>
    <t>Rótulos de Linha</t>
  </si>
  <si>
    <t>Soma de GRUPO</t>
  </si>
  <si>
    <t>Total Geral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</si>
</sst>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&quot;R$&quot;\ * #,##0.00_-;\-&quot;R$&quot;\ * #,##0.00_-;_-&quot;R$&quot;\ * &quot;-&quot;??_-;_-@_-"/>
    <numFmt numFmtId="165" formatCode="0.0%"/>
    <numFmt numFmtId="166" formatCode="_-[$R$-416]\ * #,##0.00_-;\-[$R$-416]\ * #,##0.00_-;_-[$R$-416]\ * \-??_-;_-@_-"/>
    <numFmt numFmtId="167" formatCode="_-[$R$-416]\ * #,##0.00_-;\-[$R$-416]\ * #,##0.00_-;_-[$R$-416]\ * &quot;-&quot;??_-;_-@_-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Segoe UI"/>
      <family val="2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charset val="1"/>
    </font>
    <font>
      <sz val="10"/>
      <name val="Arial"/>
      <family val="2"/>
    </font>
    <font>
      <sz val="9"/>
      <color rgb="FF000000"/>
      <name val="Segoe UI"/>
      <family val="2"/>
      <charset val="1"/>
    </font>
  </fonts>
  <fills count="2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87182226020086"/>
        <bgColor rgb="FFFFD966"/>
      </patternFill>
    </fill>
    <fill>
      <patternFill patternType="solid">
        <fgColor theme="5" tint="0.59987182226020086"/>
        <bgColor rgb="FFFFE699"/>
      </patternFill>
    </fill>
    <fill>
      <patternFill patternType="solid">
        <fgColor theme="6" tint="0.39988402966399123"/>
        <bgColor rgb="FFBDD7EE"/>
      </patternFill>
    </fill>
    <fill>
      <patternFill patternType="solid">
        <fgColor theme="7" tint="0.39988402966399123"/>
        <bgColor rgb="FFFFE699"/>
      </patternFill>
    </fill>
    <fill>
      <patternFill patternType="solid">
        <fgColor theme="4" tint="0.59987182226020086"/>
        <bgColor rgb="FFC9C9C9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-0.249977111117893"/>
        <bgColor rgb="FFFFD966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/>
        <bgColor rgb="FFFFE699"/>
      </patternFill>
    </fill>
    <fill>
      <patternFill patternType="solid">
        <fgColor rgb="FF0070C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184">
    <xf numFmtId="0" fontId="0" fillId="0" borderId="0" xfId="0"/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2" fillId="0" borderId="0" xfId="0" applyFont="1"/>
    <xf numFmtId="0" fontId="4" fillId="0" borderId="0" xfId="0" applyFont="1" applyAlignment="1">
      <alignment horizontal="center"/>
    </xf>
    <xf numFmtId="9" fontId="6" fillId="0" borderId="0" xfId="0" applyNumberFormat="1" applyFont="1" applyAlignment="1">
      <alignment horizontal="center"/>
    </xf>
    <xf numFmtId="0" fontId="0" fillId="2" borderId="0" xfId="0" applyFill="1"/>
    <xf numFmtId="164" fontId="0" fillId="2" borderId="0" xfId="1" applyFont="1" applyFill="1"/>
    <xf numFmtId="10" fontId="5" fillId="2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1" applyFont="1" applyFill="1"/>
    <xf numFmtId="10" fontId="2" fillId="0" borderId="0" xfId="2" applyNumberFormat="1" applyFont="1" applyFill="1" applyAlignment="1">
      <alignment horizontal="left"/>
    </xf>
    <xf numFmtId="0" fontId="4" fillId="0" borderId="0" xfId="0" applyFont="1" applyAlignment="1">
      <alignment horizontal="left"/>
    </xf>
    <xf numFmtId="1" fontId="6" fillId="0" borderId="0" xfId="0" applyNumberFormat="1" applyFont="1" applyAlignment="1">
      <alignment horizontal="center"/>
    </xf>
    <xf numFmtId="1" fontId="0" fillId="2" borderId="0" xfId="0" applyNumberFormat="1" applyFill="1" applyAlignment="1">
      <alignment horizontal="center"/>
    </xf>
    <xf numFmtId="10" fontId="0" fillId="2" borderId="0" xfId="0" applyNumberFormat="1" applyFill="1" applyAlignment="1">
      <alignment horizontal="center"/>
    </xf>
    <xf numFmtId="0" fontId="2" fillId="0" borderId="0" xfId="0" applyFont="1" applyAlignment="1">
      <alignment horizontal="left"/>
    </xf>
    <xf numFmtId="9" fontId="0" fillId="2" borderId="0" xfId="2" applyFont="1" applyFill="1"/>
    <xf numFmtId="165" fontId="0" fillId="2" borderId="0" xfId="2" applyNumberFormat="1" applyFont="1" applyFill="1"/>
    <xf numFmtId="165" fontId="0" fillId="2" borderId="0" xfId="0" applyNumberFormat="1" applyFill="1"/>
    <xf numFmtId="0" fontId="0" fillId="2" borderId="0" xfId="0" applyFill="1" applyAlignment="1">
      <alignment horizontal="center"/>
    </xf>
    <xf numFmtId="3" fontId="0" fillId="2" borderId="0" xfId="2" applyNumberFormat="1" applyFont="1" applyFill="1" applyAlignment="1">
      <alignment horizontal="center"/>
    </xf>
    <xf numFmtId="0" fontId="0" fillId="3" borderId="0" xfId="0" applyFill="1"/>
    <xf numFmtId="165" fontId="0" fillId="0" borderId="0" xfId="0" applyNumberFormat="1"/>
    <xf numFmtId="0" fontId="7" fillId="0" borderId="0" xfId="3" applyFill="1" applyAlignment="1"/>
    <xf numFmtId="0" fontId="7" fillId="2" borderId="0" xfId="3" applyFill="1" applyAlignment="1"/>
    <xf numFmtId="3" fontId="0" fillId="2" borderId="0" xfId="0" applyNumberFormat="1" applyFill="1" applyAlignment="1">
      <alignment horizontal="center"/>
    </xf>
    <xf numFmtId="165" fontId="0" fillId="2" borderId="0" xfId="2" applyNumberFormat="1" applyFont="1" applyFill="1" applyAlignment="1">
      <alignment horizontal="center"/>
    </xf>
    <xf numFmtId="9" fontId="0" fillId="2" borderId="0" xfId="2" applyFont="1" applyFill="1" applyAlignment="1">
      <alignment horizontal="center"/>
    </xf>
    <xf numFmtId="165" fontId="0" fillId="2" borderId="0" xfId="0" applyNumberFormat="1" applyFill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5" xfId="0" applyBorder="1"/>
    <xf numFmtId="164" fontId="0" fillId="0" borderId="1" xfId="0" applyNumberFormat="1" applyBorder="1"/>
    <xf numFmtId="0" fontId="0" fillId="0" borderId="1" xfId="0" applyBorder="1"/>
    <xf numFmtId="164" fontId="0" fillId="0" borderId="0" xfId="0" applyNumberFormat="1"/>
    <xf numFmtId="0" fontId="9" fillId="4" borderId="4" xfId="0" applyFont="1" applyFill="1" applyBorder="1" applyAlignment="1">
      <alignment horizontal="center"/>
    </xf>
    <xf numFmtId="0" fontId="9" fillId="4" borderId="11" xfId="0" applyFont="1" applyFill="1" applyBorder="1" applyAlignment="1">
      <alignment horizontal="center" vertical="center"/>
    </xf>
    <xf numFmtId="0" fontId="0" fillId="4" borderId="4" xfId="0" applyFill="1" applyBorder="1" applyAlignment="1">
      <alignment horizontal="left" vertical="center" indent="1"/>
    </xf>
    <xf numFmtId="166" fontId="0" fillId="4" borderId="11" xfId="0" applyNumberFormat="1" applyFill="1" applyBorder="1" applyAlignment="1">
      <alignment horizontal="left" vertical="center"/>
    </xf>
    <xf numFmtId="0" fontId="0" fillId="4" borderId="9" xfId="0" applyFill="1" applyBorder="1" applyAlignment="1">
      <alignment horizontal="left" vertical="center" indent="1"/>
    </xf>
    <xf numFmtId="166" fontId="0" fillId="4" borderId="10" xfId="0" applyNumberFormat="1" applyFill="1" applyBorder="1" applyAlignment="1">
      <alignment horizontal="left" vertical="center"/>
    </xf>
    <xf numFmtId="0" fontId="9" fillId="5" borderId="1" xfId="0" applyFont="1" applyFill="1" applyBorder="1" applyAlignment="1">
      <alignment horizontal="left" vertical="center" indent="1"/>
    </xf>
    <xf numFmtId="0" fontId="0" fillId="5" borderId="1" xfId="0" applyFill="1" applyBorder="1"/>
    <xf numFmtId="0" fontId="9" fillId="5" borderId="1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164" fontId="0" fillId="5" borderId="1" xfId="1" applyFont="1" applyFill="1" applyBorder="1" applyAlignment="1" applyProtection="1">
      <alignment horizontal="center" vertical="center"/>
    </xf>
    <xf numFmtId="0" fontId="9" fillId="6" borderId="1" xfId="0" applyFont="1" applyFill="1" applyBorder="1" applyAlignment="1">
      <alignment horizontal="left" vertical="center" indent="1"/>
    </xf>
    <xf numFmtId="0" fontId="0" fillId="6" borderId="1" xfId="0" applyFill="1" applyBorder="1" applyAlignment="1">
      <alignment vertical="center"/>
    </xf>
    <xf numFmtId="0" fontId="9" fillId="6" borderId="1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left" vertical="center" indent="8"/>
    </xf>
    <xf numFmtId="164" fontId="0" fillId="6" borderId="1" xfId="1" applyFont="1" applyFill="1" applyBorder="1" applyAlignment="1" applyProtection="1">
      <alignment horizontal="center" vertical="center"/>
    </xf>
    <xf numFmtId="0" fontId="9" fillId="6" borderId="1" xfId="0" applyFont="1" applyFill="1" applyBorder="1" applyAlignment="1">
      <alignment vertical="center"/>
    </xf>
    <xf numFmtId="0" fontId="0" fillId="6" borderId="1" xfId="0" applyFill="1" applyBorder="1" applyAlignment="1">
      <alignment horizontal="center" vertical="center"/>
    </xf>
    <xf numFmtId="0" fontId="0" fillId="7" borderId="4" xfId="0" applyFill="1" applyBorder="1"/>
    <xf numFmtId="0" fontId="0" fillId="7" borderId="0" xfId="0" applyFill="1"/>
    <xf numFmtId="0" fontId="0" fillId="7" borderId="11" xfId="0" applyFill="1" applyBorder="1"/>
    <xf numFmtId="0" fontId="9" fillId="7" borderId="11" xfId="0" applyFont="1" applyFill="1" applyBorder="1" applyAlignment="1">
      <alignment horizontal="center" vertical="center"/>
    </xf>
    <xf numFmtId="164" fontId="0" fillId="7" borderId="11" xfId="1" applyFont="1" applyFill="1" applyBorder="1" applyAlignment="1" applyProtection="1"/>
    <xf numFmtId="164" fontId="0" fillId="7" borderId="10" xfId="1" applyFont="1" applyFill="1" applyBorder="1" applyAlignment="1" applyProtection="1"/>
    <xf numFmtId="0" fontId="0" fillId="8" borderId="4" xfId="0" applyFill="1" applyBorder="1" applyAlignment="1">
      <alignment horizontal="left" indent="1"/>
    </xf>
    <xf numFmtId="0" fontId="0" fillId="8" borderId="0" xfId="0" applyFill="1"/>
    <xf numFmtId="0" fontId="9" fillId="8" borderId="0" xfId="0" applyFont="1" applyFill="1" applyAlignment="1">
      <alignment horizontal="center" vertical="center"/>
    </xf>
    <xf numFmtId="0" fontId="0" fillId="8" borderId="11" xfId="0" applyFill="1" applyBorder="1"/>
    <xf numFmtId="0" fontId="0" fillId="8" borderId="0" xfId="0" applyFill="1" applyAlignment="1">
      <alignment horizontal="center" vertical="center"/>
    </xf>
    <xf numFmtId="164" fontId="0" fillId="8" borderId="0" xfId="1" applyFont="1" applyFill="1" applyBorder="1" applyAlignment="1" applyProtection="1"/>
    <xf numFmtId="0" fontId="0" fillId="8" borderId="4" xfId="0" applyFill="1" applyBorder="1"/>
    <xf numFmtId="0" fontId="9" fillId="8" borderId="4" xfId="0" applyFont="1" applyFill="1" applyBorder="1" applyAlignment="1">
      <alignment horizontal="left" indent="1"/>
    </xf>
    <xf numFmtId="0" fontId="0" fillId="8" borderId="0" xfId="0" applyFill="1" applyAlignment="1">
      <alignment horizontal="center"/>
    </xf>
    <xf numFmtId="0" fontId="9" fillId="8" borderId="0" xfId="0" applyFont="1" applyFill="1"/>
    <xf numFmtId="0" fontId="9" fillId="8" borderId="4" xfId="0" applyFont="1" applyFill="1" applyBorder="1" applyAlignment="1">
      <alignment horizontal="center" vertical="center"/>
    </xf>
    <xf numFmtId="3" fontId="0" fillId="8" borderId="0" xfId="0" applyNumberFormat="1" applyFill="1" applyAlignment="1">
      <alignment horizontal="center" vertical="center"/>
    </xf>
    <xf numFmtId="0" fontId="0" fillId="8" borderId="9" xfId="0" applyFill="1" applyBorder="1"/>
    <xf numFmtId="0" fontId="0" fillId="8" borderId="12" xfId="0" applyFill="1" applyBorder="1"/>
    <xf numFmtId="0" fontId="0" fillId="8" borderId="10" xfId="0" applyFill="1" applyBorder="1"/>
    <xf numFmtId="0" fontId="0" fillId="9" borderId="1" xfId="0" applyFill="1" applyBorder="1"/>
    <xf numFmtId="0" fontId="0" fillId="12" borderId="1" xfId="0" applyFill="1" applyBorder="1" applyAlignment="1">
      <alignment horizontal="left" vertical="center" indent="1"/>
    </xf>
    <xf numFmtId="0" fontId="0" fillId="12" borderId="1" xfId="0" applyFill="1" applyBorder="1" applyAlignment="1">
      <alignment vertical="center"/>
    </xf>
    <xf numFmtId="164" fontId="0" fillId="13" borderId="1" xfId="1" applyFont="1" applyFill="1" applyBorder="1"/>
    <xf numFmtId="164" fontId="0" fillId="9" borderId="1" xfId="1" applyFont="1" applyFill="1" applyBorder="1"/>
    <xf numFmtId="164" fontId="0" fillId="0" borderId="0" xfId="1" applyFont="1"/>
    <xf numFmtId="0" fontId="0" fillId="11" borderId="0" xfId="0" applyFill="1"/>
    <xf numFmtId="164" fontId="0" fillId="11" borderId="0" xfId="0" applyNumberFormat="1" applyFill="1"/>
    <xf numFmtId="164" fontId="0" fillId="14" borderId="1" xfId="1" applyFont="1" applyFill="1" applyBorder="1" applyAlignment="1" applyProtection="1">
      <alignment horizontal="center" vertical="center"/>
    </xf>
    <xf numFmtId="164" fontId="0" fillId="0" borderId="5" xfId="0" applyNumberFormat="1" applyBorder="1"/>
    <xf numFmtId="0" fontId="9" fillId="6" borderId="5" xfId="0" applyFont="1" applyFill="1" applyBorder="1" applyAlignment="1">
      <alignment horizontal="center" vertical="center"/>
    </xf>
    <xf numFmtId="0" fontId="0" fillId="13" borderId="1" xfId="0" applyFill="1" applyBorder="1"/>
    <xf numFmtId="0" fontId="8" fillId="16" borderId="1" xfId="0" applyFont="1" applyFill="1" applyBorder="1"/>
    <xf numFmtId="164" fontId="8" fillId="16" borderId="1" xfId="1" applyFont="1" applyFill="1" applyBorder="1"/>
    <xf numFmtId="0" fontId="0" fillId="3" borderId="2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3" borderId="13" xfId="0" applyFill="1" applyBorder="1" applyAlignment="1">
      <alignment horizontal="center"/>
    </xf>
    <xf numFmtId="166" fontId="0" fillId="0" borderId="0" xfId="0" applyNumberFormat="1"/>
    <xf numFmtId="0" fontId="0" fillId="0" borderId="1" xfId="0" applyBorder="1" applyAlignment="1">
      <alignment horizontal="center"/>
    </xf>
    <xf numFmtId="164" fontId="0" fillId="0" borderId="1" xfId="1" applyFont="1" applyBorder="1" applyAlignment="1">
      <alignment horizontal="center" vertical="center"/>
    </xf>
    <xf numFmtId="164" fontId="0" fillId="0" borderId="0" xfId="1" applyFont="1" applyFill="1" applyBorder="1"/>
    <xf numFmtId="164" fontId="0" fillId="0" borderId="1" xfId="1" applyFont="1" applyBorder="1"/>
    <xf numFmtId="164" fontId="0" fillId="0" borderId="1" xfId="1" applyFont="1" applyFill="1" applyBorder="1"/>
    <xf numFmtId="0" fontId="0" fillId="0" borderId="2" xfId="0" applyBorder="1" applyAlignment="1">
      <alignment vertical="center"/>
    </xf>
    <xf numFmtId="0" fontId="0" fillId="0" borderId="2" xfId="0" applyBorder="1"/>
    <xf numFmtId="0" fontId="0" fillId="0" borderId="1" xfId="1" applyNumberFormat="1" applyFont="1" applyBorder="1"/>
    <xf numFmtId="0" fontId="0" fillId="0" borderId="1" xfId="0" applyBorder="1" applyAlignment="1">
      <alignment vertical="center"/>
    </xf>
    <xf numFmtId="164" fontId="0" fillId="0" borderId="0" xfId="1" applyFont="1" applyBorder="1" applyAlignment="1">
      <alignment horizontal="center" vertical="center"/>
    </xf>
    <xf numFmtId="164" fontId="0" fillId="0" borderId="0" xfId="1" applyFont="1" applyBorder="1"/>
    <xf numFmtId="0" fontId="0" fillId="0" borderId="0" xfId="1" applyNumberFormat="1" applyFont="1" applyBorder="1"/>
    <xf numFmtId="0" fontId="0" fillId="0" borderId="0" xfId="0" applyAlignment="1">
      <alignment vertical="center"/>
    </xf>
    <xf numFmtId="0" fontId="0" fillId="0" borderId="14" xfId="0" applyBorder="1"/>
    <xf numFmtId="0" fontId="0" fillId="0" borderId="2" xfId="0" applyBorder="1" applyAlignment="1">
      <alignment horizontal="center"/>
    </xf>
    <xf numFmtId="164" fontId="0" fillId="14" borderId="1" xfId="1" applyFont="1" applyFill="1" applyBorder="1" applyAlignment="1" applyProtection="1"/>
    <xf numFmtId="0" fontId="0" fillId="0" borderId="11" xfId="0" applyBorder="1"/>
    <xf numFmtId="0" fontId="0" fillId="2" borderId="1" xfId="0" applyFill="1" applyBorder="1"/>
    <xf numFmtId="164" fontId="0" fillId="2" borderId="1" xfId="0" applyNumberFormat="1" applyFill="1" applyBorder="1"/>
    <xf numFmtId="0" fontId="0" fillId="17" borderId="1" xfId="0" applyFill="1" applyBorder="1"/>
    <xf numFmtId="164" fontId="0" fillId="17" borderId="1" xfId="0" applyNumberFormat="1" applyFill="1" applyBorder="1"/>
    <xf numFmtId="164" fontId="0" fillId="17" borderId="0" xfId="0" applyNumberFormat="1" applyFill="1"/>
    <xf numFmtId="164" fontId="0" fillId="18" borderId="1" xfId="0" applyNumberFormat="1" applyFill="1" applyBorder="1"/>
    <xf numFmtId="0" fontId="0" fillId="19" borderId="1" xfId="0" applyFill="1" applyBorder="1"/>
    <xf numFmtId="164" fontId="0" fillId="19" borderId="1" xfId="0" applyNumberFormat="1" applyFill="1" applyBorder="1"/>
    <xf numFmtId="164" fontId="0" fillId="19" borderId="0" xfId="0" applyNumberFormat="1" applyFill="1"/>
    <xf numFmtId="164" fontId="0" fillId="18" borderId="0" xfId="0" applyNumberFormat="1" applyFill="1"/>
    <xf numFmtId="0" fontId="2" fillId="0" borderId="0" xfId="0" applyFont="1" applyAlignment="1">
      <alignment horizontal="left"/>
    </xf>
    <xf numFmtId="0" fontId="7" fillId="0" borderId="0" xfId="3" applyFill="1" applyAlignment="1">
      <alignment horizontal="left"/>
    </xf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164" fontId="0" fillId="3" borderId="1" xfId="1" applyFont="1" applyFill="1" applyBorder="1" applyAlignment="1">
      <alignment horizontal="center" wrapText="1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164" fontId="0" fillId="3" borderId="2" xfId="1" applyFont="1" applyFill="1" applyBorder="1" applyAlignment="1">
      <alignment horizontal="center" wrapText="1"/>
    </xf>
    <xf numFmtId="164" fontId="0" fillId="3" borderId="3" xfId="1" applyFont="1" applyFill="1" applyBorder="1" applyAlignment="1">
      <alignment horizontal="center" wrapText="1"/>
    </xf>
    <xf numFmtId="0" fontId="0" fillId="3" borderId="2" xfId="0" applyFill="1" applyBorder="1" applyAlignment="1">
      <alignment horizontal="center" wrapText="1"/>
    </xf>
    <xf numFmtId="0" fontId="0" fillId="3" borderId="3" xfId="0" applyFill="1" applyBorder="1" applyAlignment="1">
      <alignment horizontal="center" wrapText="1"/>
    </xf>
    <xf numFmtId="164" fontId="0" fillId="3" borderId="2" xfId="1" applyFont="1" applyFill="1" applyBorder="1" applyAlignment="1">
      <alignment horizontal="center" vertical="center" wrapText="1"/>
    </xf>
    <xf numFmtId="164" fontId="0" fillId="3" borderId="3" xfId="1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0" fillId="3" borderId="1" xfId="0" applyFill="1" applyBorder="1" applyAlignment="1">
      <alignment horizontal="center" wrapText="1"/>
    </xf>
    <xf numFmtId="164" fontId="0" fillId="3" borderId="1" xfId="1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3" borderId="0" xfId="0" applyFill="1" applyAlignment="1">
      <alignment horizontal="center"/>
    </xf>
    <xf numFmtId="164" fontId="0" fillId="3" borderId="0" xfId="1" applyFont="1" applyFill="1" applyBorder="1" applyAlignment="1">
      <alignment horizontal="center" wrapText="1"/>
    </xf>
    <xf numFmtId="0" fontId="0" fillId="3" borderId="0" xfId="0" applyFill="1" applyAlignment="1">
      <alignment horizontal="center" wrapText="1"/>
    </xf>
    <xf numFmtId="164" fontId="0" fillId="3" borderId="0" xfId="1" applyFont="1" applyFill="1" applyBorder="1" applyAlignment="1">
      <alignment horizontal="center" vertical="center" wrapText="1"/>
    </xf>
    <xf numFmtId="0" fontId="8" fillId="15" borderId="1" xfId="0" applyFont="1" applyFill="1" applyBorder="1" applyAlignment="1">
      <alignment horizontal="center"/>
    </xf>
    <xf numFmtId="164" fontId="0" fillId="0" borderId="1" xfId="1" applyFont="1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13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164" fontId="0" fillId="0" borderId="2" xfId="0" applyNumberFormat="1" applyBorder="1" applyAlignment="1">
      <alignment horizontal="center"/>
    </xf>
    <xf numFmtId="167" fontId="0" fillId="0" borderId="1" xfId="1" applyNumberFormat="1" applyFont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9" borderId="13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8" fillId="10" borderId="0" xfId="0" applyFont="1" applyFill="1" applyAlignment="1">
      <alignment horizontal="center"/>
    </xf>
    <xf numFmtId="0" fontId="9" fillId="4" borderId="6" xfId="0" applyFont="1" applyFill="1" applyBorder="1" applyAlignment="1">
      <alignment horizontal="center" vertical="center" wrapText="1"/>
    </xf>
    <xf numFmtId="0" fontId="0" fillId="2" borderId="0" xfId="0" applyFill="1" applyAlignment="1">
      <alignment horizontal="center"/>
    </xf>
    <xf numFmtId="0" fontId="0" fillId="12" borderId="2" xfId="0" applyFill="1" applyBorder="1" applyAlignment="1">
      <alignment horizontal="center" vertical="center"/>
    </xf>
    <xf numFmtId="0" fontId="0" fillId="12" borderId="13" xfId="0" applyFill="1" applyBorder="1" applyAlignment="1">
      <alignment horizontal="center" vertical="center"/>
    </xf>
    <xf numFmtId="0" fontId="0" fillId="12" borderId="3" xfId="0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9" fillId="6" borderId="4" xfId="0" applyFont="1" applyFill="1" applyBorder="1" applyAlignment="1">
      <alignment horizontal="center" vertical="center"/>
    </xf>
    <xf numFmtId="0" fontId="9" fillId="6" borderId="0" xfId="0" applyFont="1" applyFill="1" applyAlignment="1">
      <alignment horizontal="center" vertical="center"/>
    </xf>
    <xf numFmtId="164" fontId="0" fillId="0" borderId="2" xfId="1" applyFont="1" applyBorder="1" applyAlignment="1">
      <alignment horizontal="center" vertical="center"/>
    </xf>
    <xf numFmtId="164" fontId="0" fillId="0" borderId="3" xfId="1" applyFont="1" applyBorder="1" applyAlignment="1">
      <alignment horizontal="center" vertical="center"/>
    </xf>
    <xf numFmtId="164" fontId="0" fillId="0" borderId="1" xfId="1" applyFon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9" fillId="7" borderId="6" xfId="0" applyFont="1" applyFill="1" applyBorder="1" applyAlignment="1">
      <alignment horizontal="center" vertical="center"/>
    </xf>
    <xf numFmtId="0" fontId="9" fillId="7" borderId="4" xfId="0" applyFont="1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 wrapText="1"/>
    </xf>
    <xf numFmtId="0" fontId="9" fillId="8" borderId="7" xfId="0" applyFont="1" applyFill="1" applyBorder="1" applyAlignment="1">
      <alignment horizontal="center"/>
    </xf>
    <xf numFmtId="0" fontId="9" fillId="8" borderId="5" xfId="0" applyFont="1" applyFill="1" applyBorder="1" applyAlignment="1">
      <alignment horizontal="center"/>
    </xf>
    <xf numFmtId="0" fontId="9" fillId="8" borderId="8" xfId="0" applyFont="1" applyFill="1" applyBorder="1" applyAlignment="1">
      <alignment horizontal="center"/>
    </xf>
  </cellXfs>
  <cellStyles count="4">
    <cellStyle name="Hiperlink" xfId="3" builtinId="8"/>
    <cellStyle name="Moeda" xfId="1" builtinId="4"/>
    <cellStyle name="Normal" xfId="0" builtinId="0"/>
    <cellStyle name="Porcentagem" xfId="2" builtinId="5"/>
  </cellStyles>
  <dxfs count="14"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valor gasto mes a 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5487016267555825"/>
          <c:y val="0.1018274111675127"/>
          <c:w val="0.82759954857435958"/>
          <c:h val="0.7216299612294656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('planejamento mensal'!$P$8,'planejamento mensal'!$P$17,'planejamento mensal'!$P$26,'planejamento mensal'!$P$34,'planejamento mensal'!$P$43,'planejamento mensal'!$P$52,'planejamento mensal'!$P$61,'planejamento mensal'!$P$69,'planejamento mensal'!$P$78,'planejamento mensal'!$P$87,'planejamento mensal'!$P$96,'planejamento mensal'!$P$105)</c:f>
              <c:strCache>
                <c:ptCount val="12"/>
                <c:pt idx="0">
                  <c:v>valor gasto janeiro</c:v>
                </c:pt>
                <c:pt idx="1">
                  <c:v>valor gasto fevereiro</c:v>
                </c:pt>
                <c:pt idx="2">
                  <c:v>valor gasto março</c:v>
                </c:pt>
                <c:pt idx="3">
                  <c:v>valor gasto abril</c:v>
                </c:pt>
                <c:pt idx="4">
                  <c:v>valor gasto maio</c:v>
                </c:pt>
                <c:pt idx="5">
                  <c:v>valor gasto junho</c:v>
                </c:pt>
                <c:pt idx="6">
                  <c:v>valor gasto julho</c:v>
                </c:pt>
                <c:pt idx="7">
                  <c:v>valor gasto agosto</c:v>
                </c:pt>
                <c:pt idx="8">
                  <c:v>valor gasto setembro</c:v>
                </c:pt>
                <c:pt idx="9">
                  <c:v>valor gasto outubro</c:v>
                </c:pt>
                <c:pt idx="10">
                  <c:v>valor gasto novembro</c:v>
                </c:pt>
                <c:pt idx="11">
                  <c:v>valor gasto dezembro</c:v>
                </c:pt>
              </c:strCache>
            </c:strRef>
          </c:cat>
          <c:val>
            <c:numRef>
              <c:f>('planejamento mensal'!$Q$8,'planejamento mensal'!$Q$17,'planejamento mensal'!$Q$26,'planejamento mensal'!$Q$34,'planejamento mensal'!$Q$43,'planejamento mensal'!$Q$52,'planejamento mensal'!$Q$61,'planejamento mensal'!$Q$69,'planejamento mensal'!$Q$78,'planejamento mensal'!$Q$87,'planejamento mensal'!$Q$96,'planejamento mensal'!$Q$105)</c:f>
              <c:numCache>
                <c:formatCode>_-"R$"\ * #,##0.00_-;\-"R$"\ * #,##0.00_-;_-"R$"\ * "-"??_-;_-@_-</c:formatCode>
                <c:ptCount val="12"/>
                <c:pt idx="0">
                  <c:v>709419361.63999999</c:v>
                </c:pt>
                <c:pt idx="1">
                  <c:v>639342977.01999998</c:v>
                </c:pt>
                <c:pt idx="2">
                  <c:v>656184915.27999997</c:v>
                </c:pt>
                <c:pt idx="3">
                  <c:v>638586376.01999998</c:v>
                </c:pt>
                <c:pt idx="4">
                  <c:v>671437991.44000006</c:v>
                </c:pt>
                <c:pt idx="5">
                  <c:v>650207767.38</c:v>
                </c:pt>
                <c:pt idx="6">
                  <c:v>629295315.74000001</c:v>
                </c:pt>
                <c:pt idx="7">
                  <c:v>629295315.74000001</c:v>
                </c:pt>
                <c:pt idx="8">
                  <c:v>594552197.82000005</c:v>
                </c:pt>
                <c:pt idx="9">
                  <c:v>549246929.94000006</c:v>
                </c:pt>
                <c:pt idx="10">
                  <c:v>703215233.44000006</c:v>
                </c:pt>
                <c:pt idx="11">
                  <c:v>652386778.25999999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CF-4D66-8A8D-6585620EFF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7601504"/>
        <c:axId val="202111568"/>
      </c:barChart>
      <c:catAx>
        <c:axId val="857601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2111568"/>
        <c:crosses val="autoZero"/>
        <c:auto val="1"/>
        <c:lblAlgn val="ctr"/>
        <c:lblOffset val="100"/>
        <c:noMultiLvlLbl val="0"/>
      </c:catAx>
      <c:valAx>
        <c:axId val="20211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R$&quot;\ * #,##0.00_-;\-&quot;R$&quot;\ * #,##0.00_-;_-&quot;R$&quot;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57601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QUANTIDADE DE ERRO</a:t>
            </a:r>
            <a:r>
              <a:rPr lang="pt-BR" baseline="0"/>
              <a:t> E ACERTO POR QUESTÃO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DADOS!$Q$2</c:f>
              <c:strCache>
                <c:ptCount val="1"/>
                <c:pt idx="0">
                  <c:v>QTD CERTO TOTAL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00B05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DADOS!$A$3:$A$27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DADOS!$Q$3:$Q$27</c:f>
              <c:numCache>
                <c:formatCode>General</c:formatCode>
                <c:ptCount val="25"/>
                <c:pt idx="0">
                  <c:v>7</c:v>
                </c:pt>
                <c:pt idx="1">
                  <c:v>5</c:v>
                </c:pt>
                <c:pt idx="2">
                  <c:v>5</c:v>
                </c:pt>
                <c:pt idx="3">
                  <c:v>1</c:v>
                </c:pt>
                <c:pt idx="4">
                  <c:v>5</c:v>
                </c:pt>
                <c:pt idx="5">
                  <c:v>2</c:v>
                </c:pt>
                <c:pt idx="6">
                  <c:v>6</c:v>
                </c:pt>
                <c:pt idx="7">
                  <c:v>2</c:v>
                </c:pt>
                <c:pt idx="8">
                  <c:v>3</c:v>
                </c:pt>
                <c:pt idx="9">
                  <c:v>2</c:v>
                </c:pt>
                <c:pt idx="10">
                  <c:v>4</c:v>
                </c:pt>
                <c:pt idx="11">
                  <c:v>5</c:v>
                </c:pt>
                <c:pt idx="12">
                  <c:v>5</c:v>
                </c:pt>
                <c:pt idx="13">
                  <c:v>1</c:v>
                </c:pt>
                <c:pt idx="14">
                  <c:v>4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2</c:v>
                </c:pt>
                <c:pt idx="19">
                  <c:v>6</c:v>
                </c:pt>
                <c:pt idx="20">
                  <c:v>5</c:v>
                </c:pt>
                <c:pt idx="21">
                  <c:v>2</c:v>
                </c:pt>
                <c:pt idx="22">
                  <c:v>4</c:v>
                </c:pt>
                <c:pt idx="23">
                  <c:v>1</c:v>
                </c:pt>
                <c:pt idx="2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9F-4639-AB95-C1684629996E}"/>
            </c:ext>
          </c:extLst>
        </c:ser>
        <c:ser>
          <c:idx val="1"/>
          <c:order val="1"/>
          <c:tx>
            <c:strRef>
              <c:f>DADOS!$R$2</c:f>
              <c:strCache>
                <c:ptCount val="1"/>
                <c:pt idx="0">
                  <c:v>QTD ERRADO TOTAL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FF000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DADOS!$A$3:$A$27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DADOS!$R$3:$R$27</c:f>
              <c:numCache>
                <c:formatCode>General</c:formatCode>
                <c:ptCount val="25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6</c:v>
                </c:pt>
                <c:pt idx="4">
                  <c:v>2</c:v>
                </c:pt>
                <c:pt idx="5">
                  <c:v>5</c:v>
                </c:pt>
                <c:pt idx="6">
                  <c:v>1</c:v>
                </c:pt>
                <c:pt idx="7">
                  <c:v>5</c:v>
                </c:pt>
                <c:pt idx="8">
                  <c:v>4</c:v>
                </c:pt>
                <c:pt idx="9">
                  <c:v>5</c:v>
                </c:pt>
                <c:pt idx="10">
                  <c:v>3</c:v>
                </c:pt>
                <c:pt idx="11">
                  <c:v>2</c:v>
                </c:pt>
                <c:pt idx="12">
                  <c:v>2</c:v>
                </c:pt>
                <c:pt idx="13">
                  <c:v>6</c:v>
                </c:pt>
                <c:pt idx="14">
                  <c:v>3</c:v>
                </c:pt>
                <c:pt idx="15">
                  <c:v>7</c:v>
                </c:pt>
                <c:pt idx="16">
                  <c:v>6</c:v>
                </c:pt>
                <c:pt idx="17">
                  <c:v>5</c:v>
                </c:pt>
                <c:pt idx="18">
                  <c:v>5</c:v>
                </c:pt>
                <c:pt idx="19">
                  <c:v>1</c:v>
                </c:pt>
                <c:pt idx="20">
                  <c:v>2</c:v>
                </c:pt>
                <c:pt idx="21">
                  <c:v>5</c:v>
                </c:pt>
                <c:pt idx="22">
                  <c:v>3</c:v>
                </c:pt>
                <c:pt idx="23">
                  <c:v>6</c:v>
                </c:pt>
                <c:pt idx="2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9F-4639-AB95-C1684629996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3557632"/>
        <c:axId val="153567616"/>
      </c:barChart>
      <c:catAx>
        <c:axId val="15355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3567616"/>
        <c:crosses val="autoZero"/>
        <c:auto val="1"/>
        <c:lblAlgn val="ctr"/>
        <c:lblOffset val="100"/>
        <c:noMultiLvlLbl val="0"/>
      </c:catAx>
      <c:valAx>
        <c:axId val="15356761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one"/>
        <c:crossAx val="153557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141" footer="0.3149606200000014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GRÁFICO!$B$8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12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5</c:v>
              </c:pt>
              <c:pt idx="4">
                <c:v>7</c:v>
              </c:pt>
              <c:pt idx="5">
                <c:v>11</c:v>
              </c:pt>
              <c:pt idx="6">
                <c:v>12</c:v>
              </c:pt>
              <c:pt idx="7">
                <c:v>13</c:v>
              </c:pt>
              <c:pt idx="8">
                <c:v>15</c:v>
              </c:pt>
              <c:pt idx="9">
                <c:v>20</c:v>
              </c:pt>
              <c:pt idx="10">
                <c:v>21</c:v>
              </c:pt>
              <c:pt idx="11">
                <c:v>23</c:v>
              </c:pt>
            </c:strLit>
          </c:cat>
          <c:val>
            <c:numLit>
              <c:formatCode>General</c:formatCode>
              <c:ptCount val="12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0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0-0025-42D7-B1B1-9736CEB1377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3781376"/>
        <c:axId val="153782912"/>
      </c:barChart>
      <c:catAx>
        <c:axId val="153781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3782912"/>
        <c:crosses val="autoZero"/>
        <c:auto val="1"/>
        <c:lblAlgn val="ctr"/>
        <c:lblOffset val="100"/>
        <c:noMultiLvlLbl val="0"/>
      </c:catAx>
      <c:valAx>
        <c:axId val="15378291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one"/>
        <c:crossAx val="153781376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141" footer="0.31496062000000141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1171013</xdr:colOff>
      <xdr:row>108</xdr:row>
      <xdr:rowOff>11206</xdr:rowOff>
    </xdr:from>
    <xdr:to>
      <xdr:col>14</xdr:col>
      <xdr:colOff>1456764</xdr:colOff>
      <xdr:row>127</xdr:row>
      <xdr:rowOff>144556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E486A4A-6353-4E0C-AC56-B27DF4EA20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27</xdr:row>
      <xdr:rowOff>91440</xdr:rowOff>
    </xdr:from>
    <xdr:to>
      <xdr:col>14</xdr:col>
      <xdr:colOff>434340</xdr:colOff>
      <xdr:row>48</xdr:row>
      <xdr:rowOff>114300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2151D78-BC31-CA29-26CE-FA0B696F24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49</xdr:row>
      <xdr:rowOff>0</xdr:rowOff>
    </xdr:from>
    <xdr:to>
      <xdr:col>17</xdr:col>
      <xdr:colOff>15240</xdr:colOff>
      <xdr:row>72</xdr:row>
      <xdr:rowOff>137160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15201A06-1F45-49C4-85EF-3C7B5F25DA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commercebrasil.com.br/artigos/analise-detalhada-do-mercado-de-smartphones-e-maiores-vendas-de-2023" TargetMode="External"/><Relationship Id="rId2" Type="http://schemas.openxmlformats.org/officeDocument/2006/relationships/hyperlink" Target="https://www.oficinadanet.com.br/smartphones/40556-celulares-mais-caros-brasil" TargetMode="External"/><Relationship Id="rId1" Type="http://schemas.openxmlformats.org/officeDocument/2006/relationships/hyperlink" Target="https://tecnologia.ig.com.br/2023-09-13/iphone-15-pro-max-celular-mais-caro-brasil-veja-top-5.html.ampstories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magazineluiza.com.br/iphone-12-apple-64gb-branco-tela-61-12mp-ios/p/231147400/te/ip12/" TargetMode="External"/><Relationship Id="rId4" Type="http://schemas.openxmlformats.org/officeDocument/2006/relationships/hyperlink" Target="https://valor.globo.com/publicacoes/especiais/telecomunicacoes/noticia/2024/05/28/venda-de-celular-tem-leve-alta-apos-3-anos-de-queda.ghtml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0"/>
  <sheetViews>
    <sheetView topLeftCell="A43" workbookViewId="0">
      <selection activeCell="B68" sqref="B68"/>
    </sheetView>
  </sheetViews>
  <sheetFormatPr defaultRowHeight="15"/>
  <cols>
    <col min="2" max="2" width="27.7109375" customWidth="1"/>
    <col min="3" max="3" width="47.140625" customWidth="1"/>
    <col min="4" max="4" width="18.7109375" customWidth="1"/>
    <col min="9" max="9" width="38.5703125" customWidth="1"/>
    <col min="10" max="10" width="43.28515625" customWidth="1"/>
    <col min="11" max="11" width="41.42578125" customWidth="1"/>
    <col min="12" max="12" width="32.5703125" customWidth="1"/>
  </cols>
  <sheetData>
    <row r="1" spans="1:12">
      <c r="B1" s="3" t="s">
        <v>0</v>
      </c>
    </row>
    <row r="2" spans="1:12">
      <c r="B2" s="3"/>
    </row>
    <row r="3" spans="1:12">
      <c r="A3" s="2">
        <v>1</v>
      </c>
      <c r="B3" s="3" t="s">
        <v>1</v>
      </c>
    </row>
    <row r="4" spans="1:12">
      <c r="A4" s="2"/>
      <c r="B4" s="21" t="s">
        <v>2</v>
      </c>
      <c r="C4" t="s">
        <v>3</v>
      </c>
    </row>
    <row r="5" spans="1:12">
      <c r="A5" s="2"/>
      <c r="B5" s="11" t="s">
        <v>4</v>
      </c>
      <c r="C5" s="25" t="s">
        <v>5</v>
      </c>
    </row>
    <row r="6" spans="1:12">
      <c r="C6" s="25"/>
    </row>
    <row r="7" spans="1:12">
      <c r="A7" s="2">
        <v>2</v>
      </c>
      <c r="B7" s="3" t="s">
        <v>6</v>
      </c>
    </row>
    <row r="8" spans="1:12">
      <c r="B8" s="2"/>
      <c r="C8" s="2"/>
      <c r="D8" s="2"/>
      <c r="E8" s="2"/>
    </row>
    <row r="9" spans="1:12" ht="15" customHeight="1">
      <c r="A9" s="2"/>
      <c r="B9" s="1" t="s">
        <v>7</v>
      </c>
      <c r="C9" s="2" t="s">
        <v>8</v>
      </c>
      <c r="D9" s="2" t="s">
        <v>9</v>
      </c>
      <c r="E9" s="16" t="s">
        <v>10</v>
      </c>
    </row>
    <row r="10" spans="1:12">
      <c r="B10" s="2">
        <v>1</v>
      </c>
      <c r="C10" s="6" t="s">
        <v>11</v>
      </c>
      <c r="D10" s="7">
        <v>13999</v>
      </c>
      <c r="E10" s="121" t="s">
        <v>12</v>
      </c>
      <c r="F10" s="121"/>
      <c r="G10" s="121"/>
      <c r="H10" s="3" t="s">
        <v>13</v>
      </c>
      <c r="I10" s="122" t="s">
        <v>14</v>
      </c>
      <c r="J10" s="122"/>
      <c r="K10" s="122"/>
      <c r="L10" s="122"/>
    </row>
    <row r="11" spans="1:12" ht="15" customHeight="1">
      <c r="B11" s="1">
        <v>2</v>
      </c>
      <c r="C11" s="6" t="s">
        <v>15</v>
      </c>
      <c r="D11" s="7">
        <v>15799</v>
      </c>
      <c r="E11" s="121" t="s">
        <v>16</v>
      </c>
      <c r="F11" s="121"/>
      <c r="G11" s="121"/>
      <c r="H11" s="3" t="s">
        <v>13</v>
      </c>
      <c r="I11" s="122" t="s">
        <v>17</v>
      </c>
      <c r="J11" s="122"/>
      <c r="K11" s="122"/>
      <c r="L11" s="122"/>
    </row>
    <row r="12" spans="1:12" ht="16.5">
      <c r="B12" s="1">
        <v>3</v>
      </c>
      <c r="C12" s="6" t="s">
        <v>18</v>
      </c>
      <c r="D12" s="7">
        <v>2799</v>
      </c>
      <c r="E12" s="121" t="s">
        <v>19</v>
      </c>
      <c r="F12" s="121"/>
      <c r="G12" s="121"/>
      <c r="H12" s="3" t="s">
        <v>13</v>
      </c>
      <c r="I12" s="122" t="s">
        <v>20</v>
      </c>
      <c r="J12" s="122"/>
      <c r="K12" s="122"/>
      <c r="L12" s="122"/>
    </row>
    <row r="13" spans="1:12" ht="16.5">
      <c r="B13" s="1">
        <v>4</v>
      </c>
      <c r="C13" s="6" t="s">
        <v>21</v>
      </c>
      <c r="D13" s="7">
        <v>459</v>
      </c>
      <c r="E13" s="121" t="s">
        <v>22</v>
      </c>
      <c r="F13" s="121"/>
      <c r="G13" s="121"/>
      <c r="H13" s="3" t="s">
        <v>13</v>
      </c>
      <c r="I13" s="122" t="s">
        <v>23</v>
      </c>
      <c r="J13" s="122"/>
      <c r="K13" s="122"/>
      <c r="L13" s="122"/>
    </row>
    <row r="14" spans="1:12" ht="16.5">
      <c r="B14" s="1"/>
      <c r="D14" s="10"/>
      <c r="E14" s="3"/>
    </row>
    <row r="15" spans="1:12">
      <c r="B15" t="s">
        <v>24</v>
      </c>
    </row>
    <row r="17" spans="1:11">
      <c r="A17" s="2">
        <v>3</v>
      </c>
      <c r="B17" s="3" t="s">
        <v>25</v>
      </c>
    </row>
    <row r="18" spans="1:11">
      <c r="C18" t="s">
        <v>26</v>
      </c>
      <c r="D18" t="s">
        <v>27</v>
      </c>
      <c r="E18" s="9" t="s">
        <v>28</v>
      </c>
      <c r="F18" s="9" t="s">
        <v>29</v>
      </c>
      <c r="G18" s="9" t="s">
        <v>30</v>
      </c>
      <c r="H18" s="9" t="s">
        <v>31</v>
      </c>
      <c r="I18" s="9" t="s">
        <v>32</v>
      </c>
    </row>
    <row r="19" spans="1:11">
      <c r="B19" t="s">
        <v>33</v>
      </c>
      <c r="C19" s="20" t="s">
        <v>34</v>
      </c>
      <c r="E19" s="18">
        <v>0.04</v>
      </c>
      <c r="F19" s="18">
        <v>0.15</v>
      </c>
      <c r="G19" s="18">
        <v>0.45</v>
      </c>
      <c r="H19" s="18">
        <v>0.25</v>
      </c>
      <c r="I19" s="27">
        <v>0.2</v>
      </c>
      <c r="J19" s="23"/>
    </row>
    <row r="20" spans="1:11">
      <c r="C20" s="9"/>
      <c r="I20" s="9"/>
    </row>
    <row r="21" spans="1:11">
      <c r="B21" t="s">
        <v>35</v>
      </c>
      <c r="C21" s="26">
        <v>84847187</v>
      </c>
      <c r="E21" s="17">
        <v>0.05</v>
      </c>
      <c r="F21" s="17">
        <v>0.2</v>
      </c>
      <c r="G21" s="17">
        <v>0.45</v>
      </c>
      <c r="H21" s="17">
        <v>0.25</v>
      </c>
      <c r="I21" s="28">
        <v>0.15</v>
      </c>
    </row>
    <row r="22" spans="1:11">
      <c r="C22" s="9"/>
      <c r="I22" s="9"/>
    </row>
    <row r="23" spans="1:11">
      <c r="B23" t="s">
        <v>36</v>
      </c>
      <c r="C23" s="20" t="s">
        <v>37</v>
      </c>
      <c r="E23" s="19">
        <v>0.02</v>
      </c>
      <c r="F23" s="19">
        <v>0.08</v>
      </c>
      <c r="G23" s="19">
        <v>0.4</v>
      </c>
      <c r="H23" s="19">
        <v>0.35</v>
      </c>
      <c r="I23" s="29">
        <v>0.25</v>
      </c>
      <c r="J23" s="23"/>
    </row>
    <row r="24" spans="1:11">
      <c r="C24" s="9"/>
      <c r="I24" s="9"/>
    </row>
    <row r="25" spans="1:11">
      <c r="B25" t="s">
        <v>38</v>
      </c>
      <c r="C25" s="26">
        <v>16287809</v>
      </c>
      <c r="E25" s="18">
        <v>0.03</v>
      </c>
      <c r="F25" s="18">
        <v>0.15</v>
      </c>
      <c r="G25" s="18">
        <v>0.45</v>
      </c>
      <c r="H25" s="18">
        <v>0.25</v>
      </c>
      <c r="I25" s="27">
        <v>0.2</v>
      </c>
      <c r="J25" s="23"/>
    </row>
    <row r="26" spans="1:11">
      <c r="C26" s="9"/>
      <c r="I26" s="9"/>
    </row>
    <row r="27" spans="1:11">
      <c r="B27" t="s">
        <v>39</v>
      </c>
      <c r="C27" s="26">
        <v>17349619</v>
      </c>
      <c r="E27" s="19">
        <v>0.02</v>
      </c>
      <c r="F27" s="19">
        <v>0.1</v>
      </c>
      <c r="G27" s="19">
        <v>0.4</v>
      </c>
      <c r="H27" s="19">
        <v>0.35</v>
      </c>
      <c r="I27" s="29">
        <v>0.25</v>
      </c>
    </row>
    <row r="28" spans="1:11">
      <c r="E28" s="22"/>
      <c r="F28" s="22"/>
      <c r="G28" s="22"/>
      <c r="H28" s="22"/>
      <c r="I28" s="22"/>
      <c r="J28" s="22"/>
      <c r="K28" s="22"/>
    </row>
    <row r="29" spans="1:11">
      <c r="B29" s="3" t="s">
        <v>4</v>
      </c>
      <c r="C29" s="6" t="s">
        <v>40</v>
      </c>
    </row>
    <row r="30" spans="1:11">
      <c r="B30" s="3"/>
      <c r="C30" s="6"/>
      <c r="D30" s="24"/>
      <c r="E30" s="24"/>
      <c r="F30" s="24"/>
      <c r="G30" s="24"/>
      <c r="H30" s="24"/>
      <c r="I30" s="24"/>
      <c r="J30" s="24"/>
      <c r="K30" s="24"/>
    </row>
    <row r="32" spans="1:11">
      <c r="B32" t="s">
        <v>41</v>
      </c>
    </row>
    <row r="34" spans="1:4">
      <c r="A34" s="2">
        <v>4</v>
      </c>
      <c r="B34" s="3" t="s">
        <v>42</v>
      </c>
      <c r="C34" t="s">
        <v>43</v>
      </c>
    </row>
    <row r="35" spans="1:4">
      <c r="A35" s="2"/>
      <c r="C35" t="s">
        <v>44</v>
      </c>
    </row>
    <row r="36" spans="1:4" ht="15.75">
      <c r="B36" s="4" t="s">
        <v>45</v>
      </c>
      <c r="C36" s="4" t="s">
        <v>46</v>
      </c>
      <c r="D36" s="9" t="s">
        <v>47</v>
      </c>
    </row>
    <row r="37" spans="1:4" ht="15.75">
      <c r="B37" s="4"/>
      <c r="C37" s="4"/>
    </row>
    <row r="38" spans="1:4" ht="15.75">
      <c r="B38" s="4" t="s">
        <v>48</v>
      </c>
      <c r="C38" s="8">
        <f>D38/D51</f>
        <v>9.3655589123867067E-2</v>
      </c>
      <c r="D38" s="14">
        <v>930000</v>
      </c>
    </row>
    <row r="39" spans="1:4" ht="15.75">
      <c r="B39" s="4" t="s">
        <v>49</v>
      </c>
      <c r="C39" s="8">
        <f>D39/D51</f>
        <v>8.0563947633434038E-2</v>
      </c>
      <c r="D39" s="14">
        <v>800000</v>
      </c>
    </row>
    <row r="40" spans="1:4" ht="15.75">
      <c r="B40" s="4" t="s">
        <v>50</v>
      </c>
      <c r="C40" s="8">
        <f>D40/D51</f>
        <v>8.559919436052367E-2</v>
      </c>
      <c r="D40" s="14">
        <v>850000</v>
      </c>
    </row>
    <row r="41" spans="1:4" ht="15.75">
      <c r="B41" s="4" t="s">
        <v>51</v>
      </c>
      <c r="C41" s="8">
        <f>D41/D51</f>
        <v>8.0563947633434038E-2</v>
      </c>
      <c r="D41" s="14">
        <v>800000</v>
      </c>
    </row>
    <row r="42" spans="1:4" ht="15.75">
      <c r="B42" s="4" t="s">
        <v>52</v>
      </c>
      <c r="C42" s="8">
        <f>D42/D51</f>
        <v>9.0634441087613288E-2</v>
      </c>
      <c r="D42" s="14">
        <v>900000</v>
      </c>
    </row>
    <row r="43" spans="1:4" ht="15.75">
      <c r="B43" s="4" t="s">
        <v>53</v>
      </c>
      <c r="C43" s="8">
        <f>D43/D51</f>
        <v>8.4592145015105744E-2</v>
      </c>
      <c r="D43" s="14">
        <v>840000</v>
      </c>
    </row>
    <row r="44" spans="1:4" ht="15.75">
      <c r="B44" s="4" t="s">
        <v>54</v>
      </c>
      <c r="C44" s="8">
        <f>D44/D51</f>
        <v>8.0563947633434038E-2</v>
      </c>
      <c r="D44" s="14">
        <v>800000</v>
      </c>
    </row>
    <row r="45" spans="1:4" ht="15.75">
      <c r="B45" s="4" t="s">
        <v>55</v>
      </c>
      <c r="C45" s="8">
        <f>D45/D51</f>
        <v>8.0563947633434038E-2</v>
      </c>
      <c r="D45" s="14">
        <v>800000</v>
      </c>
    </row>
    <row r="46" spans="1:4" ht="15.75">
      <c r="B46" s="4" t="s">
        <v>56</v>
      </c>
      <c r="C46" s="8">
        <f>D46/D51</f>
        <v>7.452165156092648E-2</v>
      </c>
      <c r="D46" s="14">
        <v>740000</v>
      </c>
    </row>
    <row r="47" spans="1:4" ht="15.75">
      <c r="B47" s="4" t="s">
        <v>57</v>
      </c>
      <c r="C47" s="8">
        <f>D47/D51</f>
        <v>6.0422960725075532E-2</v>
      </c>
      <c r="D47" s="14">
        <v>600000</v>
      </c>
    </row>
    <row r="48" spans="1:4" ht="15.75">
      <c r="B48" s="4" t="s">
        <v>58</v>
      </c>
      <c r="C48" s="8">
        <f>D48/D51</f>
        <v>0.10574018126888217</v>
      </c>
      <c r="D48" s="14">
        <v>1050000</v>
      </c>
    </row>
    <row r="49" spans="1:4" ht="15.75">
      <c r="B49" s="4" t="s">
        <v>59</v>
      </c>
      <c r="C49" s="8">
        <f>D49/D51</f>
        <v>8.2578046324269891E-2</v>
      </c>
      <c r="D49" s="14">
        <v>820000</v>
      </c>
    </row>
    <row r="51" spans="1:4" ht="15.75">
      <c r="B51" s="4" t="s">
        <v>60</v>
      </c>
      <c r="C51" s="5">
        <f>SUM(C38:C49)</f>
        <v>1</v>
      </c>
      <c r="D51" s="13">
        <f>SUM(D38:D49)</f>
        <v>9930000</v>
      </c>
    </row>
    <row r="53" spans="1:4" ht="15.75">
      <c r="B53" s="12" t="s">
        <v>4</v>
      </c>
      <c r="C53" s="25" t="s">
        <v>61</v>
      </c>
    </row>
    <row r="54" spans="1:4" ht="15.75">
      <c r="B54" s="12"/>
      <c r="C54" s="25"/>
    </row>
    <row r="55" spans="1:4" ht="15.75">
      <c r="B55" s="12"/>
      <c r="C55" s="25"/>
    </row>
    <row r="56" spans="1:4" ht="15.75">
      <c r="B56" s="12"/>
      <c r="C56" s="25"/>
    </row>
    <row r="58" spans="1:4">
      <c r="B58" t="s">
        <v>62</v>
      </c>
    </row>
    <row r="59" spans="1:4">
      <c r="B59" t="s">
        <v>63</v>
      </c>
    </row>
    <row r="61" spans="1:4">
      <c r="A61" s="2">
        <v>5</v>
      </c>
      <c r="B61" s="3" t="s">
        <v>64</v>
      </c>
    </row>
    <row r="63" spans="1:4">
      <c r="B63" t="s">
        <v>65</v>
      </c>
    </row>
    <row r="64" spans="1:4">
      <c r="B64" t="s">
        <v>66</v>
      </c>
    </row>
    <row r="65" spans="2:3">
      <c r="B65" s="20" t="s">
        <v>67</v>
      </c>
      <c r="C65" t="s">
        <v>68</v>
      </c>
    </row>
    <row r="67" spans="2:3">
      <c r="B67" s="15">
        <v>0.13</v>
      </c>
      <c r="C67" t="s">
        <v>69</v>
      </c>
    </row>
    <row r="68" spans="2:3">
      <c r="B68" s="15" t="s">
        <v>70</v>
      </c>
    </row>
    <row r="70" spans="2:3">
      <c r="B70" t="s">
        <v>71</v>
      </c>
    </row>
  </sheetData>
  <mergeCells count="8">
    <mergeCell ref="E10:G10"/>
    <mergeCell ref="E11:G11"/>
    <mergeCell ref="E12:G12"/>
    <mergeCell ref="E13:G13"/>
    <mergeCell ref="I10:L10"/>
    <mergeCell ref="I11:L11"/>
    <mergeCell ref="I12:L12"/>
    <mergeCell ref="I13:L13"/>
  </mergeCells>
  <hyperlinks>
    <hyperlink ref="I10" r:id="rId1" xr:uid="{00000000-0004-0000-0000-000000000000}"/>
    <hyperlink ref="I11" r:id="rId2" location=":~:text=O%20novo%20Galaxy%20Z%20Fold,Qualcomm%20Snapdragon%208%20Gen%202." xr:uid="{00000000-0004-0000-0000-000001000000}"/>
    <hyperlink ref="C53" r:id="rId3" xr:uid="{00000000-0004-0000-0000-000002000000}"/>
    <hyperlink ref="C5" r:id="rId4" xr:uid="{00000000-0004-0000-0000-000003000000}"/>
    <hyperlink ref="I13" display="https://www.magazineluiza.com.br/smartphone-samsung-galaxy-j1-mini-4g-dual-chip-j105-8gb-tela-4-wi-fi-android-5-1-camera-5mp-anatel/p/ad41g3332e/te/galx/?&amp;seller_id=kgtelecom&amp;utm_source=google&amp;utm_medium=cpc&amp;utm_term=76953&amp;utm_campaign=google_eco_per_ven_" xr:uid="{00000000-0004-0000-0000-000004000000}"/>
    <hyperlink ref="I12" r:id="rId5" xr:uid="{00000000-0004-0000-0000-000005000000}"/>
  </hyperlinks>
  <pageMargins left="0.511811024" right="0.511811024" top="0.78740157499999996" bottom="0.78740157499999996" header="0.31496062000000002" footer="0.31496062000000002"/>
  <pageSetup orientation="portrait" r:id="rId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21"/>
  <sheetViews>
    <sheetView workbookViewId="0">
      <selection activeCell="A19" sqref="A19"/>
    </sheetView>
  </sheetViews>
  <sheetFormatPr defaultRowHeight="15"/>
  <cols>
    <col min="1" max="1" width="56.5703125" bestFit="1" customWidth="1"/>
    <col min="2" max="2" width="15.85546875" bestFit="1" customWidth="1"/>
    <col min="4" max="4" width="21.85546875" bestFit="1" customWidth="1"/>
  </cols>
  <sheetData>
    <row r="1" spans="1:8">
      <c r="A1" s="181" t="s">
        <v>237</v>
      </c>
      <c r="B1" s="182"/>
      <c r="C1" s="182"/>
      <c r="D1" s="182"/>
      <c r="E1" s="182"/>
      <c r="F1" s="182"/>
      <c r="G1" s="182"/>
      <c r="H1" s="183"/>
    </row>
    <row r="2" spans="1:8">
      <c r="A2" s="60" t="s">
        <v>238</v>
      </c>
      <c r="B2" s="61"/>
      <c r="C2" s="61"/>
      <c r="D2" s="62" t="s">
        <v>239</v>
      </c>
      <c r="E2" s="62" t="s">
        <v>240</v>
      </c>
      <c r="F2" s="61"/>
      <c r="G2" s="61"/>
      <c r="H2" s="63"/>
    </row>
    <row r="3" spans="1:8">
      <c r="A3" s="60"/>
      <c r="B3" s="61"/>
      <c r="C3" s="61"/>
      <c r="D3" s="64" t="s">
        <v>241</v>
      </c>
      <c r="E3" s="64" t="s">
        <v>242</v>
      </c>
      <c r="F3" s="61"/>
      <c r="G3" s="61"/>
      <c r="H3" s="63"/>
    </row>
    <row r="4" spans="1:8">
      <c r="A4" s="60" t="s">
        <v>243</v>
      </c>
      <c r="B4" s="65">
        <v>150000</v>
      </c>
      <c r="C4" s="61"/>
      <c r="D4" s="64" t="s">
        <v>244</v>
      </c>
      <c r="E4" s="64" t="s">
        <v>245</v>
      </c>
      <c r="F4" s="61"/>
      <c r="G4" s="61"/>
      <c r="H4" s="63"/>
    </row>
    <row r="5" spans="1:8">
      <c r="A5" s="60" t="s">
        <v>246</v>
      </c>
      <c r="B5" s="61"/>
      <c r="C5" s="61"/>
      <c r="D5" s="64" t="s">
        <v>247</v>
      </c>
      <c r="E5" s="64" t="s">
        <v>248</v>
      </c>
      <c r="F5" s="61"/>
      <c r="G5" s="61"/>
      <c r="H5" s="63"/>
    </row>
    <row r="6" spans="1:8">
      <c r="A6" s="66"/>
      <c r="B6" s="61"/>
      <c r="C6" s="61"/>
      <c r="D6" s="64" t="s">
        <v>249</v>
      </c>
      <c r="E6" s="64" t="s">
        <v>250</v>
      </c>
      <c r="F6" s="61"/>
      <c r="G6" s="180" t="s">
        <v>251</v>
      </c>
      <c r="H6" s="180"/>
    </row>
    <row r="7" spans="1:8">
      <c r="A7" s="66"/>
      <c r="B7" s="61"/>
      <c r="C7" s="61"/>
      <c r="D7" s="64" t="s">
        <v>252</v>
      </c>
      <c r="E7" s="64" t="s">
        <v>253</v>
      </c>
      <c r="F7" s="61"/>
      <c r="G7" s="180"/>
      <c r="H7" s="180"/>
    </row>
    <row r="8" spans="1:8">
      <c r="A8" s="67" t="s">
        <v>254</v>
      </c>
      <c r="B8" s="61"/>
      <c r="C8" s="61"/>
      <c r="D8" s="61"/>
      <c r="E8" s="61"/>
      <c r="F8" s="61"/>
      <c r="G8" s="180"/>
      <c r="H8" s="180"/>
    </row>
    <row r="9" spans="1:8">
      <c r="A9" s="60" t="s">
        <v>255</v>
      </c>
      <c r="B9" s="65">
        <v>1256000</v>
      </c>
      <c r="C9" s="61"/>
      <c r="D9" s="62" t="s">
        <v>256</v>
      </c>
      <c r="E9" s="62" t="s">
        <v>240</v>
      </c>
      <c r="F9" s="61"/>
      <c r="G9" s="68">
        <v>5</v>
      </c>
      <c r="H9" s="63" t="s">
        <v>257</v>
      </c>
    </row>
    <row r="10" spans="1:8">
      <c r="A10" s="66"/>
      <c r="B10" s="61"/>
      <c r="C10" s="61"/>
      <c r="D10" s="64" t="s">
        <v>241</v>
      </c>
      <c r="E10" s="64" t="s">
        <v>258</v>
      </c>
      <c r="F10" s="61"/>
      <c r="G10" s="68">
        <v>4</v>
      </c>
      <c r="H10" s="63" t="s">
        <v>259</v>
      </c>
    </row>
    <row r="11" spans="1:8">
      <c r="A11" s="67" t="s">
        <v>260</v>
      </c>
      <c r="B11" s="69"/>
      <c r="C11" s="61"/>
      <c r="D11" s="64" t="s">
        <v>244</v>
      </c>
      <c r="E11" s="64" t="s">
        <v>261</v>
      </c>
      <c r="F11" s="61"/>
      <c r="G11" s="68">
        <v>3</v>
      </c>
      <c r="H11" s="63" t="s">
        <v>262</v>
      </c>
    </row>
    <row r="12" spans="1:8">
      <c r="A12" s="70" t="s">
        <v>162</v>
      </c>
      <c r="B12" s="62" t="s">
        <v>263</v>
      </c>
      <c r="C12" s="61"/>
      <c r="D12" s="64" t="s">
        <v>247</v>
      </c>
      <c r="E12" s="64" t="s">
        <v>264</v>
      </c>
      <c r="F12" s="61"/>
      <c r="G12" s="68">
        <v>2</v>
      </c>
      <c r="H12" s="63" t="s">
        <v>265</v>
      </c>
    </row>
    <row r="13" spans="1:8">
      <c r="A13" s="60" t="s">
        <v>266</v>
      </c>
      <c r="B13" s="71">
        <v>1307</v>
      </c>
      <c r="C13" s="61"/>
      <c r="D13" s="64" t="s">
        <v>249</v>
      </c>
      <c r="E13" s="64" t="s">
        <v>267</v>
      </c>
      <c r="F13" s="61"/>
      <c r="G13" s="68">
        <v>1</v>
      </c>
      <c r="H13" s="63" t="s">
        <v>268</v>
      </c>
    </row>
    <row r="14" spans="1:8">
      <c r="A14" s="60" t="s">
        <v>135</v>
      </c>
      <c r="B14" s="71">
        <v>1727</v>
      </c>
      <c r="C14" s="61"/>
      <c r="D14" s="64" t="s">
        <v>252</v>
      </c>
      <c r="E14" s="64" t="s">
        <v>269</v>
      </c>
      <c r="F14" s="61"/>
      <c r="G14" s="61"/>
      <c r="H14" s="63"/>
    </row>
    <row r="15" spans="1:8">
      <c r="A15" s="60" t="s">
        <v>270</v>
      </c>
      <c r="B15" s="71">
        <v>2346</v>
      </c>
      <c r="C15" s="61"/>
      <c r="D15" s="61"/>
      <c r="E15" s="61"/>
      <c r="F15" s="61"/>
      <c r="G15" s="61"/>
      <c r="H15" s="63"/>
    </row>
    <row r="16" spans="1:8">
      <c r="A16" s="72"/>
      <c r="B16" s="73"/>
      <c r="C16" s="73"/>
      <c r="D16" s="73"/>
      <c r="E16" s="73"/>
      <c r="F16" s="73"/>
      <c r="G16" s="73"/>
      <c r="H16" s="74"/>
    </row>
    <row r="18" spans="1:8">
      <c r="A18" s="181" t="s">
        <v>237</v>
      </c>
      <c r="B18" s="182"/>
      <c r="C18" s="182"/>
      <c r="D18" s="182"/>
      <c r="E18" s="182"/>
      <c r="F18" s="182"/>
      <c r="G18" s="182"/>
      <c r="H18" s="183"/>
    </row>
    <row r="19" spans="1:8">
      <c r="A19" s="35">
        <f>B4*117</f>
        <v>17550000</v>
      </c>
      <c r="B19" s="35">
        <f>A19/3133020</f>
        <v>5.601623992186453</v>
      </c>
    </row>
    <row r="20" spans="1:8">
      <c r="A20" s="35">
        <f>B9*583</f>
        <v>732248000</v>
      </c>
      <c r="B20" s="35">
        <f>A20/3133020</f>
        <v>233.71954216698265</v>
      </c>
    </row>
    <row r="21" spans="1:8">
      <c r="A21">
        <f>9*12</f>
        <v>108</v>
      </c>
    </row>
  </sheetData>
  <mergeCells count="3">
    <mergeCell ref="G6:H8"/>
    <mergeCell ref="A1:H1"/>
    <mergeCell ref="A18:H18"/>
  </mergeCells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Y27"/>
  <sheetViews>
    <sheetView topLeftCell="A28" workbookViewId="0">
      <selection activeCell="A50" sqref="A50"/>
    </sheetView>
  </sheetViews>
  <sheetFormatPr defaultRowHeight="15"/>
  <cols>
    <col min="2" max="2" width="9.28515625" bestFit="1" customWidth="1"/>
    <col min="17" max="17" width="17" bestFit="1" customWidth="1"/>
    <col min="18" max="18" width="11.85546875" bestFit="1" customWidth="1"/>
  </cols>
  <sheetData>
    <row r="1" spans="1:25">
      <c r="A1" s="126" t="s">
        <v>271</v>
      </c>
      <c r="B1" s="126"/>
      <c r="C1" s="126"/>
      <c r="D1" s="126"/>
      <c r="E1" s="126"/>
      <c r="F1" s="126"/>
      <c r="G1" s="126"/>
      <c r="H1" s="126"/>
      <c r="I1" s="126"/>
      <c r="J1" s="126"/>
      <c r="K1" s="126"/>
      <c r="L1" s="126"/>
      <c r="M1" s="126"/>
      <c r="N1" s="126"/>
      <c r="O1" s="126"/>
      <c r="P1" s="126"/>
    </row>
    <row r="2" spans="1:25">
      <c r="A2" t="s">
        <v>272</v>
      </c>
      <c r="B2" t="s">
        <v>273</v>
      </c>
      <c r="C2" s="126" t="s">
        <v>274</v>
      </c>
      <c r="D2" s="126"/>
      <c r="E2" s="126" t="s">
        <v>275</v>
      </c>
      <c r="F2" s="126"/>
      <c r="G2" s="126" t="s">
        <v>276</v>
      </c>
      <c r="H2" s="126"/>
      <c r="I2" s="126" t="s">
        <v>277</v>
      </c>
      <c r="J2" s="126"/>
      <c r="K2" s="126" t="s">
        <v>278</v>
      </c>
      <c r="L2" s="126"/>
      <c r="M2" s="126" t="s">
        <v>279</v>
      </c>
      <c r="N2" s="126"/>
      <c r="O2" s="126" t="s">
        <v>280</v>
      </c>
      <c r="P2" s="126"/>
      <c r="Q2" t="s">
        <v>281</v>
      </c>
      <c r="R2" t="s">
        <v>282</v>
      </c>
      <c r="S2" t="s">
        <v>283</v>
      </c>
      <c r="T2" t="s">
        <v>284</v>
      </c>
      <c r="U2" t="s">
        <v>285</v>
      </c>
      <c r="V2" t="s">
        <v>286</v>
      </c>
      <c r="W2" t="s">
        <v>287</v>
      </c>
      <c r="X2" t="s">
        <v>288</v>
      </c>
      <c r="Y2" t="s">
        <v>289</v>
      </c>
    </row>
    <row r="3" spans="1:25">
      <c r="A3">
        <v>1</v>
      </c>
      <c r="B3" s="9" t="s">
        <v>31</v>
      </c>
      <c r="C3" t="s">
        <v>290</v>
      </c>
      <c r="D3" t="str">
        <f>IF(C3=B3,"CERTO","ERRADO")</f>
        <v>CERTO</v>
      </c>
      <c r="E3" t="s">
        <v>290</v>
      </c>
      <c r="F3" t="str">
        <f>IF(E3=$B3,"CERTO","ERRADO")</f>
        <v>CERTO</v>
      </c>
      <c r="G3" t="s">
        <v>290</v>
      </c>
      <c r="H3" t="str">
        <f>IF(G3=$B3,"CERTO","ERRADO")</f>
        <v>CERTO</v>
      </c>
      <c r="I3" t="s">
        <v>290</v>
      </c>
      <c r="J3" t="str">
        <f>IF(I3=$B3,"CERTO","ERRADO")</f>
        <v>CERTO</v>
      </c>
      <c r="K3" t="s">
        <v>290</v>
      </c>
      <c r="L3" t="str">
        <f>IF(K3=$B3,"CERTO","ERRADO")</f>
        <v>CERTO</v>
      </c>
      <c r="M3" t="s">
        <v>290</v>
      </c>
      <c r="N3" t="str">
        <f>IF(M3=$B3,"CERTO","ERRADO")</f>
        <v>CERTO</v>
      </c>
      <c r="O3" t="s">
        <v>290</v>
      </c>
      <c r="P3" t="str">
        <f>IF(O3=$B3,"CERTO","ERRADO")</f>
        <v>CERTO</v>
      </c>
      <c r="Q3" s="9">
        <f>COUNTIF(D3:P3,"CERTO")</f>
        <v>7</v>
      </c>
      <c r="R3" s="9">
        <f>COUNTIF(D3:P3,"ERRADO")</f>
        <v>0</v>
      </c>
      <c r="S3">
        <f>IF(D3="CERTO",1,0)</f>
        <v>1</v>
      </c>
      <c r="T3">
        <f>IF(F3="CERTO",1,0)</f>
        <v>1</v>
      </c>
      <c r="U3">
        <f>IF(H3="CERTO",1,0)</f>
        <v>1</v>
      </c>
      <c r="V3">
        <f>IF(J3="CERTO",1,0)</f>
        <v>1</v>
      </c>
      <c r="W3">
        <f>IF(L3="CERTO",1,0)</f>
        <v>1</v>
      </c>
      <c r="X3">
        <f>IF(N3="CERTO",1,0)</f>
        <v>1</v>
      </c>
      <c r="Y3">
        <f>IF(P3="CERTO",1,0)</f>
        <v>1</v>
      </c>
    </row>
    <row r="4" spans="1:25">
      <c r="A4">
        <v>2</v>
      </c>
      <c r="B4" s="9" t="s">
        <v>29</v>
      </c>
      <c r="C4" t="s">
        <v>291</v>
      </c>
      <c r="D4" t="str">
        <f t="shared" ref="D4:D27" si="0">IF(C4=B4,"CERTO","ERRADO")</f>
        <v>CERTO</v>
      </c>
      <c r="E4" t="s">
        <v>292</v>
      </c>
      <c r="F4" t="str">
        <f t="shared" ref="F4:H27" si="1">IF(E4=$B4,"CERTO","ERRADO")</f>
        <v>ERRADO</v>
      </c>
      <c r="G4" t="s">
        <v>291</v>
      </c>
      <c r="H4" t="str">
        <f t="shared" si="1"/>
        <v>CERTO</v>
      </c>
      <c r="I4" t="s">
        <v>291</v>
      </c>
      <c r="J4" t="str">
        <f t="shared" ref="J4" si="2">IF(I4=$B4,"CERTO","ERRADO")</f>
        <v>CERTO</v>
      </c>
      <c r="K4" t="s">
        <v>291</v>
      </c>
      <c r="L4" t="str">
        <f t="shared" ref="L4" si="3">IF(K4=$B4,"CERTO","ERRADO")</f>
        <v>CERTO</v>
      </c>
      <c r="M4" t="s">
        <v>291</v>
      </c>
      <c r="N4" t="str">
        <f t="shared" ref="N4" si="4">IF(M4=$B4,"CERTO","ERRADO")</f>
        <v>CERTO</v>
      </c>
      <c r="O4" t="s">
        <v>290</v>
      </c>
      <c r="P4" t="str">
        <f t="shared" ref="P4" si="5">IF(O4=$B4,"CERTO","ERRADO")</f>
        <v>ERRADO</v>
      </c>
      <c r="Q4" s="9">
        <f t="shared" ref="Q4:Q27" si="6">COUNTIF(D4:P4,"CERTO")</f>
        <v>5</v>
      </c>
      <c r="R4" s="9">
        <f t="shared" ref="R4:R27" si="7">COUNTIF(D4:P4,"ERRADO")</f>
        <v>2</v>
      </c>
      <c r="S4">
        <f t="shared" ref="S4:S27" si="8">IF(D4="CERTO",1,0)</f>
        <v>1</v>
      </c>
      <c r="T4">
        <f t="shared" ref="T4:T27" si="9">IF(F4="CERTO",1,0)</f>
        <v>0</v>
      </c>
      <c r="U4">
        <f t="shared" ref="U4:U27" si="10">IF(H4="CERTO",1,0)</f>
        <v>1</v>
      </c>
      <c r="V4">
        <f t="shared" ref="V4:V27" si="11">IF(J4="CERTO",1,0)</f>
        <v>1</v>
      </c>
      <c r="W4">
        <f t="shared" ref="W4:W27" si="12">IF(L4="CERTO",1,0)</f>
        <v>1</v>
      </c>
      <c r="X4">
        <f t="shared" ref="X4:X27" si="13">IF(N4="CERTO",1,0)</f>
        <v>1</v>
      </c>
      <c r="Y4">
        <f t="shared" ref="Y4:Y27" si="14">IF(P4="CERTO",1,0)</f>
        <v>0</v>
      </c>
    </row>
    <row r="5" spans="1:25">
      <c r="A5">
        <v>3</v>
      </c>
      <c r="B5" s="9" t="s">
        <v>30</v>
      </c>
      <c r="C5" t="s">
        <v>292</v>
      </c>
      <c r="D5" t="str">
        <f t="shared" si="0"/>
        <v>CERTO</v>
      </c>
      <c r="E5" t="s">
        <v>292</v>
      </c>
      <c r="F5" t="str">
        <f t="shared" si="1"/>
        <v>CERTO</v>
      </c>
      <c r="G5" t="s">
        <v>291</v>
      </c>
      <c r="H5" t="str">
        <f t="shared" si="1"/>
        <v>ERRADO</v>
      </c>
      <c r="I5" t="s">
        <v>292</v>
      </c>
      <c r="J5" t="str">
        <f t="shared" ref="J5" si="15">IF(I5=$B5,"CERTO","ERRADO")</f>
        <v>CERTO</v>
      </c>
      <c r="K5" t="s">
        <v>292</v>
      </c>
      <c r="L5" t="str">
        <f t="shared" ref="L5" si="16">IF(K5=$B5,"CERTO","ERRADO")</f>
        <v>CERTO</v>
      </c>
      <c r="M5" t="s">
        <v>293</v>
      </c>
      <c r="N5" t="str">
        <f t="shared" ref="N5" si="17">IF(M5=$B5,"CERTO","ERRADO")</f>
        <v>ERRADO</v>
      </c>
      <c r="O5" t="s">
        <v>292</v>
      </c>
      <c r="P5" t="str">
        <f t="shared" ref="P5" si="18">IF(O5=$B5,"CERTO","ERRADO")</f>
        <v>CERTO</v>
      </c>
      <c r="Q5" s="9">
        <f t="shared" si="6"/>
        <v>5</v>
      </c>
      <c r="R5" s="9">
        <f t="shared" si="7"/>
        <v>2</v>
      </c>
      <c r="S5">
        <f t="shared" si="8"/>
        <v>1</v>
      </c>
      <c r="T5">
        <f t="shared" si="9"/>
        <v>1</v>
      </c>
      <c r="U5">
        <f t="shared" si="10"/>
        <v>0</v>
      </c>
      <c r="V5">
        <f t="shared" si="11"/>
        <v>1</v>
      </c>
      <c r="W5">
        <f t="shared" si="12"/>
        <v>1</v>
      </c>
      <c r="X5">
        <f t="shared" si="13"/>
        <v>0</v>
      </c>
      <c r="Y5">
        <f t="shared" si="14"/>
        <v>1</v>
      </c>
    </row>
    <row r="6" spans="1:25">
      <c r="A6">
        <v>4</v>
      </c>
      <c r="B6" s="9" t="s">
        <v>28</v>
      </c>
      <c r="C6" t="s">
        <v>291</v>
      </c>
      <c r="D6" t="str">
        <f t="shared" si="0"/>
        <v>ERRADO</v>
      </c>
      <c r="E6" t="s">
        <v>291</v>
      </c>
      <c r="F6" t="str">
        <f t="shared" si="1"/>
        <v>ERRADO</v>
      </c>
      <c r="G6" t="s">
        <v>293</v>
      </c>
      <c r="H6" t="str">
        <f t="shared" si="1"/>
        <v>CERTO</v>
      </c>
      <c r="I6" t="s">
        <v>291</v>
      </c>
      <c r="J6" t="str">
        <f t="shared" ref="J6" si="19">IF(I6=$B6,"CERTO","ERRADO")</f>
        <v>ERRADO</v>
      </c>
      <c r="K6" t="s">
        <v>291</v>
      </c>
      <c r="L6" t="str">
        <f t="shared" ref="L6" si="20">IF(K6=$B6,"CERTO","ERRADO")</f>
        <v>ERRADO</v>
      </c>
      <c r="M6" t="s">
        <v>291</v>
      </c>
      <c r="N6" t="str">
        <f t="shared" ref="N6" si="21">IF(M6=$B6,"CERTO","ERRADO")</f>
        <v>ERRADO</v>
      </c>
      <c r="O6" t="s">
        <v>292</v>
      </c>
      <c r="P6" t="str">
        <f t="shared" ref="P6" si="22">IF(O6=$B6,"CERTO","ERRADO")</f>
        <v>ERRADO</v>
      </c>
      <c r="Q6" s="9">
        <f t="shared" si="6"/>
        <v>1</v>
      </c>
      <c r="R6" s="9">
        <f t="shared" si="7"/>
        <v>6</v>
      </c>
      <c r="S6">
        <f t="shared" si="8"/>
        <v>0</v>
      </c>
      <c r="T6">
        <f t="shared" si="9"/>
        <v>0</v>
      </c>
      <c r="U6">
        <f t="shared" si="10"/>
        <v>1</v>
      </c>
      <c r="V6">
        <f t="shared" si="11"/>
        <v>0</v>
      </c>
      <c r="W6">
        <f t="shared" si="12"/>
        <v>0</v>
      </c>
      <c r="X6">
        <f t="shared" si="13"/>
        <v>0</v>
      </c>
      <c r="Y6">
        <f t="shared" si="14"/>
        <v>0</v>
      </c>
    </row>
    <row r="7" spans="1:25">
      <c r="A7">
        <v>5</v>
      </c>
      <c r="B7" s="9" t="s">
        <v>31</v>
      </c>
      <c r="C7" t="s">
        <v>290</v>
      </c>
      <c r="D7" t="str">
        <f t="shared" si="0"/>
        <v>CERTO</v>
      </c>
      <c r="E7" t="s">
        <v>291</v>
      </c>
      <c r="F7" t="str">
        <f t="shared" si="1"/>
        <v>ERRADO</v>
      </c>
      <c r="G7" t="s">
        <v>290</v>
      </c>
      <c r="H7" t="str">
        <f t="shared" si="1"/>
        <v>CERTO</v>
      </c>
      <c r="I7" t="s">
        <v>291</v>
      </c>
      <c r="J7" t="str">
        <f t="shared" ref="J7" si="23">IF(I7=$B7,"CERTO","ERRADO")</f>
        <v>ERRADO</v>
      </c>
      <c r="K7" t="s">
        <v>290</v>
      </c>
      <c r="L7" t="str">
        <f t="shared" ref="L7" si="24">IF(K7=$B7,"CERTO","ERRADO")</f>
        <v>CERTO</v>
      </c>
      <c r="M7" t="s">
        <v>290</v>
      </c>
      <c r="N7" t="str">
        <f t="shared" ref="N7" si="25">IF(M7=$B7,"CERTO","ERRADO")</f>
        <v>CERTO</v>
      </c>
      <c r="O7" t="s">
        <v>290</v>
      </c>
      <c r="P7" t="str">
        <f t="shared" ref="P7" si="26">IF(O7=$B7,"CERTO","ERRADO")</f>
        <v>CERTO</v>
      </c>
      <c r="Q7" s="9">
        <f t="shared" si="6"/>
        <v>5</v>
      </c>
      <c r="R7" s="9">
        <f t="shared" si="7"/>
        <v>2</v>
      </c>
      <c r="S7">
        <f t="shared" si="8"/>
        <v>1</v>
      </c>
      <c r="T7">
        <f t="shared" si="9"/>
        <v>0</v>
      </c>
      <c r="U7">
        <f t="shared" si="10"/>
        <v>1</v>
      </c>
      <c r="V7">
        <f t="shared" si="11"/>
        <v>0</v>
      </c>
      <c r="W7">
        <f t="shared" si="12"/>
        <v>1</v>
      </c>
      <c r="X7">
        <f t="shared" si="13"/>
        <v>1</v>
      </c>
      <c r="Y7">
        <f t="shared" si="14"/>
        <v>1</v>
      </c>
    </row>
    <row r="8" spans="1:25">
      <c r="A8">
        <v>6</v>
      </c>
      <c r="B8" s="9" t="s">
        <v>29</v>
      </c>
      <c r="C8" t="s">
        <v>291</v>
      </c>
      <c r="D8" t="str">
        <f t="shared" si="0"/>
        <v>CERTO</v>
      </c>
      <c r="E8" t="s">
        <v>292</v>
      </c>
      <c r="F8" t="str">
        <f t="shared" si="1"/>
        <v>ERRADO</v>
      </c>
      <c r="G8" t="s">
        <v>291</v>
      </c>
      <c r="H8" t="str">
        <f t="shared" si="1"/>
        <v>CERTO</v>
      </c>
      <c r="I8" t="s">
        <v>292</v>
      </c>
      <c r="J8" t="str">
        <f t="shared" ref="J8" si="27">IF(I8=$B8,"CERTO","ERRADO")</f>
        <v>ERRADO</v>
      </c>
      <c r="K8" t="s">
        <v>290</v>
      </c>
      <c r="L8" t="str">
        <f t="shared" ref="L8" si="28">IF(K8=$B8,"CERTO","ERRADO")</f>
        <v>ERRADO</v>
      </c>
      <c r="M8" t="s">
        <v>290</v>
      </c>
      <c r="N8" t="str">
        <f t="shared" ref="N8" si="29">IF(M8=$B8,"CERTO","ERRADO")</f>
        <v>ERRADO</v>
      </c>
      <c r="O8" t="s">
        <v>290</v>
      </c>
      <c r="P8" t="str">
        <f t="shared" ref="P8" si="30">IF(O8=$B8,"CERTO","ERRADO")</f>
        <v>ERRADO</v>
      </c>
      <c r="Q8" s="9">
        <f t="shared" si="6"/>
        <v>2</v>
      </c>
      <c r="R8" s="9">
        <f t="shared" si="7"/>
        <v>5</v>
      </c>
      <c r="S8">
        <f t="shared" si="8"/>
        <v>1</v>
      </c>
      <c r="T8">
        <f t="shared" si="9"/>
        <v>0</v>
      </c>
      <c r="U8">
        <f t="shared" si="10"/>
        <v>1</v>
      </c>
      <c r="V8">
        <f t="shared" si="11"/>
        <v>0</v>
      </c>
      <c r="W8">
        <f t="shared" si="12"/>
        <v>0</v>
      </c>
      <c r="X8">
        <f t="shared" si="13"/>
        <v>0</v>
      </c>
      <c r="Y8">
        <f t="shared" si="14"/>
        <v>0</v>
      </c>
    </row>
    <row r="9" spans="1:25">
      <c r="A9">
        <v>7</v>
      </c>
      <c r="B9" s="9" t="s">
        <v>28</v>
      </c>
      <c r="C9" t="s">
        <v>293</v>
      </c>
      <c r="D9" t="str">
        <f t="shared" si="0"/>
        <v>CERTO</v>
      </c>
      <c r="E9" t="s">
        <v>293</v>
      </c>
      <c r="F9" t="str">
        <f t="shared" si="1"/>
        <v>CERTO</v>
      </c>
      <c r="G9" t="s">
        <v>293</v>
      </c>
      <c r="H9" t="str">
        <f t="shared" si="1"/>
        <v>CERTO</v>
      </c>
      <c r="I9" t="s">
        <v>293</v>
      </c>
      <c r="J9" t="str">
        <f t="shared" ref="J9" si="31">IF(I9=$B9,"CERTO","ERRADO")</f>
        <v>CERTO</v>
      </c>
      <c r="K9" t="s">
        <v>293</v>
      </c>
      <c r="L9" t="str">
        <f t="shared" ref="L9" si="32">IF(K9=$B9,"CERTO","ERRADO")</f>
        <v>CERTO</v>
      </c>
      <c r="M9" t="s">
        <v>293</v>
      </c>
      <c r="N9" t="str">
        <f t="shared" ref="N9" si="33">IF(M9=$B9,"CERTO","ERRADO")</f>
        <v>CERTO</v>
      </c>
      <c r="O9" t="s">
        <v>292</v>
      </c>
      <c r="P9" t="str">
        <f t="shared" ref="P9" si="34">IF(O9=$B9,"CERTO","ERRADO")</f>
        <v>ERRADO</v>
      </c>
      <c r="Q9" s="9">
        <f t="shared" si="6"/>
        <v>6</v>
      </c>
      <c r="R9" s="9">
        <f t="shared" si="7"/>
        <v>1</v>
      </c>
      <c r="S9">
        <f t="shared" si="8"/>
        <v>1</v>
      </c>
      <c r="T9">
        <f t="shared" si="9"/>
        <v>1</v>
      </c>
      <c r="U9">
        <f t="shared" si="10"/>
        <v>1</v>
      </c>
      <c r="V9">
        <f t="shared" si="11"/>
        <v>1</v>
      </c>
      <c r="W9">
        <f t="shared" si="12"/>
        <v>1</v>
      </c>
      <c r="X9">
        <f t="shared" si="13"/>
        <v>1</v>
      </c>
      <c r="Y9">
        <f t="shared" si="14"/>
        <v>0</v>
      </c>
    </row>
    <row r="10" spans="1:25">
      <c r="A10">
        <v>8</v>
      </c>
      <c r="B10" s="9" t="s">
        <v>30</v>
      </c>
      <c r="C10" t="s">
        <v>291</v>
      </c>
      <c r="D10" t="str">
        <f t="shared" si="0"/>
        <v>ERRADO</v>
      </c>
      <c r="E10" t="s">
        <v>292</v>
      </c>
      <c r="F10" t="str">
        <f t="shared" si="1"/>
        <v>CERTO</v>
      </c>
      <c r="G10" t="s">
        <v>292</v>
      </c>
      <c r="H10" t="str">
        <f t="shared" si="1"/>
        <v>CERTO</v>
      </c>
      <c r="I10" t="s">
        <v>291</v>
      </c>
      <c r="J10" t="str">
        <f t="shared" ref="J10" si="35">IF(I10=$B10,"CERTO","ERRADO")</f>
        <v>ERRADO</v>
      </c>
      <c r="K10" t="s">
        <v>291</v>
      </c>
      <c r="L10" t="str">
        <f t="shared" ref="L10" si="36">IF(K10=$B10,"CERTO","ERRADO")</f>
        <v>ERRADO</v>
      </c>
      <c r="M10" t="s">
        <v>291</v>
      </c>
      <c r="N10" t="str">
        <f t="shared" ref="N10" si="37">IF(M10=$B10,"CERTO","ERRADO")</f>
        <v>ERRADO</v>
      </c>
      <c r="O10" t="s">
        <v>290</v>
      </c>
      <c r="P10" t="str">
        <f t="shared" ref="P10" si="38">IF(O10=$B10,"CERTO","ERRADO")</f>
        <v>ERRADO</v>
      </c>
      <c r="Q10" s="9">
        <f t="shared" si="6"/>
        <v>2</v>
      </c>
      <c r="R10" s="9">
        <f t="shared" si="7"/>
        <v>5</v>
      </c>
      <c r="S10">
        <f t="shared" si="8"/>
        <v>0</v>
      </c>
      <c r="T10">
        <f t="shared" si="9"/>
        <v>1</v>
      </c>
      <c r="U10">
        <f t="shared" si="10"/>
        <v>1</v>
      </c>
      <c r="V10">
        <f t="shared" si="11"/>
        <v>0</v>
      </c>
      <c r="W10">
        <f t="shared" si="12"/>
        <v>0</v>
      </c>
      <c r="X10">
        <f t="shared" si="13"/>
        <v>0</v>
      </c>
      <c r="Y10">
        <f t="shared" si="14"/>
        <v>0</v>
      </c>
    </row>
    <row r="11" spans="1:25">
      <c r="A11">
        <v>9</v>
      </c>
      <c r="B11" s="9" t="s">
        <v>31</v>
      </c>
      <c r="C11" t="s">
        <v>290</v>
      </c>
      <c r="D11" t="str">
        <f t="shared" si="0"/>
        <v>CERTO</v>
      </c>
      <c r="E11" t="s">
        <v>291</v>
      </c>
      <c r="F11" t="str">
        <f t="shared" si="1"/>
        <v>ERRADO</v>
      </c>
      <c r="G11" t="s">
        <v>290</v>
      </c>
      <c r="H11" t="str">
        <f t="shared" si="1"/>
        <v>CERTO</v>
      </c>
      <c r="I11" t="s">
        <v>291</v>
      </c>
      <c r="J11" t="str">
        <f t="shared" ref="J11" si="39">IF(I11=$B11,"CERTO","ERRADO")</f>
        <v>ERRADO</v>
      </c>
      <c r="K11" t="s">
        <v>291</v>
      </c>
      <c r="L11" t="str">
        <f t="shared" ref="L11" si="40">IF(K11=$B11,"CERTO","ERRADO")</f>
        <v>ERRADO</v>
      </c>
      <c r="M11" t="s">
        <v>291</v>
      </c>
      <c r="N11" t="str">
        <f t="shared" ref="N11" si="41">IF(M11=$B11,"CERTO","ERRADO")</f>
        <v>ERRADO</v>
      </c>
      <c r="O11" t="s">
        <v>290</v>
      </c>
      <c r="P11" t="str">
        <f t="shared" ref="P11" si="42">IF(O11=$B11,"CERTO","ERRADO")</f>
        <v>CERTO</v>
      </c>
      <c r="Q11" s="9">
        <f t="shared" si="6"/>
        <v>3</v>
      </c>
      <c r="R11" s="9">
        <f t="shared" si="7"/>
        <v>4</v>
      </c>
      <c r="S11">
        <f t="shared" si="8"/>
        <v>1</v>
      </c>
      <c r="T11">
        <f t="shared" si="9"/>
        <v>0</v>
      </c>
      <c r="U11">
        <f t="shared" si="10"/>
        <v>1</v>
      </c>
      <c r="V11">
        <f t="shared" si="11"/>
        <v>0</v>
      </c>
      <c r="W11">
        <f t="shared" si="12"/>
        <v>0</v>
      </c>
      <c r="X11">
        <f t="shared" si="13"/>
        <v>0</v>
      </c>
      <c r="Y11">
        <f t="shared" si="14"/>
        <v>1</v>
      </c>
    </row>
    <row r="12" spans="1:25">
      <c r="A12">
        <v>10</v>
      </c>
      <c r="B12" s="9" t="s">
        <v>29</v>
      </c>
      <c r="C12" t="s">
        <v>291</v>
      </c>
      <c r="D12" t="str">
        <f t="shared" si="0"/>
        <v>CERTO</v>
      </c>
      <c r="E12" t="s">
        <v>293</v>
      </c>
      <c r="F12" t="str">
        <f t="shared" si="1"/>
        <v>ERRADO</v>
      </c>
      <c r="G12" t="s">
        <v>290</v>
      </c>
      <c r="H12" t="str">
        <f t="shared" si="1"/>
        <v>ERRADO</v>
      </c>
      <c r="I12" t="s">
        <v>293</v>
      </c>
      <c r="J12" t="str">
        <f t="shared" ref="J12" si="43">IF(I12=$B12,"CERTO","ERRADO")</f>
        <v>ERRADO</v>
      </c>
      <c r="K12" t="s">
        <v>293</v>
      </c>
      <c r="L12" t="str">
        <f t="shared" ref="L12" si="44">IF(K12=$B12,"CERTO","ERRADO")</f>
        <v>ERRADO</v>
      </c>
      <c r="M12" t="s">
        <v>291</v>
      </c>
      <c r="N12" t="str">
        <f t="shared" ref="N12" si="45">IF(M12=$B12,"CERTO","ERRADO")</f>
        <v>CERTO</v>
      </c>
      <c r="O12" t="s">
        <v>293</v>
      </c>
      <c r="P12" t="str">
        <f t="shared" ref="P12" si="46">IF(O12=$B12,"CERTO","ERRADO")</f>
        <v>ERRADO</v>
      </c>
      <c r="Q12" s="9">
        <f t="shared" si="6"/>
        <v>2</v>
      </c>
      <c r="R12" s="9">
        <f t="shared" si="7"/>
        <v>5</v>
      </c>
      <c r="S12">
        <f t="shared" si="8"/>
        <v>1</v>
      </c>
      <c r="T12">
        <f t="shared" si="9"/>
        <v>0</v>
      </c>
      <c r="U12">
        <f t="shared" si="10"/>
        <v>0</v>
      </c>
      <c r="V12">
        <f t="shared" si="11"/>
        <v>0</v>
      </c>
      <c r="W12">
        <f t="shared" si="12"/>
        <v>0</v>
      </c>
      <c r="X12">
        <f t="shared" si="13"/>
        <v>1</v>
      </c>
      <c r="Y12">
        <f t="shared" si="14"/>
        <v>0</v>
      </c>
    </row>
    <row r="13" spans="1:25">
      <c r="A13">
        <v>11</v>
      </c>
      <c r="B13" s="9" t="s">
        <v>28</v>
      </c>
      <c r="C13" t="s">
        <v>293</v>
      </c>
      <c r="D13" t="str">
        <f t="shared" si="0"/>
        <v>CERTO</v>
      </c>
      <c r="E13" t="s">
        <v>293</v>
      </c>
      <c r="F13" t="str">
        <f t="shared" si="1"/>
        <v>CERTO</v>
      </c>
      <c r="G13" t="s">
        <v>292</v>
      </c>
      <c r="H13" t="str">
        <f t="shared" si="1"/>
        <v>ERRADO</v>
      </c>
      <c r="I13" t="s">
        <v>293</v>
      </c>
      <c r="J13" t="str">
        <f t="shared" ref="J13" si="47">IF(I13=$B13,"CERTO","ERRADO")</f>
        <v>CERTO</v>
      </c>
      <c r="K13" t="s">
        <v>293</v>
      </c>
      <c r="L13" t="str">
        <f t="shared" ref="L13" si="48">IF(K13=$B13,"CERTO","ERRADO")</f>
        <v>CERTO</v>
      </c>
      <c r="M13" t="s">
        <v>292</v>
      </c>
      <c r="N13" t="str">
        <f t="shared" ref="N13" si="49">IF(M13=$B13,"CERTO","ERRADO")</f>
        <v>ERRADO</v>
      </c>
      <c r="O13" t="s">
        <v>291</v>
      </c>
      <c r="P13" t="str">
        <f t="shared" ref="P13" si="50">IF(O13=$B13,"CERTO","ERRADO")</f>
        <v>ERRADO</v>
      </c>
      <c r="Q13" s="9">
        <f t="shared" si="6"/>
        <v>4</v>
      </c>
      <c r="R13" s="9">
        <f t="shared" si="7"/>
        <v>3</v>
      </c>
      <c r="S13">
        <f t="shared" si="8"/>
        <v>1</v>
      </c>
      <c r="T13">
        <f t="shared" si="9"/>
        <v>1</v>
      </c>
      <c r="U13">
        <f t="shared" si="10"/>
        <v>0</v>
      </c>
      <c r="V13">
        <f t="shared" si="11"/>
        <v>1</v>
      </c>
      <c r="W13">
        <f t="shared" si="12"/>
        <v>1</v>
      </c>
      <c r="X13">
        <f t="shared" si="13"/>
        <v>0</v>
      </c>
      <c r="Y13">
        <f t="shared" si="14"/>
        <v>0</v>
      </c>
    </row>
    <row r="14" spans="1:25">
      <c r="A14">
        <v>12</v>
      </c>
      <c r="B14" s="9" t="s">
        <v>29</v>
      </c>
      <c r="C14" t="s">
        <v>293</v>
      </c>
      <c r="D14" t="str">
        <f t="shared" si="0"/>
        <v>ERRADO</v>
      </c>
      <c r="E14" t="s">
        <v>291</v>
      </c>
      <c r="F14" t="str">
        <f t="shared" si="1"/>
        <v>CERTO</v>
      </c>
      <c r="G14" t="s">
        <v>291</v>
      </c>
      <c r="H14" t="str">
        <f t="shared" si="1"/>
        <v>CERTO</v>
      </c>
      <c r="I14" t="s">
        <v>291</v>
      </c>
      <c r="J14" t="str">
        <f t="shared" ref="J14" si="51">IF(I14=$B14,"CERTO","ERRADO")</f>
        <v>CERTO</v>
      </c>
      <c r="K14" t="s">
        <v>291</v>
      </c>
      <c r="L14" t="str">
        <f t="shared" ref="L14" si="52">IF(K14=$B14,"CERTO","ERRADO")</f>
        <v>CERTO</v>
      </c>
      <c r="M14" t="s">
        <v>291</v>
      </c>
      <c r="N14" t="str">
        <f t="shared" ref="N14" si="53">IF(M14=$B14,"CERTO","ERRADO")</f>
        <v>CERTO</v>
      </c>
      <c r="O14" t="s">
        <v>293</v>
      </c>
      <c r="P14" t="str">
        <f t="shared" ref="P14" si="54">IF(O14=$B14,"CERTO","ERRADO")</f>
        <v>ERRADO</v>
      </c>
      <c r="Q14" s="9">
        <f t="shared" si="6"/>
        <v>5</v>
      </c>
      <c r="R14" s="9">
        <f t="shared" si="7"/>
        <v>2</v>
      </c>
      <c r="S14">
        <f t="shared" si="8"/>
        <v>0</v>
      </c>
      <c r="T14">
        <f t="shared" si="9"/>
        <v>1</v>
      </c>
      <c r="U14">
        <f t="shared" si="10"/>
        <v>1</v>
      </c>
      <c r="V14">
        <f t="shared" si="11"/>
        <v>1</v>
      </c>
      <c r="W14">
        <f t="shared" si="12"/>
        <v>1</v>
      </c>
      <c r="X14">
        <f t="shared" si="13"/>
        <v>1</v>
      </c>
      <c r="Y14">
        <f t="shared" si="14"/>
        <v>0</v>
      </c>
    </row>
    <row r="15" spans="1:25">
      <c r="A15">
        <v>13</v>
      </c>
      <c r="B15" s="9" t="s">
        <v>31</v>
      </c>
      <c r="C15" t="s">
        <v>290</v>
      </c>
      <c r="D15" t="str">
        <f t="shared" si="0"/>
        <v>CERTO</v>
      </c>
      <c r="E15" t="s">
        <v>290</v>
      </c>
      <c r="F15" t="str">
        <f t="shared" si="1"/>
        <v>CERTO</v>
      </c>
      <c r="G15" t="s">
        <v>290</v>
      </c>
      <c r="H15" t="str">
        <f t="shared" si="1"/>
        <v>CERTO</v>
      </c>
      <c r="I15" t="s">
        <v>290</v>
      </c>
      <c r="J15" t="str">
        <f t="shared" ref="J15" si="55">IF(I15=$B15,"CERTO","ERRADO")</f>
        <v>CERTO</v>
      </c>
      <c r="K15" t="s">
        <v>290</v>
      </c>
      <c r="L15" t="str">
        <f t="shared" ref="L15" si="56">IF(K15=$B15,"CERTO","ERRADO")</f>
        <v>CERTO</v>
      </c>
      <c r="M15" t="s">
        <v>292</v>
      </c>
      <c r="N15" t="str">
        <f t="shared" ref="N15" si="57">IF(M15=$B15,"CERTO","ERRADO")</f>
        <v>ERRADO</v>
      </c>
      <c r="O15" t="s">
        <v>292</v>
      </c>
      <c r="P15" t="str">
        <f t="shared" ref="P15" si="58">IF(O15=$B15,"CERTO","ERRADO")</f>
        <v>ERRADO</v>
      </c>
      <c r="Q15" s="9">
        <f t="shared" si="6"/>
        <v>5</v>
      </c>
      <c r="R15" s="9">
        <f t="shared" si="7"/>
        <v>2</v>
      </c>
      <c r="S15">
        <f t="shared" si="8"/>
        <v>1</v>
      </c>
      <c r="T15">
        <f t="shared" si="9"/>
        <v>1</v>
      </c>
      <c r="U15">
        <f t="shared" si="10"/>
        <v>1</v>
      </c>
      <c r="V15">
        <f t="shared" si="11"/>
        <v>1</v>
      </c>
      <c r="W15">
        <f t="shared" si="12"/>
        <v>1</v>
      </c>
      <c r="X15">
        <f t="shared" si="13"/>
        <v>0</v>
      </c>
      <c r="Y15">
        <f t="shared" si="14"/>
        <v>0</v>
      </c>
    </row>
    <row r="16" spans="1:25">
      <c r="A16">
        <v>14</v>
      </c>
      <c r="B16" s="9" t="s">
        <v>30</v>
      </c>
      <c r="C16" t="s">
        <v>293</v>
      </c>
      <c r="D16" t="str">
        <f t="shared" si="0"/>
        <v>ERRADO</v>
      </c>
      <c r="E16" t="s">
        <v>291</v>
      </c>
      <c r="F16" t="str">
        <f t="shared" si="1"/>
        <v>ERRADO</v>
      </c>
      <c r="G16" t="s">
        <v>293</v>
      </c>
      <c r="H16" t="str">
        <f t="shared" si="1"/>
        <v>ERRADO</v>
      </c>
      <c r="I16" t="s">
        <v>291</v>
      </c>
      <c r="J16" t="str">
        <f t="shared" ref="J16" si="59">IF(I16=$B16,"CERTO","ERRADO")</f>
        <v>ERRADO</v>
      </c>
      <c r="K16" t="s">
        <v>291</v>
      </c>
      <c r="L16" t="str">
        <f t="shared" ref="L16" si="60">IF(K16=$B16,"CERTO","ERRADO")</f>
        <v>ERRADO</v>
      </c>
      <c r="M16" t="s">
        <v>292</v>
      </c>
      <c r="N16" t="str">
        <f t="shared" ref="N16" si="61">IF(M16=$B16,"CERTO","ERRADO")</f>
        <v>CERTO</v>
      </c>
      <c r="O16" t="s">
        <v>291</v>
      </c>
      <c r="P16" t="str">
        <f t="shared" ref="P16" si="62">IF(O16=$B16,"CERTO","ERRADO")</f>
        <v>ERRADO</v>
      </c>
      <c r="Q16" s="9">
        <f t="shared" si="6"/>
        <v>1</v>
      </c>
      <c r="R16" s="9">
        <f t="shared" si="7"/>
        <v>6</v>
      </c>
      <c r="S16">
        <f t="shared" si="8"/>
        <v>0</v>
      </c>
      <c r="T16">
        <f t="shared" si="9"/>
        <v>0</v>
      </c>
      <c r="U16">
        <f t="shared" si="10"/>
        <v>0</v>
      </c>
      <c r="V16">
        <f t="shared" si="11"/>
        <v>0</v>
      </c>
      <c r="W16">
        <f t="shared" si="12"/>
        <v>0</v>
      </c>
      <c r="X16">
        <f t="shared" si="13"/>
        <v>1</v>
      </c>
      <c r="Y16">
        <f t="shared" si="14"/>
        <v>0</v>
      </c>
    </row>
    <row r="17" spans="1:25">
      <c r="A17">
        <v>15</v>
      </c>
      <c r="B17" s="9" t="s">
        <v>28</v>
      </c>
      <c r="C17" t="s">
        <v>293</v>
      </c>
      <c r="D17" t="str">
        <f t="shared" si="0"/>
        <v>CERTO</v>
      </c>
      <c r="E17" t="s">
        <v>290</v>
      </c>
      <c r="F17" t="str">
        <f t="shared" si="1"/>
        <v>ERRADO</v>
      </c>
      <c r="G17" t="s">
        <v>290</v>
      </c>
      <c r="H17" t="str">
        <f t="shared" si="1"/>
        <v>ERRADO</v>
      </c>
      <c r="I17" t="s">
        <v>293</v>
      </c>
      <c r="J17" t="str">
        <f t="shared" ref="J17" si="63">IF(I17=$B17,"CERTO","ERRADO")</f>
        <v>CERTO</v>
      </c>
      <c r="K17" t="s">
        <v>293</v>
      </c>
      <c r="L17" t="str">
        <f t="shared" ref="L17" si="64">IF(K17=$B17,"CERTO","ERRADO")</f>
        <v>CERTO</v>
      </c>
      <c r="M17" t="s">
        <v>293</v>
      </c>
      <c r="N17" t="str">
        <f t="shared" ref="N17" si="65">IF(M17=$B17,"CERTO","ERRADO")</f>
        <v>CERTO</v>
      </c>
      <c r="O17" t="s">
        <v>290</v>
      </c>
      <c r="P17" t="str">
        <f t="shared" ref="P17" si="66">IF(O17=$B17,"CERTO","ERRADO")</f>
        <v>ERRADO</v>
      </c>
      <c r="Q17" s="9">
        <f t="shared" si="6"/>
        <v>4</v>
      </c>
      <c r="R17" s="9">
        <f t="shared" si="7"/>
        <v>3</v>
      </c>
      <c r="S17">
        <f t="shared" si="8"/>
        <v>1</v>
      </c>
      <c r="T17">
        <f t="shared" si="9"/>
        <v>0</v>
      </c>
      <c r="U17">
        <f t="shared" si="10"/>
        <v>0</v>
      </c>
      <c r="V17">
        <f t="shared" si="11"/>
        <v>1</v>
      </c>
      <c r="W17">
        <f t="shared" si="12"/>
        <v>1</v>
      </c>
      <c r="X17">
        <f t="shared" si="13"/>
        <v>1</v>
      </c>
      <c r="Y17">
        <f t="shared" si="14"/>
        <v>0</v>
      </c>
    </row>
    <row r="18" spans="1:25">
      <c r="A18">
        <v>16</v>
      </c>
      <c r="B18" s="9" t="s">
        <v>29</v>
      </c>
      <c r="C18" t="s">
        <v>293</v>
      </c>
      <c r="D18" t="str">
        <f t="shared" si="0"/>
        <v>ERRADO</v>
      </c>
      <c r="E18" t="s">
        <v>292</v>
      </c>
      <c r="F18" t="str">
        <f t="shared" si="1"/>
        <v>ERRADO</v>
      </c>
      <c r="G18" t="s">
        <v>293</v>
      </c>
      <c r="H18" t="str">
        <f t="shared" si="1"/>
        <v>ERRADO</v>
      </c>
      <c r="I18" t="s">
        <v>292</v>
      </c>
      <c r="J18" t="str">
        <f t="shared" ref="J18" si="67">IF(I18=$B18,"CERTO","ERRADO")</f>
        <v>ERRADO</v>
      </c>
      <c r="K18" t="s">
        <v>293</v>
      </c>
      <c r="L18" t="str">
        <f t="shared" ref="L18" si="68">IF(K18=$B18,"CERTO","ERRADO")</f>
        <v>ERRADO</v>
      </c>
      <c r="M18" t="s">
        <v>292</v>
      </c>
      <c r="N18" t="str">
        <f t="shared" ref="N18" si="69">IF(M18=$B18,"CERTO","ERRADO")</f>
        <v>ERRADO</v>
      </c>
      <c r="O18" t="s">
        <v>293</v>
      </c>
      <c r="P18" t="str">
        <f t="shared" ref="P18" si="70">IF(O18=$B18,"CERTO","ERRADO")</f>
        <v>ERRADO</v>
      </c>
      <c r="Q18" s="9">
        <f t="shared" si="6"/>
        <v>0</v>
      </c>
      <c r="R18" s="9">
        <f t="shared" si="7"/>
        <v>7</v>
      </c>
      <c r="S18">
        <f t="shared" si="8"/>
        <v>0</v>
      </c>
      <c r="T18">
        <f t="shared" si="9"/>
        <v>0</v>
      </c>
      <c r="U18">
        <f t="shared" si="10"/>
        <v>0</v>
      </c>
      <c r="V18">
        <f t="shared" si="11"/>
        <v>0</v>
      </c>
      <c r="W18">
        <f t="shared" si="12"/>
        <v>0</v>
      </c>
      <c r="X18">
        <f t="shared" si="13"/>
        <v>0</v>
      </c>
      <c r="Y18">
        <f t="shared" si="14"/>
        <v>0</v>
      </c>
    </row>
    <row r="19" spans="1:25">
      <c r="A19">
        <v>17</v>
      </c>
      <c r="B19" s="9" t="s">
        <v>31</v>
      </c>
      <c r="C19" t="s">
        <v>290</v>
      </c>
      <c r="D19" t="str">
        <f t="shared" si="0"/>
        <v>CERTO</v>
      </c>
      <c r="E19" t="s">
        <v>293</v>
      </c>
      <c r="F19" t="str">
        <f t="shared" si="1"/>
        <v>ERRADO</v>
      </c>
      <c r="G19" t="s">
        <v>291</v>
      </c>
      <c r="H19" t="str">
        <f t="shared" si="1"/>
        <v>ERRADO</v>
      </c>
      <c r="I19" t="s">
        <v>293</v>
      </c>
      <c r="J19" t="str">
        <f t="shared" ref="J19" si="71">IF(I19=$B19,"CERTO","ERRADO")</f>
        <v>ERRADO</v>
      </c>
      <c r="K19" t="s">
        <v>293</v>
      </c>
      <c r="L19" t="str">
        <f t="shared" ref="L19" si="72">IF(K19=$B19,"CERTO","ERRADO")</f>
        <v>ERRADO</v>
      </c>
      <c r="M19" t="s">
        <v>291</v>
      </c>
      <c r="N19" t="str">
        <f t="shared" ref="N19" si="73">IF(M19=$B19,"CERTO","ERRADO")</f>
        <v>ERRADO</v>
      </c>
      <c r="O19" t="s">
        <v>292</v>
      </c>
      <c r="P19" t="str">
        <f t="shared" ref="P19" si="74">IF(O19=$B19,"CERTO","ERRADO")</f>
        <v>ERRADO</v>
      </c>
      <c r="Q19" s="9">
        <f t="shared" si="6"/>
        <v>1</v>
      </c>
      <c r="R19" s="9">
        <f t="shared" si="7"/>
        <v>6</v>
      </c>
      <c r="S19">
        <f t="shared" si="8"/>
        <v>1</v>
      </c>
      <c r="T19">
        <f t="shared" si="9"/>
        <v>0</v>
      </c>
      <c r="U19">
        <f t="shared" si="10"/>
        <v>0</v>
      </c>
      <c r="V19">
        <f t="shared" si="11"/>
        <v>0</v>
      </c>
      <c r="W19">
        <f t="shared" si="12"/>
        <v>0</v>
      </c>
      <c r="X19">
        <f t="shared" si="13"/>
        <v>0</v>
      </c>
      <c r="Y19">
        <f t="shared" si="14"/>
        <v>0</v>
      </c>
    </row>
    <row r="20" spans="1:25">
      <c r="A20">
        <v>18</v>
      </c>
      <c r="B20" s="9" t="s">
        <v>28</v>
      </c>
      <c r="C20" t="s">
        <v>293</v>
      </c>
      <c r="D20" t="str">
        <f t="shared" si="0"/>
        <v>CERTO</v>
      </c>
      <c r="E20" t="s">
        <v>290</v>
      </c>
      <c r="F20" t="str">
        <f t="shared" si="1"/>
        <v>ERRADO</v>
      </c>
      <c r="G20" t="s">
        <v>290</v>
      </c>
      <c r="H20" t="str">
        <f t="shared" si="1"/>
        <v>ERRADO</v>
      </c>
      <c r="I20" t="s">
        <v>290</v>
      </c>
      <c r="J20" t="str">
        <f t="shared" ref="J20" si="75">IF(I20=$B20,"CERTO","ERRADO")</f>
        <v>ERRADO</v>
      </c>
      <c r="K20" t="s">
        <v>290</v>
      </c>
      <c r="L20" t="str">
        <f t="shared" ref="L20" si="76">IF(K20=$B20,"CERTO","ERRADO")</f>
        <v>ERRADO</v>
      </c>
      <c r="M20" t="s">
        <v>293</v>
      </c>
      <c r="N20" t="str">
        <f t="shared" ref="N20" si="77">IF(M20=$B20,"CERTO","ERRADO")</f>
        <v>CERTO</v>
      </c>
      <c r="O20" t="s">
        <v>291</v>
      </c>
      <c r="P20" t="str">
        <f t="shared" ref="P20" si="78">IF(O20=$B20,"CERTO","ERRADO")</f>
        <v>ERRADO</v>
      </c>
      <c r="Q20" s="9">
        <f t="shared" si="6"/>
        <v>2</v>
      </c>
      <c r="R20" s="9">
        <f t="shared" si="7"/>
        <v>5</v>
      </c>
      <c r="S20">
        <f t="shared" si="8"/>
        <v>1</v>
      </c>
      <c r="T20">
        <f t="shared" si="9"/>
        <v>0</v>
      </c>
      <c r="U20">
        <f t="shared" si="10"/>
        <v>0</v>
      </c>
      <c r="V20">
        <f t="shared" si="11"/>
        <v>0</v>
      </c>
      <c r="W20">
        <f t="shared" si="12"/>
        <v>0</v>
      </c>
      <c r="X20">
        <f t="shared" si="13"/>
        <v>1</v>
      </c>
      <c r="Y20">
        <f t="shared" si="14"/>
        <v>0</v>
      </c>
    </row>
    <row r="21" spans="1:25">
      <c r="A21">
        <v>19</v>
      </c>
      <c r="B21" s="9" t="s">
        <v>31</v>
      </c>
      <c r="C21" t="s">
        <v>291</v>
      </c>
      <c r="D21" t="str">
        <f t="shared" si="0"/>
        <v>ERRADO</v>
      </c>
      <c r="E21" t="s">
        <v>290</v>
      </c>
      <c r="F21" t="str">
        <f t="shared" si="1"/>
        <v>CERTO</v>
      </c>
      <c r="G21" t="s">
        <v>292</v>
      </c>
      <c r="H21" t="str">
        <f t="shared" si="1"/>
        <v>ERRADO</v>
      </c>
      <c r="I21" t="s">
        <v>290</v>
      </c>
      <c r="J21" t="str">
        <f t="shared" ref="J21" si="79">IF(I21=$B21,"CERTO","ERRADO")</f>
        <v>CERTO</v>
      </c>
      <c r="K21" t="s">
        <v>291</v>
      </c>
      <c r="L21" t="str">
        <f t="shared" ref="L21" si="80">IF(K21=$B21,"CERTO","ERRADO")</f>
        <v>ERRADO</v>
      </c>
      <c r="M21" t="s">
        <v>293</v>
      </c>
      <c r="N21" t="str">
        <f t="shared" ref="N21" si="81">IF(M21=$B21,"CERTO","ERRADO")</f>
        <v>ERRADO</v>
      </c>
      <c r="O21" t="s">
        <v>291</v>
      </c>
      <c r="P21" t="str">
        <f t="shared" ref="P21" si="82">IF(O21=$B21,"CERTO","ERRADO")</f>
        <v>ERRADO</v>
      </c>
      <c r="Q21" s="9">
        <f t="shared" si="6"/>
        <v>2</v>
      </c>
      <c r="R21" s="9">
        <f t="shared" si="7"/>
        <v>5</v>
      </c>
      <c r="S21">
        <f t="shared" si="8"/>
        <v>0</v>
      </c>
      <c r="T21">
        <f t="shared" si="9"/>
        <v>1</v>
      </c>
      <c r="U21">
        <f t="shared" si="10"/>
        <v>0</v>
      </c>
      <c r="V21">
        <f t="shared" si="11"/>
        <v>1</v>
      </c>
      <c r="W21">
        <f t="shared" si="12"/>
        <v>0</v>
      </c>
      <c r="X21">
        <f t="shared" si="13"/>
        <v>0</v>
      </c>
      <c r="Y21">
        <f t="shared" si="14"/>
        <v>0</v>
      </c>
    </row>
    <row r="22" spans="1:25">
      <c r="A22">
        <v>20</v>
      </c>
      <c r="B22" s="9" t="s">
        <v>30</v>
      </c>
      <c r="C22" t="s">
        <v>292</v>
      </c>
      <c r="D22" t="str">
        <f t="shared" si="0"/>
        <v>CERTO</v>
      </c>
      <c r="E22" t="s">
        <v>291</v>
      </c>
      <c r="F22" t="str">
        <f t="shared" si="1"/>
        <v>ERRADO</v>
      </c>
      <c r="G22" t="s">
        <v>292</v>
      </c>
      <c r="H22" t="str">
        <f t="shared" si="1"/>
        <v>CERTO</v>
      </c>
      <c r="I22" t="s">
        <v>292</v>
      </c>
      <c r="J22" t="str">
        <f t="shared" ref="J22" si="83">IF(I22=$B22,"CERTO","ERRADO")</f>
        <v>CERTO</v>
      </c>
      <c r="K22" t="s">
        <v>292</v>
      </c>
      <c r="L22" t="str">
        <f t="shared" ref="L22" si="84">IF(K22=$B22,"CERTO","ERRADO")</f>
        <v>CERTO</v>
      </c>
      <c r="M22" t="s">
        <v>292</v>
      </c>
      <c r="N22" t="str">
        <f t="shared" ref="N22" si="85">IF(M22=$B22,"CERTO","ERRADO")</f>
        <v>CERTO</v>
      </c>
      <c r="O22" t="s">
        <v>292</v>
      </c>
      <c r="P22" t="str">
        <f t="shared" ref="P22" si="86">IF(O22=$B22,"CERTO","ERRADO")</f>
        <v>CERTO</v>
      </c>
      <c r="Q22" s="9">
        <f t="shared" si="6"/>
        <v>6</v>
      </c>
      <c r="R22" s="9">
        <f t="shared" si="7"/>
        <v>1</v>
      </c>
      <c r="S22">
        <f t="shared" si="8"/>
        <v>1</v>
      </c>
      <c r="T22">
        <f t="shared" si="9"/>
        <v>0</v>
      </c>
      <c r="U22">
        <f t="shared" si="10"/>
        <v>1</v>
      </c>
      <c r="V22">
        <f t="shared" si="11"/>
        <v>1</v>
      </c>
      <c r="W22">
        <f t="shared" si="12"/>
        <v>1</v>
      </c>
      <c r="X22">
        <f t="shared" si="13"/>
        <v>1</v>
      </c>
      <c r="Y22">
        <f t="shared" si="14"/>
        <v>1</v>
      </c>
    </row>
    <row r="23" spans="1:25">
      <c r="A23">
        <v>21</v>
      </c>
      <c r="B23" s="9" t="s">
        <v>28</v>
      </c>
      <c r="C23" t="s">
        <v>293</v>
      </c>
      <c r="D23" t="str">
        <f t="shared" si="0"/>
        <v>CERTO</v>
      </c>
      <c r="E23" t="s">
        <v>293</v>
      </c>
      <c r="F23" t="str">
        <f t="shared" si="1"/>
        <v>CERTO</v>
      </c>
      <c r="G23" t="s">
        <v>292</v>
      </c>
      <c r="H23" t="str">
        <f t="shared" si="1"/>
        <v>ERRADO</v>
      </c>
      <c r="I23" t="s">
        <v>293</v>
      </c>
      <c r="J23" t="str">
        <f t="shared" ref="J23" si="87">IF(I23=$B23,"CERTO","ERRADO")</f>
        <v>CERTO</v>
      </c>
      <c r="K23" t="s">
        <v>293</v>
      </c>
      <c r="L23" t="str">
        <f t="shared" ref="L23" si="88">IF(K23=$B23,"CERTO","ERRADO")</f>
        <v>CERTO</v>
      </c>
      <c r="M23" t="s">
        <v>293</v>
      </c>
      <c r="N23" t="str">
        <f t="shared" ref="N23" si="89">IF(M23=$B23,"CERTO","ERRADO")</f>
        <v>CERTO</v>
      </c>
      <c r="O23" t="s">
        <v>290</v>
      </c>
      <c r="P23" t="str">
        <f t="shared" ref="P23" si="90">IF(O23=$B23,"CERTO","ERRADO")</f>
        <v>ERRADO</v>
      </c>
      <c r="Q23" s="9">
        <f t="shared" si="6"/>
        <v>5</v>
      </c>
      <c r="R23" s="9">
        <f t="shared" si="7"/>
        <v>2</v>
      </c>
      <c r="S23">
        <f t="shared" si="8"/>
        <v>1</v>
      </c>
      <c r="T23">
        <f t="shared" si="9"/>
        <v>1</v>
      </c>
      <c r="U23">
        <f t="shared" si="10"/>
        <v>0</v>
      </c>
      <c r="V23">
        <f t="shared" si="11"/>
        <v>1</v>
      </c>
      <c r="W23">
        <f t="shared" si="12"/>
        <v>1</v>
      </c>
      <c r="X23">
        <f t="shared" si="13"/>
        <v>1</v>
      </c>
      <c r="Y23">
        <f t="shared" si="14"/>
        <v>0</v>
      </c>
    </row>
    <row r="24" spans="1:25">
      <c r="A24">
        <v>22</v>
      </c>
      <c r="B24" s="9" t="s">
        <v>28</v>
      </c>
      <c r="C24" t="s">
        <v>293</v>
      </c>
      <c r="D24" t="str">
        <f t="shared" si="0"/>
        <v>CERTO</v>
      </c>
      <c r="E24" t="s">
        <v>291</v>
      </c>
      <c r="F24" t="str">
        <f t="shared" si="1"/>
        <v>ERRADO</v>
      </c>
      <c r="G24" t="s">
        <v>290</v>
      </c>
      <c r="H24" t="str">
        <f t="shared" si="1"/>
        <v>ERRADO</v>
      </c>
      <c r="I24" t="s">
        <v>292</v>
      </c>
      <c r="J24" t="str">
        <f t="shared" ref="J24" si="91">IF(I24=$B24,"CERTO","ERRADO")</f>
        <v>ERRADO</v>
      </c>
      <c r="K24" t="s">
        <v>290</v>
      </c>
      <c r="L24" t="str">
        <f t="shared" ref="L24" si="92">IF(K24=$B24,"CERTO","ERRADO")</f>
        <v>ERRADO</v>
      </c>
      <c r="M24" t="s">
        <v>290</v>
      </c>
      <c r="N24" t="str">
        <f t="shared" ref="N24" si="93">IF(M24=$B24,"CERTO","ERRADO")</f>
        <v>ERRADO</v>
      </c>
      <c r="O24" t="s">
        <v>293</v>
      </c>
      <c r="P24" t="str">
        <f t="shared" ref="P24" si="94">IF(O24=$B24,"CERTO","ERRADO")</f>
        <v>CERTO</v>
      </c>
      <c r="Q24" s="9">
        <f t="shared" si="6"/>
        <v>2</v>
      </c>
      <c r="R24" s="9">
        <f t="shared" si="7"/>
        <v>5</v>
      </c>
      <c r="S24">
        <f t="shared" si="8"/>
        <v>1</v>
      </c>
      <c r="T24">
        <f t="shared" si="9"/>
        <v>0</v>
      </c>
      <c r="U24">
        <f t="shared" si="10"/>
        <v>0</v>
      </c>
      <c r="V24">
        <f t="shared" si="11"/>
        <v>0</v>
      </c>
      <c r="W24">
        <f t="shared" si="12"/>
        <v>0</v>
      </c>
      <c r="X24">
        <f t="shared" si="13"/>
        <v>0</v>
      </c>
      <c r="Y24">
        <f t="shared" si="14"/>
        <v>1</v>
      </c>
    </row>
    <row r="25" spans="1:25">
      <c r="A25">
        <v>23</v>
      </c>
      <c r="B25" s="9" t="s">
        <v>28</v>
      </c>
      <c r="C25" t="s">
        <v>293</v>
      </c>
      <c r="D25" t="str">
        <f t="shared" si="0"/>
        <v>CERTO</v>
      </c>
      <c r="E25" t="s">
        <v>293</v>
      </c>
      <c r="F25" t="str">
        <f t="shared" si="1"/>
        <v>CERTO</v>
      </c>
      <c r="G25" t="s">
        <v>291</v>
      </c>
      <c r="H25" t="str">
        <f t="shared" si="1"/>
        <v>ERRADO</v>
      </c>
      <c r="I25" t="s">
        <v>291</v>
      </c>
      <c r="J25" t="str">
        <f t="shared" ref="J25" si="95">IF(I25=$B25,"CERTO","ERRADO")</f>
        <v>ERRADO</v>
      </c>
      <c r="K25" t="s">
        <v>293</v>
      </c>
      <c r="L25" t="str">
        <f t="shared" ref="L25" si="96">IF(K25=$B25,"CERTO","ERRADO")</f>
        <v>CERTO</v>
      </c>
      <c r="M25" t="s">
        <v>293</v>
      </c>
      <c r="N25" t="str">
        <f t="shared" ref="N25" si="97">IF(M25=$B25,"CERTO","ERRADO")</f>
        <v>CERTO</v>
      </c>
      <c r="O25" t="s">
        <v>291</v>
      </c>
      <c r="P25" t="str">
        <f t="shared" ref="P25" si="98">IF(O25=$B25,"CERTO","ERRADO")</f>
        <v>ERRADO</v>
      </c>
      <c r="Q25" s="9">
        <f t="shared" si="6"/>
        <v>4</v>
      </c>
      <c r="R25" s="9">
        <f t="shared" si="7"/>
        <v>3</v>
      </c>
      <c r="S25">
        <f t="shared" si="8"/>
        <v>1</v>
      </c>
      <c r="T25">
        <f t="shared" si="9"/>
        <v>1</v>
      </c>
      <c r="U25">
        <f t="shared" si="10"/>
        <v>0</v>
      </c>
      <c r="V25">
        <f t="shared" si="11"/>
        <v>0</v>
      </c>
      <c r="W25">
        <f t="shared" si="12"/>
        <v>1</v>
      </c>
      <c r="X25">
        <f t="shared" si="13"/>
        <v>1</v>
      </c>
      <c r="Y25">
        <f t="shared" si="14"/>
        <v>0</v>
      </c>
    </row>
    <row r="26" spans="1:25">
      <c r="A26">
        <v>24</v>
      </c>
      <c r="B26" s="9" t="s">
        <v>28</v>
      </c>
      <c r="C26" t="s">
        <v>293</v>
      </c>
      <c r="D26" t="str">
        <f t="shared" si="0"/>
        <v>CERTO</v>
      </c>
      <c r="E26" t="s">
        <v>291</v>
      </c>
      <c r="F26" t="str">
        <f t="shared" si="1"/>
        <v>ERRADO</v>
      </c>
      <c r="G26" t="s">
        <v>290</v>
      </c>
      <c r="H26" t="str">
        <f t="shared" si="1"/>
        <v>ERRADO</v>
      </c>
      <c r="I26" t="s">
        <v>292</v>
      </c>
      <c r="J26" t="str">
        <f t="shared" ref="J26" si="99">IF(I26=$B26,"CERTO","ERRADO")</f>
        <v>ERRADO</v>
      </c>
      <c r="K26" t="s">
        <v>292</v>
      </c>
      <c r="L26" t="str">
        <f t="shared" ref="L26" si="100">IF(K26=$B26,"CERTO","ERRADO")</f>
        <v>ERRADO</v>
      </c>
      <c r="M26" t="s">
        <v>292</v>
      </c>
      <c r="N26" t="str">
        <f t="shared" ref="N26" si="101">IF(M26=$B26,"CERTO","ERRADO")</f>
        <v>ERRADO</v>
      </c>
      <c r="O26" t="s">
        <v>291</v>
      </c>
      <c r="P26" t="str">
        <f t="shared" ref="P26" si="102">IF(O26=$B26,"CERTO","ERRADO")</f>
        <v>ERRADO</v>
      </c>
      <c r="Q26" s="9">
        <f t="shared" si="6"/>
        <v>1</v>
      </c>
      <c r="R26" s="9">
        <f t="shared" si="7"/>
        <v>6</v>
      </c>
      <c r="S26">
        <f t="shared" si="8"/>
        <v>1</v>
      </c>
      <c r="T26">
        <f t="shared" si="9"/>
        <v>0</v>
      </c>
      <c r="U26">
        <f t="shared" si="10"/>
        <v>0</v>
      </c>
      <c r="V26">
        <f t="shared" si="11"/>
        <v>0</v>
      </c>
      <c r="W26">
        <f t="shared" si="12"/>
        <v>0</v>
      </c>
      <c r="X26">
        <f t="shared" si="13"/>
        <v>0</v>
      </c>
      <c r="Y26">
        <f t="shared" si="14"/>
        <v>0</v>
      </c>
    </row>
    <row r="27" spans="1:25">
      <c r="A27">
        <v>25</v>
      </c>
      <c r="B27" s="9" t="s">
        <v>28</v>
      </c>
      <c r="C27" t="s">
        <v>293</v>
      </c>
      <c r="D27" t="str">
        <f t="shared" si="0"/>
        <v>CERTO</v>
      </c>
      <c r="E27" t="s">
        <v>292</v>
      </c>
      <c r="F27" t="str">
        <f t="shared" si="1"/>
        <v>ERRADO</v>
      </c>
      <c r="G27" t="s">
        <v>293</v>
      </c>
      <c r="H27" t="str">
        <f t="shared" si="1"/>
        <v>CERTO</v>
      </c>
      <c r="I27" t="s">
        <v>292</v>
      </c>
      <c r="J27" t="str">
        <f t="shared" ref="J27" si="103">IF(I27=$B27,"CERTO","ERRADO")</f>
        <v>ERRADO</v>
      </c>
      <c r="K27" t="s">
        <v>292</v>
      </c>
      <c r="L27" t="str">
        <f t="shared" ref="L27" si="104">IF(K27=$B27,"CERTO","ERRADO")</f>
        <v>ERRADO</v>
      </c>
      <c r="M27" t="s">
        <v>293</v>
      </c>
      <c r="N27" t="str">
        <f t="shared" ref="N27" si="105">IF(M27=$B27,"CERTO","ERRADO")</f>
        <v>CERTO</v>
      </c>
      <c r="O27" t="s">
        <v>292</v>
      </c>
      <c r="P27" t="str">
        <f t="shared" ref="P27" si="106">IF(O27=$B27,"CERTO","ERRADO")</f>
        <v>ERRADO</v>
      </c>
      <c r="Q27" s="9">
        <f t="shared" si="6"/>
        <v>3</v>
      </c>
      <c r="R27" s="9">
        <f t="shared" si="7"/>
        <v>4</v>
      </c>
      <c r="S27">
        <f t="shared" si="8"/>
        <v>1</v>
      </c>
      <c r="T27">
        <f t="shared" si="9"/>
        <v>0</v>
      </c>
      <c r="U27">
        <f t="shared" si="10"/>
        <v>1</v>
      </c>
      <c r="V27">
        <f t="shared" si="11"/>
        <v>0</v>
      </c>
      <c r="W27">
        <f t="shared" si="12"/>
        <v>0</v>
      </c>
      <c r="X27">
        <f t="shared" si="13"/>
        <v>1</v>
      </c>
      <c r="Y27">
        <f t="shared" si="14"/>
        <v>0</v>
      </c>
    </row>
  </sheetData>
  <mergeCells count="8">
    <mergeCell ref="A1:P1"/>
    <mergeCell ref="C2:D2"/>
    <mergeCell ref="E2:F2"/>
    <mergeCell ref="G2:H2"/>
    <mergeCell ref="I2:J2"/>
    <mergeCell ref="K2:L2"/>
    <mergeCell ref="M2:N2"/>
    <mergeCell ref="O2:P2"/>
  </mergeCells>
  <conditionalFormatting sqref="D3:D27">
    <cfRule type="containsText" dxfId="13" priority="13" operator="containsText" text="ERRADO">
      <formula>NOT(ISERROR(SEARCH("ERRADO",D3)))</formula>
    </cfRule>
    <cfRule type="containsText" dxfId="12" priority="14" operator="containsText" text="CERTO">
      <formula>NOT(ISERROR(SEARCH("CERTO",D3)))</formula>
    </cfRule>
  </conditionalFormatting>
  <conditionalFormatting sqref="F3:F27">
    <cfRule type="containsText" dxfId="11" priority="11" operator="containsText" text="ERRADO">
      <formula>NOT(ISERROR(SEARCH("ERRADO",F3)))</formula>
    </cfRule>
    <cfRule type="containsText" dxfId="10" priority="12" operator="containsText" text="CERTO">
      <formula>NOT(ISERROR(SEARCH("CERTO",F3)))</formula>
    </cfRule>
  </conditionalFormatting>
  <conditionalFormatting sqref="H3:H27">
    <cfRule type="containsText" dxfId="9" priority="9" operator="containsText" text="ERRADO">
      <formula>NOT(ISERROR(SEARCH("ERRADO",H3)))</formula>
    </cfRule>
    <cfRule type="containsText" dxfId="8" priority="10" operator="containsText" text="CERTO">
      <formula>NOT(ISERROR(SEARCH("CERTO",H3)))</formula>
    </cfRule>
  </conditionalFormatting>
  <conditionalFormatting sqref="J3:J27">
    <cfRule type="containsText" dxfId="7" priority="7" operator="containsText" text="ERRADO">
      <formula>NOT(ISERROR(SEARCH("ERRADO",J3)))</formula>
    </cfRule>
    <cfRule type="containsText" dxfId="6" priority="8" operator="containsText" text="CERTO">
      <formula>NOT(ISERROR(SEARCH("CERTO",J3)))</formula>
    </cfRule>
  </conditionalFormatting>
  <conditionalFormatting sqref="L3:L27">
    <cfRule type="containsText" dxfId="5" priority="5" operator="containsText" text="ERRADO">
      <formula>NOT(ISERROR(SEARCH("ERRADO",L3)))</formula>
    </cfRule>
    <cfRule type="containsText" dxfId="4" priority="6" operator="containsText" text="CERTO">
      <formula>NOT(ISERROR(SEARCH("CERTO",L3)))</formula>
    </cfRule>
  </conditionalFormatting>
  <conditionalFormatting sqref="N3:N27">
    <cfRule type="containsText" dxfId="3" priority="3" operator="containsText" text="ERRADO">
      <formula>NOT(ISERROR(SEARCH("ERRADO",N3)))</formula>
    </cfRule>
    <cfRule type="containsText" dxfId="2" priority="4" operator="containsText" text="CERTO">
      <formula>NOT(ISERROR(SEARCH("CERTO",N3)))</formula>
    </cfRule>
  </conditionalFormatting>
  <conditionalFormatting sqref="P3:P27">
    <cfRule type="containsText" dxfId="1" priority="1" operator="containsText" text="ERRADO">
      <formula>NOT(ISERROR(SEARCH("ERRADO",P3)))</formula>
    </cfRule>
    <cfRule type="containsText" dxfId="0" priority="2" operator="containsText" text="CERTO">
      <formula>NOT(ISERROR(SEARCH("CERTO",P3)))</formula>
    </cfRule>
  </conditionalFormatting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21"/>
  <sheetViews>
    <sheetView workbookViewId="0"/>
  </sheetViews>
  <sheetFormatPr defaultRowHeight="15"/>
  <cols>
    <col min="1" max="1" width="17.28515625" bestFit="1" customWidth="1"/>
    <col min="2" max="2" width="15" bestFit="1" customWidth="1"/>
    <col min="3" max="8" width="18.42578125" bestFit="1" customWidth="1"/>
  </cols>
  <sheetData>
    <row r="1" spans="1:2">
      <c r="A1" s="30" t="s">
        <v>284</v>
      </c>
      <c r="B1" t="s">
        <v>294</v>
      </c>
    </row>
    <row r="2" spans="1:2">
      <c r="A2" s="30" t="s">
        <v>285</v>
      </c>
      <c r="B2" t="s">
        <v>294</v>
      </c>
    </row>
    <row r="3" spans="1:2">
      <c r="A3" s="30" t="s">
        <v>289</v>
      </c>
      <c r="B3" t="s">
        <v>294</v>
      </c>
    </row>
    <row r="4" spans="1:2">
      <c r="A4" s="30" t="s">
        <v>286</v>
      </c>
      <c r="B4" t="s">
        <v>294</v>
      </c>
    </row>
    <row r="5" spans="1:2">
      <c r="A5" s="30" t="s">
        <v>288</v>
      </c>
      <c r="B5" t="s">
        <v>294</v>
      </c>
    </row>
    <row r="6" spans="1:2">
      <c r="A6" s="30" t="s">
        <v>287</v>
      </c>
      <c r="B6" s="31">
        <v>1</v>
      </c>
    </row>
    <row r="8" spans="1:2">
      <c r="A8" s="30" t="s">
        <v>295</v>
      </c>
      <c r="B8" t="s">
        <v>296</v>
      </c>
    </row>
    <row r="9" spans="1:2">
      <c r="A9" s="31">
        <v>1</v>
      </c>
      <c r="B9">
        <v>1</v>
      </c>
    </row>
    <row r="10" spans="1:2">
      <c r="A10" s="31">
        <v>2</v>
      </c>
      <c r="B10">
        <v>1</v>
      </c>
    </row>
    <row r="11" spans="1:2">
      <c r="A11" s="31">
        <v>3</v>
      </c>
      <c r="B11">
        <v>1</v>
      </c>
    </row>
    <row r="12" spans="1:2">
      <c r="A12" s="31">
        <v>5</v>
      </c>
      <c r="B12">
        <v>1</v>
      </c>
    </row>
    <row r="13" spans="1:2">
      <c r="A13" s="31">
        <v>7</v>
      </c>
      <c r="B13">
        <v>1</v>
      </c>
    </row>
    <row r="14" spans="1:2">
      <c r="A14" s="31">
        <v>11</v>
      </c>
      <c r="B14">
        <v>1</v>
      </c>
    </row>
    <row r="15" spans="1:2">
      <c r="A15" s="31">
        <v>12</v>
      </c>
      <c r="B15">
        <v>0</v>
      </c>
    </row>
    <row r="16" spans="1:2">
      <c r="A16" s="31">
        <v>13</v>
      </c>
      <c r="B16">
        <v>1</v>
      </c>
    </row>
    <row r="17" spans="1:2">
      <c r="A17" s="31">
        <v>15</v>
      </c>
      <c r="B17">
        <v>1</v>
      </c>
    </row>
    <row r="18" spans="1:2">
      <c r="A18" s="31">
        <v>20</v>
      </c>
      <c r="B18">
        <v>1</v>
      </c>
    </row>
    <row r="19" spans="1:2">
      <c r="A19" s="31">
        <v>21</v>
      </c>
      <c r="B19">
        <v>1</v>
      </c>
    </row>
    <row r="20" spans="1:2">
      <c r="A20" s="31">
        <v>23</v>
      </c>
      <c r="B20">
        <v>1</v>
      </c>
    </row>
    <row r="21" spans="1:2">
      <c r="A21" s="31" t="s">
        <v>297</v>
      </c>
      <c r="B21">
        <v>11</v>
      </c>
    </row>
  </sheetData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J27"/>
  <sheetViews>
    <sheetView workbookViewId="0">
      <selection activeCell="A2" sqref="A2:J27"/>
    </sheetView>
  </sheetViews>
  <sheetFormatPr defaultRowHeight="15"/>
  <sheetData>
    <row r="2" spans="1:10">
      <c r="A2" t="s">
        <v>272</v>
      </c>
      <c r="B2" t="s">
        <v>281</v>
      </c>
      <c r="C2" t="s">
        <v>282</v>
      </c>
      <c r="D2" t="s">
        <v>283</v>
      </c>
      <c r="E2" t="s">
        <v>284</v>
      </c>
      <c r="F2" t="s">
        <v>285</v>
      </c>
      <c r="G2" t="s">
        <v>286</v>
      </c>
      <c r="H2" t="s">
        <v>287</v>
      </c>
      <c r="I2" t="s">
        <v>288</v>
      </c>
      <c r="J2" t="s">
        <v>289</v>
      </c>
    </row>
    <row r="3" spans="1:10">
      <c r="A3">
        <v>1</v>
      </c>
      <c r="B3">
        <v>7</v>
      </c>
      <c r="C3">
        <v>0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</row>
    <row r="4" spans="1:10">
      <c r="A4">
        <v>2</v>
      </c>
      <c r="B4">
        <v>5</v>
      </c>
      <c r="C4">
        <v>2</v>
      </c>
      <c r="D4">
        <v>1</v>
      </c>
      <c r="E4">
        <v>0</v>
      </c>
      <c r="F4">
        <v>1</v>
      </c>
      <c r="G4">
        <v>1</v>
      </c>
      <c r="H4">
        <v>1</v>
      </c>
      <c r="I4">
        <v>1</v>
      </c>
      <c r="J4">
        <v>0</v>
      </c>
    </row>
    <row r="5" spans="1:10">
      <c r="A5">
        <v>3</v>
      </c>
      <c r="B5">
        <v>5</v>
      </c>
      <c r="C5">
        <v>2</v>
      </c>
      <c r="D5">
        <v>1</v>
      </c>
      <c r="E5">
        <v>1</v>
      </c>
      <c r="F5">
        <v>0</v>
      </c>
      <c r="G5">
        <v>1</v>
      </c>
      <c r="H5">
        <v>1</v>
      </c>
      <c r="I5">
        <v>0</v>
      </c>
      <c r="J5">
        <v>1</v>
      </c>
    </row>
    <row r="6" spans="1:10">
      <c r="A6">
        <v>4</v>
      </c>
      <c r="B6">
        <v>1</v>
      </c>
      <c r="C6">
        <v>6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</row>
    <row r="7" spans="1:10">
      <c r="A7">
        <v>5</v>
      </c>
      <c r="B7">
        <v>5</v>
      </c>
      <c r="C7">
        <v>2</v>
      </c>
      <c r="D7">
        <v>1</v>
      </c>
      <c r="E7">
        <v>0</v>
      </c>
      <c r="F7">
        <v>1</v>
      </c>
      <c r="G7">
        <v>0</v>
      </c>
      <c r="H7">
        <v>1</v>
      </c>
      <c r="I7">
        <v>1</v>
      </c>
      <c r="J7">
        <v>1</v>
      </c>
    </row>
    <row r="8" spans="1:10">
      <c r="A8">
        <v>6</v>
      </c>
      <c r="B8">
        <v>2</v>
      </c>
      <c r="C8">
        <v>5</v>
      </c>
      <c r="D8">
        <v>1</v>
      </c>
      <c r="E8">
        <v>0</v>
      </c>
      <c r="F8">
        <v>1</v>
      </c>
      <c r="G8">
        <v>0</v>
      </c>
      <c r="H8">
        <v>0</v>
      </c>
      <c r="I8">
        <v>0</v>
      </c>
      <c r="J8">
        <v>0</v>
      </c>
    </row>
    <row r="9" spans="1:10">
      <c r="A9">
        <v>7</v>
      </c>
      <c r="B9">
        <v>6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0</v>
      </c>
    </row>
    <row r="10" spans="1:10">
      <c r="A10">
        <v>8</v>
      </c>
      <c r="B10">
        <v>2</v>
      </c>
      <c r="C10">
        <v>5</v>
      </c>
      <c r="D10">
        <v>0</v>
      </c>
      <c r="E10">
        <v>1</v>
      </c>
      <c r="F10">
        <v>1</v>
      </c>
      <c r="G10">
        <v>0</v>
      </c>
      <c r="H10">
        <v>0</v>
      </c>
      <c r="I10">
        <v>0</v>
      </c>
      <c r="J10">
        <v>0</v>
      </c>
    </row>
    <row r="11" spans="1:10">
      <c r="A11">
        <v>9</v>
      </c>
      <c r="B11">
        <v>3</v>
      </c>
      <c r="C11">
        <v>4</v>
      </c>
      <c r="D11">
        <v>1</v>
      </c>
      <c r="E11">
        <v>0</v>
      </c>
      <c r="F11">
        <v>1</v>
      </c>
      <c r="G11">
        <v>0</v>
      </c>
      <c r="H11">
        <v>0</v>
      </c>
      <c r="I11">
        <v>0</v>
      </c>
      <c r="J11">
        <v>1</v>
      </c>
    </row>
    <row r="12" spans="1:10">
      <c r="A12">
        <v>10</v>
      </c>
      <c r="B12">
        <v>2</v>
      </c>
      <c r="C12">
        <v>5</v>
      </c>
      <c r="D12">
        <v>1</v>
      </c>
      <c r="E12">
        <v>0</v>
      </c>
      <c r="F12">
        <v>0</v>
      </c>
      <c r="G12">
        <v>0</v>
      </c>
      <c r="H12">
        <v>0</v>
      </c>
      <c r="I12">
        <v>1</v>
      </c>
      <c r="J12">
        <v>0</v>
      </c>
    </row>
    <row r="13" spans="1:10">
      <c r="A13">
        <v>11</v>
      </c>
      <c r="B13">
        <v>4</v>
      </c>
      <c r="C13">
        <v>3</v>
      </c>
      <c r="D13">
        <v>1</v>
      </c>
      <c r="E13">
        <v>1</v>
      </c>
      <c r="F13">
        <v>0</v>
      </c>
      <c r="G13">
        <v>1</v>
      </c>
      <c r="H13">
        <v>1</v>
      </c>
      <c r="I13">
        <v>0</v>
      </c>
      <c r="J13">
        <v>0</v>
      </c>
    </row>
    <row r="14" spans="1:10">
      <c r="A14">
        <v>12</v>
      </c>
      <c r="B14">
        <v>5</v>
      </c>
      <c r="C14">
        <v>2</v>
      </c>
      <c r="D14">
        <v>0</v>
      </c>
      <c r="E14">
        <v>1</v>
      </c>
      <c r="F14">
        <v>1</v>
      </c>
      <c r="G14">
        <v>1</v>
      </c>
      <c r="H14">
        <v>1</v>
      </c>
      <c r="I14">
        <v>1</v>
      </c>
      <c r="J14">
        <v>0</v>
      </c>
    </row>
    <row r="15" spans="1:10">
      <c r="A15">
        <v>13</v>
      </c>
      <c r="B15">
        <v>5</v>
      </c>
      <c r="C15">
        <v>2</v>
      </c>
      <c r="D15">
        <v>1</v>
      </c>
      <c r="E15">
        <v>1</v>
      </c>
      <c r="F15">
        <v>1</v>
      </c>
      <c r="G15">
        <v>1</v>
      </c>
      <c r="H15">
        <v>1</v>
      </c>
      <c r="I15">
        <v>0</v>
      </c>
      <c r="J15">
        <v>0</v>
      </c>
    </row>
    <row r="16" spans="1:10">
      <c r="A16">
        <v>14</v>
      </c>
      <c r="B16">
        <v>1</v>
      </c>
      <c r="C16">
        <v>6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</row>
    <row r="17" spans="1:10">
      <c r="A17">
        <v>15</v>
      </c>
      <c r="B17">
        <v>4</v>
      </c>
      <c r="C17">
        <v>3</v>
      </c>
      <c r="D17">
        <v>1</v>
      </c>
      <c r="E17">
        <v>0</v>
      </c>
      <c r="F17">
        <v>0</v>
      </c>
      <c r="G17">
        <v>1</v>
      </c>
      <c r="H17">
        <v>1</v>
      </c>
      <c r="I17">
        <v>1</v>
      </c>
      <c r="J17">
        <v>0</v>
      </c>
    </row>
    <row r="18" spans="1:10">
      <c r="A18">
        <v>16</v>
      </c>
      <c r="B18">
        <v>0</v>
      </c>
      <c r="C18">
        <v>7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</row>
    <row r="19" spans="1:10">
      <c r="A19">
        <v>17</v>
      </c>
      <c r="B19">
        <v>1</v>
      </c>
      <c r="C19">
        <v>6</v>
      </c>
      <c r="D19">
        <v>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</row>
    <row r="20" spans="1:10">
      <c r="A20">
        <v>18</v>
      </c>
      <c r="B20">
        <v>2</v>
      </c>
      <c r="C20">
        <v>5</v>
      </c>
      <c r="D20">
        <v>1</v>
      </c>
      <c r="E20">
        <v>0</v>
      </c>
      <c r="F20">
        <v>0</v>
      </c>
      <c r="G20">
        <v>0</v>
      </c>
      <c r="H20">
        <v>0</v>
      </c>
      <c r="I20">
        <v>1</v>
      </c>
      <c r="J20">
        <v>0</v>
      </c>
    </row>
    <row r="21" spans="1:10">
      <c r="A21">
        <v>19</v>
      </c>
      <c r="B21">
        <v>2</v>
      </c>
      <c r="C21">
        <v>5</v>
      </c>
      <c r="D21">
        <v>0</v>
      </c>
      <c r="E21">
        <v>1</v>
      </c>
      <c r="F21">
        <v>0</v>
      </c>
      <c r="G21">
        <v>1</v>
      </c>
      <c r="H21">
        <v>0</v>
      </c>
      <c r="I21">
        <v>0</v>
      </c>
      <c r="J21">
        <v>0</v>
      </c>
    </row>
    <row r="22" spans="1:10">
      <c r="A22">
        <v>20</v>
      </c>
      <c r="B22">
        <v>6</v>
      </c>
      <c r="C22">
        <v>1</v>
      </c>
      <c r="D22">
        <v>1</v>
      </c>
      <c r="E22">
        <v>0</v>
      </c>
      <c r="F22">
        <v>1</v>
      </c>
      <c r="G22">
        <v>1</v>
      </c>
      <c r="H22">
        <v>1</v>
      </c>
      <c r="I22">
        <v>1</v>
      </c>
      <c r="J22">
        <v>1</v>
      </c>
    </row>
    <row r="23" spans="1:10">
      <c r="A23">
        <v>21</v>
      </c>
      <c r="B23">
        <v>5</v>
      </c>
      <c r="C23">
        <v>2</v>
      </c>
      <c r="D23">
        <v>1</v>
      </c>
      <c r="E23">
        <v>1</v>
      </c>
      <c r="F23">
        <v>0</v>
      </c>
      <c r="G23">
        <v>1</v>
      </c>
      <c r="H23">
        <v>1</v>
      </c>
      <c r="I23">
        <v>1</v>
      </c>
      <c r="J23">
        <v>0</v>
      </c>
    </row>
    <row r="24" spans="1:10">
      <c r="A24">
        <v>22</v>
      </c>
      <c r="B24">
        <v>2</v>
      </c>
      <c r="C24">
        <v>5</v>
      </c>
      <c r="D24">
        <v>1</v>
      </c>
      <c r="E24">
        <v>0</v>
      </c>
      <c r="F24">
        <v>0</v>
      </c>
      <c r="G24">
        <v>0</v>
      </c>
      <c r="H24">
        <v>0</v>
      </c>
      <c r="I24">
        <v>0</v>
      </c>
      <c r="J24">
        <v>1</v>
      </c>
    </row>
    <row r="25" spans="1:10">
      <c r="A25">
        <v>23</v>
      </c>
      <c r="B25">
        <v>4</v>
      </c>
      <c r="C25">
        <v>3</v>
      </c>
      <c r="D25">
        <v>1</v>
      </c>
      <c r="E25">
        <v>1</v>
      </c>
      <c r="F25">
        <v>0</v>
      </c>
      <c r="G25">
        <v>0</v>
      </c>
      <c r="H25">
        <v>1</v>
      </c>
      <c r="I25">
        <v>1</v>
      </c>
      <c r="J25">
        <v>0</v>
      </c>
    </row>
    <row r="26" spans="1:10">
      <c r="A26">
        <v>24</v>
      </c>
      <c r="B26">
        <v>1</v>
      </c>
      <c r="C26">
        <v>6</v>
      </c>
      <c r="D26">
        <v>1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>
      <c r="A27">
        <v>25</v>
      </c>
      <c r="B27">
        <v>3</v>
      </c>
      <c r="C27">
        <v>4</v>
      </c>
      <c r="D27">
        <v>1</v>
      </c>
      <c r="E27">
        <v>0</v>
      </c>
      <c r="F27">
        <v>1</v>
      </c>
      <c r="G27">
        <v>0</v>
      </c>
      <c r="H27">
        <v>0</v>
      </c>
      <c r="I27">
        <v>1</v>
      </c>
      <c r="J2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0"/>
  <sheetViews>
    <sheetView workbookViewId="0">
      <selection activeCell="C20" sqref="C20:D20"/>
    </sheetView>
  </sheetViews>
  <sheetFormatPr defaultRowHeight="15"/>
  <cols>
    <col min="4" max="4" width="11.85546875" customWidth="1"/>
  </cols>
  <sheetData>
    <row r="1" spans="1:10">
      <c r="A1" s="126" t="s">
        <v>72</v>
      </c>
      <c r="B1" s="126"/>
      <c r="C1" s="126"/>
      <c r="D1" s="126"/>
      <c r="E1" s="126"/>
      <c r="F1" s="126"/>
      <c r="G1" s="126"/>
      <c r="H1" s="126"/>
      <c r="I1" s="126"/>
      <c r="J1" s="126"/>
    </row>
    <row r="2" spans="1:10">
      <c r="A2" s="124" t="s">
        <v>73</v>
      </c>
      <c r="B2" s="124"/>
      <c r="C2" s="124" t="s">
        <v>74</v>
      </c>
      <c r="D2" s="124"/>
    </row>
    <row r="3" spans="1:10">
      <c r="A3" s="124" t="s">
        <v>75</v>
      </c>
      <c r="B3" s="124"/>
      <c r="C3" s="123">
        <f>Franquia!C5</f>
        <v>330000000</v>
      </c>
      <c r="D3" s="123"/>
    </row>
    <row r="4" spans="1:10">
      <c r="A4" s="124" t="s">
        <v>76</v>
      </c>
      <c r="B4" s="124"/>
      <c r="C4" s="123">
        <f>'CUSTO ARMAZÉM'!D19</f>
        <v>1575000</v>
      </c>
      <c r="D4" s="123"/>
    </row>
    <row r="5" spans="1:10">
      <c r="A5" s="124"/>
      <c r="B5" s="124"/>
      <c r="C5" s="123">
        <f>SUM(C3:C4)</f>
        <v>331575000</v>
      </c>
      <c r="D5" s="123"/>
    </row>
    <row r="6" spans="1:10">
      <c r="A6" s="127"/>
      <c r="B6" s="128"/>
      <c r="C6" s="128"/>
      <c r="D6" s="129"/>
    </row>
    <row r="7" spans="1:10">
      <c r="A7" s="124" t="s">
        <v>77</v>
      </c>
      <c r="B7" s="124"/>
      <c r="C7" s="123">
        <f>'planejamento mensal'!V8</f>
        <v>65829593.938000008</v>
      </c>
      <c r="D7" s="124"/>
    </row>
    <row r="8" spans="1:10">
      <c r="A8" s="124" t="s">
        <v>78</v>
      </c>
      <c r="B8" s="124"/>
      <c r="C8" s="123">
        <f>'planejamento mensal'!V17</f>
        <v>74016913.277999967</v>
      </c>
      <c r="D8" s="124"/>
    </row>
    <row r="9" spans="1:10">
      <c r="A9" s="124" t="s">
        <v>79</v>
      </c>
      <c r="B9" s="124"/>
      <c r="C9" s="123">
        <f>'planejamento mensal'!V26</f>
        <v>69783198.491999969</v>
      </c>
      <c r="D9" s="124"/>
    </row>
    <row r="10" spans="1:10">
      <c r="A10" s="124" t="s">
        <v>80</v>
      </c>
      <c r="B10" s="124"/>
      <c r="C10" s="123">
        <f>'planejamento mensal'!V34</f>
        <v>73507270.098000005</v>
      </c>
      <c r="D10" s="124"/>
    </row>
    <row r="11" spans="1:10">
      <c r="A11" s="124" t="s">
        <v>81</v>
      </c>
      <c r="B11" s="124"/>
      <c r="C11" s="123">
        <f>'planejamento mensal'!V43</f>
        <v>81123203.178000003</v>
      </c>
      <c r="D11" s="124"/>
    </row>
    <row r="12" spans="1:10">
      <c r="A12" s="124" t="s">
        <v>82</v>
      </c>
      <c r="B12" s="124"/>
      <c r="C12" s="123">
        <f>'planejamento mensal'!V52</f>
        <v>84982102.231999993</v>
      </c>
      <c r="D12" s="124"/>
    </row>
    <row r="13" spans="1:10">
      <c r="A13" s="124" t="s">
        <v>83</v>
      </c>
      <c r="B13" s="124"/>
      <c r="C13" s="123">
        <f>'planejamento mensal'!V61</f>
        <v>88457872.44600004</v>
      </c>
      <c r="D13" s="124"/>
    </row>
    <row r="14" spans="1:10">
      <c r="A14" s="124" t="s">
        <v>84</v>
      </c>
      <c r="B14" s="124"/>
      <c r="C14" s="123">
        <f>'planejamento mensal'!V69</f>
        <v>93814965.246000037</v>
      </c>
      <c r="D14" s="124"/>
    </row>
    <row r="15" spans="1:10">
      <c r="A15" s="124" t="s">
        <v>85</v>
      </c>
      <c r="B15" s="124"/>
      <c r="C15" s="123">
        <f>'planejamento mensal'!V78</f>
        <v>95358813.322000027</v>
      </c>
      <c r="D15" s="124"/>
    </row>
    <row r="16" spans="1:10">
      <c r="A16" s="124" t="s">
        <v>86</v>
      </c>
      <c r="B16" s="124"/>
      <c r="C16" s="123">
        <f>'planejamento mensal'!V87</f>
        <v>93692407.951999992</v>
      </c>
      <c r="D16" s="124"/>
    </row>
    <row r="17" spans="1:4">
      <c r="A17" s="124" t="s">
        <v>87</v>
      </c>
      <c r="B17" s="124"/>
      <c r="C17" s="123">
        <f>'planejamento mensal'!V96</f>
        <v>116795632.44999997</v>
      </c>
      <c r="D17" s="124"/>
    </row>
    <row r="18" spans="1:4">
      <c r="A18" s="124" t="s">
        <v>88</v>
      </c>
      <c r="B18" s="124"/>
      <c r="C18" s="123">
        <f>'planejamento mensal'!V105</f>
        <v>114760658.528</v>
      </c>
      <c r="D18" s="124"/>
    </row>
    <row r="19" spans="1:4">
      <c r="A19" s="124" t="s">
        <v>89</v>
      </c>
      <c r="B19" s="124"/>
      <c r="C19" s="123">
        <f>SUM(C7:D18)</f>
        <v>1052122631.16</v>
      </c>
      <c r="D19" s="124"/>
    </row>
    <row r="20" spans="1:4">
      <c r="C20" s="125">
        <f>C19-C5</f>
        <v>720547631.15999997</v>
      </c>
      <c r="D20" s="126"/>
    </row>
  </sheetData>
  <mergeCells count="37">
    <mergeCell ref="A1:J1"/>
    <mergeCell ref="A8:B8"/>
    <mergeCell ref="A9:B9"/>
    <mergeCell ref="A7:B7"/>
    <mergeCell ref="A2:B2"/>
    <mergeCell ref="C2:D2"/>
    <mergeCell ref="A3:B3"/>
    <mergeCell ref="C3:D3"/>
    <mergeCell ref="A4:B4"/>
    <mergeCell ref="C4:D4"/>
    <mergeCell ref="A5:B5"/>
    <mergeCell ref="C5:D5"/>
    <mergeCell ref="A6:D6"/>
    <mergeCell ref="A10:B10"/>
    <mergeCell ref="A11:B11"/>
    <mergeCell ref="A12:B12"/>
    <mergeCell ref="C7:D7"/>
    <mergeCell ref="C8:D8"/>
    <mergeCell ref="C9:D9"/>
    <mergeCell ref="C10:D10"/>
    <mergeCell ref="C11:D11"/>
    <mergeCell ref="C18:D18"/>
    <mergeCell ref="A19:B19"/>
    <mergeCell ref="C19:D19"/>
    <mergeCell ref="C20:D20"/>
    <mergeCell ref="C12:D12"/>
    <mergeCell ref="C13:D13"/>
    <mergeCell ref="C14:D14"/>
    <mergeCell ref="C15:D15"/>
    <mergeCell ref="C16:D16"/>
    <mergeCell ref="C17:D17"/>
    <mergeCell ref="A14:B14"/>
    <mergeCell ref="A15:B15"/>
    <mergeCell ref="A16:B16"/>
    <mergeCell ref="A17:B17"/>
    <mergeCell ref="A18:B18"/>
    <mergeCell ref="A13:B13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114"/>
  <sheetViews>
    <sheetView tabSelected="1" topLeftCell="J1" zoomScale="85" zoomScaleNormal="85" workbookViewId="0">
      <selection activeCell="W28" sqref="W28"/>
    </sheetView>
  </sheetViews>
  <sheetFormatPr defaultRowHeight="15"/>
  <cols>
    <col min="2" max="2" width="19.42578125" customWidth="1"/>
    <col min="3" max="3" width="15.5703125" customWidth="1"/>
    <col min="4" max="4" width="14.7109375" customWidth="1"/>
    <col min="5" max="5" width="18.5703125" customWidth="1"/>
    <col min="6" max="6" width="32.28515625" customWidth="1"/>
    <col min="7" max="7" width="20" bestFit="1" customWidth="1"/>
    <col min="8" max="8" width="38" customWidth="1"/>
    <col min="9" max="9" width="33.85546875" customWidth="1"/>
    <col min="10" max="10" width="26.85546875" customWidth="1"/>
    <col min="11" max="11" width="12.140625" customWidth="1"/>
    <col min="12" max="12" width="30.42578125" customWidth="1"/>
    <col min="13" max="13" width="17.42578125" bestFit="1" customWidth="1"/>
    <col min="14" max="14" width="17.42578125" customWidth="1"/>
    <col min="15" max="15" width="25.85546875" bestFit="1" customWidth="1"/>
    <col min="16" max="16" width="19.5703125" bestFit="1" customWidth="1"/>
    <col min="17" max="17" width="18" bestFit="1" customWidth="1"/>
    <col min="18" max="18" width="31.28515625" bestFit="1" customWidth="1"/>
    <col min="19" max="19" width="10.85546875" customWidth="1"/>
    <col min="20" max="20" width="33.140625" bestFit="1" customWidth="1"/>
    <col min="21" max="21" width="19.5703125" customWidth="1"/>
    <col min="22" max="22" width="20.7109375" customWidth="1"/>
  </cols>
  <sheetData>
    <row r="1" spans="1:22">
      <c r="A1" s="140" t="s">
        <v>48</v>
      </c>
      <c r="B1" s="126"/>
      <c r="C1" s="126"/>
      <c r="D1" s="126"/>
      <c r="E1" s="126"/>
      <c r="F1" s="126"/>
      <c r="G1" s="126"/>
      <c r="H1" s="126"/>
      <c r="I1" s="126"/>
      <c r="J1" s="126"/>
      <c r="K1" s="126"/>
      <c r="L1" s="126"/>
      <c r="M1" s="126"/>
      <c r="N1" s="126"/>
      <c r="O1" s="126"/>
      <c r="P1" s="126"/>
      <c r="Q1" s="126"/>
      <c r="R1" s="126"/>
      <c r="S1" s="126"/>
      <c r="T1" s="126"/>
      <c r="U1" s="126"/>
      <c r="V1" s="126"/>
    </row>
    <row r="2" spans="1:22">
      <c r="A2" s="124" t="s">
        <v>90</v>
      </c>
      <c r="B2" s="124"/>
      <c r="C2" s="124" t="s">
        <v>91</v>
      </c>
      <c r="D2" s="124"/>
      <c r="E2" s="94" t="s">
        <v>92</v>
      </c>
      <c r="F2" s="34" t="s">
        <v>93</v>
      </c>
      <c r="G2" s="94" t="s">
        <v>94</v>
      </c>
      <c r="H2" s="34" t="s">
        <v>95</v>
      </c>
      <c r="I2" s="34" t="s">
        <v>96</v>
      </c>
      <c r="J2" s="34" t="s">
        <v>97</v>
      </c>
      <c r="K2" s="34" t="s">
        <v>98</v>
      </c>
      <c r="L2" s="34" t="s">
        <v>99</v>
      </c>
      <c r="M2" s="34" t="s">
        <v>100</v>
      </c>
      <c r="N2" s="34" t="s">
        <v>101</v>
      </c>
      <c r="O2" s="34" t="s">
        <v>102</v>
      </c>
      <c r="P2" s="34" t="s">
        <v>100</v>
      </c>
      <c r="Q2" s="34" t="s">
        <v>103</v>
      </c>
      <c r="R2" s="111" t="s">
        <v>104</v>
      </c>
      <c r="S2" s="94" t="s">
        <v>105</v>
      </c>
      <c r="T2" s="113" t="s">
        <v>106</v>
      </c>
      <c r="U2" s="34" t="s">
        <v>107</v>
      </c>
      <c r="V2" s="110" t="s">
        <v>108</v>
      </c>
    </row>
    <row r="3" spans="1:22">
      <c r="A3" s="130" t="s">
        <v>11</v>
      </c>
      <c r="B3" s="130"/>
      <c r="C3" s="131">
        <v>6159.96</v>
      </c>
      <c r="D3" s="131"/>
      <c r="E3" s="95">
        <f>C3*40%</f>
        <v>2463.9840000000004</v>
      </c>
      <c r="F3" s="33">
        <f>C3+E3</f>
        <v>8623.9439999999995</v>
      </c>
      <c r="G3" s="95">
        <v>233.77</v>
      </c>
      <c r="H3" s="97">
        <f>F3+G3</f>
        <v>8857.7139999999999</v>
      </c>
      <c r="I3" s="97">
        <v>0.92</v>
      </c>
      <c r="J3" s="97">
        <v>8.7100000000000009</v>
      </c>
      <c r="K3" s="98">
        <v>5.6</v>
      </c>
      <c r="L3" s="98">
        <f>SUM(H3:K3)</f>
        <v>8872.9439999999995</v>
      </c>
      <c r="M3" s="97">
        <f>N3-L3</f>
        <v>2803.7260000000006</v>
      </c>
      <c r="N3" s="33">
        <f>11846.67-170</f>
        <v>11676.67</v>
      </c>
      <c r="O3" s="109">
        <v>219.9</v>
      </c>
      <c r="P3" s="33">
        <f>M3+O3</f>
        <v>3023.6260000000007</v>
      </c>
      <c r="Q3" s="101">
        <v>9858</v>
      </c>
      <c r="R3" s="112">
        <f>L3*Q3</f>
        <v>87469481.951999992</v>
      </c>
      <c r="S3" s="102">
        <v>9858</v>
      </c>
      <c r="T3" s="114">
        <f>S3*N3</f>
        <v>115108612.86</v>
      </c>
      <c r="U3" s="97">
        <f>S3*O3</f>
        <v>2167774.2000000002</v>
      </c>
    </row>
    <row r="4" spans="1:22">
      <c r="A4" s="130" t="s">
        <v>15</v>
      </c>
      <c r="B4" s="130"/>
      <c r="C4" s="131">
        <v>2789.26</v>
      </c>
      <c r="D4" s="131"/>
      <c r="E4" s="95">
        <f>C4*30%</f>
        <v>836.77800000000002</v>
      </c>
      <c r="F4" s="33">
        <f t="shared" ref="F4:F6" si="0">C4+E4</f>
        <v>3626.0380000000005</v>
      </c>
      <c r="G4" s="95">
        <v>233.77</v>
      </c>
      <c r="H4" s="97">
        <f t="shared" ref="H4:H6" si="1">F4+G4</f>
        <v>3859.8080000000004</v>
      </c>
      <c r="I4" s="97">
        <v>0.92</v>
      </c>
      <c r="J4" s="97">
        <v>8.7100000000000009</v>
      </c>
      <c r="K4" s="98">
        <v>5.6</v>
      </c>
      <c r="L4" s="98">
        <f t="shared" ref="L4:L6" si="2">SUM(H4:K4)</f>
        <v>3875.0380000000005</v>
      </c>
      <c r="M4" s="97">
        <f t="shared" ref="M4:M6" si="3">N4-L4</f>
        <v>3303.2919999999995</v>
      </c>
      <c r="N4" s="33">
        <f>7459.33-281</f>
        <v>7178.33</v>
      </c>
      <c r="O4" s="109">
        <v>149.9</v>
      </c>
      <c r="P4" s="33">
        <f t="shared" ref="P4:P5" si="4">M4+O4</f>
        <v>3453.1919999999996</v>
      </c>
      <c r="Q4" s="34">
        <v>8267</v>
      </c>
      <c r="R4" s="112">
        <f t="shared" ref="R4:R6" si="5">L4*Q4</f>
        <v>32034939.146000005</v>
      </c>
      <c r="S4" s="102">
        <v>8267</v>
      </c>
      <c r="T4" s="114">
        <f t="shared" ref="T4:T6" si="6">S4*N4</f>
        <v>59343254.109999999</v>
      </c>
      <c r="U4" s="97">
        <f t="shared" ref="U4:U6" si="7">S4*O4</f>
        <v>1239223.3</v>
      </c>
    </row>
    <row r="5" spans="1:22">
      <c r="A5" s="141" t="s">
        <v>18</v>
      </c>
      <c r="B5" s="141"/>
      <c r="C5" s="142">
        <v>891</v>
      </c>
      <c r="D5" s="142"/>
      <c r="E5" s="95">
        <f>C5*40%</f>
        <v>356.40000000000003</v>
      </c>
      <c r="F5" s="33">
        <f t="shared" si="0"/>
        <v>1247.4000000000001</v>
      </c>
      <c r="G5" s="95">
        <v>233.77</v>
      </c>
      <c r="H5" s="97">
        <f t="shared" si="1"/>
        <v>1481.17</v>
      </c>
      <c r="I5" s="97">
        <v>0.92</v>
      </c>
      <c r="J5" s="97">
        <v>8.7100000000000009</v>
      </c>
      <c r="K5" s="98">
        <v>5.6</v>
      </c>
      <c r="L5" s="98">
        <f t="shared" si="2"/>
        <v>1496.4</v>
      </c>
      <c r="M5" s="97">
        <f t="shared" si="3"/>
        <v>303.58999999999992</v>
      </c>
      <c r="N5" s="33">
        <f>1517.5+282.49</f>
        <v>1799.99</v>
      </c>
      <c r="O5" s="109">
        <v>99.9</v>
      </c>
      <c r="P5" s="33">
        <f t="shared" si="4"/>
        <v>403.4899999999999</v>
      </c>
      <c r="Q5" s="34">
        <v>14079</v>
      </c>
      <c r="R5" s="112">
        <f t="shared" si="5"/>
        <v>21067815.600000001</v>
      </c>
      <c r="S5" s="102">
        <v>14079</v>
      </c>
      <c r="T5" s="114">
        <f t="shared" si="6"/>
        <v>25342059.210000001</v>
      </c>
      <c r="U5" s="97">
        <f t="shared" si="7"/>
        <v>1406492.1</v>
      </c>
    </row>
    <row r="6" spans="1:22">
      <c r="A6" s="130" t="s">
        <v>21</v>
      </c>
      <c r="B6" s="130"/>
      <c r="C6" s="131">
        <v>491.26</v>
      </c>
      <c r="D6" s="131"/>
      <c r="E6" s="95">
        <f>C6*30%</f>
        <v>147.37799999999999</v>
      </c>
      <c r="F6" s="33">
        <f t="shared" si="0"/>
        <v>638.63799999999992</v>
      </c>
      <c r="G6" s="95">
        <v>233.77</v>
      </c>
      <c r="H6" s="97">
        <f t="shared" si="1"/>
        <v>872.4079999999999</v>
      </c>
      <c r="I6" s="97">
        <v>0.92</v>
      </c>
      <c r="J6" s="97">
        <v>8.7100000000000009</v>
      </c>
      <c r="K6" s="98">
        <v>5.6</v>
      </c>
      <c r="L6" s="98">
        <f t="shared" si="2"/>
        <v>887.63799999999992</v>
      </c>
      <c r="M6" s="97">
        <f t="shared" si="3"/>
        <v>62.352000000000089</v>
      </c>
      <c r="N6" s="97">
        <f>796.02+153.97</f>
        <v>949.99</v>
      </c>
      <c r="O6" s="109">
        <v>59.9</v>
      </c>
      <c r="P6" s="33">
        <f>M6+O6</f>
        <v>122.25200000000009</v>
      </c>
      <c r="Q6" s="34">
        <v>14678</v>
      </c>
      <c r="R6" s="112">
        <f t="shared" si="5"/>
        <v>13028750.563999999</v>
      </c>
      <c r="S6" s="102">
        <v>14678</v>
      </c>
      <c r="T6" s="114">
        <f t="shared" si="6"/>
        <v>13943953.220000001</v>
      </c>
      <c r="U6" s="97">
        <f t="shared" si="7"/>
        <v>879212.2</v>
      </c>
    </row>
    <row r="7" spans="1:22">
      <c r="A7" s="34"/>
      <c r="B7" s="34"/>
      <c r="C7" s="34"/>
      <c r="D7" s="34"/>
      <c r="E7" s="34"/>
      <c r="F7" s="33">
        <f>SUM(F3:F6)</f>
        <v>14136.02</v>
      </c>
      <c r="G7" s="33">
        <f>SUM(G3:G6)</f>
        <v>935.08</v>
      </c>
      <c r="H7" s="34"/>
      <c r="I7" s="33">
        <f>SUM(I3:I6)</f>
        <v>3.68</v>
      </c>
      <c r="J7" s="33">
        <f>SUM(J3:J6)</f>
        <v>34.840000000000003</v>
      </c>
      <c r="K7" s="33">
        <f>SUM(K3:K6)</f>
        <v>22.4</v>
      </c>
      <c r="L7" s="33">
        <f>SUM(L3:L6)</f>
        <v>15132.02</v>
      </c>
      <c r="M7" s="34"/>
      <c r="N7" s="34"/>
      <c r="O7" s="34"/>
      <c r="P7" s="34"/>
      <c r="Q7" s="34">
        <f>SUM(Q3:Q6)</f>
        <v>46882</v>
      </c>
      <c r="R7" s="112">
        <f>SUM(R3:R6)</f>
        <v>153600987.26199999</v>
      </c>
      <c r="S7" s="34"/>
      <c r="T7" s="114">
        <f>SUM(T3:T6)</f>
        <v>213737879.40000001</v>
      </c>
      <c r="U7" s="33">
        <f>SUM(U3:U6)</f>
        <v>5692701.7999999998</v>
      </c>
    </row>
    <row r="8" spans="1:22">
      <c r="P8" t="s">
        <v>109</v>
      </c>
      <c r="Q8" s="35">
        <f>Q7*L7</f>
        <v>709419361.63999999</v>
      </c>
      <c r="T8" s="115">
        <f>T7-R7</f>
        <v>60136892.138000011</v>
      </c>
      <c r="U8" s="35"/>
      <c r="V8" s="116">
        <f>T8+U7</f>
        <v>65829593.938000008</v>
      </c>
    </row>
    <row r="10" spans="1:22">
      <c r="A10" s="140" t="s">
        <v>78</v>
      </c>
      <c r="B10" s="126"/>
      <c r="C10" s="126"/>
      <c r="D10" s="126"/>
      <c r="E10" s="126"/>
      <c r="F10" s="126"/>
      <c r="G10" s="126"/>
      <c r="H10" s="126"/>
      <c r="I10" s="126"/>
      <c r="J10" s="126"/>
      <c r="K10" s="126"/>
      <c r="L10" s="126"/>
      <c r="M10" s="126"/>
      <c r="N10" s="126"/>
      <c r="O10" s="126"/>
      <c r="P10" s="126"/>
      <c r="Q10" s="126"/>
      <c r="R10" s="126"/>
      <c r="S10" s="126"/>
      <c r="T10" s="126"/>
      <c r="U10" s="126"/>
      <c r="V10" s="126"/>
    </row>
    <row r="11" spans="1:22">
      <c r="A11" s="124" t="s">
        <v>90</v>
      </c>
      <c r="B11" s="124"/>
      <c r="C11" s="124" t="s">
        <v>91</v>
      </c>
      <c r="D11" s="124"/>
      <c r="E11" s="94" t="s">
        <v>92</v>
      </c>
      <c r="F11" s="34" t="s">
        <v>93</v>
      </c>
      <c r="G11" s="94" t="s">
        <v>94</v>
      </c>
      <c r="H11" s="34" t="s">
        <v>95</v>
      </c>
      <c r="I11" s="34" t="s">
        <v>96</v>
      </c>
      <c r="J11" s="34" t="s">
        <v>97</v>
      </c>
      <c r="K11" s="34" t="s">
        <v>98</v>
      </c>
      <c r="L11" s="34" t="s">
        <v>99</v>
      </c>
      <c r="M11" s="34" t="s">
        <v>100</v>
      </c>
      <c r="N11" s="34" t="s">
        <v>101</v>
      </c>
      <c r="O11" s="34" t="s">
        <v>102</v>
      </c>
      <c r="P11" s="34" t="s">
        <v>100</v>
      </c>
      <c r="Q11" s="34" t="s">
        <v>103</v>
      </c>
      <c r="R11" s="111" t="s">
        <v>104</v>
      </c>
      <c r="S11" s="94" t="s">
        <v>105</v>
      </c>
      <c r="T11" s="117" t="s">
        <v>106</v>
      </c>
      <c r="U11" s="34" t="s">
        <v>107</v>
      </c>
      <c r="V11" s="110" t="s">
        <v>110</v>
      </c>
    </row>
    <row r="12" spans="1:22">
      <c r="A12" s="132" t="s">
        <v>11</v>
      </c>
      <c r="B12" s="133"/>
      <c r="C12" s="134">
        <v>6159.96</v>
      </c>
      <c r="D12" s="135"/>
      <c r="E12" s="95">
        <f>C12*40%</f>
        <v>2463.9840000000004</v>
      </c>
      <c r="F12" s="33">
        <f>C12+E12</f>
        <v>8623.9439999999995</v>
      </c>
      <c r="G12" s="95">
        <v>233.77</v>
      </c>
      <c r="H12" s="97">
        <f>F12+G12</f>
        <v>8857.7139999999999</v>
      </c>
      <c r="I12" s="97">
        <v>0.92</v>
      </c>
      <c r="J12" s="97">
        <v>8.7100000000000009</v>
      </c>
      <c r="K12" s="98">
        <v>5.6</v>
      </c>
      <c r="L12" s="98">
        <f>SUM(H12:K12)</f>
        <v>8872.9439999999995</v>
      </c>
      <c r="M12" s="97">
        <f>N12-L12</f>
        <v>2803.7260000000006</v>
      </c>
      <c r="N12" s="33">
        <f>11846.67-170</f>
        <v>11676.67</v>
      </c>
      <c r="O12" s="109">
        <v>219.9</v>
      </c>
      <c r="P12" s="33">
        <f>M12+O12</f>
        <v>3023.6260000000007</v>
      </c>
      <c r="Q12" s="99">
        <v>8513</v>
      </c>
      <c r="R12" s="112">
        <f>L12*Q12</f>
        <v>75535372.272</v>
      </c>
      <c r="S12" s="99">
        <v>8513</v>
      </c>
      <c r="T12" s="118">
        <f>S12*N12</f>
        <v>99403491.709999993</v>
      </c>
      <c r="U12" s="33">
        <f>(S12+S3)*O12</f>
        <v>4039782.9</v>
      </c>
    </row>
    <row r="13" spans="1:22">
      <c r="A13" s="132" t="s">
        <v>15</v>
      </c>
      <c r="B13" s="133"/>
      <c r="C13" s="134">
        <v>2789.26</v>
      </c>
      <c r="D13" s="135"/>
      <c r="E13" s="95">
        <f>C13*30%</f>
        <v>836.77800000000002</v>
      </c>
      <c r="F13" s="33">
        <f t="shared" ref="F13:F15" si="8">C13+E13</f>
        <v>3626.0380000000005</v>
      </c>
      <c r="G13" s="95">
        <v>233.77</v>
      </c>
      <c r="H13" s="97">
        <f t="shared" ref="H13:H15" si="9">F13+G13</f>
        <v>3859.8080000000004</v>
      </c>
      <c r="I13" s="97">
        <v>0.92</v>
      </c>
      <c r="J13" s="97">
        <v>8.7100000000000009</v>
      </c>
      <c r="K13" s="98">
        <v>5.6</v>
      </c>
      <c r="L13" s="98">
        <f t="shared" ref="L13:L15" si="10">SUM(H13:K13)</f>
        <v>3875.0380000000005</v>
      </c>
      <c r="M13" s="97">
        <f>N13-L13</f>
        <v>3303.2919999999995</v>
      </c>
      <c r="N13" s="33">
        <f>7459.33-281</f>
        <v>7178.33</v>
      </c>
      <c r="O13" s="109">
        <v>149.9</v>
      </c>
      <c r="P13" s="33">
        <f t="shared" ref="P13:P15" si="11">M13+O13</f>
        <v>3453.1919999999996</v>
      </c>
      <c r="Q13" s="99">
        <v>7232</v>
      </c>
      <c r="R13" s="112">
        <f t="shared" ref="R13:R15" si="12">L13*Q13</f>
        <v>28024274.816000003</v>
      </c>
      <c r="S13" s="99">
        <v>7232</v>
      </c>
      <c r="T13" s="118">
        <f>S13*N13</f>
        <v>51913682.560000002</v>
      </c>
      <c r="U13" s="33">
        <f t="shared" ref="U13:U15" si="13">(S13+S4)*O13</f>
        <v>2323300.1</v>
      </c>
    </row>
    <row r="14" spans="1:22" ht="15" customHeight="1">
      <c r="A14" s="136" t="s">
        <v>18</v>
      </c>
      <c r="B14" s="137"/>
      <c r="C14" s="138">
        <v>891</v>
      </c>
      <c r="D14" s="139"/>
      <c r="E14" s="95">
        <f>C14*40%</f>
        <v>356.40000000000003</v>
      </c>
      <c r="F14" s="33">
        <f t="shared" si="8"/>
        <v>1247.4000000000001</v>
      </c>
      <c r="G14" s="95">
        <v>233.77</v>
      </c>
      <c r="H14" s="97">
        <f t="shared" si="9"/>
        <v>1481.17</v>
      </c>
      <c r="I14" s="97">
        <v>0.92</v>
      </c>
      <c r="J14" s="97">
        <v>8.7100000000000009</v>
      </c>
      <c r="K14" s="98">
        <v>5.6</v>
      </c>
      <c r="L14" s="98">
        <f t="shared" si="10"/>
        <v>1496.4</v>
      </c>
      <c r="M14" s="97">
        <f>N14-L14</f>
        <v>303.58999999999992</v>
      </c>
      <c r="N14" s="33">
        <f>1517.5+282.49</f>
        <v>1799.99</v>
      </c>
      <c r="O14" s="109">
        <v>99.9</v>
      </c>
      <c r="P14" s="33">
        <f t="shared" si="11"/>
        <v>403.4899999999999</v>
      </c>
      <c r="Q14" s="99">
        <v>12868</v>
      </c>
      <c r="R14" s="112">
        <f t="shared" si="12"/>
        <v>19255675.200000003</v>
      </c>
      <c r="S14" s="99">
        <v>12868</v>
      </c>
      <c r="T14" s="118">
        <f>S14*N14</f>
        <v>23162271.32</v>
      </c>
      <c r="U14" s="33">
        <f t="shared" si="13"/>
        <v>2692005.3000000003</v>
      </c>
    </row>
    <row r="15" spans="1:22">
      <c r="A15" s="132" t="s">
        <v>21</v>
      </c>
      <c r="B15" s="133"/>
      <c r="C15" s="134">
        <v>491.26</v>
      </c>
      <c r="D15" s="135"/>
      <c r="E15" s="95">
        <f>C15*30%</f>
        <v>147.37799999999999</v>
      </c>
      <c r="F15" s="33">
        <f t="shared" si="8"/>
        <v>638.63799999999992</v>
      </c>
      <c r="G15" s="95">
        <v>233.77</v>
      </c>
      <c r="H15" s="97">
        <f t="shared" si="9"/>
        <v>872.4079999999999</v>
      </c>
      <c r="I15" s="97">
        <v>0.92</v>
      </c>
      <c r="J15" s="97">
        <v>8.7100000000000009</v>
      </c>
      <c r="K15" s="98">
        <v>5.6</v>
      </c>
      <c r="L15" s="98">
        <f t="shared" si="10"/>
        <v>887.63799999999992</v>
      </c>
      <c r="M15" s="97">
        <f>N15-L15</f>
        <v>62.352000000000089</v>
      </c>
      <c r="N15" s="97">
        <f>796.02+153.97</f>
        <v>949.99</v>
      </c>
      <c r="O15" s="109">
        <v>59.9</v>
      </c>
      <c r="P15" s="33">
        <f t="shared" si="11"/>
        <v>122.25200000000009</v>
      </c>
      <c r="Q15" s="99">
        <v>13638</v>
      </c>
      <c r="R15" s="112">
        <f t="shared" si="12"/>
        <v>12105607.044</v>
      </c>
      <c r="S15" s="99">
        <v>13638</v>
      </c>
      <c r="T15" s="118">
        <f>S15*N15</f>
        <v>12955963.620000001</v>
      </c>
      <c r="U15" s="33">
        <f t="shared" si="13"/>
        <v>1696128.4</v>
      </c>
    </row>
    <row r="16" spans="1:22">
      <c r="A16" s="34"/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3">
        <f>SUM(L12:L15)</f>
        <v>15132.02</v>
      </c>
      <c r="M16" s="34"/>
      <c r="N16" s="34"/>
      <c r="O16" s="34"/>
      <c r="P16" s="33">
        <f>SUM(P12:P15)</f>
        <v>7002.56</v>
      </c>
      <c r="Q16" s="34">
        <f>SUM(Q12:Q15)</f>
        <v>42251</v>
      </c>
      <c r="R16" s="112">
        <f>SUM(R12:R15)</f>
        <v>134920929.33200002</v>
      </c>
      <c r="S16" s="34"/>
      <c r="T16" s="118">
        <f>SUM(T12:T15)</f>
        <v>187435409.20999998</v>
      </c>
      <c r="U16" s="33">
        <f>SUM(U12:U15)</f>
        <v>10751216.700000001</v>
      </c>
    </row>
    <row r="17" spans="1:22">
      <c r="P17" t="s">
        <v>111</v>
      </c>
      <c r="Q17" s="35">
        <f>Q16*L16</f>
        <v>639342977.01999998</v>
      </c>
      <c r="T17" s="119">
        <f>T16-R16+U16</f>
        <v>63265696.577999964</v>
      </c>
      <c r="V17" s="116">
        <f>T17+U16</f>
        <v>74016913.277999967</v>
      </c>
    </row>
    <row r="19" spans="1:22">
      <c r="A19" s="124" t="s">
        <v>50</v>
      </c>
      <c r="B19" s="124"/>
      <c r="C19" s="124"/>
      <c r="D19" s="124"/>
      <c r="E19" s="124"/>
      <c r="F19" s="124"/>
      <c r="G19" s="124"/>
      <c r="H19" s="124"/>
      <c r="I19" s="124"/>
      <c r="J19" s="124"/>
      <c r="K19" s="124"/>
      <c r="L19" s="124"/>
      <c r="M19" s="124"/>
      <c r="N19" s="124"/>
      <c r="O19" s="124"/>
      <c r="P19" s="124"/>
      <c r="Q19" s="124"/>
      <c r="R19" s="124"/>
      <c r="S19" s="124"/>
      <c r="T19" s="124"/>
    </row>
    <row r="20" spans="1:22">
      <c r="A20" s="124" t="s">
        <v>90</v>
      </c>
      <c r="B20" s="124"/>
      <c r="C20" s="124" t="s">
        <v>91</v>
      </c>
      <c r="D20" s="124"/>
      <c r="E20" s="94" t="s">
        <v>92</v>
      </c>
      <c r="F20" s="34" t="s">
        <v>93</v>
      </c>
      <c r="G20" s="94" t="s">
        <v>94</v>
      </c>
      <c r="H20" s="34" t="s">
        <v>95</v>
      </c>
      <c r="I20" s="34" t="s">
        <v>96</v>
      </c>
      <c r="J20" s="34" t="s">
        <v>97</v>
      </c>
      <c r="K20" s="34" t="s">
        <v>98</v>
      </c>
      <c r="L20" s="34" t="s">
        <v>99</v>
      </c>
      <c r="M20" s="34" t="s">
        <v>100</v>
      </c>
      <c r="N20" s="34" t="s">
        <v>101</v>
      </c>
      <c r="O20" s="34" t="s">
        <v>102</v>
      </c>
      <c r="P20" s="34" t="s">
        <v>100</v>
      </c>
      <c r="Q20" s="34" t="s">
        <v>103</v>
      </c>
      <c r="R20" s="111" t="s">
        <v>104</v>
      </c>
      <c r="S20" s="94" t="s">
        <v>105</v>
      </c>
      <c r="T20" s="117" t="s">
        <v>106</v>
      </c>
      <c r="U20" s="107" t="s">
        <v>107</v>
      </c>
      <c r="V20" s="107" t="s">
        <v>112</v>
      </c>
    </row>
    <row r="21" spans="1:22">
      <c r="A21" s="130" t="s">
        <v>11</v>
      </c>
      <c r="B21" s="130"/>
      <c r="C21" s="131">
        <v>6159.96</v>
      </c>
      <c r="D21" s="131"/>
      <c r="E21" s="95">
        <f>C21*40%</f>
        <v>2463.9840000000004</v>
      </c>
      <c r="F21" s="33">
        <f>C21+E21</f>
        <v>8623.9439999999995</v>
      </c>
      <c r="G21" s="95">
        <v>233.77</v>
      </c>
      <c r="H21" s="97">
        <f>F21+G21</f>
        <v>8857.7139999999999</v>
      </c>
      <c r="I21" s="97">
        <v>0.92</v>
      </c>
      <c r="J21" s="97">
        <v>8.7100000000000009</v>
      </c>
      <c r="K21" s="98">
        <v>5.6</v>
      </c>
      <c r="L21" s="98">
        <f>SUM(H21:K21)</f>
        <v>8872.9439999999995</v>
      </c>
      <c r="M21" s="97">
        <f>N21-L21</f>
        <v>2803.7260000000006</v>
      </c>
      <c r="N21" s="33">
        <f>11846.67-170</f>
        <v>11676.67</v>
      </c>
      <c r="O21" s="109">
        <v>219.9</v>
      </c>
      <c r="P21" s="33">
        <f>M21+O21</f>
        <v>3023.6260000000007</v>
      </c>
      <c r="Q21" s="99">
        <v>8726</v>
      </c>
      <c r="R21" s="112">
        <f>L21*Q21</f>
        <v>77425309.343999997</v>
      </c>
      <c r="S21" s="99">
        <v>8726</v>
      </c>
      <c r="T21" s="118">
        <f>S21*N21</f>
        <v>101890622.42</v>
      </c>
      <c r="U21" s="35">
        <f>(S3+S12+S21)*O21</f>
        <v>5958630.2999999998</v>
      </c>
    </row>
    <row r="22" spans="1:22">
      <c r="A22" s="130" t="s">
        <v>15</v>
      </c>
      <c r="B22" s="130"/>
      <c r="C22" s="131">
        <v>2789.26</v>
      </c>
      <c r="D22" s="131"/>
      <c r="E22" s="95">
        <f>C22*30%</f>
        <v>836.77800000000002</v>
      </c>
      <c r="F22" s="33">
        <f t="shared" ref="F22:F24" si="14">C22+E22</f>
        <v>3626.0380000000005</v>
      </c>
      <c r="G22" s="95">
        <v>233.77</v>
      </c>
      <c r="H22" s="97">
        <f t="shared" ref="H22:H24" si="15">F22+G22</f>
        <v>3859.8080000000004</v>
      </c>
      <c r="I22" s="97">
        <v>0.92</v>
      </c>
      <c r="J22" s="97">
        <v>8.7100000000000009</v>
      </c>
      <c r="K22" s="98">
        <v>5.6</v>
      </c>
      <c r="L22" s="98">
        <f t="shared" ref="L22:L24" si="16">SUM(H22:K22)</f>
        <v>3875.0380000000005</v>
      </c>
      <c r="M22" s="97">
        <f t="shared" ref="M22:M24" si="17">N22-L22</f>
        <v>3303.2919999999995</v>
      </c>
      <c r="N22" s="33">
        <f>7459.33-281</f>
        <v>7178.33</v>
      </c>
      <c r="O22" s="109">
        <v>149.9</v>
      </c>
      <c r="P22" s="33">
        <f t="shared" ref="P22:P24" si="18">M22+O22</f>
        <v>3453.1919999999996</v>
      </c>
      <c r="Q22" s="99">
        <v>7408</v>
      </c>
      <c r="R22" s="112">
        <f t="shared" ref="R22:R24" si="19">L22*Q22</f>
        <v>28706281.504000004</v>
      </c>
      <c r="S22" s="99">
        <v>7408</v>
      </c>
      <c r="T22" s="118">
        <f t="shared" ref="T22:T24" si="20">S22*N22</f>
        <v>53177068.640000001</v>
      </c>
      <c r="U22" s="35">
        <f t="shared" ref="U22:U24" si="21">(S4+S13+S22)*O22</f>
        <v>3433759.3000000003</v>
      </c>
    </row>
    <row r="23" spans="1:22">
      <c r="A23" s="141" t="s">
        <v>18</v>
      </c>
      <c r="B23" s="141"/>
      <c r="C23" s="142">
        <v>891</v>
      </c>
      <c r="D23" s="142"/>
      <c r="E23" s="95">
        <f>C23*40%</f>
        <v>356.40000000000003</v>
      </c>
      <c r="F23" s="33">
        <f t="shared" si="14"/>
        <v>1247.4000000000001</v>
      </c>
      <c r="G23" s="95">
        <v>233.77</v>
      </c>
      <c r="H23" s="97">
        <f t="shared" si="15"/>
        <v>1481.17</v>
      </c>
      <c r="I23" s="97">
        <v>0.92</v>
      </c>
      <c r="J23" s="97">
        <v>8.7100000000000009</v>
      </c>
      <c r="K23" s="98">
        <v>5.6</v>
      </c>
      <c r="L23" s="98">
        <f t="shared" si="16"/>
        <v>1496.4</v>
      </c>
      <c r="M23" s="97">
        <f t="shared" si="17"/>
        <v>303.58999999999992</v>
      </c>
      <c r="N23" s="33">
        <f>1517.5+282.49</f>
        <v>1799.99</v>
      </c>
      <c r="O23" s="109">
        <v>99.9</v>
      </c>
      <c r="P23" s="33">
        <f t="shared" si="18"/>
        <v>403.4899999999999</v>
      </c>
      <c r="Q23" s="99">
        <v>13290</v>
      </c>
      <c r="R23" s="112">
        <f t="shared" si="19"/>
        <v>19887156</v>
      </c>
      <c r="S23" s="99">
        <v>13290</v>
      </c>
      <c r="T23" s="118">
        <f t="shared" si="20"/>
        <v>23921867.100000001</v>
      </c>
      <c r="U23" s="35">
        <f t="shared" si="21"/>
        <v>4019676.3000000003</v>
      </c>
    </row>
    <row r="24" spans="1:22">
      <c r="A24" s="130" t="s">
        <v>21</v>
      </c>
      <c r="B24" s="130"/>
      <c r="C24" s="131">
        <v>491.26</v>
      </c>
      <c r="D24" s="131"/>
      <c r="E24" s="95">
        <f>C24*30%</f>
        <v>147.37799999999999</v>
      </c>
      <c r="F24" s="33">
        <f t="shared" si="14"/>
        <v>638.63799999999992</v>
      </c>
      <c r="G24" s="95">
        <v>233.77</v>
      </c>
      <c r="H24" s="97">
        <f t="shared" si="15"/>
        <v>872.4079999999999</v>
      </c>
      <c r="I24" s="97">
        <v>0.92</v>
      </c>
      <c r="J24" s="97">
        <v>8.7100000000000009</v>
      </c>
      <c r="K24" s="98">
        <v>5.6</v>
      </c>
      <c r="L24" s="98">
        <f t="shared" si="16"/>
        <v>887.63799999999992</v>
      </c>
      <c r="M24" s="97">
        <f t="shared" si="17"/>
        <v>62.352000000000089</v>
      </c>
      <c r="N24" s="97">
        <f>796.02+153.97</f>
        <v>949.99</v>
      </c>
      <c r="O24" s="109">
        <v>59.9</v>
      </c>
      <c r="P24" s="33">
        <f t="shared" si="18"/>
        <v>122.25200000000009</v>
      </c>
      <c r="Q24" s="99">
        <v>13940</v>
      </c>
      <c r="R24" s="112">
        <f t="shared" si="19"/>
        <v>12373673.719999999</v>
      </c>
      <c r="S24" s="99">
        <v>13940</v>
      </c>
      <c r="T24" s="118">
        <f t="shared" si="20"/>
        <v>13242860.6</v>
      </c>
      <c r="U24" s="35">
        <f t="shared" si="21"/>
        <v>2531134.4</v>
      </c>
    </row>
    <row r="25" spans="1:22">
      <c r="A25" s="34"/>
      <c r="B25" s="34"/>
      <c r="C25" s="34"/>
      <c r="D25" s="34"/>
      <c r="E25" s="34"/>
      <c r="F25" s="34"/>
      <c r="G25" s="34"/>
      <c r="H25" s="34"/>
      <c r="I25" s="34"/>
      <c r="J25" s="34"/>
      <c r="K25" s="34"/>
      <c r="L25" s="33">
        <f>SUM(L21:L24)</f>
        <v>15132.02</v>
      </c>
      <c r="M25" s="34"/>
      <c r="N25" s="34"/>
      <c r="O25" s="34"/>
      <c r="P25" s="34"/>
      <c r="Q25" s="34">
        <f>SUM(Q21:Q24)</f>
        <v>43364</v>
      </c>
      <c r="R25" s="112">
        <f>SUM(R21:R24)</f>
        <v>138392420.56800002</v>
      </c>
      <c r="S25" s="34"/>
      <c r="T25" s="118">
        <f>SUM(T21:T24)</f>
        <v>192232418.75999999</v>
      </c>
      <c r="U25" s="35">
        <f>SUM(U21:U24)</f>
        <v>15943200.300000001</v>
      </c>
    </row>
    <row r="26" spans="1:22">
      <c r="P26" t="s">
        <v>113</v>
      </c>
      <c r="Q26" s="35">
        <f>Q25*L25</f>
        <v>656184915.27999997</v>
      </c>
      <c r="T26" s="119">
        <f>T25-R25</f>
        <v>53839998.191999972</v>
      </c>
      <c r="V26" s="120">
        <f>T26+U25</f>
        <v>69783198.491999969</v>
      </c>
    </row>
    <row r="27" spans="1:22">
      <c r="A27" s="124" t="s">
        <v>51</v>
      </c>
      <c r="B27" s="124"/>
      <c r="C27" s="124"/>
      <c r="D27" s="124"/>
      <c r="E27" s="124"/>
      <c r="F27" s="124"/>
      <c r="G27" s="124"/>
      <c r="H27" s="124"/>
      <c r="I27" s="124"/>
      <c r="J27" s="124"/>
      <c r="K27" s="124"/>
      <c r="L27" s="124"/>
      <c r="M27" s="124"/>
      <c r="N27" s="124"/>
      <c r="O27" s="124"/>
      <c r="P27" s="124"/>
      <c r="Q27" s="124"/>
      <c r="R27" s="124"/>
      <c r="S27" s="124"/>
      <c r="T27" s="124"/>
    </row>
    <row r="28" spans="1:22">
      <c r="A28" s="124" t="s">
        <v>90</v>
      </c>
      <c r="B28" s="124"/>
      <c r="C28" s="124" t="s">
        <v>91</v>
      </c>
      <c r="D28" s="124"/>
      <c r="E28" s="94" t="s">
        <v>92</v>
      </c>
      <c r="F28" s="34" t="s">
        <v>93</v>
      </c>
      <c r="G28" s="94" t="s">
        <v>94</v>
      </c>
      <c r="H28" s="34" t="s">
        <v>95</v>
      </c>
      <c r="I28" s="34" t="s">
        <v>96</v>
      </c>
      <c r="J28" s="34" t="s">
        <v>97</v>
      </c>
      <c r="K28" s="34" t="s">
        <v>98</v>
      </c>
      <c r="L28" s="34" t="s">
        <v>99</v>
      </c>
      <c r="M28" s="34" t="s">
        <v>100</v>
      </c>
      <c r="N28" s="34" t="s">
        <v>101</v>
      </c>
      <c r="O28" s="34" t="s">
        <v>102</v>
      </c>
      <c r="P28" s="34" t="s">
        <v>100</v>
      </c>
      <c r="Q28" s="34" t="s">
        <v>103</v>
      </c>
      <c r="R28" s="111" t="s">
        <v>104</v>
      </c>
      <c r="S28" s="94" t="s">
        <v>105</v>
      </c>
      <c r="T28" s="117" t="s">
        <v>106</v>
      </c>
      <c r="U28" s="107" t="s">
        <v>107</v>
      </c>
      <c r="V28" s="107" t="s">
        <v>114</v>
      </c>
    </row>
    <row r="29" spans="1:22">
      <c r="A29" s="130" t="s">
        <v>11</v>
      </c>
      <c r="B29" s="130"/>
      <c r="C29" s="131">
        <v>6159.96</v>
      </c>
      <c r="D29" s="131"/>
      <c r="E29" s="95">
        <f>C29*40%</f>
        <v>2463.9840000000004</v>
      </c>
      <c r="F29" s="33">
        <f>C29+E29</f>
        <v>8623.9439999999995</v>
      </c>
      <c r="G29" s="95">
        <v>233.77</v>
      </c>
      <c r="H29" s="97">
        <f>F29+G29</f>
        <v>8857.7139999999999</v>
      </c>
      <c r="I29" s="97">
        <v>0.92</v>
      </c>
      <c r="J29" s="97">
        <v>8.7100000000000009</v>
      </c>
      <c r="K29" s="98">
        <v>5.6</v>
      </c>
      <c r="L29" s="98">
        <f>SUM(H29:K29)</f>
        <v>8872.9439999999995</v>
      </c>
      <c r="M29" s="97">
        <f>N29-L29</f>
        <v>2803.7260000000006</v>
      </c>
      <c r="N29" s="33">
        <f>11846.67-170</f>
        <v>11676.67</v>
      </c>
      <c r="O29" s="109">
        <v>219.9</v>
      </c>
      <c r="P29" s="33">
        <f>O29+M29</f>
        <v>3023.6260000000007</v>
      </c>
      <c r="Q29" s="100">
        <v>8513</v>
      </c>
      <c r="R29" s="112">
        <f>L29*Q29</f>
        <v>75535372.272</v>
      </c>
      <c r="S29" s="100">
        <v>8513</v>
      </c>
      <c r="T29" s="118">
        <f>S29*N29</f>
        <v>99403491.709999993</v>
      </c>
      <c r="U29" s="35">
        <f>(S21+S29+S12+S3)*O29</f>
        <v>7830639</v>
      </c>
    </row>
    <row r="30" spans="1:22">
      <c r="A30" s="130" t="s">
        <v>15</v>
      </c>
      <c r="B30" s="130"/>
      <c r="C30" s="131">
        <v>2789.26</v>
      </c>
      <c r="D30" s="131"/>
      <c r="E30" s="95">
        <f>C30*30%</f>
        <v>836.77800000000002</v>
      </c>
      <c r="F30" s="33">
        <f t="shared" ref="F30:F32" si="22">C30+E30</f>
        <v>3626.0380000000005</v>
      </c>
      <c r="G30" s="95">
        <v>233.77</v>
      </c>
      <c r="H30" s="97">
        <f t="shared" ref="H30:H32" si="23">F30+G30</f>
        <v>3859.8080000000004</v>
      </c>
      <c r="I30" s="97">
        <v>0.92</v>
      </c>
      <c r="J30" s="97">
        <v>8.7100000000000009</v>
      </c>
      <c r="K30" s="98">
        <v>5.6</v>
      </c>
      <c r="L30" s="98">
        <f t="shared" ref="L30:L32" si="24">SUM(H30:K30)</f>
        <v>3875.0380000000005</v>
      </c>
      <c r="M30" s="97">
        <f t="shared" ref="M30:M32" si="25">N30-L30</f>
        <v>3303.2919999999995</v>
      </c>
      <c r="N30" s="33">
        <f>7459.33-281</f>
        <v>7178.33</v>
      </c>
      <c r="O30" s="109">
        <v>149.9</v>
      </c>
      <c r="P30" s="33">
        <f t="shared" ref="P30:P32" si="26">O30+M30</f>
        <v>3453.1919999999996</v>
      </c>
      <c r="Q30" s="100">
        <v>7232</v>
      </c>
      <c r="R30" s="112">
        <f t="shared" ref="R30:R32" si="27">L30*Q30</f>
        <v>28024274.816000003</v>
      </c>
      <c r="S30" s="100">
        <v>7232</v>
      </c>
      <c r="T30" s="118">
        <f t="shared" ref="T30:T32" si="28">S30*N30</f>
        <v>51913682.560000002</v>
      </c>
      <c r="U30" s="35">
        <f t="shared" ref="U30:U32" si="29">(S22+S30+S13+S4)*O30</f>
        <v>4517836.1000000006</v>
      </c>
    </row>
    <row r="31" spans="1:22">
      <c r="A31" s="141" t="s">
        <v>18</v>
      </c>
      <c r="B31" s="141"/>
      <c r="C31" s="142">
        <v>891</v>
      </c>
      <c r="D31" s="142"/>
      <c r="E31" s="95">
        <f>C31*40%</f>
        <v>356.40000000000003</v>
      </c>
      <c r="F31" s="33">
        <f t="shared" si="22"/>
        <v>1247.4000000000001</v>
      </c>
      <c r="G31" s="95">
        <v>233.77</v>
      </c>
      <c r="H31" s="97">
        <f t="shared" si="23"/>
        <v>1481.17</v>
      </c>
      <c r="I31" s="97">
        <v>0.92</v>
      </c>
      <c r="J31" s="97">
        <v>8.7100000000000009</v>
      </c>
      <c r="K31" s="98">
        <v>5.6</v>
      </c>
      <c r="L31" s="98">
        <f t="shared" si="24"/>
        <v>1496.4</v>
      </c>
      <c r="M31" s="97">
        <f t="shared" si="25"/>
        <v>303.58999999999992</v>
      </c>
      <c r="N31" s="33">
        <f>1517.5+282.49</f>
        <v>1799.99</v>
      </c>
      <c r="O31" s="109">
        <v>99.9</v>
      </c>
      <c r="P31" s="33">
        <f t="shared" si="26"/>
        <v>403.4899999999999</v>
      </c>
      <c r="Q31" s="100">
        <v>12858</v>
      </c>
      <c r="R31" s="112">
        <f t="shared" si="27"/>
        <v>19240711.200000003</v>
      </c>
      <c r="S31" s="100">
        <v>12858</v>
      </c>
      <c r="T31" s="118">
        <f t="shared" si="28"/>
        <v>23144271.420000002</v>
      </c>
      <c r="U31" s="35">
        <f t="shared" si="29"/>
        <v>5304190.5</v>
      </c>
    </row>
    <row r="32" spans="1:22">
      <c r="A32" s="130" t="s">
        <v>21</v>
      </c>
      <c r="B32" s="130"/>
      <c r="C32" s="131">
        <v>491.26</v>
      </c>
      <c r="D32" s="131"/>
      <c r="E32" s="95">
        <f>C32*30%</f>
        <v>147.37799999999999</v>
      </c>
      <c r="F32" s="33">
        <f t="shared" si="22"/>
        <v>638.63799999999992</v>
      </c>
      <c r="G32" s="95">
        <v>233.77</v>
      </c>
      <c r="H32" s="97">
        <f t="shared" si="23"/>
        <v>872.4079999999999</v>
      </c>
      <c r="I32" s="97">
        <v>0.92</v>
      </c>
      <c r="J32" s="97">
        <v>8.7100000000000009</v>
      </c>
      <c r="K32" s="98">
        <v>5.6</v>
      </c>
      <c r="L32" s="98">
        <f t="shared" si="24"/>
        <v>887.63799999999992</v>
      </c>
      <c r="M32" s="97">
        <f t="shared" si="25"/>
        <v>62.352000000000089</v>
      </c>
      <c r="N32" s="97">
        <f>796.02+153.97</f>
        <v>949.99</v>
      </c>
      <c r="O32" s="109">
        <v>59.9</v>
      </c>
      <c r="P32" s="33">
        <f t="shared" si="26"/>
        <v>122.25200000000009</v>
      </c>
      <c r="Q32" s="100">
        <v>13598</v>
      </c>
      <c r="R32" s="112">
        <f t="shared" si="27"/>
        <v>12070101.523999998</v>
      </c>
      <c r="S32" s="100">
        <v>13598</v>
      </c>
      <c r="T32" s="118">
        <f t="shared" si="28"/>
        <v>12917964.02</v>
      </c>
      <c r="U32" s="35">
        <f t="shared" si="29"/>
        <v>3345654.6</v>
      </c>
    </row>
    <row r="33" spans="1:22">
      <c r="A33" s="34"/>
      <c r="B33" s="34"/>
      <c r="C33" s="34"/>
      <c r="D33" s="34"/>
      <c r="E33" s="34"/>
      <c r="F33" s="34"/>
      <c r="G33" s="34"/>
      <c r="H33" s="34"/>
      <c r="I33" s="34"/>
      <c r="J33" s="34"/>
      <c r="K33" s="34"/>
      <c r="L33" s="33">
        <f>SUM((L29:L32))</f>
        <v>15132.02</v>
      </c>
      <c r="M33" s="34"/>
      <c r="N33" s="34"/>
      <c r="O33" s="34"/>
      <c r="P33" s="34"/>
      <c r="Q33" s="34">
        <f>SUM(Q29:Q32)</f>
        <v>42201</v>
      </c>
      <c r="R33" s="112">
        <f>SUM(R29:R32)</f>
        <v>134870459.81200001</v>
      </c>
      <c r="S33" s="34"/>
      <c r="T33" s="118">
        <f>SUM(T29:T32)</f>
        <v>187379409.71000001</v>
      </c>
      <c r="U33" s="35">
        <f>SUM(U29:U32)</f>
        <v>20998320.200000003</v>
      </c>
    </row>
    <row r="34" spans="1:22">
      <c r="P34" t="s">
        <v>115</v>
      </c>
      <c r="Q34" s="35">
        <f>Q33*L33</f>
        <v>638586376.01999998</v>
      </c>
      <c r="T34" s="119">
        <f>T33-R33</f>
        <v>52508949.898000002</v>
      </c>
      <c r="V34" s="120">
        <f>T34+U33</f>
        <v>73507270.098000005</v>
      </c>
    </row>
    <row r="36" spans="1:22">
      <c r="A36" s="124" t="s">
        <v>52</v>
      </c>
      <c r="B36" s="124"/>
      <c r="C36" s="124"/>
      <c r="D36" s="124"/>
      <c r="E36" s="124"/>
      <c r="F36" s="124"/>
      <c r="G36" s="124"/>
      <c r="H36" s="124"/>
      <c r="I36" s="124"/>
      <c r="J36" s="124"/>
      <c r="K36" s="124"/>
      <c r="L36" s="124"/>
      <c r="M36" s="124"/>
      <c r="N36" s="124"/>
      <c r="O36" s="124"/>
      <c r="P36" s="124"/>
      <c r="Q36" s="124"/>
      <c r="R36" s="124"/>
      <c r="S36" s="124"/>
      <c r="T36" s="124"/>
    </row>
    <row r="37" spans="1:22">
      <c r="A37" s="124" t="s">
        <v>90</v>
      </c>
      <c r="B37" s="124"/>
      <c r="C37" s="124" t="s">
        <v>91</v>
      </c>
      <c r="D37" s="124"/>
      <c r="E37" s="94" t="s">
        <v>92</v>
      </c>
      <c r="F37" s="34" t="s">
        <v>93</v>
      </c>
      <c r="G37" s="94" t="s">
        <v>94</v>
      </c>
      <c r="H37" s="34" t="s">
        <v>95</v>
      </c>
      <c r="I37" s="34" t="s">
        <v>96</v>
      </c>
      <c r="J37" s="34" t="s">
        <v>97</v>
      </c>
      <c r="K37" s="34" t="s">
        <v>98</v>
      </c>
      <c r="L37" s="34" t="s">
        <v>99</v>
      </c>
      <c r="M37" s="34" t="s">
        <v>100</v>
      </c>
      <c r="N37" s="34" t="s">
        <v>101</v>
      </c>
      <c r="O37" s="34" t="s">
        <v>102</v>
      </c>
      <c r="P37" s="34" t="s">
        <v>100</v>
      </c>
      <c r="Q37" s="34" t="s">
        <v>103</v>
      </c>
      <c r="R37" s="111" t="s">
        <v>104</v>
      </c>
      <c r="S37" s="94" t="s">
        <v>105</v>
      </c>
      <c r="T37" s="117" t="s">
        <v>106</v>
      </c>
      <c r="U37" s="107" t="s">
        <v>107</v>
      </c>
      <c r="V37" s="107" t="s">
        <v>116</v>
      </c>
    </row>
    <row r="38" spans="1:22">
      <c r="A38" s="130" t="s">
        <v>11</v>
      </c>
      <c r="B38" s="130"/>
      <c r="C38" s="131">
        <v>6159.96</v>
      </c>
      <c r="D38" s="131"/>
      <c r="E38" s="95">
        <f>C38*40%</f>
        <v>2463.9840000000004</v>
      </c>
      <c r="F38" s="33">
        <f>C38+E38</f>
        <v>8623.9439999999995</v>
      </c>
      <c r="G38" s="95">
        <v>233.77</v>
      </c>
      <c r="H38" s="97">
        <f>F38+G38</f>
        <v>8857.7139999999999</v>
      </c>
      <c r="I38" s="97">
        <v>0.92</v>
      </c>
      <c r="J38" s="97">
        <v>8.7100000000000009</v>
      </c>
      <c r="K38" s="98">
        <v>5.6</v>
      </c>
      <c r="L38" s="98">
        <f>SUM(H38:K38)</f>
        <v>8872.9439999999995</v>
      </c>
      <c r="M38" s="97">
        <f>N38-L38</f>
        <v>2803.7260000000006</v>
      </c>
      <c r="N38" s="33">
        <f>11846.67-170</f>
        <v>11676.67</v>
      </c>
      <c r="O38" s="109">
        <v>219.9</v>
      </c>
      <c r="P38" s="33">
        <f>O38+M38</f>
        <v>3023.6260000000007</v>
      </c>
      <c r="Q38" s="100">
        <v>8872</v>
      </c>
      <c r="R38" s="112">
        <f>L38*Q38</f>
        <v>78720759.167999998</v>
      </c>
      <c r="S38" s="100">
        <v>8872</v>
      </c>
      <c r="T38" s="118">
        <f>S38*N38</f>
        <v>103595416.23999999</v>
      </c>
      <c r="U38" s="35">
        <f>(S38+S29+S21+S12+S3)*O38</f>
        <v>9781591.8000000007</v>
      </c>
    </row>
    <row r="39" spans="1:22">
      <c r="A39" s="130" t="s">
        <v>15</v>
      </c>
      <c r="B39" s="130"/>
      <c r="C39" s="131">
        <v>2789.26</v>
      </c>
      <c r="D39" s="131"/>
      <c r="E39" s="95">
        <f>C39*30%</f>
        <v>836.77800000000002</v>
      </c>
      <c r="F39" s="33">
        <f t="shared" ref="F39:F41" si="30">C39+E39</f>
        <v>3626.0380000000005</v>
      </c>
      <c r="G39" s="95">
        <v>233.77</v>
      </c>
      <c r="H39" s="97">
        <f t="shared" ref="H39:H41" si="31">F39+G39</f>
        <v>3859.8080000000004</v>
      </c>
      <c r="I39" s="97">
        <v>0.92</v>
      </c>
      <c r="J39" s="97">
        <v>8.7100000000000009</v>
      </c>
      <c r="K39" s="98">
        <v>5.6</v>
      </c>
      <c r="L39" s="98">
        <f t="shared" ref="L39:L41" si="32">SUM(H39:K39)</f>
        <v>3875.0380000000005</v>
      </c>
      <c r="M39" s="97">
        <f>N39-L39</f>
        <v>3303.2919999999995</v>
      </c>
      <c r="N39" s="33">
        <f>7459.33-281</f>
        <v>7178.33</v>
      </c>
      <c r="O39" s="109">
        <v>149.9</v>
      </c>
      <c r="P39" s="33">
        <f t="shared" ref="P39:P41" si="33">O39+M39</f>
        <v>3453.1919999999996</v>
      </c>
      <c r="Q39" s="100">
        <v>7519</v>
      </c>
      <c r="R39" s="112">
        <f t="shared" ref="R39:R41" si="34">L39*Q39</f>
        <v>29136410.722000003</v>
      </c>
      <c r="S39" s="100">
        <v>7519</v>
      </c>
      <c r="T39" s="118">
        <f>S39*N39</f>
        <v>53973863.269999996</v>
      </c>
      <c r="U39" s="35">
        <f t="shared" ref="U39:U41" si="35">(S39+S30+S22+S13+S4)*O39</f>
        <v>5644934.2000000002</v>
      </c>
    </row>
    <row r="40" spans="1:22">
      <c r="A40" s="141" t="s">
        <v>18</v>
      </c>
      <c r="B40" s="141"/>
      <c r="C40" s="142">
        <v>891</v>
      </c>
      <c r="D40" s="142"/>
      <c r="E40" s="95">
        <f>C40*40%</f>
        <v>356.40000000000003</v>
      </c>
      <c r="F40" s="33">
        <f t="shared" si="30"/>
        <v>1247.4000000000001</v>
      </c>
      <c r="G40" s="95">
        <v>233.77</v>
      </c>
      <c r="H40" s="97">
        <f t="shared" si="31"/>
        <v>1481.17</v>
      </c>
      <c r="I40" s="97">
        <v>0.92</v>
      </c>
      <c r="J40" s="97">
        <v>8.7100000000000009</v>
      </c>
      <c r="K40" s="98">
        <v>5.6</v>
      </c>
      <c r="L40" s="98">
        <f t="shared" si="32"/>
        <v>1496.4</v>
      </c>
      <c r="M40" s="97">
        <f>N40-L40</f>
        <v>303.58999999999992</v>
      </c>
      <c r="N40" s="33">
        <f>1517.5+282.49</f>
        <v>1799.99</v>
      </c>
      <c r="O40" s="109">
        <v>99.9</v>
      </c>
      <c r="P40" s="33">
        <f t="shared" si="33"/>
        <v>403.4899999999999</v>
      </c>
      <c r="Q40" s="100">
        <v>13917</v>
      </c>
      <c r="R40" s="112">
        <f t="shared" si="34"/>
        <v>20825398.800000001</v>
      </c>
      <c r="S40" s="100">
        <v>13917</v>
      </c>
      <c r="T40" s="118">
        <f>S40*N40</f>
        <v>25050460.830000002</v>
      </c>
      <c r="U40" s="35">
        <f t="shared" si="35"/>
        <v>6694498.8000000007</v>
      </c>
    </row>
    <row r="41" spans="1:22">
      <c r="A41" s="130" t="s">
        <v>21</v>
      </c>
      <c r="B41" s="130"/>
      <c r="C41" s="131">
        <v>491.26</v>
      </c>
      <c r="D41" s="131"/>
      <c r="E41" s="95">
        <f>C41*30%</f>
        <v>147.37799999999999</v>
      </c>
      <c r="F41" s="33">
        <f t="shared" si="30"/>
        <v>638.63799999999992</v>
      </c>
      <c r="G41" s="95">
        <v>233.77</v>
      </c>
      <c r="H41" s="97">
        <f t="shared" si="31"/>
        <v>872.4079999999999</v>
      </c>
      <c r="I41" s="97">
        <v>0.92</v>
      </c>
      <c r="J41" s="97">
        <v>8.7100000000000009</v>
      </c>
      <c r="K41" s="98">
        <v>5.6</v>
      </c>
      <c r="L41" s="98">
        <f t="shared" si="32"/>
        <v>887.63799999999992</v>
      </c>
      <c r="M41" s="97">
        <f>N41-L41</f>
        <v>62.352000000000089</v>
      </c>
      <c r="N41" s="97">
        <f>796.02+153.97</f>
        <v>949.99</v>
      </c>
      <c r="O41" s="109">
        <v>59.9</v>
      </c>
      <c r="P41" s="33">
        <f t="shared" si="33"/>
        <v>122.25200000000009</v>
      </c>
      <c r="Q41" s="100">
        <v>14064</v>
      </c>
      <c r="R41" s="112">
        <f t="shared" si="34"/>
        <v>12483740.831999999</v>
      </c>
      <c r="S41" s="100">
        <v>14064</v>
      </c>
      <c r="T41" s="118">
        <f>S41*N41</f>
        <v>13360659.359999999</v>
      </c>
      <c r="U41" s="35">
        <f t="shared" si="35"/>
        <v>4188088.1999999997</v>
      </c>
    </row>
    <row r="42" spans="1:22">
      <c r="A42" s="34"/>
      <c r="B42" s="34"/>
      <c r="C42" s="34"/>
      <c r="D42" s="34"/>
      <c r="E42" s="34"/>
      <c r="F42" s="34"/>
      <c r="G42" s="34"/>
      <c r="H42" s="34"/>
      <c r="I42" s="34"/>
      <c r="J42" s="34"/>
      <c r="K42" s="34"/>
      <c r="L42" s="33">
        <f>SUM(L38:L41)</f>
        <v>15132.02</v>
      </c>
      <c r="M42" s="34"/>
      <c r="N42" s="34"/>
      <c r="O42" s="34"/>
      <c r="P42" s="34"/>
      <c r="Q42" s="34">
        <f>SUM(Q38:Q41)</f>
        <v>44372</v>
      </c>
      <c r="R42" s="112">
        <f>SUM(R38:R41)</f>
        <v>141166309.52199998</v>
      </c>
      <c r="S42" s="34"/>
      <c r="T42" s="118">
        <f>SUM(T38:T41)</f>
        <v>195980399.69999999</v>
      </c>
      <c r="U42" s="35">
        <f>SUM(U38:U41)</f>
        <v>26309113</v>
      </c>
    </row>
    <row r="43" spans="1:22">
      <c r="P43" t="s">
        <v>117</v>
      </c>
      <c r="Q43" s="35">
        <f>Q42*L42</f>
        <v>671437991.44000006</v>
      </c>
      <c r="T43" s="119">
        <f>T42-R42</f>
        <v>54814090.178000003</v>
      </c>
      <c r="V43" s="120">
        <f>T43+U42</f>
        <v>81123203.178000003</v>
      </c>
    </row>
    <row r="45" spans="1:22">
      <c r="A45" s="124" t="s">
        <v>53</v>
      </c>
      <c r="B45" s="124"/>
      <c r="C45" s="124"/>
      <c r="D45" s="124"/>
      <c r="E45" s="124"/>
      <c r="F45" s="124"/>
      <c r="G45" s="124"/>
      <c r="H45" s="124"/>
      <c r="I45" s="124"/>
      <c r="J45" s="124"/>
      <c r="K45" s="124"/>
      <c r="L45" s="124"/>
      <c r="M45" s="124"/>
      <c r="N45" s="124"/>
      <c r="O45" s="124"/>
      <c r="P45" s="124"/>
      <c r="Q45" s="124"/>
      <c r="R45" s="124"/>
      <c r="S45" s="124"/>
      <c r="T45" s="124"/>
    </row>
    <row r="46" spans="1:22">
      <c r="A46" s="124" t="s">
        <v>90</v>
      </c>
      <c r="B46" s="124"/>
      <c r="C46" s="124" t="s">
        <v>91</v>
      </c>
      <c r="D46" s="124"/>
      <c r="E46" s="94" t="s">
        <v>92</v>
      </c>
      <c r="F46" s="34" t="s">
        <v>93</v>
      </c>
      <c r="G46" s="94" t="s">
        <v>94</v>
      </c>
      <c r="H46" s="34" t="s">
        <v>95</v>
      </c>
      <c r="I46" s="34" t="s">
        <v>96</v>
      </c>
      <c r="J46" s="34" t="s">
        <v>97</v>
      </c>
      <c r="K46" s="34" t="s">
        <v>98</v>
      </c>
      <c r="L46" s="34" t="s">
        <v>99</v>
      </c>
      <c r="M46" s="34" t="s">
        <v>100</v>
      </c>
      <c r="N46" s="34" t="s">
        <v>101</v>
      </c>
      <c r="O46" s="34" t="s">
        <v>102</v>
      </c>
      <c r="P46" s="34" t="s">
        <v>100</v>
      </c>
      <c r="Q46" s="34" t="s">
        <v>103</v>
      </c>
      <c r="R46" s="111" t="s">
        <v>104</v>
      </c>
      <c r="S46" s="94" t="s">
        <v>105</v>
      </c>
      <c r="T46" s="117" t="s">
        <v>106</v>
      </c>
      <c r="U46" s="107" t="s">
        <v>107</v>
      </c>
      <c r="V46" s="107" t="s">
        <v>118</v>
      </c>
    </row>
    <row r="47" spans="1:22">
      <c r="A47" s="130" t="s">
        <v>11</v>
      </c>
      <c r="B47" s="130"/>
      <c r="C47" s="131">
        <v>6159.96</v>
      </c>
      <c r="D47" s="131"/>
      <c r="E47" s="95">
        <f>C47*40%</f>
        <v>2463.9840000000004</v>
      </c>
      <c r="F47" s="33">
        <f>C47+E47</f>
        <v>8623.9439999999995</v>
      </c>
      <c r="G47" s="95">
        <v>233.77</v>
      </c>
      <c r="H47" s="97">
        <f>F47+G47</f>
        <v>8857.7139999999999</v>
      </c>
      <c r="I47" s="97">
        <v>0.92</v>
      </c>
      <c r="J47" s="97">
        <v>8.7100000000000009</v>
      </c>
      <c r="K47" s="98">
        <v>5.6</v>
      </c>
      <c r="L47" s="98">
        <f>SUM(H47:K47)</f>
        <v>8872.9439999999995</v>
      </c>
      <c r="M47" s="97">
        <f>N47-L47</f>
        <v>2803.7260000000006</v>
      </c>
      <c r="N47" s="33">
        <f>11846.67-170</f>
        <v>11676.67</v>
      </c>
      <c r="O47" s="109">
        <v>219.9</v>
      </c>
      <c r="P47" s="33">
        <f>O47+M47</f>
        <v>3023.6260000000007</v>
      </c>
      <c r="Q47" s="100">
        <v>8716</v>
      </c>
      <c r="R47" s="112">
        <f>L47*Q47</f>
        <v>77336579.903999999</v>
      </c>
      <c r="S47" s="100">
        <v>8716</v>
      </c>
      <c r="T47" s="118">
        <f>S47*N47</f>
        <v>101773855.72</v>
      </c>
      <c r="U47" s="35">
        <f>(S47+S38+S30+S21+S12+S3)*O47</f>
        <v>11416548.300000001</v>
      </c>
    </row>
    <row r="48" spans="1:22">
      <c r="A48" s="130" t="s">
        <v>15</v>
      </c>
      <c r="B48" s="130"/>
      <c r="C48" s="131">
        <v>2789.26</v>
      </c>
      <c r="D48" s="131"/>
      <c r="E48" s="95">
        <f>C48*30%</f>
        <v>836.77800000000002</v>
      </c>
      <c r="F48" s="33">
        <f t="shared" ref="F48:F50" si="36">C48+E48</f>
        <v>3626.0380000000005</v>
      </c>
      <c r="G48" s="95">
        <v>233.77</v>
      </c>
      <c r="H48" s="97">
        <f t="shared" ref="H48:H50" si="37">F48+G48</f>
        <v>3859.8080000000004</v>
      </c>
      <c r="I48" s="97">
        <v>0.92</v>
      </c>
      <c r="J48" s="97">
        <v>8.7100000000000009</v>
      </c>
      <c r="K48" s="98">
        <v>5.6</v>
      </c>
      <c r="L48" s="98">
        <f t="shared" ref="L48:L50" si="38">SUM(H48:K48)</f>
        <v>3875.0380000000005</v>
      </c>
      <c r="M48" s="97">
        <f>N48-L48</f>
        <v>3303.2919999999995</v>
      </c>
      <c r="N48" s="33">
        <f>7459.33-281</f>
        <v>7178.33</v>
      </c>
      <c r="O48" s="109">
        <v>149.9</v>
      </c>
      <c r="P48" s="33">
        <f t="shared" ref="P48:P50" si="39">O48+M48</f>
        <v>3453.1919999999996</v>
      </c>
      <c r="Q48" s="100">
        <v>7378</v>
      </c>
      <c r="R48" s="112">
        <f t="shared" ref="R48:R50" si="40">L48*Q48</f>
        <v>28590030.364000004</v>
      </c>
      <c r="S48" s="100">
        <v>7378</v>
      </c>
      <c r="T48" s="118">
        <f>S48*N48</f>
        <v>52961718.740000002</v>
      </c>
      <c r="U48" s="35">
        <f>(S48+S39+S31+S22+S13+S4)*O48</f>
        <v>7594233.8000000007</v>
      </c>
    </row>
    <row r="49" spans="1:22">
      <c r="A49" s="141" t="s">
        <v>18</v>
      </c>
      <c r="B49" s="141"/>
      <c r="C49" s="142">
        <v>891</v>
      </c>
      <c r="D49" s="142"/>
      <c r="E49" s="95">
        <f>C49*40%</f>
        <v>356.40000000000003</v>
      </c>
      <c r="F49" s="33">
        <f t="shared" si="36"/>
        <v>1247.4000000000001</v>
      </c>
      <c r="G49" s="95">
        <v>233.77</v>
      </c>
      <c r="H49" s="97">
        <f t="shared" si="37"/>
        <v>1481.17</v>
      </c>
      <c r="I49" s="97">
        <v>0.92</v>
      </c>
      <c r="J49" s="97">
        <v>8.7100000000000009</v>
      </c>
      <c r="K49" s="98">
        <v>5.6</v>
      </c>
      <c r="L49" s="98">
        <f t="shared" si="38"/>
        <v>1496.4</v>
      </c>
      <c r="M49" s="97">
        <f>N49-L49</f>
        <v>303.58999999999992</v>
      </c>
      <c r="N49" s="33">
        <f>1517.5+282.49</f>
        <v>1799.99</v>
      </c>
      <c r="O49" s="109">
        <v>99.9</v>
      </c>
      <c r="P49" s="33">
        <f t="shared" si="39"/>
        <v>403.4899999999999</v>
      </c>
      <c r="Q49" s="100">
        <v>13280</v>
      </c>
      <c r="R49" s="112">
        <f t="shared" si="40"/>
        <v>19872192</v>
      </c>
      <c r="S49" s="100">
        <v>13280</v>
      </c>
      <c r="T49" s="118">
        <f>S49*N49</f>
        <v>23903867.199999999</v>
      </c>
      <c r="U49" s="35">
        <f t="shared" ref="U49:U50" si="41">(S49+S40+S32+S23+S14+S5)*O49</f>
        <v>8095096.8000000007</v>
      </c>
    </row>
    <row r="50" spans="1:22">
      <c r="A50" s="130" t="s">
        <v>21</v>
      </c>
      <c r="B50" s="130"/>
      <c r="C50" s="131">
        <v>491.26</v>
      </c>
      <c r="D50" s="131"/>
      <c r="E50" s="95">
        <f>C50*30%</f>
        <v>147.37799999999999</v>
      </c>
      <c r="F50" s="33">
        <f t="shared" si="36"/>
        <v>638.63799999999992</v>
      </c>
      <c r="G50" s="95">
        <v>233.77</v>
      </c>
      <c r="H50" s="97">
        <f t="shared" si="37"/>
        <v>872.4079999999999</v>
      </c>
      <c r="I50" s="97">
        <v>0.92</v>
      </c>
      <c r="J50" s="97">
        <v>8.7100000000000009</v>
      </c>
      <c r="K50" s="98">
        <v>5.6</v>
      </c>
      <c r="L50" s="98">
        <f t="shared" si="38"/>
        <v>887.63799999999992</v>
      </c>
      <c r="M50" s="97">
        <f>N50-L50</f>
        <v>62.352000000000089</v>
      </c>
      <c r="N50" s="97">
        <f>796.02+153.97</f>
        <v>949.99</v>
      </c>
      <c r="O50" s="109">
        <v>59.9</v>
      </c>
      <c r="P50" s="33">
        <f t="shared" si="39"/>
        <v>122.25200000000009</v>
      </c>
      <c r="Q50" s="100">
        <v>13595</v>
      </c>
      <c r="R50" s="112">
        <f t="shared" si="40"/>
        <v>12067438.609999999</v>
      </c>
      <c r="S50" s="100">
        <v>13595</v>
      </c>
      <c r="T50" s="118">
        <f>S50*N50</f>
        <v>12915114.050000001</v>
      </c>
      <c r="U50" s="35">
        <f t="shared" si="41"/>
        <v>4187908.5</v>
      </c>
    </row>
    <row r="51" spans="1:22">
      <c r="A51" s="34"/>
      <c r="B51" s="34"/>
      <c r="C51" s="34"/>
      <c r="D51" s="34"/>
      <c r="E51" s="34"/>
      <c r="F51" s="34"/>
      <c r="G51" s="34"/>
      <c r="H51" s="34"/>
      <c r="I51" s="34"/>
      <c r="J51" s="34"/>
      <c r="K51" s="34"/>
      <c r="L51" s="33">
        <f>SUM(L47:L50)</f>
        <v>15132.02</v>
      </c>
      <c r="M51" s="34"/>
      <c r="N51" s="34"/>
      <c r="O51" s="34"/>
      <c r="P51" s="34"/>
      <c r="Q51" s="34">
        <f>SUM(Q47:Q50)</f>
        <v>42969</v>
      </c>
      <c r="R51" s="112">
        <f>SUM(R47:R50)</f>
        <v>137866240.87800002</v>
      </c>
      <c r="S51" s="34"/>
      <c r="T51" s="118">
        <f>SUM(T47:T50)</f>
        <v>191554555.71000001</v>
      </c>
      <c r="U51" s="35">
        <f>SUM(U47:U50)</f>
        <v>31293787.400000002</v>
      </c>
    </row>
    <row r="52" spans="1:22">
      <c r="P52" t="s">
        <v>119</v>
      </c>
      <c r="Q52" s="35">
        <f>Q51*L51</f>
        <v>650207767.38</v>
      </c>
      <c r="T52" s="119">
        <f>T51-R51</f>
        <v>53688314.831999987</v>
      </c>
      <c r="V52" s="120">
        <f>T52+U51</f>
        <v>84982102.231999993</v>
      </c>
    </row>
    <row r="54" spans="1:22">
      <c r="A54" s="124" t="s">
        <v>83</v>
      </c>
      <c r="B54" s="124"/>
      <c r="C54" s="124"/>
      <c r="D54" s="124"/>
      <c r="E54" s="124"/>
      <c r="F54" s="124"/>
      <c r="G54" s="124"/>
      <c r="H54" s="124"/>
      <c r="I54" s="124"/>
      <c r="J54" s="124"/>
      <c r="K54" s="124"/>
      <c r="L54" s="124"/>
      <c r="M54" s="124"/>
      <c r="N54" s="124"/>
      <c r="O54" s="124"/>
      <c r="P54" s="124"/>
      <c r="Q54" s="124"/>
      <c r="R54" s="124"/>
      <c r="S54" s="124"/>
      <c r="T54" s="124"/>
    </row>
    <row r="55" spans="1:22">
      <c r="A55" s="124" t="s">
        <v>90</v>
      </c>
      <c r="B55" s="124"/>
      <c r="C55" s="124" t="s">
        <v>91</v>
      </c>
      <c r="D55" s="124"/>
      <c r="E55" s="94" t="s">
        <v>92</v>
      </c>
      <c r="F55" s="34" t="s">
        <v>93</v>
      </c>
      <c r="G55" s="94" t="s">
        <v>94</v>
      </c>
      <c r="H55" s="34" t="s">
        <v>95</v>
      </c>
      <c r="I55" s="34" t="s">
        <v>96</v>
      </c>
      <c r="J55" s="34" t="s">
        <v>97</v>
      </c>
      <c r="K55" s="34" t="s">
        <v>98</v>
      </c>
      <c r="L55" s="34" t="s">
        <v>99</v>
      </c>
      <c r="M55" s="34" t="s">
        <v>100</v>
      </c>
      <c r="N55" s="34" t="s">
        <v>101</v>
      </c>
      <c r="O55" s="34" t="s">
        <v>102</v>
      </c>
      <c r="P55" s="34" t="s">
        <v>100</v>
      </c>
      <c r="Q55" s="34" t="s">
        <v>103</v>
      </c>
      <c r="R55" s="111" t="s">
        <v>104</v>
      </c>
      <c r="S55" s="94" t="s">
        <v>105</v>
      </c>
      <c r="T55" s="117" t="s">
        <v>106</v>
      </c>
      <c r="U55" s="107" t="s">
        <v>107</v>
      </c>
      <c r="V55" s="107" t="s">
        <v>120</v>
      </c>
    </row>
    <row r="56" spans="1:22">
      <c r="A56" s="130" t="s">
        <v>11</v>
      </c>
      <c r="B56" s="130"/>
      <c r="C56" s="131">
        <v>6159.96</v>
      </c>
      <c r="D56" s="131"/>
      <c r="E56" s="95">
        <f>C56*40%</f>
        <v>2463.9840000000004</v>
      </c>
      <c r="F56" s="33">
        <f>C56+E56</f>
        <v>8623.9439999999995</v>
      </c>
      <c r="G56" s="95">
        <v>233.77</v>
      </c>
      <c r="H56" s="97">
        <f>F56+G56</f>
        <v>8857.7139999999999</v>
      </c>
      <c r="I56" s="97">
        <v>0.92</v>
      </c>
      <c r="J56" s="97">
        <v>8.7100000000000009</v>
      </c>
      <c r="K56" s="98">
        <v>5.6</v>
      </c>
      <c r="L56" s="98">
        <f>SUM(H56:K56)</f>
        <v>8872.9439999999995</v>
      </c>
      <c r="M56" s="97">
        <f>N56-L56</f>
        <v>2803.7260000000006</v>
      </c>
      <c r="N56" s="33">
        <f>11846.67-170</f>
        <v>11676.67</v>
      </c>
      <c r="O56" s="109">
        <v>219.9</v>
      </c>
      <c r="P56" s="33">
        <f>O56+M56</f>
        <v>3023.6260000000007</v>
      </c>
      <c r="Q56" s="100">
        <v>8487</v>
      </c>
      <c r="R56" s="112">
        <f>L56*Q56</f>
        <v>75304675.728</v>
      </c>
      <c r="S56" s="100">
        <v>8487</v>
      </c>
      <c r="T56" s="118">
        <f>S56*N56</f>
        <v>99099898.290000007</v>
      </c>
      <c r="U56" s="35">
        <f>(S56+S47+S39+S30+S21+S12+S3)*O56</f>
        <v>12985314.9</v>
      </c>
    </row>
    <row r="57" spans="1:22">
      <c r="A57" s="130" t="s">
        <v>15</v>
      </c>
      <c r="B57" s="130"/>
      <c r="C57" s="131">
        <v>2789.26</v>
      </c>
      <c r="D57" s="131"/>
      <c r="E57" s="95">
        <f>C57*30%</f>
        <v>836.77800000000002</v>
      </c>
      <c r="F57" s="33">
        <f t="shared" ref="F57:F59" si="42">C57+E57</f>
        <v>3626.0380000000005</v>
      </c>
      <c r="G57" s="95">
        <v>233.77</v>
      </c>
      <c r="H57" s="97">
        <f t="shared" ref="H57:H59" si="43">F57+G57</f>
        <v>3859.8080000000004</v>
      </c>
      <c r="I57" s="97">
        <v>0.92</v>
      </c>
      <c r="J57" s="97">
        <v>8.7100000000000009</v>
      </c>
      <c r="K57" s="98">
        <v>5.6</v>
      </c>
      <c r="L57" s="98">
        <f t="shared" ref="L57:L59" si="44">SUM(H57:K57)</f>
        <v>3875.0380000000005</v>
      </c>
      <c r="M57" s="97">
        <f>N57-L57</f>
        <v>3303.2919999999995</v>
      </c>
      <c r="N57" s="33">
        <f>7459.33-281</f>
        <v>7178.33</v>
      </c>
      <c r="O57" s="109">
        <v>149.9</v>
      </c>
      <c r="P57" s="33">
        <f t="shared" ref="P57:P59" si="45">O57+M57</f>
        <v>3453.1919999999996</v>
      </c>
      <c r="Q57" s="100">
        <v>7207</v>
      </c>
      <c r="R57" s="112">
        <f t="shared" ref="R57:R59" si="46">L57*Q57</f>
        <v>27927398.866000004</v>
      </c>
      <c r="S57" s="100">
        <v>7207</v>
      </c>
      <c r="T57" s="118">
        <f>S57*N57</f>
        <v>51734224.310000002</v>
      </c>
      <c r="U57" s="35">
        <f t="shared" ref="U57:U59" si="47">(S57+S48+S40+S31+S22+S13+S4)*O57</f>
        <v>9633623.3000000007</v>
      </c>
    </row>
    <row r="58" spans="1:22">
      <c r="A58" s="141" t="s">
        <v>18</v>
      </c>
      <c r="B58" s="141"/>
      <c r="C58" s="142">
        <v>891</v>
      </c>
      <c r="D58" s="142"/>
      <c r="E58" s="95">
        <f>C58*40%</f>
        <v>356.40000000000003</v>
      </c>
      <c r="F58" s="33">
        <f t="shared" si="42"/>
        <v>1247.4000000000001</v>
      </c>
      <c r="G58" s="95">
        <v>233.77</v>
      </c>
      <c r="H58" s="97">
        <f t="shared" si="43"/>
        <v>1481.17</v>
      </c>
      <c r="I58" s="97">
        <v>0.92</v>
      </c>
      <c r="J58" s="97">
        <v>8.7100000000000009</v>
      </c>
      <c r="K58" s="98">
        <v>5.6</v>
      </c>
      <c r="L58" s="98">
        <f t="shared" si="44"/>
        <v>1496.4</v>
      </c>
      <c r="M58" s="97">
        <f>N58-L58</f>
        <v>303.58999999999992</v>
      </c>
      <c r="N58" s="33">
        <f>1517.5+282.49</f>
        <v>1799.99</v>
      </c>
      <c r="O58" s="109">
        <v>99.9</v>
      </c>
      <c r="P58" s="33">
        <f t="shared" si="45"/>
        <v>403.4899999999999</v>
      </c>
      <c r="Q58" s="100">
        <v>12858</v>
      </c>
      <c r="R58" s="112">
        <f t="shared" si="46"/>
        <v>19240711.200000003</v>
      </c>
      <c r="S58" s="100">
        <v>12858</v>
      </c>
      <c r="T58" s="118">
        <f>S58*N58</f>
        <v>23144271.420000002</v>
      </c>
      <c r="U58" s="35">
        <f t="shared" si="47"/>
        <v>9394296.3000000007</v>
      </c>
    </row>
    <row r="59" spans="1:22">
      <c r="A59" s="130" t="s">
        <v>21</v>
      </c>
      <c r="B59" s="130"/>
      <c r="C59" s="131">
        <v>491.26</v>
      </c>
      <c r="D59" s="131"/>
      <c r="E59" s="95">
        <f>C59*30%</f>
        <v>147.37799999999999</v>
      </c>
      <c r="F59" s="33">
        <f t="shared" si="42"/>
        <v>638.63799999999992</v>
      </c>
      <c r="G59" s="95">
        <v>233.77</v>
      </c>
      <c r="H59" s="97">
        <f t="shared" si="43"/>
        <v>872.4079999999999</v>
      </c>
      <c r="I59" s="97">
        <v>0.92</v>
      </c>
      <c r="J59" s="97">
        <v>8.7100000000000009</v>
      </c>
      <c r="K59" s="98">
        <v>5.6</v>
      </c>
      <c r="L59" s="98">
        <f t="shared" si="44"/>
        <v>887.63799999999992</v>
      </c>
      <c r="M59" s="97">
        <f>N59-L59</f>
        <v>62.352000000000089</v>
      </c>
      <c r="N59" s="97">
        <f>796.02+153.97</f>
        <v>949.99</v>
      </c>
      <c r="O59" s="109">
        <v>59.9</v>
      </c>
      <c r="P59" s="33">
        <f t="shared" si="45"/>
        <v>122.25200000000009</v>
      </c>
      <c r="Q59" s="100">
        <v>13035</v>
      </c>
      <c r="R59" s="112">
        <f t="shared" si="46"/>
        <v>11570361.329999998</v>
      </c>
      <c r="S59" s="100">
        <v>13035</v>
      </c>
      <c r="T59" s="118">
        <f>S59*N59</f>
        <v>12383119.65</v>
      </c>
      <c r="U59" s="35">
        <f t="shared" si="47"/>
        <v>4126271.4</v>
      </c>
    </row>
    <row r="60" spans="1:22">
      <c r="A60" s="34"/>
      <c r="B60" s="34"/>
      <c r="C60" s="34"/>
      <c r="D60" s="34"/>
      <c r="E60" s="34"/>
      <c r="F60" s="34"/>
      <c r="G60" s="34"/>
      <c r="H60" s="34"/>
      <c r="I60" s="34"/>
      <c r="J60" s="34"/>
      <c r="K60" s="34"/>
      <c r="L60" s="33">
        <f>SUM(L56:L59)</f>
        <v>15132.02</v>
      </c>
      <c r="M60" s="34"/>
      <c r="N60" s="34"/>
      <c r="O60" s="34"/>
      <c r="P60" s="34"/>
      <c r="Q60" s="34">
        <f>SUM(Q56:Q59)</f>
        <v>41587</v>
      </c>
      <c r="R60" s="112">
        <f>SUM(R56:R59)</f>
        <v>134043147.12400001</v>
      </c>
      <c r="S60" s="34"/>
      <c r="T60" s="118">
        <f>SUM(T56:T59)</f>
        <v>186361513.67000005</v>
      </c>
      <c r="U60" s="35">
        <f>SUM(U56:U59)</f>
        <v>36139505.900000006</v>
      </c>
    </row>
    <row r="61" spans="1:22">
      <c r="P61" t="s">
        <v>121</v>
      </c>
      <c r="Q61" s="35">
        <f>Q60*L60</f>
        <v>629295315.74000001</v>
      </c>
      <c r="T61" s="119">
        <f>T60-R60</f>
        <v>52318366.546000034</v>
      </c>
      <c r="V61" s="120">
        <f>T61+U60</f>
        <v>88457872.44600004</v>
      </c>
    </row>
    <row r="62" spans="1:22">
      <c r="A62" s="124" t="s">
        <v>55</v>
      </c>
      <c r="B62" s="124"/>
      <c r="C62" s="124"/>
      <c r="D62" s="124"/>
      <c r="E62" s="124"/>
      <c r="F62" s="124"/>
      <c r="G62" s="124"/>
      <c r="H62" s="124"/>
      <c r="I62" s="124"/>
      <c r="J62" s="124"/>
      <c r="K62" s="124"/>
      <c r="L62" s="124"/>
      <c r="M62" s="124"/>
      <c r="N62" s="124"/>
      <c r="O62" s="124"/>
      <c r="P62" s="124"/>
      <c r="Q62" s="124"/>
      <c r="R62" s="124"/>
      <c r="S62" s="124"/>
      <c r="T62" s="124"/>
    </row>
    <row r="63" spans="1:22">
      <c r="A63" s="124" t="s">
        <v>90</v>
      </c>
      <c r="B63" s="124"/>
      <c r="C63" s="124" t="s">
        <v>91</v>
      </c>
      <c r="D63" s="124"/>
      <c r="E63" s="94" t="s">
        <v>92</v>
      </c>
      <c r="F63" s="34" t="s">
        <v>93</v>
      </c>
      <c r="G63" s="94" t="s">
        <v>94</v>
      </c>
      <c r="H63" s="34" t="s">
        <v>95</v>
      </c>
      <c r="I63" s="34" t="s">
        <v>96</v>
      </c>
      <c r="J63" s="34" t="s">
        <v>97</v>
      </c>
      <c r="K63" s="34" t="s">
        <v>98</v>
      </c>
      <c r="L63" s="34" t="s">
        <v>99</v>
      </c>
      <c r="M63" s="34" t="s">
        <v>100</v>
      </c>
      <c r="N63" s="34" t="s">
        <v>101</v>
      </c>
      <c r="O63" s="34" t="s">
        <v>102</v>
      </c>
      <c r="P63" s="34" t="s">
        <v>100</v>
      </c>
      <c r="Q63" s="34" t="s">
        <v>103</v>
      </c>
      <c r="R63" s="111" t="s">
        <v>104</v>
      </c>
      <c r="S63" s="94" t="s">
        <v>105</v>
      </c>
      <c r="T63" s="117" t="s">
        <v>106</v>
      </c>
      <c r="U63" s="107" t="s">
        <v>107</v>
      </c>
      <c r="V63" s="107" t="s">
        <v>122</v>
      </c>
    </row>
    <row r="64" spans="1:22">
      <c r="A64" s="130" t="s">
        <v>11</v>
      </c>
      <c r="B64" s="130"/>
      <c r="C64" s="131">
        <v>6159.96</v>
      </c>
      <c r="D64" s="131"/>
      <c r="E64" s="95">
        <f>C64*40%</f>
        <v>2463.9840000000004</v>
      </c>
      <c r="F64" s="33">
        <f>C64+E64</f>
        <v>8623.9439999999995</v>
      </c>
      <c r="G64" s="95">
        <v>233.77</v>
      </c>
      <c r="H64" s="97">
        <f>F64+G64</f>
        <v>8857.7139999999999</v>
      </c>
      <c r="I64" s="97">
        <v>0.92</v>
      </c>
      <c r="J64" s="97">
        <v>8.7100000000000009</v>
      </c>
      <c r="K64" s="98">
        <v>5.6</v>
      </c>
      <c r="L64" s="98">
        <f>SUM(H64:K64)</f>
        <v>8872.9439999999995</v>
      </c>
      <c r="M64" s="97">
        <f>N64-L64</f>
        <v>2803.7260000000006</v>
      </c>
      <c r="N64" s="33">
        <f>11846.67-170</f>
        <v>11676.67</v>
      </c>
      <c r="O64" s="109">
        <v>219.9</v>
      </c>
      <c r="P64" s="33">
        <f>O64+M64</f>
        <v>3023.6260000000007</v>
      </c>
      <c r="Q64" s="100">
        <v>8487</v>
      </c>
      <c r="R64" s="112">
        <f>L64*Q64</f>
        <v>75304675.728</v>
      </c>
      <c r="S64" s="100">
        <v>8487</v>
      </c>
      <c r="T64" s="118">
        <f>S64*N64</f>
        <v>99099898.290000007</v>
      </c>
      <c r="U64" s="35">
        <f>(S64+S56+S47+S38+S29+S21+S12+S3)*O64</f>
        <v>15430822.800000001</v>
      </c>
    </row>
    <row r="65" spans="1:22">
      <c r="A65" s="130" t="s">
        <v>15</v>
      </c>
      <c r="B65" s="130"/>
      <c r="C65" s="131">
        <v>2789.26</v>
      </c>
      <c r="D65" s="131"/>
      <c r="E65" s="95">
        <f>C65*30%</f>
        <v>836.77800000000002</v>
      </c>
      <c r="F65" s="33">
        <f t="shared" ref="F65:F67" si="48">C65+E65</f>
        <v>3626.0380000000005</v>
      </c>
      <c r="G65" s="95">
        <v>233.77</v>
      </c>
      <c r="H65" s="97">
        <f t="shared" ref="H65:H67" si="49">F65+G65</f>
        <v>3859.8080000000004</v>
      </c>
      <c r="I65" s="97">
        <v>0.92</v>
      </c>
      <c r="J65" s="97">
        <v>8.7100000000000009</v>
      </c>
      <c r="K65" s="98">
        <v>5.6</v>
      </c>
      <c r="L65" s="98">
        <f t="shared" ref="L65:L67" si="50">SUM(H65:K65)</f>
        <v>3875.0380000000005</v>
      </c>
      <c r="M65" s="97">
        <f>N65-L65</f>
        <v>3303.2919999999995</v>
      </c>
      <c r="N65" s="33">
        <f>7459.33-281</f>
        <v>7178.33</v>
      </c>
      <c r="O65" s="109">
        <v>149.9</v>
      </c>
      <c r="P65" s="33">
        <f t="shared" ref="P65:P67" si="51">O65+M65</f>
        <v>3453.1919999999996</v>
      </c>
      <c r="Q65" s="100">
        <v>7207</v>
      </c>
      <c r="R65" s="112">
        <f t="shared" ref="R65:R67" si="52">L65*Q65</f>
        <v>27927398.866000004</v>
      </c>
      <c r="S65" s="100">
        <v>7207</v>
      </c>
      <c r="T65" s="118">
        <f>S65*N65</f>
        <v>51734224.310000002</v>
      </c>
      <c r="U65" s="35">
        <f t="shared" ref="U65:U67" si="53">(S65+S57+S48+S39+S30+S22+S13+S4)*O65</f>
        <v>8911555</v>
      </c>
    </row>
    <row r="66" spans="1:22">
      <c r="A66" s="141" t="s">
        <v>18</v>
      </c>
      <c r="B66" s="141"/>
      <c r="C66" s="142">
        <v>891</v>
      </c>
      <c r="D66" s="142"/>
      <c r="E66" s="95">
        <f>C66*40%</f>
        <v>356.40000000000003</v>
      </c>
      <c r="F66" s="33">
        <f t="shared" si="48"/>
        <v>1247.4000000000001</v>
      </c>
      <c r="G66" s="95">
        <v>233.77</v>
      </c>
      <c r="H66" s="97">
        <f t="shared" si="49"/>
        <v>1481.17</v>
      </c>
      <c r="I66" s="97">
        <v>0.92</v>
      </c>
      <c r="J66" s="97">
        <v>8.7100000000000009</v>
      </c>
      <c r="K66" s="98">
        <v>5.6</v>
      </c>
      <c r="L66" s="98">
        <f t="shared" si="50"/>
        <v>1496.4</v>
      </c>
      <c r="M66" s="97">
        <f>N66-L66</f>
        <v>303.58999999999992</v>
      </c>
      <c r="N66" s="33">
        <f>1517.5+282.49</f>
        <v>1799.99</v>
      </c>
      <c r="O66" s="109">
        <v>99.9</v>
      </c>
      <c r="P66" s="33">
        <f t="shared" si="51"/>
        <v>403.4899999999999</v>
      </c>
      <c r="Q66" s="100">
        <v>12858</v>
      </c>
      <c r="R66" s="112">
        <f t="shared" si="52"/>
        <v>19240711.200000003</v>
      </c>
      <c r="S66" s="100">
        <v>12858</v>
      </c>
      <c r="T66" s="118">
        <f>S66*N66</f>
        <v>23144271.420000002</v>
      </c>
      <c r="U66" s="35">
        <f t="shared" si="53"/>
        <v>10590199.200000001</v>
      </c>
    </row>
    <row r="67" spans="1:22">
      <c r="A67" s="130" t="s">
        <v>21</v>
      </c>
      <c r="B67" s="130"/>
      <c r="C67" s="131">
        <v>491.26</v>
      </c>
      <c r="D67" s="131"/>
      <c r="E67" s="95">
        <f>C67*30%</f>
        <v>147.37799999999999</v>
      </c>
      <c r="F67" s="33">
        <f t="shared" si="48"/>
        <v>638.63799999999992</v>
      </c>
      <c r="G67" s="95">
        <v>233.77</v>
      </c>
      <c r="H67" s="97">
        <f t="shared" si="49"/>
        <v>872.4079999999999</v>
      </c>
      <c r="I67" s="97">
        <v>0.92</v>
      </c>
      <c r="J67" s="97">
        <v>8.7100000000000009</v>
      </c>
      <c r="K67" s="98">
        <v>5.6</v>
      </c>
      <c r="L67" s="98">
        <f t="shared" si="50"/>
        <v>887.63799999999992</v>
      </c>
      <c r="M67" s="97">
        <f>N67-L67</f>
        <v>62.352000000000089</v>
      </c>
      <c r="N67" s="97">
        <f>796.02+153.97</f>
        <v>949.99</v>
      </c>
      <c r="O67" s="109">
        <v>59.9</v>
      </c>
      <c r="P67" s="33">
        <f t="shared" si="51"/>
        <v>122.25200000000009</v>
      </c>
      <c r="Q67" s="100">
        <v>13035</v>
      </c>
      <c r="R67" s="112">
        <f t="shared" si="52"/>
        <v>11570361.329999998</v>
      </c>
      <c r="S67" s="100">
        <v>13035</v>
      </c>
      <c r="T67" s="118">
        <f>S67*N67</f>
        <v>12383119.65</v>
      </c>
      <c r="U67" s="35">
        <f t="shared" si="53"/>
        <v>6564021.7000000002</v>
      </c>
    </row>
    <row r="68" spans="1:22">
      <c r="A68" s="34"/>
      <c r="B68" s="34"/>
      <c r="C68" s="34"/>
      <c r="D68" s="34"/>
      <c r="E68" s="34"/>
      <c r="F68" s="34"/>
      <c r="G68" s="34"/>
      <c r="H68" s="34"/>
      <c r="I68" s="34"/>
      <c r="J68" s="34"/>
      <c r="K68" s="34"/>
      <c r="L68" s="33">
        <f>SUM(L64:L67)</f>
        <v>15132.02</v>
      </c>
      <c r="M68" s="34"/>
      <c r="N68" s="34"/>
      <c r="O68" s="34"/>
      <c r="P68" s="34"/>
      <c r="Q68" s="34">
        <f>SUM(Q64:Q67)</f>
        <v>41587</v>
      </c>
      <c r="R68" s="112">
        <f>SUM(R64:R67)</f>
        <v>134043147.12400001</v>
      </c>
      <c r="S68" s="34"/>
      <c r="T68" s="118">
        <f>SUM(T64:T67)</f>
        <v>186361513.67000005</v>
      </c>
      <c r="U68" s="35">
        <f>SUM(U64:U67)</f>
        <v>41496598.700000003</v>
      </c>
    </row>
    <row r="69" spans="1:22">
      <c r="P69" t="s">
        <v>123</v>
      </c>
      <c r="Q69" s="35">
        <f>Q68*L68</f>
        <v>629295315.74000001</v>
      </c>
      <c r="T69" s="119">
        <f>T68-R68</f>
        <v>52318366.546000034</v>
      </c>
      <c r="V69" s="120">
        <f>T69+U68</f>
        <v>93814965.246000037</v>
      </c>
    </row>
    <row r="71" spans="1:22">
      <c r="A71" s="124" t="s">
        <v>85</v>
      </c>
      <c r="B71" s="124"/>
      <c r="C71" s="124"/>
      <c r="D71" s="124"/>
      <c r="E71" s="124"/>
      <c r="F71" s="124"/>
      <c r="G71" s="124"/>
      <c r="H71" s="124"/>
      <c r="I71" s="124"/>
      <c r="J71" s="124"/>
      <c r="K71" s="124"/>
      <c r="L71" s="124"/>
      <c r="M71" s="124"/>
      <c r="N71" s="124"/>
      <c r="O71" s="124"/>
      <c r="P71" s="124"/>
      <c r="Q71" s="124"/>
      <c r="R71" s="124"/>
      <c r="S71" s="124"/>
      <c r="T71" s="124"/>
    </row>
    <row r="72" spans="1:22">
      <c r="A72" s="124" t="s">
        <v>90</v>
      </c>
      <c r="B72" s="124"/>
      <c r="C72" s="124" t="s">
        <v>91</v>
      </c>
      <c r="D72" s="124"/>
      <c r="E72" s="94" t="s">
        <v>92</v>
      </c>
      <c r="F72" s="34" t="s">
        <v>93</v>
      </c>
      <c r="G72" s="94" t="s">
        <v>94</v>
      </c>
      <c r="H72" s="34" t="s">
        <v>95</v>
      </c>
      <c r="I72" s="34" t="s">
        <v>96</v>
      </c>
      <c r="J72" s="34" t="s">
        <v>97</v>
      </c>
      <c r="K72" s="34" t="s">
        <v>98</v>
      </c>
      <c r="L72" s="34" t="s">
        <v>99</v>
      </c>
      <c r="M72" s="34" t="s">
        <v>100</v>
      </c>
      <c r="N72" s="34" t="s">
        <v>101</v>
      </c>
      <c r="O72" s="34" t="s">
        <v>102</v>
      </c>
      <c r="P72" s="34" t="s">
        <v>100</v>
      </c>
      <c r="Q72" s="34" t="s">
        <v>103</v>
      </c>
      <c r="R72" s="111" t="s">
        <v>104</v>
      </c>
      <c r="S72" s="94" t="s">
        <v>105</v>
      </c>
      <c r="T72" s="117" t="s">
        <v>106</v>
      </c>
      <c r="U72" s="107" t="s">
        <v>107</v>
      </c>
      <c r="V72" s="107" t="s">
        <v>124</v>
      </c>
    </row>
    <row r="73" spans="1:22">
      <c r="A73" s="130" t="s">
        <v>11</v>
      </c>
      <c r="B73" s="130"/>
      <c r="C73" s="131">
        <v>6159.96</v>
      </c>
      <c r="D73" s="131"/>
      <c r="E73" s="95">
        <f>C73*40%</f>
        <v>2463.9840000000004</v>
      </c>
      <c r="F73" s="33">
        <f>C73+E73</f>
        <v>8623.9439999999995</v>
      </c>
      <c r="G73" s="95">
        <v>233.77</v>
      </c>
      <c r="H73" s="97">
        <f>F73+G73</f>
        <v>8857.7139999999999</v>
      </c>
      <c r="I73" s="97">
        <v>0.92</v>
      </c>
      <c r="J73" s="97">
        <v>8.7100000000000009</v>
      </c>
      <c r="K73" s="98">
        <v>5.6</v>
      </c>
      <c r="L73" s="98">
        <f>SUM(H73:K73)</f>
        <v>8872.9439999999995</v>
      </c>
      <c r="M73" s="97">
        <f>N73-L73</f>
        <v>2803.7260000000006</v>
      </c>
      <c r="N73" s="33">
        <f>11846.67-170</f>
        <v>11676.67</v>
      </c>
      <c r="O73" s="109">
        <v>219.9</v>
      </c>
      <c r="P73" s="33">
        <f>O73+M73</f>
        <v>3023.6260000000007</v>
      </c>
      <c r="Q73" s="100">
        <v>8065</v>
      </c>
      <c r="R73" s="112">
        <f>L73*Q73</f>
        <v>71560293.359999999</v>
      </c>
      <c r="S73" s="100">
        <v>8065</v>
      </c>
      <c r="T73" s="118">
        <f>S73*N73</f>
        <v>94172343.549999997</v>
      </c>
      <c r="U73" s="35">
        <f>(S73+S65+S56+S47+S38+S30+S21+S12+S3)*O73</f>
        <v>16641152.4</v>
      </c>
    </row>
    <row r="74" spans="1:22">
      <c r="A74" s="130" t="s">
        <v>15</v>
      </c>
      <c r="B74" s="130"/>
      <c r="C74" s="131">
        <v>2789.26</v>
      </c>
      <c r="D74" s="131"/>
      <c r="E74" s="95">
        <f>C74*30%</f>
        <v>836.77800000000002</v>
      </c>
      <c r="F74" s="33">
        <f t="shared" ref="F74:F76" si="54">C74+E74</f>
        <v>3626.0380000000005</v>
      </c>
      <c r="G74" s="95">
        <v>233.77</v>
      </c>
      <c r="H74" s="97">
        <f t="shared" ref="H74:H76" si="55">F74+G74</f>
        <v>3859.8080000000004</v>
      </c>
      <c r="I74" s="97">
        <v>0.92</v>
      </c>
      <c r="J74" s="97">
        <v>8.7100000000000009</v>
      </c>
      <c r="K74" s="98">
        <v>5.6</v>
      </c>
      <c r="L74" s="98">
        <f t="shared" ref="L74:L76" si="56">SUM(H74:K74)</f>
        <v>3875.0380000000005</v>
      </c>
      <c r="M74" s="97">
        <f>N74-L74</f>
        <v>3303.2919999999995</v>
      </c>
      <c r="N74" s="33">
        <f>7459.33-281</f>
        <v>7178.33</v>
      </c>
      <c r="O74" s="109">
        <v>149.9</v>
      </c>
      <c r="P74" s="33">
        <f t="shared" ref="P74:P76" si="57">O74+M74</f>
        <v>3453.1919999999996</v>
      </c>
      <c r="Q74" s="100">
        <v>6793</v>
      </c>
      <c r="R74" s="112">
        <f t="shared" ref="R74:R76" si="58">L74*Q74</f>
        <v>26323133.134000003</v>
      </c>
      <c r="S74" s="100">
        <v>6793</v>
      </c>
      <c r="T74" s="118">
        <f>S74*N74</f>
        <v>48762395.689999998</v>
      </c>
      <c r="U74" s="35">
        <f t="shared" ref="U74:U76" si="59">(S74+S66+S57+S48+S39+S31+S22+S13+S4)*O74</f>
        <v>11620248</v>
      </c>
    </row>
    <row r="75" spans="1:22">
      <c r="A75" s="141" t="s">
        <v>18</v>
      </c>
      <c r="B75" s="141"/>
      <c r="C75" s="142">
        <v>891</v>
      </c>
      <c r="D75" s="142"/>
      <c r="E75" s="95">
        <f>C75*40%</f>
        <v>356.40000000000003</v>
      </c>
      <c r="F75" s="33">
        <f t="shared" si="54"/>
        <v>1247.4000000000001</v>
      </c>
      <c r="G75" s="95">
        <v>233.77</v>
      </c>
      <c r="H75" s="97">
        <f t="shared" si="55"/>
        <v>1481.17</v>
      </c>
      <c r="I75" s="97">
        <v>0.92</v>
      </c>
      <c r="J75" s="97">
        <v>8.7100000000000009</v>
      </c>
      <c r="K75" s="98">
        <v>5.6</v>
      </c>
      <c r="L75" s="98">
        <f t="shared" si="56"/>
        <v>1496.4</v>
      </c>
      <c r="M75" s="97">
        <f>N75-L75</f>
        <v>303.58999999999992</v>
      </c>
      <c r="N75" s="33">
        <f>1517.5+282.49</f>
        <v>1799.99</v>
      </c>
      <c r="O75" s="109">
        <v>99.9</v>
      </c>
      <c r="P75" s="33">
        <f t="shared" si="57"/>
        <v>403.4899999999999</v>
      </c>
      <c r="Q75" s="100">
        <v>12120</v>
      </c>
      <c r="R75" s="112">
        <f t="shared" si="58"/>
        <v>18136368</v>
      </c>
      <c r="S75" s="100">
        <v>12120</v>
      </c>
      <c r="T75" s="118">
        <f>S75*N75</f>
        <v>21815878.800000001</v>
      </c>
      <c r="U75" s="35">
        <f t="shared" si="59"/>
        <v>11892595.5</v>
      </c>
    </row>
    <row r="76" spans="1:22">
      <c r="A76" s="130" t="s">
        <v>21</v>
      </c>
      <c r="B76" s="130"/>
      <c r="C76" s="131">
        <v>491.26</v>
      </c>
      <c r="D76" s="131"/>
      <c r="E76" s="95">
        <f>C76*30%</f>
        <v>147.37799999999999</v>
      </c>
      <c r="F76" s="33">
        <f t="shared" si="54"/>
        <v>638.63799999999992</v>
      </c>
      <c r="G76" s="95">
        <v>233.77</v>
      </c>
      <c r="H76" s="97">
        <f t="shared" si="55"/>
        <v>872.4079999999999</v>
      </c>
      <c r="I76" s="97">
        <v>0.92</v>
      </c>
      <c r="J76" s="97">
        <v>8.7100000000000009</v>
      </c>
      <c r="K76" s="98">
        <v>5.6</v>
      </c>
      <c r="L76" s="98">
        <f t="shared" si="56"/>
        <v>887.63799999999992</v>
      </c>
      <c r="M76" s="97">
        <f>N76-L76</f>
        <v>62.352000000000089</v>
      </c>
      <c r="N76" s="97">
        <f>796.02+153.97</f>
        <v>949.99</v>
      </c>
      <c r="O76" s="109">
        <v>59.9</v>
      </c>
      <c r="P76" s="33">
        <f t="shared" si="57"/>
        <v>122.25200000000009</v>
      </c>
      <c r="Q76" s="100">
        <v>12313</v>
      </c>
      <c r="R76" s="112">
        <f t="shared" si="58"/>
        <v>10929486.693999998</v>
      </c>
      <c r="S76" s="100">
        <v>12313</v>
      </c>
      <c r="T76" s="118">
        <f>S76*N76</f>
        <v>11697226.870000001</v>
      </c>
      <c r="U76" s="35">
        <f t="shared" si="59"/>
        <v>5706253.7000000002</v>
      </c>
    </row>
    <row r="77" spans="1:22">
      <c r="A77" s="34"/>
      <c r="B77" s="34"/>
      <c r="C77" s="34"/>
      <c r="D77" s="34"/>
      <c r="E77" s="34"/>
      <c r="F77" s="34"/>
      <c r="G77" s="34"/>
      <c r="H77" s="34"/>
      <c r="I77" s="34"/>
      <c r="J77" s="34"/>
      <c r="K77" s="34"/>
      <c r="L77" s="33">
        <f>SUM(L73:L76)</f>
        <v>15132.02</v>
      </c>
      <c r="M77" s="34"/>
      <c r="N77" s="34"/>
      <c r="O77" s="34"/>
      <c r="P77" s="34"/>
      <c r="Q77" s="34">
        <f>SUM(Q73:Q76)</f>
        <v>39291</v>
      </c>
      <c r="R77" s="112">
        <f>SUM(R73:R76)</f>
        <v>126949281.18799999</v>
      </c>
      <c r="S77" s="34"/>
      <c r="T77" s="118">
        <f>SUM(T73:T76)</f>
        <v>176447844.91000003</v>
      </c>
      <c r="U77" s="35">
        <f>SUM(U73:U76)</f>
        <v>45860249.600000001</v>
      </c>
    </row>
    <row r="78" spans="1:22">
      <c r="P78" t="s">
        <v>125</v>
      </c>
      <c r="Q78" s="35">
        <f>Q77*L77</f>
        <v>594552197.82000005</v>
      </c>
      <c r="T78" s="119">
        <f>T77-R77</f>
        <v>49498563.722000033</v>
      </c>
      <c r="V78" s="120">
        <f>T78+U77</f>
        <v>95358813.322000027</v>
      </c>
    </row>
    <row r="80" spans="1:22">
      <c r="A80" s="124" t="s">
        <v>86</v>
      </c>
      <c r="B80" s="124"/>
      <c r="C80" s="124"/>
      <c r="D80" s="124"/>
      <c r="E80" s="124"/>
      <c r="F80" s="124"/>
      <c r="G80" s="124"/>
      <c r="H80" s="124"/>
      <c r="I80" s="124"/>
      <c r="J80" s="124"/>
      <c r="K80" s="124"/>
      <c r="L80" s="124"/>
      <c r="M80" s="124"/>
      <c r="N80" s="124"/>
      <c r="O80" s="124"/>
      <c r="P80" s="124"/>
      <c r="Q80" s="124"/>
      <c r="R80" s="124"/>
      <c r="S80" s="124"/>
      <c r="T80" s="124"/>
    </row>
    <row r="81" spans="1:22">
      <c r="A81" s="124" t="s">
        <v>90</v>
      </c>
      <c r="B81" s="124"/>
      <c r="C81" s="124" t="s">
        <v>91</v>
      </c>
      <c r="D81" s="124"/>
      <c r="E81" s="94" t="s">
        <v>92</v>
      </c>
      <c r="F81" s="34" t="s">
        <v>93</v>
      </c>
      <c r="G81" s="94" t="s">
        <v>94</v>
      </c>
      <c r="H81" s="34" t="s">
        <v>95</v>
      </c>
      <c r="I81" s="34" t="s">
        <v>96</v>
      </c>
      <c r="J81" s="34" t="s">
        <v>97</v>
      </c>
      <c r="K81" s="34" t="s">
        <v>98</v>
      </c>
      <c r="L81" s="34" t="s">
        <v>99</v>
      </c>
      <c r="M81" s="34" t="s">
        <v>100</v>
      </c>
      <c r="N81" s="34" t="s">
        <v>101</v>
      </c>
      <c r="O81" s="34" t="s">
        <v>102</v>
      </c>
      <c r="P81" s="34" t="s">
        <v>100</v>
      </c>
      <c r="Q81" s="34" t="s">
        <v>103</v>
      </c>
      <c r="R81" s="111" t="s">
        <v>104</v>
      </c>
      <c r="S81" s="94" t="s">
        <v>105</v>
      </c>
      <c r="T81" s="117" t="s">
        <v>106</v>
      </c>
      <c r="U81" s="107" t="s">
        <v>107</v>
      </c>
      <c r="V81" s="107" t="s">
        <v>126</v>
      </c>
    </row>
    <row r="82" spans="1:22">
      <c r="A82" s="130" t="s">
        <v>11</v>
      </c>
      <c r="B82" s="130"/>
      <c r="C82" s="131">
        <v>6159.96</v>
      </c>
      <c r="D82" s="131"/>
      <c r="E82" s="95">
        <f>C82*40%</f>
        <v>2463.9840000000004</v>
      </c>
      <c r="F82" s="33">
        <f>C82+E82</f>
        <v>8623.9439999999995</v>
      </c>
      <c r="G82" s="95">
        <v>233.77</v>
      </c>
      <c r="H82" s="97">
        <f>F82+G82</f>
        <v>8857.7139999999999</v>
      </c>
      <c r="I82" s="97">
        <v>0.92</v>
      </c>
      <c r="J82" s="97">
        <v>8.7100000000000009</v>
      </c>
      <c r="K82" s="98">
        <v>5.6</v>
      </c>
      <c r="L82" s="98">
        <f>SUM(H82:K82)</f>
        <v>8872.9439999999995</v>
      </c>
      <c r="M82" s="97">
        <f>N82-L82</f>
        <v>2803.7260000000006</v>
      </c>
      <c r="N82" s="33">
        <f>11846.67-170</f>
        <v>11676.67</v>
      </c>
      <c r="O82" s="109">
        <v>219.9</v>
      </c>
      <c r="P82" s="33">
        <f>O82+M82</f>
        <v>3023.6260000000007</v>
      </c>
      <c r="Q82" s="100">
        <v>7072</v>
      </c>
      <c r="R82" s="112">
        <f>L82*Q82</f>
        <v>62749459.967999995</v>
      </c>
      <c r="S82" s="100">
        <v>7072</v>
      </c>
      <c r="T82" s="118">
        <f>S82*N82</f>
        <v>82577410.239999995</v>
      </c>
      <c r="U82" s="35">
        <f>(S82+S74+S65+S56+S47+S39+S30+S21+S12+S3)*O82</f>
        <v>17619047.699999999</v>
      </c>
    </row>
    <row r="83" spans="1:22">
      <c r="A83" s="130" t="s">
        <v>15</v>
      </c>
      <c r="B83" s="130"/>
      <c r="C83" s="131">
        <v>2789.26</v>
      </c>
      <c r="D83" s="131"/>
      <c r="E83" s="95">
        <f>C83*30%</f>
        <v>836.77800000000002</v>
      </c>
      <c r="F83" s="33">
        <f t="shared" ref="F83:F85" si="60">C83+E83</f>
        <v>3626.0380000000005</v>
      </c>
      <c r="G83" s="95">
        <v>233.77</v>
      </c>
      <c r="H83" s="97">
        <f t="shared" ref="H83:H85" si="61">F83+G83</f>
        <v>3859.8080000000004</v>
      </c>
      <c r="I83" s="97">
        <v>0.92</v>
      </c>
      <c r="J83" s="97">
        <v>8.7100000000000009</v>
      </c>
      <c r="K83" s="98">
        <v>5.6</v>
      </c>
      <c r="L83" s="98">
        <f t="shared" ref="L83:L85" si="62">SUM(H83:K83)</f>
        <v>3875.0380000000005</v>
      </c>
      <c r="M83" s="97">
        <f t="shared" ref="M83:M85" si="63">N83-L83</f>
        <v>3303.2919999999995</v>
      </c>
      <c r="N83" s="33">
        <f>7459.33-281</f>
        <v>7178.33</v>
      </c>
      <c r="O83" s="109">
        <v>149.9</v>
      </c>
      <c r="P83" s="33">
        <f t="shared" ref="P83:P85" si="64">O83+M83</f>
        <v>3453.1919999999996</v>
      </c>
      <c r="Q83" s="100">
        <v>6010</v>
      </c>
      <c r="R83" s="112">
        <f t="shared" ref="R83:R85" si="65">L83*Q83</f>
        <v>23288978.380000003</v>
      </c>
      <c r="S83" s="100">
        <v>6010</v>
      </c>
      <c r="T83" s="118">
        <f>S83*N83</f>
        <v>43141763.299999997</v>
      </c>
      <c r="U83" s="35">
        <f t="shared" ref="U83:U85" si="66">(S83+S75+S66+S57+S48+S40+S31+S22+S13+S4)*O83</f>
        <v>14278724.5</v>
      </c>
    </row>
    <row r="84" spans="1:22">
      <c r="A84" s="141" t="s">
        <v>18</v>
      </c>
      <c r="B84" s="141"/>
      <c r="C84" s="142">
        <v>891</v>
      </c>
      <c r="D84" s="142"/>
      <c r="E84" s="95">
        <f>C84*40%</f>
        <v>356.40000000000003</v>
      </c>
      <c r="F84" s="33">
        <f t="shared" si="60"/>
        <v>1247.4000000000001</v>
      </c>
      <c r="G84" s="95">
        <v>233.77</v>
      </c>
      <c r="H84" s="97">
        <f t="shared" si="61"/>
        <v>1481.17</v>
      </c>
      <c r="I84" s="97">
        <v>0.92</v>
      </c>
      <c r="J84" s="97">
        <v>8.7100000000000009</v>
      </c>
      <c r="K84" s="98">
        <v>5.6</v>
      </c>
      <c r="L84" s="98">
        <f t="shared" si="62"/>
        <v>1496.4</v>
      </c>
      <c r="M84" s="97">
        <f t="shared" si="63"/>
        <v>303.58999999999992</v>
      </c>
      <c r="N84" s="33">
        <f>1517.5+282.49</f>
        <v>1799.99</v>
      </c>
      <c r="O84" s="109">
        <v>99.9</v>
      </c>
      <c r="P84" s="33">
        <f t="shared" si="64"/>
        <v>403.4899999999999</v>
      </c>
      <c r="Q84" s="100">
        <v>11460</v>
      </c>
      <c r="R84" s="112">
        <f t="shared" si="65"/>
        <v>17148744</v>
      </c>
      <c r="S84" s="100">
        <v>11460</v>
      </c>
      <c r="T84" s="118">
        <f>S84*N84</f>
        <v>20627885.399999999</v>
      </c>
      <c r="U84" s="35">
        <f t="shared" si="66"/>
        <v>13071415.5</v>
      </c>
    </row>
    <row r="85" spans="1:22">
      <c r="A85" s="130" t="s">
        <v>21</v>
      </c>
      <c r="B85" s="130"/>
      <c r="C85" s="131">
        <v>491.26</v>
      </c>
      <c r="D85" s="131"/>
      <c r="E85" s="95">
        <f>C85*30%</f>
        <v>147.37799999999999</v>
      </c>
      <c r="F85" s="33">
        <f t="shared" si="60"/>
        <v>638.63799999999992</v>
      </c>
      <c r="G85" s="95">
        <v>233.77</v>
      </c>
      <c r="H85" s="97">
        <f t="shared" si="61"/>
        <v>872.4079999999999</v>
      </c>
      <c r="I85" s="97">
        <v>0.92</v>
      </c>
      <c r="J85" s="97">
        <v>8.7100000000000009</v>
      </c>
      <c r="K85" s="98">
        <v>5.6</v>
      </c>
      <c r="L85" s="98">
        <f t="shared" si="62"/>
        <v>887.63799999999992</v>
      </c>
      <c r="M85" s="97">
        <f t="shared" si="63"/>
        <v>62.352000000000089</v>
      </c>
      <c r="N85" s="97">
        <f>796.02+153.97</f>
        <v>949.99</v>
      </c>
      <c r="O85" s="109">
        <v>59.9</v>
      </c>
      <c r="P85" s="33">
        <f t="shared" si="64"/>
        <v>122.25200000000009</v>
      </c>
      <c r="Q85" s="100">
        <v>11755</v>
      </c>
      <c r="R85" s="112">
        <f t="shared" si="65"/>
        <v>10434184.689999999</v>
      </c>
      <c r="S85" s="100">
        <v>11755</v>
      </c>
      <c r="T85" s="118">
        <f>S85*N85</f>
        <v>11167132.449999999</v>
      </c>
      <c r="U85" s="35">
        <f t="shared" si="66"/>
        <v>4830395.8999999994</v>
      </c>
    </row>
    <row r="86" spans="1:22">
      <c r="A86" s="34"/>
      <c r="B86" s="34"/>
      <c r="C86" s="34"/>
      <c r="D86" s="34"/>
      <c r="E86" s="34"/>
      <c r="F86" s="34"/>
      <c r="G86" s="34"/>
      <c r="H86" s="34"/>
      <c r="I86" s="34"/>
      <c r="J86" s="34"/>
      <c r="K86" s="34"/>
      <c r="L86" s="33">
        <f>SUM(L82:L85)</f>
        <v>15132.02</v>
      </c>
      <c r="M86" s="34"/>
      <c r="N86" s="34"/>
      <c r="O86" s="34"/>
      <c r="P86" s="34"/>
      <c r="Q86" s="34">
        <f>SUM(Q82:Q85)</f>
        <v>36297</v>
      </c>
      <c r="R86" s="112">
        <f>SUM(R82:R85)</f>
        <v>113621367.03799999</v>
      </c>
      <c r="S86" s="34"/>
      <c r="T86" s="118">
        <f>SUM(T82:T85)</f>
        <v>157514191.38999999</v>
      </c>
      <c r="U86" s="35">
        <f>SUM(U82:U85)</f>
        <v>49799583.600000001</v>
      </c>
    </row>
    <row r="87" spans="1:22">
      <c r="P87" t="s">
        <v>127</v>
      </c>
      <c r="Q87" s="35">
        <f>Q86*L86</f>
        <v>549246929.94000006</v>
      </c>
      <c r="T87" s="119">
        <f>T86-R86</f>
        <v>43892824.351999998</v>
      </c>
      <c r="V87" s="120">
        <f>T87+U86</f>
        <v>93692407.951999992</v>
      </c>
    </row>
    <row r="89" spans="1:22">
      <c r="A89" s="140" t="s">
        <v>58</v>
      </c>
      <c r="B89" s="126"/>
      <c r="C89" s="126"/>
      <c r="D89" s="126"/>
      <c r="E89" s="126"/>
      <c r="F89" s="126"/>
      <c r="G89" s="126"/>
      <c r="H89" s="126"/>
      <c r="I89" s="126"/>
      <c r="J89" s="126"/>
      <c r="K89" s="126"/>
      <c r="L89" s="126"/>
      <c r="M89" s="126"/>
      <c r="N89" s="126"/>
      <c r="O89" s="126"/>
      <c r="P89" s="126"/>
      <c r="Q89" s="126"/>
      <c r="R89" s="126"/>
      <c r="S89" s="126"/>
      <c r="T89" s="126"/>
      <c r="U89" s="126"/>
      <c r="V89" s="126"/>
    </row>
    <row r="90" spans="1:22">
      <c r="A90" s="124" t="s">
        <v>90</v>
      </c>
      <c r="B90" s="124"/>
      <c r="C90" s="124" t="s">
        <v>91</v>
      </c>
      <c r="D90" s="124"/>
      <c r="E90" s="94" t="s">
        <v>92</v>
      </c>
      <c r="F90" s="34" t="s">
        <v>93</v>
      </c>
      <c r="G90" s="94" t="s">
        <v>94</v>
      </c>
      <c r="H90" s="34" t="s">
        <v>95</v>
      </c>
      <c r="I90" s="34" t="s">
        <v>96</v>
      </c>
      <c r="J90" s="34" t="s">
        <v>97</v>
      </c>
      <c r="K90" s="34" t="s">
        <v>98</v>
      </c>
      <c r="L90" s="34" t="s">
        <v>99</v>
      </c>
      <c r="M90" s="34" t="s">
        <v>100</v>
      </c>
      <c r="N90" s="34" t="s">
        <v>101</v>
      </c>
      <c r="O90" s="34" t="s">
        <v>102</v>
      </c>
      <c r="P90" s="34" t="s">
        <v>100</v>
      </c>
      <c r="Q90" s="34" t="s">
        <v>103</v>
      </c>
      <c r="R90" s="111" t="s">
        <v>104</v>
      </c>
      <c r="S90" s="94" t="s">
        <v>105</v>
      </c>
      <c r="T90" s="117" t="s">
        <v>106</v>
      </c>
      <c r="U90" s="107" t="s">
        <v>107</v>
      </c>
      <c r="V90" s="107" t="s">
        <v>128</v>
      </c>
    </row>
    <row r="91" spans="1:22">
      <c r="A91" s="130" t="s">
        <v>11</v>
      </c>
      <c r="B91" s="130"/>
      <c r="C91" s="131">
        <v>6159.96</v>
      </c>
      <c r="D91" s="131"/>
      <c r="E91" s="95">
        <f>C91*40%</f>
        <v>2463.9840000000004</v>
      </c>
      <c r="F91" s="33">
        <f>C91+E91</f>
        <v>8623.9439999999995</v>
      </c>
      <c r="G91" s="95">
        <v>233.77</v>
      </c>
      <c r="H91" s="97">
        <f>F91+G91</f>
        <v>8857.7139999999999</v>
      </c>
      <c r="I91" s="97">
        <v>0.92</v>
      </c>
      <c r="J91" s="97">
        <v>8.7100000000000009</v>
      </c>
      <c r="K91" s="98">
        <v>5.6</v>
      </c>
      <c r="L91" s="98">
        <f>SUM(H91:K91)</f>
        <v>8872.9439999999995</v>
      </c>
      <c r="M91" s="97">
        <f>N91-L91</f>
        <v>2803.7260000000006</v>
      </c>
      <c r="N91" s="33">
        <f>11846.67-170</f>
        <v>11676.67</v>
      </c>
      <c r="O91" s="109">
        <v>219.9</v>
      </c>
      <c r="P91" s="33">
        <f>O91+M91</f>
        <v>3023.6260000000007</v>
      </c>
      <c r="Q91" s="100">
        <v>10039</v>
      </c>
      <c r="R91" s="112">
        <f>L91*Q91</f>
        <v>89075484.816</v>
      </c>
      <c r="S91" s="100">
        <v>10039</v>
      </c>
      <c r="T91" s="118">
        <f>S91*N91</f>
        <v>117222090.13</v>
      </c>
      <c r="U91" s="35">
        <f>(S91+S83+S74+S65+S56+S48+S39+S30+S21+S12+S3)*O91</f>
        <v>19298863.800000001</v>
      </c>
    </row>
    <row r="92" spans="1:22">
      <c r="A92" s="130" t="s">
        <v>15</v>
      </c>
      <c r="B92" s="130"/>
      <c r="C92" s="131">
        <v>2789.26</v>
      </c>
      <c r="D92" s="131"/>
      <c r="E92" s="95">
        <f>C92*30%</f>
        <v>836.77800000000002</v>
      </c>
      <c r="F92" s="33">
        <f t="shared" ref="F92:F94" si="67">C92+E92</f>
        <v>3626.0380000000005</v>
      </c>
      <c r="G92" s="95">
        <v>233.77</v>
      </c>
      <c r="H92" s="97">
        <f t="shared" ref="H92:H94" si="68">F92+G92</f>
        <v>3859.8080000000004</v>
      </c>
      <c r="I92" s="97">
        <v>0.92</v>
      </c>
      <c r="J92" s="97">
        <v>8.7100000000000009</v>
      </c>
      <c r="K92" s="98">
        <v>5.6</v>
      </c>
      <c r="L92" s="98">
        <f t="shared" ref="L92:L94" si="69">SUM(H92:K92)</f>
        <v>3875.0380000000005</v>
      </c>
      <c r="M92" s="97">
        <f t="shared" ref="M92:M94" si="70">N92-L92</f>
        <v>3303.2919999999995</v>
      </c>
      <c r="N92" s="33">
        <f>7459.33-281</f>
        <v>7178.33</v>
      </c>
      <c r="O92" s="109">
        <v>149.9</v>
      </c>
      <c r="P92" s="33">
        <f t="shared" ref="P92:P94" si="71">O92+M92</f>
        <v>3453.1919999999996</v>
      </c>
      <c r="Q92" s="100">
        <v>8536</v>
      </c>
      <c r="R92" s="112">
        <f t="shared" ref="R92:R94" si="72">L92*Q92</f>
        <v>33077324.368000004</v>
      </c>
      <c r="S92" s="100">
        <v>8536</v>
      </c>
      <c r="T92" s="118">
        <f>S92*N92</f>
        <v>61274224.880000003</v>
      </c>
      <c r="U92" s="35">
        <f t="shared" ref="U92:U94" si="73">(S92+S84+S75+S66+S57+S49+S40+S31+S22+S13+S4)*O92</f>
        <v>17259935.699999999</v>
      </c>
    </row>
    <row r="93" spans="1:22">
      <c r="A93" s="141" t="s">
        <v>18</v>
      </c>
      <c r="B93" s="141"/>
      <c r="C93" s="142">
        <v>891</v>
      </c>
      <c r="D93" s="142"/>
      <c r="E93" s="95">
        <f>C93*40%</f>
        <v>356.40000000000003</v>
      </c>
      <c r="F93" s="33">
        <f t="shared" si="67"/>
        <v>1247.4000000000001</v>
      </c>
      <c r="G93" s="95">
        <v>233.77</v>
      </c>
      <c r="H93" s="97">
        <f t="shared" si="68"/>
        <v>1481.17</v>
      </c>
      <c r="I93" s="97">
        <v>0.92</v>
      </c>
      <c r="J93" s="97">
        <v>8.7100000000000009</v>
      </c>
      <c r="K93" s="98">
        <v>5.6</v>
      </c>
      <c r="L93" s="98">
        <f t="shared" si="69"/>
        <v>1496.4</v>
      </c>
      <c r="M93" s="97">
        <f t="shared" si="70"/>
        <v>303.58999999999992</v>
      </c>
      <c r="N93" s="33">
        <f>1517.5+282.49</f>
        <v>1799.99</v>
      </c>
      <c r="O93" s="109">
        <v>99.9</v>
      </c>
      <c r="P93" s="33">
        <f t="shared" si="71"/>
        <v>403.4899999999999</v>
      </c>
      <c r="Q93" s="100">
        <v>14360</v>
      </c>
      <c r="R93" s="112">
        <f t="shared" si="72"/>
        <v>21488304</v>
      </c>
      <c r="S93" s="100">
        <v>14360</v>
      </c>
      <c r="T93" s="118">
        <f>S93*N93</f>
        <v>25847856.399999999</v>
      </c>
      <c r="U93" s="35">
        <f t="shared" si="73"/>
        <v>14566918.5</v>
      </c>
    </row>
    <row r="94" spans="1:22">
      <c r="A94" s="130" t="s">
        <v>21</v>
      </c>
      <c r="B94" s="130"/>
      <c r="C94" s="131">
        <v>491.26</v>
      </c>
      <c r="D94" s="131"/>
      <c r="E94" s="95">
        <f>C94*30%</f>
        <v>147.37799999999999</v>
      </c>
      <c r="F94" s="33">
        <f t="shared" si="67"/>
        <v>638.63799999999992</v>
      </c>
      <c r="G94" s="95">
        <v>233.77</v>
      </c>
      <c r="H94" s="97">
        <f t="shared" si="68"/>
        <v>872.4079999999999</v>
      </c>
      <c r="I94" s="97">
        <v>0.92</v>
      </c>
      <c r="J94" s="97">
        <v>8.7100000000000009</v>
      </c>
      <c r="K94" s="98">
        <v>5.6</v>
      </c>
      <c r="L94" s="98">
        <f t="shared" si="69"/>
        <v>887.63799999999992</v>
      </c>
      <c r="M94" s="97">
        <f t="shared" si="70"/>
        <v>62.352000000000089</v>
      </c>
      <c r="N94" s="97">
        <f>796.02+153.97</f>
        <v>949.99</v>
      </c>
      <c r="O94" s="109">
        <v>59.9</v>
      </c>
      <c r="P94" s="33">
        <f t="shared" si="71"/>
        <v>122.25200000000009</v>
      </c>
      <c r="Q94" s="100">
        <v>13537</v>
      </c>
      <c r="R94" s="112">
        <f t="shared" si="72"/>
        <v>12015955.605999999</v>
      </c>
      <c r="S94" s="100">
        <v>13537</v>
      </c>
      <c r="T94" s="118">
        <f>S94*N94</f>
        <v>12860014.630000001</v>
      </c>
      <c r="U94" s="35">
        <f t="shared" si="73"/>
        <v>4122797.1999999997</v>
      </c>
    </row>
    <row r="95" spans="1:22">
      <c r="A95" s="34"/>
      <c r="B95" s="34"/>
      <c r="C95" s="34"/>
      <c r="D95" s="34"/>
      <c r="E95" s="34"/>
      <c r="F95" s="34"/>
      <c r="G95" s="34"/>
      <c r="H95" s="34"/>
      <c r="I95" s="34"/>
      <c r="J95" s="34"/>
      <c r="K95" s="34"/>
      <c r="L95" s="33">
        <f>SUM(L91:L94)</f>
        <v>15132.02</v>
      </c>
      <c r="M95" s="34"/>
      <c r="N95" s="34"/>
      <c r="O95" s="34"/>
      <c r="P95" s="34"/>
      <c r="Q95" s="34">
        <f>SUM(Q91:Q94)</f>
        <v>46472</v>
      </c>
      <c r="R95" s="112">
        <f>SUM(R91:R94)</f>
        <v>155657068.79000002</v>
      </c>
      <c r="S95" s="34"/>
      <c r="T95" s="118">
        <f>SUM(T91:T94)</f>
        <v>217204186.03999999</v>
      </c>
      <c r="U95" s="35">
        <f>SUM(U91:U94)</f>
        <v>55248515.200000003</v>
      </c>
    </row>
    <row r="96" spans="1:22">
      <c r="P96" t="s">
        <v>129</v>
      </c>
      <c r="Q96" s="35">
        <f>Q95*L95</f>
        <v>703215233.44000006</v>
      </c>
      <c r="T96" s="119">
        <f>T95-R95</f>
        <v>61547117.24999997</v>
      </c>
      <c r="V96" s="120">
        <f>T96+U95</f>
        <v>116795632.44999997</v>
      </c>
    </row>
    <row r="98" spans="1:22">
      <c r="A98" s="143" t="s">
        <v>59</v>
      </c>
      <c r="B98" s="144"/>
      <c r="C98" s="144"/>
      <c r="D98" s="144"/>
      <c r="E98" s="144"/>
      <c r="F98" s="144"/>
      <c r="G98" s="144"/>
      <c r="H98" s="144"/>
      <c r="I98" s="144"/>
      <c r="J98" s="144"/>
      <c r="K98" s="144"/>
      <c r="L98" s="144"/>
      <c r="M98" s="144"/>
      <c r="N98" s="144"/>
      <c r="O98" s="144"/>
      <c r="P98" s="144"/>
      <c r="Q98" s="144"/>
      <c r="R98" s="144"/>
      <c r="S98" s="144"/>
      <c r="T98" s="144"/>
      <c r="U98" s="144"/>
      <c r="V98" s="144"/>
    </row>
    <row r="99" spans="1:22">
      <c r="A99" s="124" t="s">
        <v>90</v>
      </c>
      <c r="B99" s="124"/>
      <c r="C99" s="124" t="s">
        <v>91</v>
      </c>
      <c r="D99" s="124"/>
      <c r="E99" s="94" t="s">
        <v>92</v>
      </c>
      <c r="F99" s="34" t="s">
        <v>93</v>
      </c>
      <c r="G99" s="94" t="s">
        <v>94</v>
      </c>
      <c r="H99" s="34" t="s">
        <v>95</v>
      </c>
      <c r="I99" s="34" t="s">
        <v>96</v>
      </c>
      <c r="J99" s="34" t="s">
        <v>97</v>
      </c>
      <c r="K99" s="34" t="s">
        <v>98</v>
      </c>
      <c r="L99" s="34" t="s">
        <v>99</v>
      </c>
      <c r="M99" s="34" t="s">
        <v>100</v>
      </c>
      <c r="N99" s="34" t="s">
        <v>101</v>
      </c>
      <c r="O99" s="34" t="s">
        <v>102</v>
      </c>
      <c r="P99" s="34" t="s">
        <v>100</v>
      </c>
      <c r="Q99" s="34" t="s">
        <v>103</v>
      </c>
      <c r="R99" s="111" t="s">
        <v>104</v>
      </c>
      <c r="S99" s="108" t="s">
        <v>105</v>
      </c>
      <c r="T99" s="117" t="s">
        <v>106</v>
      </c>
      <c r="U99" s="34" t="s">
        <v>107</v>
      </c>
      <c r="V99" s="34" t="s">
        <v>130</v>
      </c>
    </row>
    <row r="100" spans="1:22">
      <c r="A100" s="130" t="s">
        <v>11</v>
      </c>
      <c r="B100" s="130"/>
      <c r="C100" s="131">
        <v>6159.96</v>
      </c>
      <c r="D100" s="131"/>
      <c r="E100" s="95">
        <f>C100*40%</f>
        <v>2463.9840000000004</v>
      </c>
      <c r="F100" s="33">
        <f>C100+E100</f>
        <v>8623.9439999999995</v>
      </c>
      <c r="G100" s="95">
        <v>233.77</v>
      </c>
      <c r="H100" s="97">
        <f>F100+G100</f>
        <v>8857.7139999999999</v>
      </c>
      <c r="I100" s="97">
        <v>0.92</v>
      </c>
      <c r="J100" s="97">
        <v>8.7100000000000009</v>
      </c>
      <c r="K100" s="98">
        <v>5.6</v>
      </c>
      <c r="L100" s="98">
        <f>SUM(H100:K100)</f>
        <v>8872.9439999999995</v>
      </c>
      <c r="M100" s="97">
        <f>N100-L100</f>
        <v>2803.7260000000006</v>
      </c>
      <c r="N100" s="33">
        <f>11846.67-170</f>
        <v>11676.67</v>
      </c>
      <c r="O100" s="109">
        <v>219.9</v>
      </c>
      <c r="P100" s="33">
        <f>O100+M100</f>
        <v>3023.6260000000007</v>
      </c>
      <c r="Q100" s="100">
        <v>8907</v>
      </c>
      <c r="R100" s="112">
        <f>L100*Q100</f>
        <v>79031312.207999989</v>
      </c>
      <c r="S100" s="100">
        <v>8907</v>
      </c>
      <c r="T100" s="118">
        <f>S100*N100</f>
        <v>104004099.69</v>
      </c>
      <c r="U100" s="33">
        <f>(S100+S92+S83+S74+S65+S57+S48+S39+S30+S21+S12+S3)*O100</f>
        <v>20645531.400000002</v>
      </c>
      <c r="V100" s="34"/>
    </row>
    <row r="101" spans="1:22">
      <c r="A101" s="130" t="s">
        <v>15</v>
      </c>
      <c r="B101" s="130"/>
      <c r="C101" s="131">
        <v>2789.26</v>
      </c>
      <c r="D101" s="131"/>
      <c r="E101" s="95">
        <f>C101*30%</f>
        <v>836.77800000000002</v>
      </c>
      <c r="F101" s="33">
        <f t="shared" ref="F101:F103" si="74">C101+E101</f>
        <v>3626.0380000000005</v>
      </c>
      <c r="G101" s="95">
        <v>233.77</v>
      </c>
      <c r="H101" s="97">
        <f t="shared" ref="H101:H103" si="75">F101+G101</f>
        <v>3859.8080000000004</v>
      </c>
      <c r="I101" s="97">
        <v>0.92</v>
      </c>
      <c r="J101" s="97">
        <v>8.7100000000000009</v>
      </c>
      <c r="K101" s="98">
        <v>5.6</v>
      </c>
      <c r="L101" s="98">
        <f t="shared" ref="L101:L103" si="76">SUM(H101:K101)</f>
        <v>3875.0380000000005</v>
      </c>
      <c r="M101" s="97">
        <f>N101-L101</f>
        <v>3303.2919999999995</v>
      </c>
      <c r="N101" s="33">
        <f>7459.33-281</f>
        <v>7178.33</v>
      </c>
      <c r="O101" s="109">
        <v>149.9</v>
      </c>
      <c r="P101" s="33">
        <f t="shared" ref="P101:P103" si="77">O101+M101</f>
        <v>3453.1919999999996</v>
      </c>
      <c r="Q101" s="100">
        <v>7530</v>
      </c>
      <c r="R101" s="112">
        <f t="shared" ref="R101:R103" si="78">L101*Q101</f>
        <v>29179036.140000004</v>
      </c>
      <c r="S101" s="100">
        <v>7530</v>
      </c>
      <c r="T101" s="118">
        <f>S101*N101</f>
        <v>54052824.899999999</v>
      </c>
      <c r="U101" s="33">
        <f t="shared" ref="U101:U103" si="79">(S101+S93+S84+S75+S66+S58+S49+S40+S31+S22+S13+S4)*O101</f>
        <v>20108785.199999999</v>
      </c>
      <c r="V101" s="34"/>
    </row>
    <row r="102" spans="1:22">
      <c r="A102" s="141" t="s">
        <v>18</v>
      </c>
      <c r="B102" s="141"/>
      <c r="C102" s="142">
        <v>891</v>
      </c>
      <c r="D102" s="142"/>
      <c r="E102" s="95">
        <f>C102*40%</f>
        <v>356.40000000000003</v>
      </c>
      <c r="F102" s="33">
        <f t="shared" si="74"/>
        <v>1247.4000000000001</v>
      </c>
      <c r="G102" s="95">
        <v>233.77</v>
      </c>
      <c r="H102" s="97">
        <f t="shared" si="75"/>
        <v>1481.17</v>
      </c>
      <c r="I102" s="97">
        <v>0.92</v>
      </c>
      <c r="J102" s="97">
        <v>8.7100000000000009</v>
      </c>
      <c r="K102" s="98">
        <v>5.6</v>
      </c>
      <c r="L102" s="98">
        <f t="shared" si="76"/>
        <v>1496.4</v>
      </c>
      <c r="M102" s="97">
        <f>N102-L102</f>
        <v>303.58999999999992</v>
      </c>
      <c r="N102" s="33">
        <f>1517.5+282.49</f>
        <v>1799.99</v>
      </c>
      <c r="O102" s="109">
        <v>99.9</v>
      </c>
      <c r="P102" s="33">
        <f t="shared" si="77"/>
        <v>403.4899999999999</v>
      </c>
      <c r="Q102" s="100">
        <v>13743</v>
      </c>
      <c r="R102" s="112">
        <f t="shared" si="78"/>
        <v>20565025.200000003</v>
      </c>
      <c r="S102" s="100">
        <v>13743</v>
      </c>
      <c r="T102" s="118">
        <f>S102*N102</f>
        <v>24737262.57</v>
      </c>
      <c r="U102" s="33">
        <f t="shared" si="79"/>
        <v>15875308.800000001</v>
      </c>
      <c r="V102" s="34"/>
    </row>
    <row r="103" spans="1:22">
      <c r="A103" s="130" t="s">
        <v>21</v>
      </c>
      <c r="B103" s="130"/>
      <c r="C103" s="131">
        <v>491.26</v>
      </c>
      <c r="D103" s="131"/>
      <c r="E103" s="95">
        <f>C103*30%</f>
        <v>147.37799999999999</v>
      </c>
      <c r="F103" s="33">
        <f t="shared" si="74"/>
        <v>638.63799999999992</v>
      </c>
      <c r="G103" s="95">
        <v>233.77</v>
      </c>
      <c r="H103" s="97">
        <f t="shared" si="75"/>
        <v>872.4079999999999</v>
      </c>
      <c r="I103" s="97">
        <v>0.92</v>
      </c>
      <c r="J103" s="97">
        <v>8.7100000000000009</v>
      </c>
      <c r="K103" s="98">
        <v>5.6</v>
      </c>
      <c r="L103" s="98">
        <f t="shared" si="76"/>
        <v>887.63799999999992</v>
      </c>
      <c r="M103" s="97">
        <f>N103-L103</f>
        <v>62.352000000000089</v>
      </c>
      <c r="N103" s="97">
        <f>796.02+153.97</f>
        <v>949.99</v>
      </c>
      <c r="O103" s="109">
        <v>59.9</v>
      </c>
      <c r="P103" s="33">
        <f t="shared" si="77"/>
        <v>122.25200000000009</v>
      </c>
      <c r="Q103" s="100">
        <v>12933</v>
      </c>
      <c r="R103" s="112">
        <f t="shared" si="78"/>
        <v>11479822.253999999</v>
      </c>
      <c r="S103" s="100">
        <v>12933</v>
      </c>
      <c r="T103" s="118">
        <f>S103*N103</f>
        <v>12286220.67</v>
      </c>
      <c r="U103" s="33">
        <f t="shared" si="79"/>
        <v>3305821.1</v>
      </c>
      <c r="V103" s="34"/>
    </row>
    <row r="104" spans="1:22">
      <c r="A104" s="34"/>
      <c r="B104" s="34"/>
      <c r="C104" s="34"/>
      <c r="D104" s="34"/>
      <c r="E104" s="34"/>
      <c r="F104" s="34"/>
      <c r="G104" s="34"/>
      <c r="H104" s="34"/>
      <c r="I104" s="34"/>
      <c r="J104" s="34"/>
      <c r="K104" s="34"/>
      <c r="L104" s="33">
        <f>SUM(L100:L103)</f>
        <v>15132.02</v>
      </c>
      <c r="M104" s="34"/>
      <c r="N104" s="34"/>
      <c r="O104" s="34"/>
      <c r="P104" s="34"/>
      <c r="Q104" s="34">
        <f>SUM(Q100:Q103)</f>
        <v>43113</v>
      </c>
      <c r="R104" s="112">
        <f>SUM(R100:R103)</f>
        <v>140255195.80199999</v>
      </c>
      <c r="S104" s="100"/>
      <c r="T104" s="118">
        <f>SUM(T100:T103)</f>
        <v>195080407.82999998</v>
      </c>
      <c r="U104" s="33">
        <f>SUM(U100:U103)</f>
        <v>59935446.500000007</v>
      </c>
      <c r="V104" s="34"/>
    </row>
    <row r="105" spans="1:22">
      <c r="P105" t="s">
        <v>131</v>
      </c>
      <c r="Q105" s="35">
        <f>Q104*L104</f>
        <v>652386778.25999999</v>
      </c>
      <c r="T105" s="118">
        <f>T104-R104</f>
        <v>54825212.027999997</v>
      </c>
      <c r="U105" s="34"/>
      <c r="V105" s="116">
        <f>T105+U104</f>
        <v>114760658.528</v>
      </c>
    </row>
    <row r="107" spans="1:22">
      <c r="A107" s="126"/>
      <c r="B107" s="126"/>
      <c r="C107" s="126"/>
      <c r="D107" s="126"/>
      <c r="E107" s="126"/>
      <c r="F107" s="126"/>
      <c r="G107" s="126"/>
      <c r="H107" s="126"/>
      <c r="I107" s="126"/>
      <c r="J107" s="126"/>
      <c r="K107" s="126"/>
      <c r="L107" s="126"/>
      <c r="M107" s="126"/>
      <c r="N107" s="126"/>
      <c r="O107" s="126"/>
      <c r="P107" s="126"/>
      <c r="Q107" s="126"/>
      <c r="R107" s="126"/>
      <c r="S107" s="126"/>
      <c r="T107" s="126"/>
    </row>
    <row r="108" spans="1:22">
      <c r="A108" s="126"/>
      <c r="B108" s="126"/>
      <c r="C108" s="126"/>
      <c r="D108" s="126"/>
      <c r="E108" s="9"/>
      <c r="G108" s="9"/>
      <c r="S108" s="9"/>
    </row>
    <row r="109" spans="1:22">
      <c r="A109" s="145"/>
      <c r="B109" s="145"/>
      <c r="C109" s="146"/>
      <c r="D109" s="146"/>
      <c r="E109" s="103"/>
      <c r="F109" s="35"/>
      <c r="G109" s="103"/>
      <c r="H109" s="104"/>
      <c r="I109" s="104"/>
      <c r="J109" s="104"/>
      <c r="K109" s="96"/>
      <c r="L109" s="96"/>
      <c r="M109" s="104"/>
      <c r="N109" s="104"/>
      <c r="O109" s="104"/>
      <c r="P109" s="35"/>
      <c r="Q109" s="105"/>
      <c r="R109" s="35"/>
      <c r="S109" s="106"/>
      <c r="T109" s="35"/>
    </row>
    <row r="110" spans="1:22">
      <c r="A110" s="145"/>
      <c r="B110" s="145"/>
      <c r="C110" s="146"/>
      <c r="D110" s="146"/>
      <c r="E110" s="103"/>
      <c r="F110" s="35"/>
      <c r="G110" s="103"/>
      <c r="H110" s="104"/>
      <c r="I110" s="104"/>
      <c r="J110" s="104"/>
      <c r="K110" s="96"/>
      <c r="L110" s="96"/>
      <c r="M110" s="104"/>
      <c r="N110" s="104"/>
      <c r="O110" s="104"/>
      <c r="P110" s="35"/>
      <c r="R110" s="35"/>
      <c r="S110" s="106"/>
      <c r="T110" s="35"/>
    </row>
    <row r="111" spans="1:22">
      <c r="A111" s="147"/>
      <c r="B111" s="147"/>
      <c r="C111" s="148"/>
      <c r="D111" s="148"/>
      <c r="E111" s="103"/>
      <c r="F111" s="35"/>
      <c r="G111" s="103"/>
      <c r="H111" s="104"/>
      <c r="I111" s="104"/>
      <c r="J111" s="104"/>
      <c r="K111" s="96"/>
      <c r="L111" s="96"/>
      <c r="M111" s="104"/>
      <c r="N111" s="104"/>
      <c r="O111" s="104"/>
      <c r="P111" s="35"/>
      <c r="R111" s="35"/>
      <c r="S111" s="106"/>
      <c r="T111" s="35"/>
    </row>
    <row r="112" spans="1:22">
      <c r="A112" s="145"/>
      <c r="B112" s="145"/>
      <c r="C112" s="146"/>
      <c r="D112" s="146"/>
      <c r="E112" s="103"/>
      <c r="F112" s="35"/>
      <c r="G112" s="103"/>
      <c r="H112" s="104"/>
      <c r="I112" s="104"/>
      <c r="J112" s="104"/>
      <c r="K112" s="96"/>
      <c r="L112" s="96"/>
      <c r="M112" s="104"/>
      <c r="N112" s="104"/>
      <c r="O112" s="104"/>
      <c r="P112" s="35"/>
      <c r="R112" s="35"/>
      <c r="S112" s="106"/>
      <c r="T112" s="35"/>
    </row>
    <row r="113" spans="18:20">
      <c r="R113" s="35"/>
      <c r="T113" s="35"/>
    </row>
    <row r="114" spans="18:20">
      <c r="T114" s="35"/>
    </row>
  </sheetData>
  <mergeCells count="143">
    <mergeCell ref="A112:B112"/>
    <mergeCell ref="C112:D112"/>
    <mergeCell ref="A109:B109"/>
    <mergeCell ref="C109:D109"/>
    <mergeCell ref="A110:B110"/>
    <mergeCell ref="C110:D110"/>
    <mergeCell ref="A111:B111"/>
    <mergeCell ref="C111:D111"/>
    <mergeCell ref="A102:B102"/>
    <mergeCell ref="C102:D102"/>
    <mergeCell ref="A103:B103"/>
    <mergeCell ref="C103:D103"/>
    <mergeCell ref="A107:T107"/>
    <mergeCell ref="A108:B108"/>
    <mergeCell ref="C108:D108"/>
    <mergeCell ref="A99:B99"/>
    <mergeCell ref="C99:D99"/>
    <mergeCell ref="A100:B100"/>
    <mergeCell ref="C100:D100"/>
    <mergeCell ref="A101:B101"/>
    <mergeCell ref="C101:D101"/>
    <mergeCell ref="A92:B92"/>
    <mergeCell ref="C92:D92"/>
    <mergeCell ref="A93:B93"/>
    <mergeCell ref="C93:D93"/>
    <mergeCell ref="A94:B94"/>
    <mergeCell ref="C94:D94"/>
    <mergeCell ref="A98:V98"/>
    <mergeCell ref="A85:B85"/>
    <mergeCell ref="C85:D85"/>
    <mergeCell ref="A90:B90"/>
    <mergeCell ref="C90:D90"/>
    <mergeCell ref="A91:B91"/>
    <mergeCell ref="C91:D91"/>
    <mergeCell ref="A82:B82"/>
    <mergeCell ref="C82:D82"/>
    <mergeCell ref="A83:B83"/>
    <mergeCell ref="C83:D83"/>
    <mergeCell ref="A84:B84"/>
    <mergeCell ref="C84:D84"/>
    <mergeCell ref="A89:V89"/>
    <mergeCell ref="A75:B75"/>
    <mergeCell ref="C75:D75"/>
    <mergeCell ref="A76:B76"/>
    <mergeCell ref="C76:D76"/>
    <mergeCell ref="A80:T80"/>
    <mergeCell ref="A81:B81"/>
    <mergeCell ref="C81:D81"/>
    <mergeCell ref="A71:T71"/>
    <mergeCell ref="A72:B72"/>
    <mergeCell ref="C72:D72"/>
    <mergeCell ref="A73:B73"/>
    <mergeCell ref="C73:D73"/>
    <mergeCell ref="A74:B74"/>
    <mergeCell ref="C74:D74"/>
    <mergeCell ref="A65:B65"/>
    <mergeCell ref="C65:D65"/>
    <mergeCell ref="A66:B66"/>
    <mergeCell ref="C66:D66"/>
    <mergeCell ref="A67:B67"/>
    <mergeCell ref="C67:D67"/>
    <mergeCell ref="A59:B59"/>
    <mergeCell ref="C59:D59"/>
    <mergeCell ref="A62:T62"/>
    <mergeCell ref="A63:B63"/>
    <mergeCell ref="C63:D63"/>
    <mergeCell ref="A64:B64"/>
    <mergeCell ref="C64:D64"/>
    <mergeCell ref="A56:B56"/>
    <mergeCell ref="C56:D56"/>
    <mergeCell ref="A57:B57"/>
    <mergeCell ref="C57:D57"/>
    <mergeCell ref="A58:B58"/>
    <mergeCell ref="C58:D58"/>
    <mergeCell ref="A49:B49"/>
    <mergeCell ref="C49:D49"/>
    <mergeCell ref="A50:B50"/>
    <mergeCell ref="C50:D50"/>
    <mergeCell ref="A54:T54"/>
    <mergeCell ref="A55:B55"/>
    <mergeCell ref="C55:D55"/>
    <mergeCell ref="A45:T45"/>
    <mergeCell ref="A46:B46"/>
    <mergeCell ref="C46:D46"/>
    <mergeCell ref="A47:B47"/>
    <mergeCell ref="C47:D47"/>
    <mergeCell ref="A48:B48"/>
    <mergeCell ref="C48:D48"/>
    <mergeCell ref="A39:B39"/>
    <mergeCell ref="C39:D39"/>
    <mergeCell ref="A40:B40"/>
    <mergeCell ref="C40:D40"/>
    <mergeCell ref="A41:B41"/>
    <mergeCell ref="C41:D41"/>
    <mergeCell ref="A32:B32"/>
    <mergeCell ref="C32:D32"/>
    <mergeCell ref="A36:T36"/>
    <mergeCell ref="A37:B37"/>
    <mergeCell ref="C37:D37"/>
    <mergeCell ref="A38:B38"/>
    <mergeCell ref="C38:D38"/>
    <mergeCell ref="A29:B29"/>
    <mergeCell ref="C29:D29"/>
    <mergeCell ref="A30:B30"/>
    <mergeCell ref="C30:D30"/>
    <mergeCell ref="A31:B31"/>
    <mergeCell ref="C31:D31"/>
    <mergeCell ref="A1:V1"/>
    <mergeCell ref="A10:V10"/>
    <mergeCell ref="A23:B23"/>
    <mergeCell ref="C23:D23"/>
    <mergeCell ref="A24:B24"/>
    <mergeCell ref="C24:D24"/>
    <mergeCell ref="A27:T27"/>
    <mergeCell ref="A28:B28"/>
    <mergeCell ref="C28:D28"/>
    <mergeCell ref="A19:T19"/>
    <mergeCell ref="A20:B20"/>
    <mergeCell ref="C20:D20"/>
    <mergeCell ref="A21:B21"/>
    <mergeCell ref="C21:D21"/>
    <mergeCell ref="A22:B22"/>
    <mergeCell ref="C22:D22"/>
    <mergeCell ref="A5:B5"/>
    <mergeCell ref="C5:D5"/>
    <mergeCell ref="A6:B6"/>
    <mergeCell ref="C6:D6"/>
    <mergeCell ref="A2:B2"/>
    <mergeCell ref="C2:D2"/>
    <mergeCell ref="A3:B3"/>
    <mergeCell ref="C3:D3"/>
    <mergeCell ref="A4:B4"/>
    <mergeCell ref="C4:D4"/>
    <mergeCell ref="A13:B13"/>
    <mergeCell ref="C13:D13"/>
    <mergeCell ref="A14:B14"/>
    <mergeCell ref="C14:D14"/>
    <mergeCell ref="A15:B15"/>
    <mergeCell ref="C15:D15"/>
    <mergeCell ref="A11:B11"/>
    <mergeCell ref="C11:D11"/>
    <mergeCell ref="A12:B12"/>
    <mergeCell ref="C12:D12"/>
  </mergeCells>
  <pageMargins left="0.511811024" right="0.511811024" top="0.78740157499999996" bottom="0.78740157499999996" header="0.31496062000000002" footer="0.31496062000000002"/>
  <ignoredErrors>
    <ignoredError sqref="E4:E5 E101" formula="1"/>
  </ignoredError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991FF-F822-4891-B505-BA2549457756}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240"/>
  <sheetViews>
    <sheetView topLeftCell="A147" workbookViewId="0">
      <selection activeCell="C160" sqref="C160:E160"/>
    </sheetView>
  </sheetViews>
  <sheetFormatPr defaultRowHeight="15"/>
  <cols>
    <col min="2" max="2" width="23.7109375" customWidth="1"/>
    <col min="21" max="21" width="12" bestFit="1" customWidth="1"/>
  </cols>
  <sheetData>
    <row r="1" spans="1:17">
      <c r="A1" s="126" t="s">
        <v>132</v>
      </c>
      <c r="B1" s="126"/>
      <c r="C1" s="126"/>
      <c r="D1" s="126"/>
      <c r="E1" s="126"/>
      <c r="F1" s="126"/>
      <c r="G1" s="126"/>
      <c r="H1" s="126"/>
      <c r="I1" s="126"/>
      <c r="J1" s="126"/>
      <c r="K1" s="126"/>
      <c r="L1" s="126"/>
      <c r="M1" s="126"/>
      <c r="N1" s="126"/>
      <c r="O1" s="126"/>
      <c r="P1" s="126"/>
      <c r="Q1" s="126"/>
    </row>
    <row r="2" spans="1:17">
      <c r="A2" s="126" t="s">
        <v>133</v>
      </c>
      <c r="B2" s="126"/>
      <c r="C2" s="126"/>
      <c r="D2" s="126"/>
      <c r="E2" s="126"/>
      <c r="F2" s="126"/>
      <c r="G2" s="126"/>
      <c r="H2" s="126"/>
      <c r="I2" s="126"/>
      <c r="J2" s="126"/>
      <c r="K2" s="126"/>
      <c r="L2" s="126"/>
      <c r="M2" s="126"/>
      <c r="N2" s="126"/>
      <c r="O2" s="126"/>
      <c r="P2" s="126"/>
      <c r="Q2" s="126"/>
    </row>
    <row r="3" spans="1:17">
      <c r="A3" s="149" t="s">
        <v>90</v>
      </c>
      <c r="B3" s="149"/>
      <c r="C3" s="149" t="s">
        <v>134</v>
      </c>
      <c r="D3" s="149"/>
      <c r="E3" s="149"/>
      <c r="F3" s="149" t="s">
        <v>135</v>
      </c>
      <c r="G3" s="149"/>
      <c r="H3" s="149"/>
      <c r="I3" s="149" t="s">
        <v>135</v>
      </c>
      <c r="J3" s="149"/>
      <c r="K3" s="149"/>
      <c r="L3" s="149" t="s">
        <v>136</v>
      </c>
      <c r="M3" s="149"/>
      <c r="N3" s="149"/>
      <c r="O3" s="149" t="s">
        <v>137</v>
      </c>
      <c r="P3" s="149"/>
      <c r="Q3" s="149"/>
    </row>
    <row r="4" spans="1:17">
      <c r="A4" s="132" t="s">
        <v>11</v>
      </c>
      <c r="B4" s="133"/>
      <c r="C4" s="123"/>
      <c r="D4" s="124"/>
      <c r="E4" s="124"/>
      <c r="F4" s="154">
        <f>C4+I4</f>
        <v>452.5874</v>
      </c>
      <c r="G4" s="128"/>
      <c r="H4" s="129"/>
      <c r="I4" s="123">
        <f>22629.37*0.02</f>
        <v>452.5874</v>
      </c>
      <c r="J4" s="124"/>
      <c r="K4" s="124"/>
      <c r="L4" s="123">
        <f>22629.37*0.03</f>
        <v>678.88109999999995</v>
      </c>
      <c r="M4" s="124"/>
      <c r="N4" s="124"/>
      <c r="O4" s="123">
        <f>L4+C4</f>
        <v>678.88109999999995</v>
      </c>
      <c r="P4" s="124"/>
      <c r="Q4" s="124"/>
    </row>
    <row r="5" spans="1:17">
      <c r="A5" s="132" t="s">
        <v>15</v>
      </c>
      <c r="B5" s="133"/>
      <c r="C5" s="150"/>
      <c r="D5" s="150"/>
      <c r="E5" s="150"/>
      <c r="F5" s="154">
        <f>C5+I5</f>
        <v>454.98540000000003</v>
      </c>
      <c r="G5" s="128"/>
      <c r="H5" s="129"/>
      <c r="I5" s="150">
        <f>22749.27*0.02</f>
        <v>454.98540000000003</v>
      </c>
      <c r="J5" s="150"/>
      <c r="K5" s="150"/>
      <c r="L5" s="150">
        <f>22749.27*0.03</f>
        <v>682.47810000000004</v>
      </c>
      <c r="M5" s="150"/>
      <c r="N5" s="150"/>
      <c r="O5" s="123">
        <f t="shared" ref="O5:O7" si="0">L5+C5</f>
        <v>682.47810000000004</v>
      </c>
      <c r="P5" s="124"/>
      <c r="Q5" s="124"/>
    </row>
    <row r="6" spans="1:17" ht="27" customHeight="1">
      <c r="A6" s="136" t="s">
        <v>18</v>
      </c>
      <c r="B6" s="137"/>
      <c r="C6" s="150"/>
      <c r="D6" s="150"/>
      <c r="E6" s="150"/>
      <c r="F6" s="154">
        <f>C6+I6</f>
        <v>103.93540000000002</v>
      </c>
      <c r="G6" s="128"/>
      <c r="H6" s="129"/>
      <c r="I6" s="150">
        <f>5196.77*0.02</f>
        <v>103.93540000000002</v>
      </c>
      <c r="J6" s="150"/>
      <c r="K6" s="150"/>
      <c r="L6" s="150">
        <f>5196.77*0.03</f>
        <v>155.90309999999999</v>
      </c>
      <c r="M6" s="150"/>
      <c r="N6" s="150"/>
      <c r="O6" s="123">
        <f t="shared" si="0"/>
        <v>155.90309999999999</v>
      </c>
      <c r="P6" s="124"/>
      <c r="Q6" s="124"/>
    </row>
    <row r="7" spans="1:17">
      <c r="A7" s="132" t="s">
        <v>21</v>
      </c>
      <c r="B7" s="133"/>
      <c r="C7" s="150"/>
      <c r="D7" s="150"/>
      <c r="E7" s="150"/>
      <c r="F7" s="154">
        <f>C7+I7</f>
        <v>26.569400000000002</v>
      </c>
      <c r="G7" s="128"/>
      <c r="H7" s="129"/>
      <c r="I7" s="150">
        <f>1328.47*0.02</f>
        <v>26.569400000000002</v>
      </c>
      <c r="J7" s="150"/>
      <c r="K7" s="150"/>
      <c r="L7" s="150">
        <f>1328.47*0.03</f>
        <v>39.854100000000003</v>
      </c>
      <c r="M7" s="150"/>
      <c r="N7" s="150"/>
      <c r="O7" s="123">
        <f t="shared" si="0"/>
        <v>39.854100000000003</v>
      </c>
      <c r="P7" s="124"/>
      <c r="Q7" s="124"/>
    </row>
    <row r="8" spans="1:17">
      <c r="A8" s="151" t="s">
        <v>138</v>
      </c>
      <c r="B8" s="152"/>
      <c r="C8" s="152"/>
      <c r="D8" s="152"/>
      <c r="E8" s="152"/>
      <c r="F8" s="152"/>
      <c r="G8" s="152"/>
      <c r="H8" s="152"/>
      <c r="I8" s="152"/>
      <c r="J8" s="152"/>
      <c r="K8" s="152"/>
      <c r="L8" s="152"/>
      <c r="M8" s="152"/>
      <c r="N8" s="152"/>
      <c r="O8" s="152"/>
      <c r="P8" s="152"/>
      <c r="Q8" s="153"/>
    </row>
    <row r="9" spans="1:17">
      <c r="A9" s="149" t="s">
        <v>90</v>
      </c>
      <c r="B9" s="149"/>
      <c r="C9" s="149" t="s">
        <v>134</v>
      </c>
      <c r="D9" s="149"/>
      <c r="E9" s="149"/>
      <c r="F9" s="149" t="s">
        <v>135</v>
      </c>
      <c r="G9" s="149"/>
      <c r="H9" s="149"/>
      <c r="I9" s="149" t="s">
        <v>136</v>
      </c>
      <c r="J9" s="149"/>
      <c r="K9" s="149"/>
      <c r="L9" s="124"/>
      <c r="M9" s="124"/>
      <c r="N9" s="124"/>
      <c r="O9" s="124"/>
      <c r="P9" s="124"/>
      <c r="Q9" s="124"/>
    </row>
    <row r="10" spans="1:17">
      <c r="A10" s="132" t="s">
        <v>11</v>
      </c>
      <c r="B10" s="133"/>
      <c r="C10" s="124">
        <v>6850</v>
      </c>
      <c r="D10" s="124"/>
      <c r="E10" s="124"/>
      <c r="F10" s="124">
        <v>960</v>
      </c>
      <c r="G10" s="124"/>
      <c r="H10" s="124"/>
      <c r="I10" s="124">
        <v>1848</v>
      </c>
      <c r="J10" s="124"/>
      <c r="K10" s="124"/>
      <c r="L10" s="124">
        <f>C10+F10+I10</f>
        <v>9658</v>
      </c>
      <c r="M10" s="124"/>
      <c r="N10" s="124"/>
      <c r="O10" s="124"/>
      <c r="P10" s="124"/>
      <c r="Q10" s="124"/>
    </row>
    <row r="11" spans="1:17">
      <c r="A11" s="132" t="s">
        <v>15</v>
      </c>
      <c r="B11" s="133"/>
      <c r="C11" s="124">
        <v>5880</v>
      </c>
      <c r="D11" s="124"/>
      <c r="E11" s="124"/>
      <c r="F11" s="124">
        <v>810</v>
      </c>
      <c r="G11" s="124"/>
      <c r="H11" s="124"/>
      <c r="I11" s="124">
        <v>1577</v>
      </c>
      <c r="J11" s="124"/>
      <c r="K11" s="124"/>
      <c r="L11" s="124">
        <f t="shared" ref="L11:L13" si="1">C11+F11+I11</f>
        <v>8267</v>
      </c>
      <c r="M11" s="124"/>
      <c r="N11" s="124"/>
      <c r="O11" s="124"/>
      <c r="P11" s="124"/>
      <c r="Q11" s="124"/>
    </row>
    <row r="12" spans="1:17" ht="28.5" customHeight="1">
      <c r="A12" s="136" t="s">
        <v>18</v>
      </c>
      <c r="B12" s="137"/>
      <c r="C12" s="124">
        <v>8750</v>
      </c>
      <c r="D12" s="124"/>
      <c r="E12" s="124"/>
      <c r="F12" s="124">
        <v>1650</v>
      </c>
      <c r="G12" s="124"/>
      <c r="H12" s="124"/>
      <c r="I12" s="124">
        <v>3679</v>
      </c>
      <c r="J12" s="124"/>
      <c r="K12" s="124"/>
      <c r="L12" s="124">
        <f t="shared" si="1"/>
        <v>14079</v>
      </c>
      <c r="M12" s="124"/>
      <c r="N12" s="124"/>
      <c r="O12" s="124"/>
      <c r="P12" s="124"/>
      <c r="Q12" s="124"/>
    </row>
    <row r="13" spans="1:17">
      <c r="A13" s="132" t="s">
        <v>21</v>
      </c>
      <c r="B13" s="133"/>
      <c r="C13" s="124">
        <v>7260</v>
      </c>
      <c r="D13" s="124"/>
      <c r="E13" s="124"/>
      <c r="F13" s="124">
        <v>3900</v>
      </c>
      <c r="G13" s="124"/>
      <c r="H13" s="124"/>
      <c r="I13" s="124">
        <v>3518</v>
      </c>
      <c r="J13" s="124"/>
      <c r="K13" s="124"/>
      <c r="L13" s="124">
        <f t="shared" si="1"/>
        <v>14678</v>
      </c>
      <c r="M13" s="124"/>
      <c r="N13" s="124"/>
      <c r="O13" s="124"/>
      <c r="P13" s="124"/>
      <c r="Q13" s="124"/>
    </row>
    <row r="14" spans="1:17">
      <c r="A14" s="89"/>
      <c r="B14" s="92"/>
      <c r="C14" s="128">
        <f>SUM(C10:E13)</f>
        <v>28740</v>
      </c>
      <c r="D14" s="128"/>
      <c r="E14" s="128"/>
      <c r="F14" s="128">
        <f>SUM(F10:H13)</f>
        <v>7320</v>
      </c>
      <c r="G14" s="128"/>
      <c r="H14" s="128"/>
      <c r="I14" s="128">
        <f>SUM(I10:K13)</f>
        <v>10622</v>
      </c>
      <c r="J14" s="128"/>
      <c r="K14" s="128"/>
      <c r="L14" s="128">
        <f>SUM(C14:K14)</f>
        <v>46682</v>
      </c>
      <c r="M14" s="128"/>
      <c r="N14" s="128"/>
      <c r="O14" s="91"/>
      <c r="P14" s="91"/>
      <c r="Q14" s="90"/>
    </row>
    <row r="15" spans="1:17">
      <c r="A15" s="127" t="s">
        <v>139</v>
      </c>
      <c r="B15" s="128"/>
      <c r="C15" s="128"/>
      <c r="D15" s="128"/>
      <c r="E15" s="128"/>
      <c r="F15" s="128"/>
      <c r="G15" s="128"/>
      <c r="H15" s="128"/>
      <c r="I15" s="128"/>
      <c r="J15" s="128"/>
      <c r="K15" s="128"/>
      <c r="L15" s="128"/>
      <c r="M15" s="128"/>
      <c r="N15" s="128"/>
      <c r="O15" s="128"/>
      <c r="P15" s="128"/>
      <c r="Q15" s="129"/>
    </row>
    <row r="16" spans="1:17">
      <c r="A16" s="149" t="s">
        <v>90</v>
      </c>
      <c r="B16" s="149"/>
      <c r="C16" s="149" t="s">
        <v>134</v>
      </c>
      <c r="D16" s="149"/>
      <c r="E16" s="149"/>
      <c r="F16" s="149" t="s">
        <v>135</v>
      </c>
      <c r="G16" s="149"/>
      <c r="H16" s="149"/>
      <c r="I16" s="149" t="s">
        <v>135</v>
      </c>
      <c r="J16" s="149"/>
      <c r="K16" s="149"/>
      <c r="L16" s="149" t="s">
        <v>136</v>
      </c>
      <c r="M16" s="149"/>
      <c r="N16" s="149"/>
      <c r="O16" s="149" t="s">
        <v>137</v>
      </c>
      <c r="P16" s="149"/>
      <c r="Q16" s="149"/>
    </row>
    <row r="17" spans="1:17">
      <c r="A17" s="132" t="s">
        <v>11</v>
      </c>
      <c r="B17" s="133"/>
      <c r="C17" s="155">
        <v>23585.39</v>
      </c>
      <c r="D17" s="155"/>
      <c r="E17" s="155"/>
      <c r="F17" s="154">
        <f>C17+I17</f>
        <v>24037.9774</v>
      </c>
      <c r="G17" s="128"/>
      <c r="H17" s="129"/>
      <c r="I17" s="123">
        <f>22629.37*0.02</f>
        <v>452.5874</v>
      </c>
      <c r="J17" s="124"/>
      <c r="K17" s="124"/>
      <c r="L17" s="123">
        <f>22629.37*0.03</f>
        <v>678.88109999999995</v>
      </c>
      <c r="M17" s="124"/>
      <c r="N17" s="124"/>
      <c r="O17" s="123">
        <f>L17+C17</f>
        <v>24264.271099999998</v>
      </c>
      <c r="P17" s="124"/>
      <c r="Q17" s="124"/>
    </row>
    <row r="18" spans="1:17">
      <c r="A18" s="132" t="s">
        <v>15</v>
      </c>
      <c r="B18" s="133"/>
      <c r="C18" s="155">
        <v>23830.7</v>
      </c>
      <c r="D18" s="155"/>
      <c r="E18" s="155"/>
      <c r="F18" s="154">
        <f>C18+I18</f>
        <v>24285.685400000002</v>
      </c>
      <c r="G18" s="128"/>
      <c r="H18" s="129"/>
      <c r="I18" s="150">
        <f>22749.27*0.02</f>
        <v>454.98540000000003</v>
      </c>
      <c r="J18" s="150"/>
      <c r="K18" s="150"/>
      <c r="L18" s="150">
        <f>22749.27*0.03</f>
        <v>682.47810000000004</v>
      </c>
      <c r="M18" s="150"/>
      <c r="N18" s="150"/>
      <c r="O18" s="123">
        <f t="shared" ref="O18:O20" si="2">L18+C18</f>
        <v>24513.178100000001</v>
      </c>
      <c r="P18" s="124"/>
      <c r="Q18" s="124"/>
    </row>
    <row r="19" spans="1:17" ht="29.25" customHeight="1">
      <c r="A19" s="136" t="s">
        <v>18</v>
      </c>
      <c r="B19" s="137"/>
      <c r="C19" s="155">
        <v>5330.99</v>
      </c>
      <c r="D19" s="155"/>
      <c r="E19" s="155"/>
      <c r="F19" s="154">
        <f>C19+I19</f>
        <v>5434.9254000000001</v>
      </c>
      <c r="G19" s="128"/>
      <c r="H19" s="129"/>
      <c r="I19" s="150">
        <f>5196.77*0.02</f>
        <v>103.93540000000002</v>
      </c>
      <c r="J19" s="150"/>
      <c r="K19" s="150"/>
      <c r="L19" s="150">
        <f>5196.77*0.03</f>
        <v>155.90309999999999</v>
      </c>
      <c r="M19" s="150"/>
      <c r="N19" s="150"/>
      <c r="O19" s="123">
        <f t="shared" si="2"/>
        <v>5486.8930999999993</v>
      </c>
      <c r="P19" s="124"/>
      <c r="Q19" s="124"/>
    </row>
    <row r="20" spans="1:17">
      <c r="A20" s="132" t="s">
        <v>21</v>
      </c>
      <c r="B20" s="133"/>
      <c r="C20" s="155">
        <v>1303.24</v>
      </c>
      <c r="D20" s="155"/>
      <c r="E20" s="155"/>
      <c r="F20" s="154">
        <f>C20+I20</f>
        <v>1329.8094000000001</v>
      </c>
      <c r="G20" s="128"/>
      <c r="H20" s="129"/>
      <c r="I20" s="150">
        <f>1328.47*0.02</f>
        <v>26.569400000000002</v>
      </c>
      <c r="J20" s="150"/>
      <c r="K20" s="150"/>
      <c r="L20" s="150">
        <f>1328.47*0.03</f>
        <v>39.854100000000003</v>
      </c>
      <c r="M20" s="150"/>
      <c r="N20" s="150"/>
      <c r="O20" s="123">
        <f t="shared" si="2"/>
        <v>1343.0941</v>
      </c>
      <c r="P20" s="124"/>
      <c r="Q20" s="124"/>
    </row>
    <row r="21" spans="1:17">
      <c r="A21" s="151" t="s">
        <v>140</v>
      </c>
      <c r="B21" s="152"/>
      <c r="C21" s="152"/>
      <c r="D21" s="152"/>
      <c r="E21" s="152"/>
      <c r="F21" s="152"/>
      <c r="G21" s="152"/>
      <c r="H21" s="152"/>
      <c r="I21" s="152"/>
      <c r="J21" s="152"/>
      <c r="K21" s="152"/>
      <c r="L21" s="152"/>
      <c r="M21" s="152"/>
      <c r="N21" s="152"/>
      <c r="O21" s="152"/>
      <c r="P21" s="152"/>
      <c r="Q21" s="153"/>
    </row>
    <row r="22" spans="1:17">
      <c r="A22" s="149" t="s">
        <v>90</v>
      </c>
      <c r="B22" s="149"/>
      <c r="C22" s="149" t="s">
        <v>134</v>
      </c>
      <c r="D22" s="149"/>
      <c r="E22" s="149"/>
      <c r="F22" s="149" t="s">
        <v>135</v>
      </c>
      <c r="G22" s="149"/>
      <c r="H22" s="149"/>
      <c r="I22" s="149" t="s">
        <v>136</v>
      </c>
      <c r="J22" s="149"/>
      <c r="K22" s="149"/>
      <c r="L22" s="124"/>
      <c r="M22" s="124"/>
      <c r="N22" s="124"/>
      <c r="O22" s="124"/>
      <c r="P22" s="124"/>
      <c r="Q22" s="124"/>
    </row>
    <row r="23" spans="1:17">
      <c r="A23" s="132" t="s">
        <v>11</v>
      </c>
      <c r="B23" s="133"/>
      <c r="C23" s="124">
        <v>6030</v>
      </c>
      <c r="D23" s="124"/>
      <c r="E23" s="124"/>
      <c r="F23" s="124">
        <v>870</v>
      </c>
      <c r="G23" s="124"/>
      <c r="H23" s="124"/>
      <c r="I23" s="124">
        <v>1613</v>
      </c>
      <c r="J23" s="124"/>
      <c r="K23" s="124"/>
      <c r="L23" s="124">
        <f>SUM(C23:K23)</f>
        <v>8513</v>
      </c>
      <c r="M23" s="124"/>
      <c r="N23" s="124"/>
      <c r="O23" s="124"/>
      <c r="P23" s="124"/>
      <c r="Q23" s="124"/>
    </row>
    <row r="24" spans="1:17">
      <c r="A24" s="132" t="s">
        <v>15</v>
      </c>
      <c r="B24" s="133"/>
      <c r="C24" s="124">
        <v>5130</v>
      </c>
      <c r="D24" s="124"/>
      <c r="E24" s="124"/>
      <c r="F24" s="124">
        <v>730</v>
      </c>
      <c r="G24" s="124"/>
      <c r="H24" s="124"/>
      <c r="I24" s="124">
        <v>1372</v>
      </c>
      <c r="J24" s="124"/>
      <c r="K24" s="124"/>
      <c r="L24" s="124">
        <f>SUM(C24:K24)</f>
        <v>7232</v>
      </c>
      <c r="M24" s="124"/>
      <c r="N24" s="124"/>
      <c r="O24" s="124"/>
      <c r="P24" s="124"/>
      <c r="Q24" s="124"/>
    </row>
    <row r="25" spans="1:17">
      <c r="A25" s="136" t="s">
        <v>18</v>
      </c>
      <c r="B25" s="137"/>
      <c r="C25" s="124">
        <v>7980</v>
      </c>
      <c r="D25" s="124"/>
      <c r="E25" s="124"/>
      <c r="F25" s="124">
        <v>1500</v>
      </c>
      <c r="G25" s="124"/>
      <c r="H25" s="124"/>
      <c r="I25" s="124">
        <v>3388</v>
      </c>
      <c r="J25" s="124"/>
      <c r="K25" s="124"/>
      <c r="L25" s="124">
        <f>SUM(C25:K25)</f>
        <v>12868</v>
      </c>
      <c r="M25" s="124"/>
      <c r="N25" s="124"/>
      <c r="O25" s="124"/>
      <c r="P25" s="124"/>
      <c r="Q25" s="124"/>
    </row>
    <row r="26" spans="1:17">
      <c r="A26" s="132" t="s">
        <v>21</v>
      </c>
      <c r="B26" s="133"/>
      <c r="C26" s="124">
        <v>6730</v>
      </c>
      <c r="D26" s="124"/>
      <c r="E26" s="124"/>
      <c r="F26" s="124">
        <v>3560</v>
      </c>
      <c r="G26" s="124"/>
      <c r="H26" s="124"/>
      <c r="I26" s="124">
        <v>3348</v>
      </c>
      <c r="J26" s="124"/>
      <c r="K26" s="124"/>
      <c r="L26" s="124">
        <f>SUM(C26:K26)</f>
        <v>13638</v>
      </c>
      <c r="M26" s="124"/>
      <c r="N26" s="124"/>
      <c r="O26" s="124"/>
      <c r="P26" s="124"/>
      <c r="Q26" s="124"/>
    </row>
    <row r="27" spans="1:17">
      <c r="A27" s="89"/>
      <c r="B27" s="92"/>
      <c r="C27" s="128">
        <f>SUM(C23:E26)</f>
        <v>25870</v>
      </c>
      <c r="D27" s="128"/>
      <c r="E27" s="128"/>
      <c r="F27" s="128">
        <f>SUM(F23:H26)</f>
        <v>6660</v>
      </c>
      <c r="G27" s="128"/>
      <c r="H27" s="128"/>
      <c r="I27" s="128">
        <f>SUM(I23:K26)</f>
        <v>9721</v>
      </c>
      <c r="J27" s="128"/>
      <c r="K27" s="128"/>
      <c r="L27" s="128">
        <f>SUM(C27:K27)</f>
        <v>42251</v>
      </c>
      <c r="M27" s="128"/>
      <c r="N27" s="128"/>
      <c r="O27" s="91"/>
      <c r="P27" s="91"/>
      <c r="Q27" s="90"/>
    </row>
    <row r="28" spans="1:17">
      <c r="A28" s="127" t="s">
        <v>141</v>
      </c>
      <c r="B28" s="128"/>
      <c r="C28" s="128"/>
      <c r="D28" s="128"/>
      <c r="E28" s="128"/>
      <c r="F28" s="128"/>
      <c r="G28" s="128"/>
      <c r="H28" s="128"/>
      <c r="I28" s="128"/>
      <c r="J28" s="128"/>
      <c r="K28" s="128"/>
      <c r="L28" s="128"/>
      <c r="M28" s="128"/>
      <c r="N28" s="128"/>
      <c r="O28" s="128"/>
      <c r="P28" s="128"/>
      <c r="Q28" s="129"/>
    </row>
    <row r="29" spans="1:17">
      <c r="A29" s="149" t="s">
        <v>90</v>
      </c>
      <c r="B29" s="149"/>
      <c r="C29" s="149" t="s">
        <v>134</v>
      </c>
      <c r="D29" s="149"/>
      <c r="E29" s="149"/>
      <c r="F29" s="149" t="s">
        <v>135</v>
      </c>
      <c r="G29" s="149"/>
      <c r="H29" s="149"/>
      <c r="I29" s="149" t="s">
        <v>135</v>
      </c>
      <c r="J29" s="149"/>
      <c r="K29" s="149"/>
      <c r="L29" s="149" t="s">
        <v>136</v>
      </c>
      <c r="M29" s="149"/>
      <c r="N29" s="149"/>
      <c r="O29" s="149" t="s">
        <v>137</v>
      </c>
      <c r="P29" s="149"/>
      <c r="Q29" s="149"/>
    </row>
    <row r="30" spans="1:17">
      <c r="A30" s="132" t="s">
        <v>11</v>
      </c>
      <c r="B30" s="133"/>
      <c r="C30" s="150">
        <v>23365.49</v>
      </c>
      <c r="D30" s="150"/>
      <c r="E30" s="150"/>
      <c r="F30" s="154">
        <f>C30+I30</f>
        <v>23818.077400000002</v>
      </c>
      <c r="G30" s="128"/>
      <c r="H30" s="129"/>
      <c r="I30" s="123">
        <f>22629.37*0.02</f>
        <v>452.5874</v>
      </c>
      <c r="J30" s="124"/>
      <c r="K30" s="124"/>
      <c r="L30" s="123">
        <f>22629.37*0.03</f>
        <v>678.88109999999995</v>
      </c>
      <c r="M30" s="124"/>
      <c r="N30" s="124"/>
      <c r="O30" s="123">
        <f>L30+C30</f>
        <v>24044.3711</v>
      </c>
      <c r="P30" s="124"/>
      <c r="Q30" s="124"/>
    </row>
    <row r="31" spans="1:17">
      <c r="A31" s="132" t="s">
        <v>15</v>
      </c>
      <c r="B31" s="133"/>
      <c r="C31" s="150">
        <v>23680.799999999999</v>
      </c>
      <c r="D31" s="150"/>
      <c r="E31" s="150"/>
      <c r="F31" s="154">
        <f>C31+I31</f>
        <v>24135.785400000001</v>
      </c>
      <c r="G31" s="128"/>
      <c r="H31" s="129"/>
      <c r="I31" s="150">
        <f>22749.27*0.02</f>
        <v>454.98540000000003</v>
      </c>
      <c r="J31" s="150"/>
      <c r="K31" s="150"/>
      <c r="L31" s="150">
        <f>22749.27*0.03</f>
        <v>682.47810000000004</v>
      </c>
      <c r="M31" s="150"/>
      <c r="N31" s="150"/>
      <c r="O31" s="123">
        <f t="shared" ref="O31:O33" si="3">L31+C31</f>
        <v>24363.2781</v>
      </c>
      <c r="P31" s="124"/>
      <c r="Q31" s="124"/>
    </row>
    <row r="32" spans="1:17">
      <c r="A32" s="136" t="s">
        <v>18</v>
      </c>
      <c r="B32" s="137"/>
      <c r="C32" s="150">
        <v>5231.09</v>
      </c>
      <c r="D32" s="150"/>
      <c r="E32" s="150"/>
      <c r="F32" s="154">
        <f>C32+I32</f>
        <v>5335.0254000000004</v>
      </c>
      <c r="G32" s="128"/>
      <c r="H32" s="129"/>
      <c r="I32" s="150">
        <f>5196.77*0.02</f>
        <v>103.93540000000002</v>
      </c>
      <c r="J32" s="150"/>
      <c r="K32" s="150"/>
      <c r="L32" s="150">
        <f>5196.77*0.03</f>
        <v>155.90309999999999</v>
      </c>
      <c r="M32" s="150"/>
      <c r="N32" s="150"/>
      <c r="O32" s="123">
        <f t="shared" si="3"/>
        <v>5386.9930999999997</v>
      </c>
      <c r="P32" s="124"/>
      <c r="Q32" s="124"/>
    </row>
    <row r="33" spans="1:17">
      <c r="A33" s="132" t="s">
        <v>21</v>
      </c>
      <c r="B33" s="133"/>
      <c r="C33" s="150">
        <v>1243.44</v>
      </c>
      <c r="D33" s="150"/>
      <c r="E33" s="150"/>
      <c r="F33" s="154">
        <f>C33+I33</f>
        <v>1270.0094000000001</v>
      </c>
      <c r="G33" s="128"/>
      <c r="H33" s="129"/>
      <c r="I33" s="150">
        <f>1328.47*0.02</f>
        <v>26.569400000000002</v>
      </c>
      <c r="J33" s="150"/>
      <c r="K33" s="150"/>
      <c r="L33" s="150">
        <f>1328.47*0.03</f>
        <v>39.854100000000003</v>
      </c>
      <c r="M33" s="150"/>
      <c r="N33" s="150"/>
      <c r="O33" s="123">
        <f t="shared" si="3"/>
        <v>1283.2941000000001</v>
      </c>
      <c r="P33" s="124"/>
      <c r="Q33" s="124"/>
    </row>
    <row r="34" spans="1:17">
      <c r="A34" s="151" t="s">
        <v>142</v>
      </c>
      <c r="B34" s="152"/>
      <c r="C34" s="152"/>
      <c r="D34" s="152"/>
      <c r="E34" s="152"/>
      <c r="F34" s="152"/>
      <c r="G34" s="152"/>
      <c r="H34" s="152"/>
      <c r="I34" s="152"/>
      <c r="J34" s="152"/>
      <c r="K34" s="152"/>
      <c r="L34" s="152"/>
      <c r="M34" s="152"/>
      <c r="N34" s="152"/>
      <c r="O34" s="152"/>
      <c r="P34" s="152"/>
      <c r="Q34" s="153"/>
    </row>
    <row r="35" spans="1:17">
      <c r="A35" s="149" t="s">
        <v>90</v>
      </c>
      <c r="B35" s="149"/>
      <c r="C35" s="149" t="s">
        <v>134</v>
      </c>
      <c r="D35" s="149"/>
      <c r="E35" s="149"/>
      <c r="F35" s="149" t="s">
        <v>135</v>
      </c>
      <c r="G35" s="149"/>
      <c r="H35" s="149"/>
      <c r="I35" s="149" t="s">
        <v>136</v>
      </c>
      <c r="J35" s="149"/>
      <c r="K35" s="149"/>
      <c r="L35" s="124"/>
      <c r="M35" s="124"/>
      <c r="N35" s="124"/>
      <c r="O35" s="124"/>
      <c r="P35" s="124"/>
      <c r="Q35" s="124"/>
    </row>
    <row r="36" spans="1:17">
      <c r="A36" s="132" t="s">
        <v>11</v>
      </c>
      <c r="B36" s="133"/>
      <c r="C36" s="124">
        <v>6180</v>
      </c>
      <c r="D36" s="124"/>
      <c r="E36" s="124"/>
      <c r="F36" s="124">
        <v>900</v>
      </c>
      <c r="G36" s="124"/>
      <c r="H36" s="124"/>
      <c r="I36" s="124">
        <v>1646</v>
      </c>
      <c r="J36" s="124"/>
      <c r="K36" s="124"/>
      <c r="L36" s="124">
        <f>SUM(C36:K36)</f>
        <v>8726</v>
      </c>
      <c r="M36" s="124"/>
      <c r="N36" s="124"/>
      <c r="O36" s="124"/>
      <c r="P36" s="124"/>
      <c r="Q36" s="124"/>
    </row>
    <row r="37" spans="1:17">
      <c r="A37" s="132" t="s">
        <v>15</v>
      </c>
      <c r="B37" s="133"/>
      <c r="C37" s="124">
        <v>5250</v>
      </c>
      <c r="D37" s="124"/>
      <c r="E37" s="124"/>
      <c r="F37" s="124">
        <v>760</v>
      </c>
      <c r="G37" s="124"/>
      <c r="H37" s="124"/>
      <c r="I37" s="124">
        <v>1398</v>
      </c>
      <c r="J37" s="124"/>
      <c r="K37" s="124"/>
      <c r="L37" s="124">
        <f>SUM(C37:K37)</f>
        <v>7408</v>
      </c>
      <c r="M37" s="124"/>
      <c r="N37" s="124"/>
      <c r="O37" s="124"/>
      <c r="P37" s="124"/>
      <c r="Q37" s="124"/>
    </row>
    <row r="38" spans="1:17">
      <c r="A38" s="136" t="s">
        <v>18</v>
      </c>
      <c r="B38" s="137"/>
      <c r="C38" s="124">
        <v>8220</v>
      </c>
      <c r="D38" s="124"/>
      <c r="E38" s="124"/>
      <c r="F38" s="124">
        <v>1580</v>
      </c>
      <c r="G38" s="124"/>
      <c r="H38" s="124"/>
      <c r="I38" s="124">
        <v>3490</v>
      </c>
      <c r="J38" s="124"/>
      <c r="K38" s="124"/>
      <c r="L38" s="124">
        <f>SUM(C38:K38)</f>
        <v>13290</v>
      </c>
      <c r="M38" s="124"/>
      <c r="N38" s="124"/>
      <c r="O38" s="124"/>
      <c r="P38" s="124"/>
      <c r="Q38" s="124"/>
    </row>
    <row r="39" spans="1:17">
      <c r="A39" s="132" t="s">
        <v>21</v>
      </c>
      <c r="B39" s="133"/>
      <c r="C39" s="124">
        <v>6790</v>
      </c>
      <c r="D39" s="124"/>
      <c r="E39" s="124"/>
      <c r="F39" s="124">
        <v>3710</v>
      </c>
      <c r="G39" s="124"/>
      <c r="H39" s="124"/>
      <c r="I39" s="124">
        <v>3440</v>
      </c>
      <c r="J39" s="124"/>
      <c r="K39" s="124"/>
      <c r="L39" s="124">
        <f>SUM(C39:K39)</f>
        <v>13940</v>
      </c>
      <c r="M39" s="124"/>
      <c r="N39" s="124"/>
      <c r="O39" s="124"/>
      <c r="P39" s="124"/>
      <c r="Q39" s="124"/>
    </row>
    <row r="40" spans="1:17">
      <c r="A40" s="89"/>
      <c r="B40" s="92"/>
      <c r="C40" s="128">
        <f>SUM(C36:E39)</f>
        <v>26440</v>
      </c>
      <c r="D40" s="128"/>
      <c r="E40" s="128"/>
      <c r="F40" s="128">
        <f>SUM(F36:H39)</f>
        <v>6950</v>
      </c>
      <c r="G40" s="128"/>
      <c r="H40" s="128"/>
      <c r="I40" s="128">
        <f>SUM(I36:K39)</f>
        <v>9974</v>
      </c>
      <c r="J40" s="128"/>
      <c r="K40" s="128"/>
      <c r="L40" s="128">
        <f>SUM(C40:K40)</f>
        <v>43364</v>
      </c>
      <c r="M40" s="128"/>
      <c r="N40" s="128"/>
      <c r="O40" s="91"/>
      <c r="P40" s="91"/>
      <c r="Q40" s="90"/>
    </row>
    <row r="41" spans="1:17">
      <c r="A41" s="127" t="s">
        <v>143</v>
      </c>
      <c r="B41" s="128"/>
      <c r="C41" s="128"/>
      <c r="D41" s="128"/>
      <c r="E41" s="128"/>
      <c r="F41" s="128"/>
      <c r="G41" s="128"/>
      <c r="H41" s="128"/>
      <c r="I41" s="128"/>
      <c r="J41" s="128"/>
      <c r="K41" s="128"/>
      <c r="L41" s="128"/>
      <c r="M41" s="128"/>
      <c r="N41" s="128"/>
      <c r="O41" s="128"/>
      <c r="P41" s="128"/>
      <c r="Q41" s="129"/>
    </row>
    <row r="42" spans="1:17">
      <c r="A42" s="149" t="s">
        <v>90</v>
      </c>
      <c r="B42" s="149"/>
      <c r="C42" s="149" t="s">
        <v>134</v>
      </c>
      <c r="D42" s="149"/>
      <c r="E42" s="149"/>
      <c r="F42" s="149" t="s">
        <v>135</v>
      </c>
      <c r="G42" s="149"/>
      <c r="H42" s="149"/>
      <c r="I42" s="149" t="s">
        <v>135</v>
      </c>
      <c r="J42" s="149"/>
      <c r="K42" s="149"/>
      <c r="L42" s="149" t="s">
        <v>136</v>
      </c>
      <c r="M42" s="149"/>
      <c r="N42" s="149"/>
      <c r="O42" s="149" t="s">
        <v>137</v>
      </c>
      <c r="P42" s="149"/>
      <c r="Q42" s="149"/>
    </row>
    <row r="43" spans="1:17">
      <c r="A43" s="132" t="s">
        <v>11</v>
      </c>
      <c r="B43" s="133"/>
      <c r="C43" s="150">
        <v>21969.97</v>
      </c>
      <c r="D43" s="150"/>
      <c r="E43" s="150"/>
      <c r="F43" s="154">
        <f>C43+I43</f>
        <v>22422.557400000002</v>
      </c>
      <c r="G43" s="128"/>
      <c r="H43" s="129"/>
      <c r="I43" s="123">
        <f>22629.37*0.02</f>
        <v>452.5874</v>
      </c>
      <c r="J43" s="124"/>
      <c r="K43" s="124"/>
      <c r="L43" s="123">
        <f>22629.37*0.03</f>
        <v>678.88109999999995</v>
      </c>
      <c r="M43" s="124"/>
      <c r="N43" s="124"/>
      <c r="O43" s="123">
        <f>L43+C43</f>
        <v>22648.8511</v>
      </c>
      <c r="P43" s="124"/>
      <c r="Q43" s="124"/>
    </row>
    <row r="44" spans="1:17">
      <c r="A44" s="132" t="s">
        <v>15</v>
      </c>
      <c r="B44" s="133"/>
      <c r="C44" s="150">
        <v>22298.57</v>
      </c>
      <c r="D44" s="150"/>
      <c r="E44" s="150"/>
      <c r="F44" s="154">
        <f>C44+I44</f>
        <v>22753.555400000001</v>
      </c>
      <c r="G44" s="128"/>
      <c r="H44" s="129"/>
      <c r="I44" s="150">
        <f>22749.27*0.02</f>
        <v>454.98540000000003</v>
      </c>
      <c r="J44" s="150"/>
      <c r="K44" s="150"/>
      <c r="L44" s="150">
        <f>22749.27*0.03</f>
        <v>682.47810000000004</v>
      </c>
      <c r="M44" s="150"/>
      <c r="N44" s="150"/>
      <c r="O44" s="123">
        <f t="shared" ref="O44:O46" si="4">L44+C44</f>
        <v>22981.0481</v>
      </c>
      <c r="P44" s="124"/>
      <c r="Q44" s="124"/>
    </row>
    <row r="45" spans="1:17">
      <c r="A45" s="136" t="s">
        <v>18</v>
      </c>
      <c r="B45" s="137"/>
      <c r="C45" s="150">
        <v>4896.07</v>
      </c>
      <c r="D45" s="150"/>
      <c r="E45" s="150"/>
      <c r="F45" s="154">
        <f>C45+I45</f>
        <v>5000.0054</v>
      </c>
      <c r="G45" s="128"/>
      <c r="H45" s="129"/>
      <c r="I45" s="150">
        <f>5196.77*0.02</f>
        <v>103.93540000000002</v>
      </c>
      <c r="J45" s="150"/>
      <c r="K45" s="150"/>
      <c r="L45" s="150">
        <f>5196.77*0.03</f>
        <v>155.90309999999999</v>
      </c>
      <c r="M45" s="150"/>
      <c r="N45" s="150"/>
      <c r="O45" s="123">
        <f t="shared" si="4"/>
        <v>5051.9730999999992</v>
      </c>
      <c r="P45" s="124"/>
      <c r="Q45" s="124"/>
    </row>
    <row r="46" spans="1:17">
      <c r="A46" s="132" t="s">
        <v>21</v>
      </c>
      <c r="B46" s="133"/>
      <c r="C46" s="150">
        <v>1147.73</v>
      </c>
      <c r="D46" s="150"/>
      <c r="E46" s="150"/>
      <c r="F46" s="154">
        <f>C46+I46</f>
        <v>1174.2994000000001</v>
      </c>
      <c r="G46" s="128"/>
      <c r="H46" s="129"/>
      <c r="I46" s="150">
        <f>1328.47*0.02</f>
        <v>26.569400000000002</v>
      </c>
      <c r="J46" s="150"/>
      <c r="K46" s="150"/>
      <c r="L46" s="150">
        <f>1328.47*0.03</f>
        <v>39.854100000000003</v>
      </c>
      <c r="M46" s="150"/>
      <c r="N46" s="150"/>
      <c r="O46" s="123">
        <f t="shared" si="4"/>
        <v>1187.5841</v>
      </c>
      <c r="P46" s="124"/>
      <c r="Q46" s="124"/>
    </row>
    <row r="47" spans="1:17">
      <c r="A47" s="151" t="s">
        <v>144</v>
      </c>
      <c r="B47" s="152"/>
      <c r="C47" s="152"/>
      <c r="D47" s="152"/>
      <c r="E47" s="152"/>
      <c r="F47" s="152"/>
      <c r="G47" s="152"/>
      <c r="H47" s="152"/>
      <c r="I47" s="152"/>
      <c r="J47" s="152"/>
      <c r="K47" s="152"/>
      <c r="L47" s="152"/>
      <c r="M47" s="152"/>
      <c r="N47" s="152"/>
      <c r="O47" s="152"/>
      <c r="P47" s="152"/>
      <c r="Q47" s="153"/>
    </row>
    <row r="48" spans="1:17">
      <c r="A48" s="149" t="s">
        <v>90</v>
      </c>
      <c r="B48" s="149"/>
      <c r="C48" s="149" t="s">
        <v>134</v>
      </c>
      <c r="D48" s="149"/>
      <c r="E48" s="149"/>
      <c r="F48" s="149" t="s">
        <v>135</v>
      </c>
      <c r="G48" s="149"/>
      <c r="H48" s="149"/>
      <c r="I48" s="149" t="s">
        <v>136</v>
      </c>
      <c r="J48" s="149"/>
      <c r="K48" s="149"/>
      <c r="L48" s="124"/>
      <c r="M48" s="124"/>
      <c r="N48" s="124"/>
      <c r="O48" s="124"/>
      <c r="P48" s="124"/>
      <c r="Q48" s="124"/>
    </row>
    <row r="49" spans="1:17">
      <c r="A49" s="132" t="s">
        <v>11</v>
      </c>
      <c r="B49" s="133"/>
      <c r="C49" s="124">
        <v>6030</v>
      </c>
      <c r="D49" s="124"/>
      <c r="E49" s="124"/>
      <c r="F49" s="124">
        <v>870</v>
      </c>
      <c r="G49" s="124"/>
      <c r="H49" s="124"/>
      <c r="I49" s="124">
        <v>1613</v>
      </c>
      <c r="J49" s="124"/>
      <c r="K49" s="124"/>
      <c r="L49" s="124">
        <f>SUM(C49:K49)</f>
        <v>8513</v>
      </c>
      <c r="M49" s="124"/>
      <c r="N49" s="124"/>
      <c r="O49" s="124"/>
      <c r="P49" s="124"/>
      <c r="Q49" s="124"/>
    </row>
    <row r="50" spans="1:17" ht="15" customHeight="1">
      <c r="A50" s="132" t="s">
        <v>15</v>
      </c>
      <c r="B50" s="133"/>
      <c r="C50" s="124">
        <v>5130</v>
      </c>
      <c r="D50" s="124"/>
      <c r="E50" s="124"/>
      <c r="F50" s="124">
        <v>730</v>
      </c>
      <c r="G50" s="124"/>
      <c r="H50" s="124"/>
      <c r="I50" s="124">
        <v>1372</v>
      </c>
      <c r="J50" s="124"/>
      <c r="K50" s="124"/>
      <c r="L50" s="124">
        <f t="shared" ref="L50:L52" si="5">SUM(C50:K50)</f>
        <v>7232</v>
      </c>
      <c r="M50" s="124"/>
      <c r="N50" s="124"/>
      <c r="O50" s="124"/>
      <c r="P50" s="124"/>
      <c r="Q50" s="124"/>
    </row>
    <row r="51" spans="1:17">
      <c r="A51" s="136" t="s">
        <v>18</v>
      </c>
      <c r="B51" s="137"/>
      <c r="C51" s="124">
        <v>7980</v>
      </c>
      <c r="D51" s="124"/>
      <c r="E51" s="124"/>
      <c r="F51" s="124">
        <v>1490</v>
      </c>
      <c r="G51" s="124"/>
      <c r="H51" s="124"/>
      <c r="I51" s="124">
        <v>3388</v>
      </c>
      <c r="J51" s="124"/>
      <c r="K51" s="124"/>
      <c r="L51" s="124">
        <f t="shared" si="5"/>
        <v>12858</v>
      </c>
      <c r="M51" s="124"/>
      <c r="N51" s="124"/>
      <c r="O51" s="124"/>
      <c r="P51" s="124"/>
      <c r="Q51" s="124"/>
    </row>
    <row r="52" spans="1:17">
      <c r="A52" s="132" t="s">
        <v>21</v>
      </c>
      <c r="B52" s="133"/>
      <c r="C52" s="124">
        <v>6730</v>
      </c>
      <c r="D52" s="124"/>
      <c r="E52" s="124"/>
      <c r="F52" s="124">
        <v>3520</v>
      </c>
      <c r="G52" s="124"/>
      <c r="H52" s="124"/>
      <c r="I52" s="124">
        <v>3348</v>
      </c>
      <c r="J52" s="124"/>
      <c r="K52" s="124"/>
      <c r="L52" s="124">
        <f t="shared" si="5"/>
        <v>13598</v>
      </c>
      <c r="M52" s="124"/>
      <c r="N52" s="124"/>
      <c r="O52" s="124"/>
      <c r="P52" s="124"/>
      <c r="Q52" s="124"/>
    </row>
    <row r="53" spans="1:17">
      <c r="A53" s="89"/>
      <c r="B53" s="92"/>
      <c r="C53" s="128">
        <f>SUM(C49:E52)</f>
        <v>25870</v>
      </c>
      <c r="D53" s="128"/>
      <c r="E53" s="128"/>
      <c r="F53" s="128">
        <f>SUM(F49:H52)</f>
        <v>6610</v>
      </c>
      <c r="G53" s="128"/>
      <c r="H53" s="128"/>
      <c r="I53" s="128">
        <f>SUM(I49:K52)</f>
        <v>9721</v>
      </c>
      <c r="J53" s="128"/>
      <c r="K53" s="128"/>
      <c r="L53" s="128">
        <f>SUM(C53:K53)</f>
        <v>42201</v>
      </c>
      <c r="M53" s="128"/>
      <c r="N53" s="128"/>
      <c r="O53" s="91"/>
      <c r="P53" s="91"/>
      <c r="Q53" s="90"/>
    </row>
    <row r="54" spans="1:17">
      <c r="A54" s="127" t="s">
        <v>145</v>
      </c>
      <c r="B54" s="128"/>
      <c r="C54" s="128"/>
      <c r="D54" s="128"/>
      <c r="E54" s="128"/>
      <c r="F54" s="128"/>
      <c r="G54" s="128"/>
      <c r="H54" s="128"/>
      <c r="I54" s="128"/>
      <c r="J54" s="128"/>
      <c r="K54" s="128"/>
      <c r="L54" s="128"/>
      <c r="M54" s="128"/>
      <c r="N54" s="128"/>
      <c r="O54" s="128"/>
      <c r="P54" s="128"/>
      <c r="Q54" s="129"/>
    </row>
    <row r="55" spans="1:17">
      <c r="A55" s="149" t="s">
        <v>90</v>
      </c>
      <c r="B55" s="149"/>
      <c r="C55" s="149" t="s">
        <v>134</v>
      </c>
      <c r="D55" s="149"/>
      <c r="E55" s="149"/>
      <c r="F55" s="149" t="s">
        <v>135</v>
      </c>
      <c r="G55" s="149"/>
      <c r="H55" s="149"/>
      <c r="I55" s="149" t="s">
        <v>135</v>
      </c>
      <c r="J55" s="149"/>
      <c r="K55" s="149"/>
      <c r="L55" s="149" t="s">
        <v>136</v>
      </c>
      <c r="M55" s="149"/>
      <c r="N55" s="149"/>
      <c r="O55" s="149" t="s">
        <v>137</v>
      </c>
      <c r="P55" s="149"/>
      <c r="Q55" s="149"/>
    </row>
    <row r="56" spans="1:17">
      <c r="A56" s="132" t="s">
        <v>11</v>
      </c>
      <c r="B56" s="133"/>
      <c r="C56" s="150">
        <v>21377.49</v>
      </c>
      <c r="D56" s="150"/>
      <c r="E56" s="150"/>
      <c r="F56" s="154">
        <f>C56+I56</f>
        <v>21830.077400000002</v>
      </c>
      <c r="G56" s="128"/>
      <c r="H56" s="129"/>
      <c r="I56" s="123">
        <f>22629.37*0.02</f>
        <v>452.5874</v>
      </c>
      <c r="J56" s="124"/>
      <c r="K56" s="124"/>
      <c r="L56" s="123">
        <f>22629.37*0.03</f>
        <v>678.88109999999995</v>
      </c>
      <c r="M56" s="124"/>
      <c r="N56" s="124"/>
      <c r="O56" s="123">
        <f>L56+C56</f>
        <v>22056.3711</v>
      </c>
      <c r="P56" s="124"/>
      <c r="Q56" s="124"/>
    </row>
    <row r="57" spans="1:17">
      <c r="A57" s="132" t="s">
        <v>15</v>
      </c>
      <c r="B57" s="133"/>
      <c r="C57" s="150">
        <v>21758.44</v>
      </c>
      <c r="D57" s="150"/>
      <c r="E57" s="150"/>
      <c r="F57" s="154">
        <f>C57+I57</f>
        <v>22213.4254</v>
      </c>
      <c r="G57" s="128"/>
      <c r="H57" s="129"/>
      <c r="I57" s="150">
        <f>22749.27*0.02</f>
        <v>454.98540000000003</v>
      </c>
      <c r="J57" s="150"/>
      <c r="K57" s="150"/>
      <c r="L57" s="150">
        <f>22749.27*0.03</f>
        <v>682.47810000000004</v>
      </c>
      <c r="M57" s="150"/>
      <c r="N57" s="150"/>
      <c r="O57" s="123">
        <f t="shared" ref="O57:O59" si="6">L57+C57</f>
        <v>22440.918099999999</v>
      </c>
      <c r="P57" s="124"/>
      <c r="Q57" s="124"/>
    </row>
    <row r="58" spans="1:17">
      <c r="A58" s="136" t="s">
        <v>18</v>
      </c>
      <c r="B58" s="137"/>
      <c r="C58" s="150">
        <v>4721.72</v>
      </c>
      <c r="D58" s="150"/>
      <c r="E58" s="150"/>
      <c r="F58" s="154">
        <f>C58+I58</f>
        <v>4825.6554000000006</v>
      </c>
      <c r="G58" s="128"/>
      <c r="H58" s="129"/>
      <c r="I58" s="150">
        <f>5196.77*0.02</f>
        <v>103.93540000000002</v>
      </c>
      <c r="J58" s="150"/>
      <c r="K58" s="150"/>
      <c r="L58" s="150">
        <f>5196.77*0.03</f>
        <v>155.90309999999999</v>
      </c>
      <c r="M58" s="150"/>
      <c r="N58" s="150"/>
      <c r="O58" s="123">
        <f t="shared" si="6"/>
        <v>4877.6231000000007</v>
      </c>
      <c r="P58" s="124"/>
      <c r="Q58" s="124"/>
    </row>
    <row r="59" spans="1:17">
      <c r="A59" s="132" t="s">
        <v>21</v>
      </c>
      <c r="B59" s="133"/>
      <c r="C59" s="150">
        <v>1076.5</v>
      </c>
      <c r="D59" s="150"/>
      <c r="E59" s="150"/>
      <c r="F59" s="154">
        <f>C59+I59</f>
        <v>1103.0694000000001</v>
      </c>
      <c r="G59" s="128"/>
      <c r="H59" s="129"/>
      <c r="I59" s="150">
        <f>1328.47*0.02</f>
        <v>26.569400000000002</v>
      </c>
      <c r="J59" s="150"/>
      <c r="K59" s="150"/>
      <c r="L59" s="150">
        <f>1328.47*0.03</f>
        <v>39.854100000000003</v>
      </c>
      <c r="M59" s="150"/>
      <c r="N59" s="150"/>
      <c r="O59" s="123">
        <f t="shared" si="6"/>
        <v>1116.3541</v>
      </c>
      <c r="P59" s="124"/>
      <c r="Q59" s="124"/>
    </row>
    <row r="60" spans="1:17">
      <c r="A60" s="151" t="s">
        <v>146</v>
      </c>
      <c r="B60" s="152"/>
      <c r="C60" s="152"/>
      <c r="D60" s="152"/>
      <c r="E60" s="152"/>
      <c r="F60" s="152"/>
      <c r="G60" s="152"/>
      <c r="H60" s="152"/>
      <c r="I60" s="152"/>
      <c r="J60" s="152"/>
      <c r="K60" s="152"/>
      <c r="L60" s="152"/>
      <c r="M60" s="152"/>
      <c r="N60" s="152"/>
      <c r="O60" s="152"/>
      <c r="P60" s="152"/>
      <c r="Q60" s="153"/>
    </row>
    <row r="61" spans="1:17">
      <c r="A61" s="149" t="s">
        <v>90</v>
      </c>
      <c r="B61" s="149"/>
      <c r="C61" s="149" t="s">
        <v>134</v>
      </c>
      <c r="D61" s="149"/>
      <c r="E61" s="149"/>
      <c r="F61" s="149" t="s">
        <v>135</v>
      </c>
      <c r="G61" s="149"/>
      <c r="H61" s="149"/>
      <c r="I61" s="149" t="s">
        <v>136</v>
      </c>
      <c r="J61" s="149"/>
      <c r="K61" s="149"/>
      <c r="L61" s="124"/>
      <c r="M61" s="124"/>
      <c r="N61" s="124"/>
      <c r="O61" s="124"/>
      <c r="P61" s="124"/>
      <c r="Q61" s="124"/>
    </row>
    <row r="62" spans="1:17">
      <c r="A62" s="132" t="s">
        <v>11</v>
      </c>
      <c r="B62" s="133"/>
      <c r="C62" s="124">
        <v>6260</v>
      </c>
      <c r="D62" s="124"/>
      <c r="E62" s="124"/>
      <c r="F62" s="124">
        <v>915</v>
      </c>
      <c r="G62" s="124"/>
      <c r="H62" s="124"/>
      <c r="I62" s="124">
        <v>1697</v>
      </c>
      <c r="J62" s="124"/>
      <c r="K62" s="124"/>
      <c r="L62" s="124">
        <f>SUM(C62:K62)</f>
        <v>8872</v>
      </c>
      <c r="M62" s="124"/>
      <c r="N62" s="124"/>
      <c r="O62" s="124"/>
      <c r="P62" s="124"/>
      <c r="Q62" s="124"/>
    </row>
    <row r="63" spans="1:17">
      <c r="A63" s="132" t="s">
        <v>15</v>
      </c>
      <c r="B63" s="133"/>
      <c r="C63" s="124">
        <v>5320</v>
      </c>
      <c r="D63" s="124"/>
      <c r="E63" s="124"/>
      <c r="F63" s="124">
        <v>760</v>
      </c>
      <c r="G63" s="124"/>
      <c r="H63" s="124"/>
      <c r="I63" s="124">
        <v>1439</v>
      </c>
      <c r="J63" s="124"/>
      <c r="K63" s="124"/>
      <c r="L63" s="124">
        <f t="shared" ref="L63:L65" si="7">SUM(C63:K63)</f>
        <v>7519</v>
      </c>
      <c r="M63" s="124"/>
      <c r="N63" s="124"/>
      <c r="O63" s="124"/>
      <c r="P63" s="124"/>
      <c r="Q63" s="124"/>
    </row>
    <row r="64" spans="1:17">
      <c r="A64" s="136" t="s">
        <v>18</v>
      </c>
      <c r="B64" s="137"/>
      <c r="C64" s="124">
        <v>8650</v>
      </c>
      <c r="D64" s="124"/>
      <c r="E64" s="124"/>
      <c r="F64" s="124">
        <v>1620</v>
      </c>
      <c r="G64" s="124"/>
      <c r="H64" s="124"/>
      <c r="I64" s="124">
        <v>3647</v>
      </c>
      <c r="J64" s="124"/>
      <c r="K64" s="124"/>
      <c r="L64" s="124">
        <f t="shared" si="7"/>
        <v>13917</v>
      </c>
      <c r="M64" s="124"/>
      <c r="N64" s="124"/>
      <c r="O64" s="124"/>
      <c r="P64" s="124"/>
      <c r="Q64" s="124"/>
    </row>
    <row r="65" spans="1:17">
      <c r="A65" s="132" t="s">
        <v>21</v>
      </c>
      <c r="B65" s="133"/>
      <c r="C65" s="124">
        <v>6870</v>
      </c>
      <c r="D65" s="124"/>
      <c r="E65" s="124"/>
      <c r="F65" s="124">
        <v>3750</v>
      </c>
      <c r="G65" s="124"/>
      <c r="H65" s="124"/>
      <c r="I65" s="124">
        <v>3444</v>
      </c>
      <c r="J65" s="124"/>
      <c r="K65" s="124"/>
      <c r="L65" s="124">
        <f t="shared" si="7"/>
        <v>14064</v>
      </c>
      <c r="M65" s="124"/>
      <c r="N65" s="124"/>
      <c r="O65" s="124"/>
      <c r="P65" s="124"/>
      <c r="Q65" s="124"/>
    </row>
    <row r="66" spans="1:17">
      <c r="A66" s="89"/>
      <c r="B66" s="92"/>
      <c r="C66" s="128">
        <f>SUM(C62:E65)</f>
        <v>27100</v>
      </c>
      <c r="D66" s="128"/>
      <c r="E66" s="128"/>
      <c r="F66" s="128">
        <f>SUM(F62:H65)</f>
        <v>7045</v>
      </c>
      <c r="G66" s="128"/>
      <c r="H66" s="128"/>
      <c r="I66" s="128">
        <f>SUM(I62:K65)</f>
        <v>10227</v>
      </c>
      <c r="J66" s="128"/>
      <c r="K66" s="128"/>
      <c r="L66" s="128">
        <f>SUM(C66:K66)</f>
        <v>44372</v>
      </c>
      <c r="M66" s="128"/>
      <c r="N66" s="128"/>
      <c r="O66" s="91"/>
      <c r="P66" s="91"/>
      <c r="Q66" s="90"/>
    </row>
    <row r="67" spans="1:17">
      <c r="A67" s="127" t="s">
        <v>147</v>
      </c>
      <c r="B67" s="128"/>
      <c r="C67" s="128"/>
      <c r="D67" s="128"/>
      <c r="E67" s="128"/>
      <c r="F67" s="128"/>
      <c r="G67" s="128"/>
      <c r="H67" s="128"/>
      <c r="I67" s="128"/>
      <c r="J67" s="128"/>
      <c r="K67" s="128"/>
      <c r="L67" s="128"/>
      <c r="M67" s="128"/>
      <c r="N67" s="128"/>
      <c r="O67" s="128"/>
      <c r="P67" s="128"/>
      <c r="Q67" s="129"/>
    </row>
    <row r="68" spans="1:17">
      <c r="A68" s="149" t="s">
        <v>90</v>
      </c>
      <c r="B68" s="149"/>
      <c r="C68" s="149" t="s">
        <v>134</v>
      </c>
      <c r="D68" s="149"/>
      <c r="E68" s="149"/>
      <c r="F68" s="149" t="s">
        <v>135</v>
      </c>
      <c r="G68" s="149"/>
      <c r="H68" s="149"/>
      <c r="I68" s="149" t="s">
        <v>135</v>
      </c>
      <c r="J68" s="149"/>
      <c r="K68" s="149"/>
      <c r="L68" s="149" t="s">
        <v>136</v>
      </c>
      <c r="M68" s="149"/>
      <c r="N68" s="149"/>
      <c r="O68" s="149" t="s">
        <v>137</v>
      </c>
      <c r="P68" s="149"/>
      <c r="Q68" s="149"/>
    </row>
    <row r="69" spans="1:17">
      <c r="A69" s="132" t="s">
        <v>11</v>
      </c>
      <c r="B69" s="133"/>
      <c r="C69" s="150">
        <v>22705.79</v>
      </c>
      <c r="D69" s="150"/>
      <c r="E69" s="150"/>
      <c r="F69" s="154">
        <f>C69+I69</f>
        <v>23158.377400000001</v>
      </c>
      <c r="G69" s="128"/>
      <c r="H69" s="129"/>
      <c r="I69" s="123">
        <f>22629.37*0.02</f>
        <v>452.5874</v>
      </c>
      <c r="J69" s="124"/>
      <c r="K69" s="124"/>
      <c r="L69" s="123">
        <f>22629.37*0.03</f>
        <v>678.88109999999995</v>
      </c>
      <c r="M69" s="124"/>
      <c r="N69" s="124"/>
      <c r="O69" s="123">
        <f>L69+C69</f>
        <v>23384.6711</v>
      </c>
      <c r="P69" s="124"/>
      <c r="Q69" s="124"/>
    </row>
    <row r="70" spans="1:17">
      <c r="A70" s="132" t="s">
        <v>15</v>
      </c>
      <c r="B70" s="133"/>
      <c r="C70" s="150">
        <v>23231.1</v>
      </c>
      <c r="D70" s="150"/>
      <c r="E70" s="150"/>
      <c r="F70" s="154">
        <f>C70+I70</f>
        <v>23686.0854</v>
      </c>
      <c r="G70" s="128"/>
      <c r="H70" s="129"/>
      <c r="I70" s="150">
        <f>22749.27*0.02</f>
        <v>454.98540000000003</v>
      </c>
      <c r="J70" s="150"/>
      <c r="K70" s="150"/>
      <c r="L70" s="150">
        <f>22749.27*0.03</f>
        <v>682.47810000000004</v>
      </c>
      <c r="M70" s="150"/>
      <c r="N70" s="150"/>
      <c r="O70" s="123">
        <f t="shared" ref="O70:O72" si="8">L70+C70</f>
        <v>23913.578099999999</v>
      </c>
      <c r="P70" s="124"/>
      <c r="Q70" s="124"/>
    </row>
    <row r="71" spans="1:17">
      <c r="A71" s="136" t="s">
        <v>18</v>
      </c>
      <c r="B71" s="137"/>
      <c r="C71" s="150">
        <v>4931.3900000000003</v>
      </c>
      <c r="D71" s="150"/>
      <c r="E71" s="150"/>
      <c r="F71" s="154">
        <f>C71+I71</f>
        <v>5035.3254000000006</v>
      </c>
      <c r="G71" s="128"/>
      <c r="H71" s="129"/>
      <c r="I71" s="150">
        <f>5196.77*0.02</f>
        <v>103.93540000000002</v>
      </c>
      <c r="J71" s="150"/>
      <c r="K71" s="150"/>
      <c r="L71" s="150">
        <f>5196.77*0.03</f>
        <v>155.90309999999999</v>
      </c>
      <c r="M71" s="150"/>
      <c r="N71" s="150"/>
      <c r="O71" s="123">
        <f t="shared" si="8"/>
        <v>5087.2931000000008</v>
      </c>
      <c r="P71" s="124"/>
      <c r="Q71" s="124"/>
    </row>
    <row r="72" spans="1:17">
      <c r="A72" s="132" t="s">
        <v>21</v>
      </c>
      <c r="B72" s="133"/>
      <c r="C72" s="150">
        <v>1063.74</v>
      </c>
      <c r="D72" s="150"/>
      <c r="E72" s="150"/>
      <c r="F72" s="154">
        <f>C72+I72</f>
        <v>1090.3094000000001</v>
      </c>
      <c r="G72" s="128"/>
      <c r="H72" s="129"/>
      <c r="I72" s="150">
        <f>1328.47*0.02</f>
        <v>26.569400000000002</v>
      </c>
      <c r="J72" s="150"/>
      <c r="K72" s="150"/>
      <c r="L72" s="150">
        <f>1328.47*0.03</f>
        <v>39.854100000000003</v>
      </c>
      <c r="M72" s="150"/>
      <c r="N72" s="150"/>
      <c r="O72" s="123">
        <f t="shared" si="8"/>
        <v>1103.5941</v>
      </c>
      <c r="P72" s="124"/>
      <c r="Q72" s="124"/>
    </row>
    <row r="73" spans="1:17">
      <c r="A73" s="151" t="s">
        <v>148</v>
      </c>
      <c r="B73" s="152"/>
      <c r="C73" s="152"/>
      <c r="D73" s="152"/>
      <c r="E73" s="152"/>
      <c r="F73" s="152"/>
      <c r="G73" s="152"/>
      <c r="H73" s="152"/>
      <c r="I73" s="152"/>
      <c r="J73" s="152"/>
      <c r="K73" s="152"/>
      <c r="L73" s="152"/>
      <c r="M73" s="152"/>
      <c r="N73" s="152"/>
      <c r="O73" s="152"/>
      <c r="P73" s="152"/>
      <c r="Q73" s="153"/>
    </row>
    <row r="74" spans="1:17">
      <c r="A74" s="149" t="s">
        <v>90</v>
      </c>
      <c r="B74" s="149"/>
      <c r="C74" s="149" t="s">
        <v>134</v>
      </c>
      <c r="D74" s="149"/>
      <c r="E74" s="149"/>
      <c r="F74" s="149" t="s">
        <v>135</v>
      </c>
      <c r="G74" s="149"/>
      <c r="H74" s="149"/>
      <c r="I74" s="149" t="s">
        <v>136</v>
      </c>
      <c r="J74" s="149"/>
      <c r="K74" s="149"/>
      <c r="L74" s="124"/>
      <c r="M74" s="124"/>
      <c r="N74" s="124"/>
      <c r="O74" s="124"/>
      <c r="P74" s="124"/>
      <c r="Q74" s="124"/>
    </row>
    <row r="75" spans="1:17">
      <c r="A75" s="132" t="s">
        <v>11</v>
      </c>
      <c r="B75" s="133"/>
      <c r="C75" s="124">
        <v>6180</v>
      </c>
      <c r="D75" s="124"/>
      <c r="E75" s="124"/>
      <c r="F75" s="124">
        <v>890</v>
      </c>
      <c r="G75" s="124"/>
      <c r="H75" s="124"/>
      <c r="I75" s="124">
        <v>1646</v>
      </c>
      <c r="J75" s="124"/>
      <c r="K75" s="124"/>
      <c r="L75" s="124">
        <f>SUM(C75:K75)</f>
        <v>8716</v>
      </c>
      <c r="M75" s="124"/>
      <c r="N75" s="124"/>
      <c r="O75" s="124"/>
      <c r="P75" s="124"/>
      <c r="Q75" s="124"/>
    </row>
    <row r="76" spans="1:17">
      <c r="A76" s="132" t="s">
        <v>15</v>
      </c>
      <c r="B76" s="133"/>
      <c r="C76" s="124">
        <v>5240</v>
      </c>
      <c r="D76" s="124"/>
      <c r="E76" s="124"/>
      <c r="F76" s="124">
        <v>740</v>
      </c>
      <c r="G76" s="124"/>
      <c r="H76" s="124"/>
      <c r="I76" s="124">
        <v>1398</v>
      </c>
      <c r="J76" s="124"/>
      <c r="K76" s="124"/>
      <c r="L76" s="124">
        <f t="shared" ref="L76:L78" si="9">SUM(C76:K76)</f>
        <v>7378</v>
      </c>
      <c r="M76" s="124"/>
      <c r="N76" s="124"/>
      <c r="O76" s="124"/>
      <c r="P76" s="124"/>
      <c r="Q76" s="124"/>
    </row>
    <row r="77" spans="1:17">
      <c r="A77" s="136" t="s">
        <v>18</v>
      </c>
      <c r="B77" s="137"/>
      <c r="C77" s="124">
        <v>8220</v>
      </c>
      <c r="D77" s="124"/>
      <c r="E77" s="124"/>
      <c r="F77" s="124">
        <v>1570</v>
      </c>
      <c r="G77" s="124"/>
      <c r="H77" s="124"/>
      <c r="I77" s="124">
        <v>3490</v>
      </c>
      <c r="J77" s="124"/>
      <c r="K77" s="124"/>
      <c r="L77" s="124">
        <f t="shared" si="9"/>
        <v>13280</v>
      </c>
      <c r="M77" s="124"/>
      <c r="N77" s="124"/>
      <c r="O77" s="124"/>
      <c r="P77" s="124"/>
      <c r="Q77" s="124"/>
    </row>
    <row r="78" spans="1:17">
      <c r="A78" s="132" t="s">
        <v>21</v>
      </c>
      <c r="B78" s="133"/>
      <c r="C78" s="124">
        <v>6570</v>
      </c>
      <c r="D78" s="124"/>
      <c r="E78" s="124"/>
      <c r="F78" s="124">
        <v>3660</v>
      </c>
      <c r="G78" s="124"/>
      <c r="H78" s="124"/>
      <c r="I78" s="124">
        <v>3365</v>
      </c>
      <c r="J78" s="124"/>
      <c r="K78" s="124"/>
      <c r="L78" s="124">
        <f t="shared" si="9"/>
        <v>13595</v>
      </c>
      <c r="M78" s="124"/>
      <c r="N78" s="124"/>
      <c r="O78" s="124"/>
      <c r="P78" s="124"/>
      <c r="Q78" s="124"/>
    </row>
    <row r="79" spans="1:17">
      <c r="A79" s="89"/>
      <c r="B79" s="92"/>
      <c r="C79" s="128">
        <f>SUM(C75:E78)</f>
        <v>26210</v>
      </c>
      <c r="D79" s="128"/>
      <c r="E79" s="128"/>
      <c r="F79" s="128">
        <f>SUM(F75:H78)</f>
        <v>6860</v>
      </c>
      <c r="G79" s="128"/>
      <c r="H79" s="128"/>
      <c r="I79" s="128">
        <f>SUM(I75:K78)</f>
        <v>9899</v>
      </c>
      <c r="J79" s="128"/>
      <c r="K79" s="128"/>
      <c r="L79" s="128">
        <f>SUM(C79:K79)</f>
        <v>42969</v>
      </c>
      <c r="M79" s="128"/>
      <c r="N79" s="128"/>
      <c r="O79" s="91"/>
      <c r="P79" s="91"/>
      <c r="Q79" s="90"/>
    </row>
    <row r="80" spans="1:17">
      <c r="A80" s="127" t="s">
        <v>149</v>
      </c>
      <c r="B80" s="128"/>
      <c r="C80" s="128"/>
      <c r="D80" s="128"/>
      <c r="E80" s="128"/>
      <c r="F80" s="128"/>
      <c r="G80" s="128"/>
      <c r="H80" s="128"/>
      <c r="I80" s="128"/>
      <c r="J80" s="128"/>
      <c r="K80" s="128"/>
      <c r="L80" s="128"/>
      <c r="M80" s="128"/>
      <c r="N80" s="128"/>
      <c r="O80" s="128"/>
      <c r="P80" s="128"/>
      <c r="Q80" s="129"/>
    </row>
    <row r="81" spans="1:17">
      <c r="A81" s="149" t="s">
        <v>90</v>
      </c>
      <c r="B81" s="149"/>
      <c r="C81" s="149" t="s">
        <v>134</v>
      </c>
      <c r="D81" s="149"/>
      <c r="E81" s="149"/>
      <c r="F81" s="149" t="s">
        <v>135</v>
      </c>
      <c r="G81" s="149"/>
      <c r="H81" s="149"/>
      <c r="I81" s="149" t="s">
        <v>135</v>
      </c>
      <c r="J81" s="149"/>
      <c r="K81" s="149"/>
      <c r="L81" s="149" t="s">
        <v>136</v>
      </c>
      <c r="M81" s="149"/>
      <c r="N81" s="149"/>
      <c r="O81" s="149" t="s">
        <v>137</v>
      </c>
      <c r="P81" s="149"/>
      <c r="Q81" s="149"/>
    </row>
    <row r="82" spans="1:17">
      <c r="A82" s="132" t="s">
        <v>11</v>
      </c>
      <c r="B82" s="133"/>
      <c r="C82" s="150">
        <v>22117.83</v>
      </c>
      <c r="D82" s="150"/>
      <c r="E82" s="150"/>
      <c r="F82" s="154">
        <f>C82+I82</f>
        <v>22570.417400000002</v>
      </c>
      <c r="G82" s="128"/>
      <c r="H82" s="129"/>
      <c r="I82" s="123">
        <f>22629.37*0.02</f>
        <v>452.5874</v>
      </c>
      <c r="J82" s="124"/>
      <c r="K82" s="124"/>
      <c r="L82" s="123">
        <f>22629.37*0.03</f>
        <v>678.88109999999995</v>
      </c>
      <c r="M82" s="124"/>
      <c r="N82" s="124"/>
      <c r="O82" s="123">
        <f>L82+C82</f>
        <v>22796.7111</v>
      </c>
      <c r="P82" s="124"/>
      <c r="Q82" s="124"/>
    </row>
    <row r="83" spans="1:17">
      <c r="A83" s="132" t="s">
        <v>15</v>
      </c>
      <c r="B83" s="133"/>
      <c r="C83" s="150">
        <v>22614.94</v>
      </c>
      <c r="D83" s="150"/>
      <c r="E83" s="150"/>
      <c r="F83" s="154">
        <f>C83+I83</f>
        <v>23069.9254</v>
      </c>
      <c r="G83" s="128"/>
      <c r="H83" s="129"/>
      <c r="I83" s="150">
        <f>22749.27*0.02</f>
        <v>454.98540000000003</v>
      </c>
      <c r="J83" s="150"/>
      <c r="K83" s="150"/>
      <c r="L83" s="150">
        <f>22749.27*0.03</f>
        <v>682.47810000000004</v>
      </c>
      <c r="M83" s="150"/>
      <c r="N83" s="150"/>
      <c r="O83" s="123">
        <f t="shared" ref="O83:O85" si="10">L83+C83</f>
        <v>23297.418099999999</v>
      </c>
      <c r="P83" s="124"/>
      <c r="Q83" s="124"/>
    </row>
    <row r="84" spans="1:17">
      <c r="A84" s="136" t="s">
        <v>18</v>
      </c>
      <c r="B84" s="137"/>
      <c r="C84" s="150">
        <v>4813.83</v>
      </c>
      <c r="D84" s="150"/>
      <c r="E84" s="150"/>
      <c r="F84" s="154">
        <f>C84+I84</f>
        <v>4917.7654000000002</v>
      </c>
      <c r="G84" s="128"/>
      <c r="H84" s="129"/>
      <c r="I84" s="150">
        <f>5196.77*0.02</f>
        <v>103.93540000000002</v>
      </c>
      <c r="J84" s="150"/>
      <c r="K84" s="150"/>
      <c r="L84" s="150">
        <f>5196.77*0.03</f>
        <v>155.90309999999999</v>
      </c>
      <c r="M84" s="150"/>
      <c r="N84" s="150"/>
      <c r="O84" s="123">
        <f t="shared" si="10"/>
        <v>4969.7330999999995</v>
      </c>
      <c r="P84" s="124"/>
      <c r="Q84" s="124"/>
    </row>
    <row r="85" spans="1:17">
      <c r="A85" s="132" t="s">
        <v>21</v>
      </c>
      <c r="B85" s="133"/>
      <c r="C85" s="150">
        <v>1045.8399999999999</v>
      </c>
      <c r="D85" s="150"/>
      <c r="E85" s="150"/>
      <c r="F85" s="154">
        <f>C85+I85</f>
        <v>1072.4094</v>
      </c>
      <c r="G85" s="128"/>
      <c r="H85" s="129"/>
      <c r="I85" s="150">
        <f>1328.47*0.02</f>
        <v>26.569400000000002</v>
      </c>
      <c r="J85" s="150"/>
      <c r="K85" s="150"/>
      <c r="L85" s="150">
        <f>1328.47*0.03</f>
        <v>39.854100000000003</v>
      </c>
      <c r="M85" s="150"/>
      <c r="N85" s="150"/>
      <c r="O85" s="123">
        <f t="shared" si="10"/>
        <v>1085.6940999999999</v>
      </c>
      <c r="P85" s="124"/>
      <c r="Q85" s="124"/>
    </row>
    <row r="86" spans="1:17">
      <c r="A86" s="151" t="s">
        <v>150</v>
      </c>
      <c r="B86" s="152"/>
      <c r="C86" s="152"/>
      <c r="D86" s="152"/>
      <c r="E86" s="152"/>
      <c r="F86" s="152"/>
      <c r="G86" s="152"/>
      <c r="H86" s="152"/>
      <c r="I86" s="152"/>
      <c r="J86" s="152"/>
      <c r="K86" s="152"/>
      <c r="L86" s="152"/>
      <c r="M86" s="152"/>
      <c r="N86" s="152"/>
      <c r="O86" s="152"/>
      <c r="P86" s="152"/>
      <c r="Q86" s="153"/>
    </row>
    <row r="87" spans="1:17">
      <c r="A87" s="149" t="s">
        <v>90</v>
      </c>
      <c r="B87" s="149"/>
      <c r="C87" s="149" t="s">
        <v>134</v>
      </c>
      <c r="D87" s="149"/>
      <c r="E87" s="149"/>
      <c r="F87" s="149" t="s">
        <v>135</v>
      </c>
      <c r="G87" s="149"/>
      <c r="H87" s="149"/>
      <c r="I87" s="149" t="s">
        <v>136</v>
      </c>
      <c r="J87" s="149"/>
      <c r="K87" s="149"/>
      <c r="L87" s="124"/>
      <c r="M87" s="124"/>
      <c r="N87" s="124"/>
      <c r="O87" s="124"/>
      <c r="P87" s="124"/>
      <c r="Q87" s="124"/>
    </row>
    <row r="88" spans="1:17">
      <c r="A88" s="132" t="s">
        <v>11</v>
      </c>
      <c r="B88" s="133"/>
      <c r="C88" s="124">
        <v>6020</v>
      </c>
      <c r="D88" s="124"/>
      <c r="E88" s="124"/>
      <c r="F88" s="124">
        <v>860</v>
      </c>
      <c r="G88" s="124"/>
      <c r="H88" s="124"/>
      <c r="I88" s="124">
        <v>1607</v>
      </c>
      <c r="J88" s="124"/>
      <c r="K88" s="124"/>
      <c r="L88" s="124">
        <f>SUM(C88:K88)</f>
        <v>8487</v>
      </c>
      <c r="M88" s="124"/>
      <c r="N88" s="124"/>
      <c r="O88" s="124"/>
      <c r="P88" s="124"/>
      <c r="Q88" s="124"/>
    </row>
    <row r="89" spans="1:17">
      <c r="A89" s="132" t="s">
        <v>15</v>
      </c>
      <c r="B89" s="133"/>
      <c r="C89" s="124">
        <v>5120</v>
      </c>
      <c r="D89" s="124"/>
      <c r="E89" s="124"/>
      <c r="F89" s="124">
        <v>720</v>
      </c>
      <c r="G89" s="124"/>
      <c r="H89" s="124"/>
      <c r="I89" s="124">
        <v>1367</v>
      </c>
      <c r="J89" s="124"/>
      <c r="K89" s="124"/>
      <c r="L89" s="124">
        <f t="shared" ref="L89:L91" si="11">SUM(C89:K89)</f>
        <v>7207</v>
      </c>
      <c r="M89" s="124"/>
      <c r="N89" s="124"/>
      <c r="O89" s="124"/>
      <c r="P89" s="124"/>
      <c r="Q89" s="124"/>
    </row>
    <row r="90" spans="1:17">
      <c r="A90" s="136" t="s">
        <v>18</v>
      </c>
      <c r="B90" s="137"/>
      <c r="C90" s="124">
        <v>7980</v>
      </c>
      <c r="D90" s="124"/>
      <c r="E90" s="124"/>
      <c r="F90" s="124">
        <v>1490</v>
      </c>
      <c r="G90" s="124"/>
      <c r="H90" s="124"/>
      <c r="I90" s="124">
        <v>3388</v>
      </c>
      <c r="J90" s="124"/>
      <c r="K90" s="124"/>
      <c r="L90" s="124">
        <f t="shared" si="11"/>
        <v>12858</v>
      </c>
      <c r="M90" s="124"/>
      <c r="N90" s="124"/>
      <c r="O90" s="124"/>
      <c r="P90" s="124"/>
      <c r="Q90" s="124"/>
    </row>
    <row r="91" spans="1:17">
      <c r="A91" s="132" t="s">
        <v>21</v>
      </c>
      <c r="B91" s="133"/>
      <c r="C91" s="124">
        <v>6280</v>
      </c>
      <c r="D91" s="124"/>
      <c r="E91" s="124"/>
      <c r="F91" s="124">
        <v>3500</v>
      </c>
      <c r="G91" s="124"/>
      <c r="H91" s="124"/>
      <c r="I91" s="124">
        <v>3255</v>
      </c>
      <c r="J91" s="124"/>
      <c r="K91" s="124"/>
      <c r="L91" s="124">
        <f t="shared" si="11"/>
        <v>13035</v>
      </c>
      <c r="M91" s="124"/>
      <c r="N91" s="124"/>
      <c r="O91" s="124"/>
      <c r="P91" s="124"/>
      <c r="Q91" s="124"/>
    </row>
    <row r="92" spans="1:17">
      <c r="A92" s="89"/>
      <c r="B92" s="92"/>
      <c r="C92" s="128">
        <f>SUM(C88:E91)</f>
        <v>25400</v>
      </c>
      <c r="D92" s="128"/>
      <c r="E92" s="128"/>
      <c r="F92" s="128">
        <f>SUM(F88:H91)</f>
        <v>6570</v>
      </c>
      <c r="G92" s="128"/>
      <c r="H92" s="128"/>
      <c r="I92" s="128">
        <f>SUM(I88:K91)</f>
        <v>9617</v>
      </c>
      <c r="J92" s="128"/>
      <c r="K92" s="128"/>
      <c r="L92" s="128">
        <f>SUM(C92:K92)</f>
        <v>41587</v>
      </c>
      <c r="M92" s="128"/>
      <c r="N92" s="128"/>
      <c r="O92" s="91"/>
      <c r="P92" s="91"/>
      <c r="Q92" s="90"/>
    </row>
    <row r="93" spans="1:17">
      <c r="A93" s="127" t="s">
        <v>151</v>
      </c>
      <c r="B93" s="128"/>
      <c r="C93" s="128"/>
      <c r="D93" s="128"/>
      <c r="E93" s="128"/>
      <c r="F93" s="128"/>
      <c r="G93" s="128"/>
      <c r="H93" s="128"/>
      <c r="I93" s="128"/>
      <c r="J93" s="128"/>
      <c r="K93" s="128"/>
      <c r="L93" s="128"/>
      <c r="M93" s="128"/>
      <c r="N93" s="128"/>
      <c r="O93" s="128"/>
      <c r="P93" s="128"/>
      <c r="Q93" s="129"/>
    </row>
    <row r="94" spans="1:17">
      <c r="A94" s="149" t="s">
        <v>90</v>
      </c>
      <c r="B94" s="149"/>
      <c r="C94" s="149" t="s">
        <v>134</v>
      </c>
      <c r="D94" s="149"/>
      <c r="E94" s="149"/>
      <c r="F94" s="149" t="s">
        <v>135</v>
      </c>
      <c r="G94" s="149"/>
      <c r="H94" s="149"/>
      <c r="I94" s="149" t="s">
        <v>135</v>
      </c>
      <c r="J94" s="149"/>
      <c r="K94" s="149"/>
      <c r="L94" s="149" t="s">
        <v>136</v>
      </c>
      <c r="M94" s="149"/>
      <c r="N94" s="149"/>
      <c r="O94" s="149" t="s">
        <v>137</v>
      </c>
      <c r="P94" s="149"/>
      <c r="Q94" s="149"/>
    </row>
    <row r="95" spans="1:17">
      <c r="A95" s="132" t="s">
        <v>11</v>
      </c>
      <c r="B95" s="133"/>
      <c r="C95" s="150">
        <v>21678.03</v>
      </c>
      <c r="D95" s="150"/>
      <c r="E95" s="150"/>
      <c r="F95" s="154">
        <f>C95+I95</f>
        <v>22130.617399999999</v>
      </c>
      <c r="G95" s="128"/>
      <c r="H95" s="129"/>
      <c r="I95" s="123">
        <f>22629.37*0.02</f>
        <v>452.5874</v>
      </c>
      <c r="J95" s="124"/>
      <c r="K95" s="124"/>
      <c r="L95" s="123">
        <f>22629.37*0.03</f>
        <v>678.88109999999995</v>
      </c>
      <c r="M95" s="124"/>
      <c r="N95" s="124"/>
      <c r="O95" s="123">
        <f>L95+C95</f>
        <v>22356.911099999998</v>
      </c>
      <c r="P95" s="124"/>
      <c r="Q95" s="124"/>
    </row>
    <row r="96" spans="1:17">
      <c r="A96" s="132" t="s">
        <v>15</v>
      </c>
      <c r="B96" s="133"/>
      <c r="C96" s="150">
        <v>22315.14</v>
      </c>
      <c r="D96" s="150"/>
      <c r="E96" s="150"/>
      <c r="F96" s="154">
        <f>C96+I96</f>
        <v>22770.125400000001</v>
      </c>
      <c r="G96" s="128"/>
      <c r="H96" s="129"/>
      <c r="I96" s="150">
        <f>22749.27*0.02</f>
        <v>454.98540000000003</v>
      </c>
      <c r="J96" s="150"/>
      <c r="K96" s="150"/>
      <c r="L96" s="150">
        <f>22749.27*0.03</f>
        <v>682.47810000000004</v>
      </c>
      <c r="M96" s="150"/>
      <c r="N96" s="150"/>
      <c r="O96" s="123">
        <f t="shared" ref="O96:O98" si="12">L96+C96</f>
        <v>22997.6181</v>
      </c>
      <c r="P96" s="124"/>
      <c r="Q96" s="124"/>
    </row>
    <row r="97" spans="1:17">
      <c r="A97" s="136" t="s">
        <v>18</v>
      </c>
      <c r="B97" s="137"/>
      <c r="C97" s="150">
        <v>4414.03</v>
      </c>
      <c r="D97" s="150"/>
      <c r="E97" s="150"/>
      <c r="F97" s="154">
        <f>C97+I97</f>
        <v>4517.9654</v>
      </c>
      <c r="G97" s="128"/>
      <c r="H97" s="129"/>
      <c r="I97" s="150">
        <f>5196.77*0.02</f>
        <v>103.93540000000002</v>
      </c>
      <c r="J97" s="150"/>
      <c r="K97" s="150"/>
      <c r="L97" s="150">
        <f>5196.77*0.03</f>
        <v>155.90309999999999</v>
      </c>
      <c r="M97" s="150"/>
      <c r="N97" s="150"/>
      <c r="O97" s="123">
        <f t="shared" si="12"/>
        <v>4569.9331000000002</v>
      </c>
      <c r="P97" s="124"/>
      <c r="Q97" s="124"/>
    </row>
    <row r="98" spans="1:17">
      <c r="A98" s="132" t="s">
        <v>21</v>
      </c>
      <c r="B98" s="133"/>
      <c r="C98" s="150">
        <v>926.04</v>
      </c>
      <c r="D98" s="150"/>
      <c r="E98" s="150"/>
      <c r="F98" s="154">
        <f>C98+I98</f>
        <v>952.60939999999994</v>
      </c>
      <c r="G98" s="128"/>
      <c r="H98" s="129"/>
      <c r="I98" s="150">
        <f>1328.47*0.02</f>
        <v>26.569400000000002</v>
      </c>
      <c r="J98" s="150"/>
      <c r="K98" s="150"/>
      <c r="L98" s="150">
        <f>1328.47*0.03</f>
        <v>39.854100000000003</v>
      </c>
      <c r="M98" s="150"/>
      <c r="N98" s="150"/>
      <c r="O98" s="123">
        <f t="shared" si="12"/>
        <v>965.89409999999998</v>
      </c>
      <c r="P98" s="124"/>
      <c r="Q98" s="124"/>
    </row>
    <row r="99" spans="1:17">
      <c r="A99" s="151" t="s">
        <v>152</v>
      </c>
      <c r="B99" s="152"/>
      <c r="C99" s="152"/>
      <c r="D99" s="152"/>
      <c r="E99" s="152"/>
      <c r="F99" s="152"/>
      <c r="G99" s="152"/>
      <c r="H99" s="152"/>
      <c r="I99" s="152"/>
      <c r="J99" s="152"/>
      <c r="K99" s="152"/>
      <c r="L99" s="152"/>
      <c r="M99" s="152"/>
      <c r="N99" s="152"/>
      <c r="O99" s="152"/>
      <c r="P99" s="152"/>
      <c r="Q99" s="153"/>
    </row>
    <row r="100" spans="1:17">
      <c r="A100" s="149" t="s">
        <v>90</v>
      </c>
      <c r="B100" s="149"/>
      <c r="C100" s="149" t="s">
        <v>134</v>
      </c>
      <c r="D100" s="149"/>
      <c r="E100" s="149"/>
      <c r="F100" s="149" t="s">
        <v>135</v>
      </c>
      <c r="G100" s="149"/>
      <c r="H100" s="149"/>
      <c r="I100" s="149" t="s">
        <v>136</v>
      </c>
      <c r="J100" s="149"/>
      <c r="K100" s="149"/>
      <c r="L100" s="124"/>
      <c r="M100" s="124"/>
      <c r="N100" s="124"/>
      <c r="O100" s="124"/>
      <c r="P100" s="124"/>
      <c r="Q100" s="124"/>
    </row>
    <row r="101" spans="1:17">
      <c r="A101" s="132" t="s">
        <v>11</v>
      </c>
      <c r="B101" s="133"/>
      <c r="C101" s="124">
        <v>6020</v>
      </c>
      <c r="D101" s="124"/>
      <c r="E101" s="124"/>
      <c r="F101" s="124">
        <v>860</v>
      </c>
      <c r="G101" s="124"/>
      <c r="H101" s="124"/>
      <c r="I101" s="124">
        <v>1607</v>
      </c>
      <c r="J101" s="124"/>
      <c r="K101" s="124"/>
      <c r="L101" s="124">
        <f>SUM(C101:K101)</f>
        <v>8487</v>
      </c>
      <c r="M101" s="124"/>
      <c r="N101" s="124"/>
      <c r="O101" s="124"/>
      <c r="P101" s="124"/>
      <c r="Q101" s="124"/>
    </row>
    <row r="102" spans="1:17">
      <c r="A102" s="132" t="s">
        <v>15</v>
      </c>
      <c r="B102" s="133"/>
      <c r="C102" s="124">
        <v>5120</v>
      </c>
      <c r="D102" s="124"/>
      <c r="E102" s="124"/>
      <c r="F102" s="124">
        <v>720</v>
      </c>
      <c r="G102" s="124"/>
      <c r="H102" s="124"/>
      <c r="I102" s="124">
        <v>1367</v>
      </c>
      <c r="J102" s="124"/>
      <c r="K102" s="124"/>
      <c r="L102" s="124">
        <f t="shared" ref="L102:L104" si="13">SUM(C102:K102)</f>
        <v>7207</v>
      </c>
      <c r="M102" s="124"/>
      <c r="N102" s="124"/>
      <c r="O102" s="124"/>
      <c r="P102" s="124"/>
      <c r="Q102" s="124"/>
    </row>
    <row r="103" spans="1:17">
      <c r="A103" s="136" t="s">
        <v>18</v>
      </c>
      <c r="B103" s="137"/>
      <c r="C103" s="124">
        <v>7980</v>
      </c>
      <c r="D103" s="124"/>
      <c r="E103" s="124"/>
      <c r="F103" s="124">
        <v>1490</v>
      </c>
      <c r="G103" s="124"/>
      <c r="H103" s="124"/>
      <c r="I103" s="124">
        <v>3388</v>
      </c>
      <c r="J103" s="124"/>
      <c r="K103" s="124"/>
      <c r="L103" s="124">
        <f t="shared" si="13"/>
        <v>12858</v>
      </c>
      <c r="M103" s="124"/>
      <c r="N103" s="124"/>
      <c r="O103" s="124"/>
      <c r="P103" s="124"/>
      <c r="Q103" s="124"/>
    </row>
    <row r="104" spans="1:17">
      <c r="A104" s="132" t="s">
        <v>21</v>
      </c>
      <c r="B104" s="133"/>
      <c r="C104" s="124">
        <v>6280</v>
      </c>
      <c r="D104" s="124"/>
      <c r="E104" s="124"/>
      <c r="F104" s="124">
        <v>3500</v>
      </c>
      <c r="G104" s="124"/>
      <c r="H104" s="124"/>
      <c r="I104" s="124">
        <v>3255</v>
      </c>
      <c r="J104" s="124"/>
      <c r="K104" s="124"/>
      <c r="L104" s="124">
        <f t="shared" si="13"/>
        <v>13035</v>
      </c>
      <c r="M104" s="124"/>
      <c r="N104" s="124"/>
      <c r="O104" s="124"/>
      <c r="P104" s="124"/>
      <c r="Q104" s="124"/>
    </row>
    <row r="105" spans="1:17">
      <c r="A105" s="89"/>
      <c r="B105" s="92"/>
      <c r="C105" s="128">
        <f>SUM(C101:E104)</f>
        <v>25400</v>
      </c>
      <c r="D105" s="128"/>
      <c r="E105" s="128"/>
      <c r="F105" s="128">
        <f>SUM(F101:H104)</f>
        <v>6570</v>
      </c>
      <c r="G105" s="128"/>
      <c r="H105" s="128"/>
      <c r="I105" s="128">
        <f>SUM(I101:K104)</f>
        <v>9617</v>
      </c>
      <c r="J105" s="128"/>
      <c r="K105" s="128"/>
      <c r="L105" s="128">
        <f>SUM(C105:K105)</f>
        <v>41587</v>
      </c>
      <c r="M105" s="128"/>
      <c r="N105" s="128"/>
      <c r="O105" s="91"/>
      <c r="P105" s="91"/>
      <c r="Q105" s="90"/>
    </row>
    <row r="106" spans="1:17">
      <c r="A106" s="127" t="s">
        <v>153</v>
      </c>
      <c r="B106" s="128"/>
      <c r="C106" s="128"/>
      <c r="D106" s="128"/>
      <c r="E106" s="128"/>
      <c r="F106" s="128"/>
      <c r="G106" s="128"/>
      <c r="H106" s="128"/>
      <c r="I106" s="128"/>
      <c r="J106" s="128"/>
      <c r="K106" s="128"/>
      <c r="L106" s="128"/>
      <c r="M106" s="128"/>
      <c r="N106" s="128"/>
      <c r="O106" s="128"/>
      <c r="P106" s="128"/>
      <c r="Q106" s="129"/>
    </row>
    <row r="107" spans="1:17">
      <c r="A107" s="149" t="s">
        <v>90</v>
      </c>
      <c r="B107" s="149"/>
      <c r="C107" s="149" t="s">
        <v>134</v>
      </c>
      <c r="D107" s="149"/>
      <c r="E107" s="149"/>
      <c r="F107" s="149" t="s">
        <v>135</v>
      </c>
      <c r="G107" s="149"/>
      <c r="H107" s="149"/>
      <c r="I107" s="149" t="s">
        <v>135</v>
      </c>
      <c r="J107" s="149"/>
      <c r="K107" s="149"/>
      <c r="L107" s="149" t="s">
        <v>136</v>
      </c>
      <c r="M107" s="149"/>
      <c r="N107" s="149"/>
      <c r="O107" s="149" t="s">
        <v>137</v>
      </c>
      <c r="P107" s="149"/>
      <c r="Q107" s="149"/>
    </row>
    <row r="108" spans="1:17">
      <c r="A108" s="132" t="s">
        <v>11</v>
      </c>
      <c r="B108" s="133"/>
      <c r="C108" s="150">
        <v>21262.14</v>
      </c>
      <c r="D108" s="150"/>
      <c r="E108" s="150"/>
      <c r="F108" s="154">
        <f>C108+I108</f>
        <v>21714.7274</v>
      </c>
      <c r="G108" s="128"/>
      <c r="H108" s="129"/>
      <c r="I108" s="123">
        <f>22629.37*0.02</f>
        <v>452.5874</v>
      </c>
      <c r="J108" s="124"/>
      <c r="K108" s="124"/>
      <c r="L108" s="123">
        <f>22629.37*0.03</f>
        <v>678.88109999999995</v>
      </c>
      <c r="M108" s="124"/>
      <c r="N108" s="124"/>
      <c r="O108" s="123">
        <f>L108+C108</f>
        <v>21941.021099999998</v>
      </c>
      <c r="P108" s="124"/>
      <c r="Q108" s="124"/>
    </row>
    <row r="109" spans="1:17">
      <c r="A109" s="132" t="s">
        <v>15</v>
      </c>
      <c r="B109" s="133"/>
      <c r="C109" s="150">
        <v>21959.84</v>
      </c>
      <c r="D109" s="150"/>
      <c r="E109" s="150"/>
      <c r="F109" s="154">
        <f>C109+I109</f>
        <v>22414.825400000002</v>
      </c>
      <c r="G109" s="128"/>
      <c r="H109" s="129"/>
      <c r="I109" s="150">
        <f>22749.27*0.02</f>
        <v>454.98540000000003</v>
      </c>
      <c r="J109" s="150"/>
      <c r="K109" s="150"/>
      <c r="L109" s="150">
        <f>22749.27*0.03</f>
        <v>682.47810000000004</v>
      </c>
      <c r="M109" s="150"/>
      <c r="N109" s="150"/>
      <c r="O109" s="123">
        <f t="shared" ref="O109:O111" si="14">L109+C109</f>
        <v>22642.3181</v>
      </c>
      <c r="P109" s="124"/>
      <c r="Q109" s="124"/>
    </row>
    <row r="110" spans="1:17">
      <c r="A110" s="136" t="s">
        <v>18</v>
      </c>
      <c r="B110" s="137"/>
      <c r="C110" s="150">
        <v>4314.9399999999996</v>
      </c>
      <c r="D110" s="150"/>
      <c r="E110" s="150"/>
      <c r="F110" s="154">
        <f>C110+I110</f>
        <v>4418.8753999999999</v>
      </c>
      <c r="G110" s="128"/>
      <c r="H110" s="129"/>
      <c r="I110" s="150">
        <f>5196.77*0.02</f>
        <v>103.93540000000002</v>
      </c>
      <c r="J110" s="150"/>
      <c r="K110" s="150"/>
      <c r="L110" s="150">
        <f>5196.77*0.03</f>
        <v>155.90309999999999</v>
      </c>
      <c r="M110" s="150"/>
      <c r="N110" s="150"/>
      <c r="O110" s="123">
        <f t="shared" si="14"/>
        <v>4470.8431</v>
      </c>
      <c r="P110" s="124"/>
      <c r="Q110" s="124"/>
    </row>
    <row r="111" spans="1:17">
      <c r="A111" s="132" t="s">
        <v>21</v>
      </c>
      <c r="B111" s="133"/>
      <c r="C111" s="150">
        <v>860.14</v>
      </c>
      <c r="D111" s="150"/>
      <c r="E111" s="150"/>
      <c r="F111" s="154">
        <f>C111+I111</f>
        <v>886.70939999999996</v>
      </c>
      <c r="G111" s="128"/>
      <c r="H111" s="129"/>
      <c r="I111" s="150">
        <f>1328.47*0.02</f>
        <v>26.569400000000002</v>
      </c>
      <c r="J111" s="150"/>
      <c r="K111" s="150"/>
      <c r="L111" s="150">
        <f>1328.47*0.03</f>
        <v>39.854100000000003</v>
      </c>
      <c r="M111" s="150"/>
      <c r="N111" s="150"/>
      <c r="O111" s="123">
        <f t="shared" si="14"/>
        <v>899.9941</v>
      </c>
      <c r="P111" s="124"/>
      <c r="Q111" s="124"/>
    </row>
    <row r="112" spans="1:17">
      <c r="A112" s="151" t="s">
        <v>154</v>
      </c>
      <c r="B112" s="152"/>
      <c r="C112" s="152"/>
      <c r="D112" s="152"/>
      <c r="E112" s="152"/>
      <c r="F112" s="152"/>
      <c r="G112" s="152"/>
      <c r="H112" s="152"/>
      <c r="I112" s="152"/>
      <c r="J112" s="152"/>
      <c r="K112" s="152"/>
      <c r="L112" s="152"/>
      <c r="M112" s="152"/>
      <c r="N112" s="152"/>
      <c r="O112" s="152"/>
      <c r="P112" s="152"/>
      <c r="Q112" s="153"/>
    </row>
    <row r="113" spans="1:17">
      <c r="A113" s="149" t="s">
        <v>90</v>
      </c>
      <c r="B113" s="149"/>
      <c r="C113" s="149" t="s">
        <v>134</v>
      </c>
      <c r="D113" s="149"/>
      <c r="E113" s="149"/>
      <c r="F113" s="149" t="s">
        <v>135</v>
      </c>
      <c r="G113" s="149"/>
      <c r="H113" s="149"/>
      <c r="I113" s="149" t="s">
        <v>136</v>
      </c>
      <c r="J113" s="149"/>
      <c r="K113" s="149"/>
      <c r="L113" s="124"/>
      <c r="M113" s="124"/>
      <c r="N113" s="124"/>
      <c r="O113" s="124"/>
      <c r="P113" s="124"/>
      <c r="Q113" s="124"/>
    </row>
    <row r="114" spans="1:17">
      <c r="A114" s="132" t="s">
        <v>11</v>
      </c>
      <c r="B114" s="133"/>
      <c r="C114" s="124">
        <v>5730</v>
      </c>
      <c r="D114" s="124"/>
      <c r="E114" s="124"/>
      <c r="F114" s="124">
        <v>820</v>
      </c>
      <c r="G114" s="124"/>
      <c r="H114" s="124"/>
      <c r="I114" s="124">
        <v>1515</v>
      </c>
      <c r="J114" s="124"/>
      <c r="K114" s="124"/>
      <c r="L114" s="124">
        <f>SUM(C114:K114)</f>
        <v>8065</v>
      </c>
      <c r="M114" s="124"/>
      <c r="N114" s="124"/>
      <c r="O114" s="124"/>
      <c r="P114" s="124"/>
      <c r="Q114" s="124"/>
    </row>
    <row r="115" spans="1:17">
      <c r="A115" s="132" t="s">
        <v>15</v>
      </c>
      <c r="B115" s="133"/>
      <c r="C115" s="124">
        <v>4840</v>
      </c>
      <c r="D115" s="124"/>
      <c r="E115" s="124"/>
      <c r="F115" s="124">
        <v>670</v>
      </c>
      <c r="G115" s="124"/>
      <c r="H115" s="124"/>
      <c r="I115" s="124">
        <v>1283</v>
      </c>
      <c r="J115" s="124"/>
      <c r="K115" s="124"/>
      <c r="L115" s="124">
        <f t="shared" ref="L115:L117" si="15">SUM(C115:K115)</f>
        <v>6793</v>
      </c>
      <c r="M115" s="124"/>
      <c r="N115" s="124"/>
      <c r="O115" s="124"/>
      <c r="P115" s="124"/>
      <c r="Q115" s="124"/>
    </row>
    <row r="116" spans="1:17">
      <c r="A116" s="136" t="s">
        <v>18</v>
      </c>
      <c r="B116" s="137"/>
      <c r="C116" s="124">
        <v>7530</v>
      </c>
      <c r="D116" s="124"/>
      <c r="E116" s="124"/>
      <c r="F116" s="124">
        <v>1390</v>
      </c>
      <c r="G116" s="124"/>
      <c r="H116" s="124"/>
      <c r="I116" s="124">
        <v>3200</v>
      </c>
      <c r="J116" s="124"/>
      <c r="K116" s="124"/>
      <c r="L116" s="124">
        <f t="shared" si="15"/>
        <v>12120</v>
      </c>
      <c r="M116" s="124"/>
      <c r="N116" s="124"/>
      <c r="O116" s="124"/>
      <c r="P116" s="124"/>
      <c r="Q116" s="124"/>
    </row>
    <row r="117" spans="1:17">
      <c r="A117" s="132" t="s">
        <v>21</v>
      </c>
      <c r="B117" s="133"/>
      <c r="C117" s="124">
        <v>5980</v>
      </c>
      <c r="D117" s="124"/>
      <c r="E117" s="124"/>
      <c r="F117" s="124">
        <v>3240</v>
      </c>
      <c r="G117" s="124"/>
      <c r="H117" s="124"/>
      <c r="I117" s="124">
        <v>3093</v>
      </c>
      <c r="J117" s="124"/>
      <c r="K117" s="124"/>
      <c r="L117" s="124">
        <f t="shared" si="15"/>
        <v>12313</v>
      </c>
      <c r="M117" s="124"/>
      <c r="N117" s="124"/>
      <c r="O117" s="124"/>
      <c r="P117" s="124"/>
      <c r="Q117" s="124"/>
    </row>
    <row r="118" spans="1:17">
      <c r="A118" s="89"/>
      <c r="B118" s="92"/>
      <c r="C118" s="128">
        <f>SUM(C114:E117)</f>
        <v>24080</v>
      </c>
      <c r="D118" s="128"/>
      <c r="E118" s="128"/>
      <c r="F118" s="128">
        <f>SUM(F114:H117)</f>
        <v>6120</v>
      </c>
      <c r="G118" s="128"/>
      <c r="H118" s="128"/>
      <c r="I118" s="128">
        <f>SUM(I114:K117)</f>
        <v>9091</v>
      </c>
      <c r="J118" s="128"/>
      <c r="K118" s="128"/>
      <c r="L118" s="128">
        <f>SUM(C118:K118)</f>
        <v>39291</v>
      </c>
      <c r="M118" s="128"/>
      <c r="N118" s="128"/>
      <c r="O118" s="91"/>
      <c r="P118" s="91"/>
      <c r="Q118" s="90"/>
    </row>
    <row r="119" spans="1:17">
      <c r="A119" s="127" t="s">
        <v>155</v>
      </c>
      <c r="B119" s="128"/>
      <c r="C119" s="128"/>
      <c r="D119" s="128"/>
      <c r="E119" s="128"/>
      <c r="F119" s="128"/>
      <c r="G119" s="128"/>
      <c r="H119" s="128"/>
      <c r="I119" s="128"/>
      <c r="J119" s="128"/>
      <c r="K119" s="128"/>
      <c r="L119" s="128"/>
      <c r="M119" s="128"/>
      <c r="N119" s="128"/>
      <c r="O119" s="128"/>
      <c r="P119" s="128"/>
      <c r="Q119" s="129"/>
    </row>
    <row r="120" spans="1:17">
      <c r="A120" s="149" t="s">
        <v>90</v>
      </c>
      <c r="B120" s="149"/>
      <c r="C120" s="149" t="s">
        <v>134</v>
      </c>
      <c r="D120" s="149"/>
      <c r="E120" s="149"/>
      <c r="F120" s="149" t="s">
        <v>135</v>
      </c>
      <c r="G120" s="149"/>
      <c r="H120" s="149"/>
      <c r="I120" s="149" t="s">
        <v>135</v>
      </c>
      <c r="J120" s="149"/>
      <c r="K120" s="149"/>
      <c r="L120" s="149" t="s">
        <v>136</v>
      </c>
      <c r="M120" s="149"/>
      <c r="N120" s="149"/>
      <c r="O120" s="149" t="s">
        <v>137</v>
      </c>
      <c r="P120" s="149"/>
      <c r="Q120" s="149"/>
    </row>
    <row r="121" spans="1:17">
      <c r="A121" s="132" t="s">
        <v>11</v>
      </c>
      <c r="B121" s="133"/>
      <c r="C121" s="150">
        <v>21630.2</v>
      </c>
      <c r="D121" s="150"/>
      <c r="E121" s="150"/>
      <c r="F121" s="154">
        <f>C121+I121</f>
        <v>22082.787400000001</v>
      </c>
      <c r="G121" s="128"/>
      <c r="H121" s="129"/>
      <c r="I121" s="123">
        <f>22629.37*0.02</f>
        <v>452.5874</v>
      </c>
      <c r="J121" s="124"/>
      <c r="K121" s="124"/>
      <c r="L121" s="123">
        <f>22629.37*0.03</f>
        <v>678.88109999999995</v>
      </c>
      <c r="M121" s="124"/>
      <c r="N121" s="124"/>
      <c r="O121" s="123">
        <f>L121+C121</f>
        <v>22309.081099999999</v>
      </c>
      <c r="P121" s="124"/>
      <c r="Q121" s="124"/>
    </row>
    <row r="122" spans="1:17">
      <c r="A122" s="132" t="s">
        <v>15</v>
      </c>
      <c r="B122" s="133"/>
      <c r="C122" s="150">
        <v>22462.11</v>
      </c>
      <c r="D122" s="150"/>
      <c r="E122" s="150"/>
      <c r="F122" s="154">
        <f>C122+I122</f>
        <v>22917.095400000002</v>
      </c>
      <c r="G122" s="128"/>
      <c r="H122" s="129"/>
      <c r="I122" s="150">
        <f>22749.27*0.02</f>
        <v>454.98540000000003</v>
      </c>
      <c r="J122" s="150"/>
      <c r="K122" s="150"/>
      <c r="L122" s="150">
        <f>22749.27*0.03</f>
        <v>682.47810000000004</v>
      </c>
      <c r="M122" s="150"/>
      <c r="N122" s="150"/>
      <c r="O122" s="123">
        <f t="shared" ref="O122:O124" si="16">L122+C122</f>
        <v>23144.588100000001</v>
      </c>
      <c r="P122" s="124"/>
      <c r="Q122" s="124"/>
    </row>
    <row r="123" spans="1:17">
      <c r="A123" s="136" t="s">
        <v>18</v>
      </c>
      <c r="B123" s="137"/>
      <c r="C123" s="150">
        <v>4372.6000000000004</v>
      </c>
      <c r="D123" s="150"/>
      <c r="E123" s="150"/>
      <c r="F123" s="154">
        <f>C123+I123</f>
        <v>4476.5354000000007</v>
      </c>
      <c r="G123" s="128"/>
      <c r="H123" s="129"/>
      <c r="I123" s="150">
        <f>5196.77*0.02</f>
        <v>103.93540000000002</v>
      </c>
      <c r="J123" s="150"/>
      <c r="K123" s="150"/>
      <c r="L123" s="150">
        <f>5196.77*0.03</f>
        <v>155.90309999999999</v>
      </c>
      <c r="M123" s="150"/>
      <c r="N123" s="150"/>
      <c r="O123" s="123">
        <f t="shared" si="16"/>
        <v>4528.5030999999999</v>
      </c>
      <c r="P123" s="124"/>
      <c r="Q123" s="124"/>
    </row>
    <row r="124" spans="1:17">
      <c r="A124" s="132" t="s">
        <v>21</v>
      </c>
      <c r="B124" s="133"/>
      <c r="C124" s="150">
        <v>926.04</v>
      </c>
      <c r="D124" s="150"/>
      <c r="E124" s="150"/>
      <c r="F124" s="154">
        <f>C124+I124</f>
        <v>952.60939999999994</v>
      </c>
      <c r="G124" s="128"/>
      <c r="H124" s="129"/>
      <c r="I124" s="150">
        <f>1328.47*0.02</f>
        <v>26.569400000000002</v>
      </c>
      <c r="J124" s="150"/>
      <c r="K124" s="150"/>
      <c r="L124" s="150">
        <f>1328.47*0.03</f>
        <v>39.854100000000003</v>
      </c>
      <c r="M124" s="150"/>
      <c r="N124" s="150"/>
      <c r="O124" s="123">
        <f t="shared" si="16"/>
        <v>965.89409999999998</v>
      </c>
      <c r="P124" s="124"/>
      <c r="Q124" s="124"/>
    </row>
    <row r="125" spans="1:17">
      <c r="A125" s="151" t="s">
        <v>156</v>
      </c>
      <c r="B125" s="152"/>
      <c r="C125" s="152"/>
      <c r="D125" s="152"/>
      <c r="E125" s="152"/>
      <c r="F125" s="152"/>
      <c r="G125" s="152"/>
      <c r="H125" s="152"/>
      <c r="I125" s="152"/>
      <c r="J125" s="152"/>
      <c r="K125" s="152"/>
      <c r="L125" s="152"/>
      <c r="M125" s="152"/>
      <c r="N125" s="152"/>
      <c r="O125" s="152"/>
      <c r="P125" s="152"/>
      <c r="Q125" s="153"/>
    </row>
    <row r="126" spans="1:17">
      <c r="A126" s="149" t="s">
        <v>90</v>
      </c>
      <c r="B126" s="149"/>
      <c r="C126" s="149" t="s">
        <v>134</v>
      </c>
      <c r="D126" s="149"/>
      <c r="E126" s="149"/>
      <c r="F126" s="149" t="s">
        <v>135</v>
      </c>
      <c r="G126" s="149"/>
      <c r="H126" s="149"/>
      <c r="I126" s="149" t="s">
        <v>136</v>
      </c>
      <c r="J126" s="149"/>
      <c r="K126" s="149"/>
      <c r="L126" s="124"/>
      <c r="M126" s="124"/>
      <c r="N126" s="124"/>
      <c r="O126" s="124"/>
      <c r="P126" s="124"/>
      <c r="Q126" s="124"/>
    </row>
    <row r="127" spans="1:17">
      <c r="A127" s="132" t="s">
        <v>11</v>
      </c>
      <c r="B127" s="133"/>
      <c r="C127" s="124">
        <v>5020</v>
      </c>
      <c r="D127" s="124"/>
      <c r="E127" s="124"/>
      <c r="F127" s="124">
        <v>740</v>
      </c>
      <c r="G127" s="124"/>
      <c r="H127" s="124"/>
      <c r="I127" s="124">
        <v>1312</v>
      </c>
      <c r="J127" s="124"/>
      <c r="K127" s="124"/>
      <c r="L127" s="124">
        <f>SUM(C127:K127)</f>
        <v>7072</v>
      </c>
      <c r="M127" s="124"/>
      <c r="N127" s="124"/>
      <c r="O127" s="124"/>
      <c r="P127" s="124"/>
      <c r="Q127" s="124"/>
    </row>
    <row r="128" spans="1:17">
      <c r="A128" s="132" t="s">
        <v>15</v>
      </c>
      <c r="B128" s="133"/>
      <c r="C128" s="124">
        <v>4290</v>
      </c>
      <c r="D128" s="124"/>
      <c r="E128" s="124"/>
      <c r="F128" s="124">
        <v>600</v>
      </c>
      <c r="G128" s="124"/>
      <c r="H128" s="124"/>
      <c r="I128" s="124">
        <v>1120</v>
      </c>
      <c r="J128" s="124"/>
      <c r="K128" s="124"/>
      <c r="L128" s="124">
        <f t="shared" ref="L128:L130" si="17">SUM(C128:K128)</f>
        <v>6010</v>
      </c>
      <c r="M128" s="124"/>
      <c r="N128" s="124"/>
      <c r="O128" s="124"/>
      <c r="P128" s="124"/>
      <c r="Q128" s="124"/>
    </row>
    <row r="129" spans="1:17">
      <c r="A129" s="136" t="s">
        <v>18</v>
      </c>
      <c r="B129" s="137"/>
      <c r="C129" s="124">
        <v>7090</v>
      </c>
      <c r="D129" s="124"/>
      <c r="E129" s="124"/>
      <c r="F129" s="124">
        <v>1320</v>
      </c>
      <c r="G129" s="124"/>
      <c r="H129" s="124"/>
      <c r="I129" s="124">
        <v>3050</v>
      </c>
      <c r="J129" s="124"/>
      <c r="K129" s="124"/>
      <c r="L129" s="124">
        <f t="shared" si="17"/>
        <v>11460</v>
      </c>
      <c r="M129" s="124"/>
      <c r="N129" s="124"/>
      <c r="O129" s="124"/>
      <c r="P129" s="124"/>
      <c r="Q129" s="124"/>
    </row>
    <row r="130" spans="1:17">
      <c r="A130" s="132" t="s">
        <v>21</v>
      </c>
      <c r="B130" s="133"/>
      <c r="C130" s="124">
        <v>5720</v>
      </c>
      <c r="D130" s="124"/>
      <c r="E130" s="124"/>
      <c r="F130" s="124">
        <v>3050</v>
      </c>
      <c r="G130" s="124"/>
      <c r="H130" s="124"/>
      <c r="I130" s="124">
        <v>2985</v>
      </c>
      <c r="J130" s="124"/>
      <c r="K130" s="124"/>
      <c r="L130" s="124">
        <f t="shared" si="17"/>
        <v>11755</v>
      </c>
      <c r="M130" s="124"/>
      <c r="N130" s="124"/>
      <c r="O130" s="124"/>
      <c r="P130" s="124"/>
      <c r="Q130" s="124"/>
    </row>
    <row r="131" spans="1:17">
      <c r="A131" s="89"/>
      <c r="B131" s="92"/>
      <c r="C131" s="128">
        <f>SUM(C127:E130)</f>
        <v>22120</v>
      </c>
      <c r="D131" s="128"/>
      <c r="E131" s="128"/>
      <c r="F131" s="128">
        <f>SUM(F127:H130)</f>
        <v>5710</v>
      </c>
      <c r="G131" s="128"/>
      <c r="H131" s="128"/>
      <c r="I131" s="128">
        <f>SUM(I127:K130)</f>
        <v>8467</v>
      </c>
      <c r="J131" s="128"/>
      <c r="K131" s="128"/>
      <c r="L131" s="128">
        <f>SUM(C131:K131)</f>
        <v>36297</v>
      </c>
      <c r="M131" s="128"/>
      <c r="N131" s="128"/>
      <c r="O131" s="91"/>
      <c r="P131" s="91"/>
      <c r="Q131" s="90"/>
    </row>
    <row r="132" spans="1:17">
      <c r="A132" s="127" t="s">
        <v>157</v>
      </c>
      <c r="B132" s="128"/>
      <c r="C132" s="128"/>
      <c r="D132" s="128"/>
      <c r="E132" s="128"/>
      <c r="F132" s="128"/>
      <c r="G132" s="128"/>
      <c r="H132" s="128"/>
      <c r="I132" s="128"/>
      <c r="J132" s="128"/>
      <c r="K132" s="128"/>
      <c r="L132" s="128"/>
      <c r="M132" s="128"/>
      <c r="N132" s="128"/>
      <c r="O132" s="128"/>
      <c r="P132" s="128"/>
      <c r="Q132" s="129"/>
    </row>
    <row r="133" spans="1:17">
      <c r="A133" s="149" t="s">
        <v>90</v>
      </c>
      <c r="B133" s="149"/>
      <c r="C133" s="149" t="s">
        <v>134</v>
      </c>
      <c r="D133" s="149"/>
      <c r="E133" s="149"/>
      <c r="F133" s="149" t="s">
        <v>135</v>
      </c>
      <c r="G133" s="149"/>
      <c r="H133" s="149"/>
      <c r="I133" s="149" t="s">
        <v>135</v>
      </c>
      <c r="J133" s="149"/>
      <c r="K133" s="149"/>
      <c r="L133" s="149" t="s">
        <v>136</v>
      </c>
      <c r="M133" s="149"/>
      <c r="N133" s="149"/>
      <c r="O133" s="149" t="s">
        <v>137</v>
      </c>
      <c r="P133" s="149"/>
      <c r="Q133" s="149"/>
    </row>
    <row r="134" spans="1:17">
      <c r="A134" s="132" t="s">
        <v>11</v>
      </c>
      <c r="B134" s="133"/>
      <c r="C134" s="150">
        <v>20038.400000000001</v>
      </c>
      <c r="D134" s="150"/>
      <c r="E134" s="150"/>
      <c r="F134" s="154">
        <f>C134+I134</f>
        <v>20490.987400000002</v>
      </c>
      <c r="G134" s="128"/>
      <c r="H134" s="129"/>
      <c r="I134" s="123">
        <f>22629.37*0.02</f>
        <v>452.5874</v>
      </c>
      <c r="J134" s="124"/>
      <c r="K134" s="124"/>
      <c r="L134" s="123">
        <f>22629.37*0.03</f>
        <v>678.88109999999995</v>
      </c>
      <c r="M134" s="124"/>
      <c r="N134" s="124"/>
      <c r="O134" s="123">
        <f>L134+C134</f>
        <v>20717.2811</v>
      </c>
      <c r="P134" s="124"/>
      <c r="Q134" s="124"/>
    </row>
    <row r="135" spans="1:17">
      <c r="A135" s="132" t="s">
        <v>15</v>
      </c>
      <c r="B135" s="133"/>
      <c r="C135" s="150">
        <v>20838.5</v>
      </c>
      <c r="D135" s="150"/>
      <c r="E135" s="150"/>
      <c r="F135" s="154">
        <f>C135+I135</f>
        <v>21293.485400000001</v>
      </c>
      <c r="G135" s="128"/>
      <c r="H135" s="129"/>
      <c r="I135" s="150">
        <f>22749.27*0.02</f>
        <v>454.98540000000003</v>
      </c>
      <c r="J135" s="150"/>
      <c r="K135" s="150"/>
      <c r="L135" s="150">
        <f>22749.27*0.03</f>
        <v>682.47810000000004</v>
      </c>
      <c r="M135" s="150"/>
      <c r="N135" s="150"/>
      <c r="O135" s="123">
        <f t="shared" ref="O135:O137" si="18">L135+C135</f>
        <v>21520.9781</v>
      </c>
      <c r="P135" s="124"/>
      <c r="Q135" s="124"/>
    </row>
    <row r="136" spans="1:17">
      <c r="A136" s="136" t="s">
        <v>18</v>
      </c>
      <c r="B136" s="137"/>
      <c r="C136" s="150">
        <v>4038.4</v>
      </c>
      <c r="D136" s="150"/>
      <c r="E136" s="150"/>
      <c r="F136" s="154">
        <f>C136+I136</f>
        <v>4142.3353999999999</v>
      </c>
      <c r="G136" s="128"/>
      <c r="H136" s="129"/>
      <c r="I136" s="150">
        <f>5196.77*0.02</f>
        <v>103.93540000000002</v>
      </c>
      <c r="J136" s="150"/>
      <c r="K136" s="150"/>
      <c r="L136" s="150">
        <f>5196.77*0.03</f>
        <v>155.90309999999999</v>
      </c>
      <c r="M136" s="150"/>
      <c r="N136" s="150"/>
      <c r="O136" s="123">
        <f t="shared" si="18"/>
        <v>4194.3031000000001</v>
      </c>
      <c r="P136" s="124"/>
      <c r="Q136" s="124"/>
    </row>
    <row r="137" spans="1:17">
      <c r="A137" s="132" t="s">
        <v>21</v>
      </c>
      <c r="B137" s="133"/>
      <c r="C137" s="150">
        <v>716.5</v>
      </c>
      <c r="D137" s="150"/>
      <c r="E137" s="150"/>
      <c r="F137" s="154">
        <f>C137+I137</f>
        <v>743.06939999999997</v>
      </c>
      <c r="G137" s="128"/>
      <c r="H137" s="129"/>
      <c r="I137" s="150">
        <f>1328.47*0.02</f>
        <v>26.569400000000002</v>
      </c>
      <c r="J137" s="150"/>
      <c r="K137" s="150"/>
      <c r="L137" s="150">
        <f>1328.47*0.03</f>
        <v>39.854100000000003</v>
      </c>
      <c r="M137" s="150"/>
      <c r="N137" s="150"/>
      <c r="O137" s="123">
        <f t="shared" si="18"/>
        <v>756.35410000000002</v>
      </c>
      <c r="P137" s="124"/>
      <c r="Q137" s="124"/>
    </row>
    <row r="138" spans="1:17">
      <c r="A138" s="151" t="s">
        <v>158</v>
      </c>
      <c r="B138" s="152"/>
      <c r="C138" s="152"/>
      <c r="D138" s="152"/>
      <c r="E138" s="152"/>
      <c r="F138" s="152"/>
      <c r="G138" s="152"/>
      <c r="H138" s="152"/>
      <c r="I138" s="152"/>
      <c r="J138" s="152"/>
      <c r="K138" s="152"/>
      <c r="L138" s="152"/>
      <c r="M138" s="152"/>
      <c r="N138" s="152"/>
      <c r="O138" s="152"/>
      <c r="P138" s="152"/>
      <c r="Q138" s="153"/>
    </row>
    <row r="139" spans="1:17">
      <c r="A139" s="149" t="s">
        <v>90</v>
      </c>
      <c r="B139" s="149"/>
      <c r="C139" s="149" t="s">
        <v>134</v>
      </c>
      <c r="D139" s="149"/>
      <c r="E139" s="149"/>
      <c r="F139" s="149" t="s">
        <v>135</v>
      </c>
      <c r="G139" s="149"/>
      <c r="H139" s="149"/>
      <c r="I139" s="149" t="s">
        <v>136</v>
      </c>
      <c r="J139" s="149"/>
      <c r="K139" s="149"/>
      <c r="L139" s="124"/>
      <c r="M139" s="124"/>
      <c r="N139" s="124"/>
      <c r="O139" s="124"/>
      <c r="P139" s="124"/>
      <c r="Q139" s="124"/>
    </row>
    <row r="140" spans="1:17">
      <c r="A140" s="132" t="s">
        <v>11</v>
      </c>
      <c r="B140" s="133"/>
      <c r="C140" s="124">
        <v>7120</v>
      </c>
      <c r="D140" s="124"/>
      <c r="E140" s="124"/>
      <c r="F140" s="124">
        <v>980</v>
      </c>
      <c r="G140" s="124"/>
      <c r="H140" s="124"/>
      <c r="I140" s="124">
        <v>1939</v>
      </c>
      <c r="J140" s="124"/>
      <c r="K140" s="124"/>
      <c r="L140" s="124">
        <f>SUM(C140:K140)</f>
        <v>10039</v>
      </c>
      <c r="M140" s="124"/>
      <c r="N140" s="124"/>
      <c r="O140" s="124"/>
      <c r="P140" s="124"/>
      <c r="Q140" s="124"/>
    </row>
    <row r="141" spans="1:17">
      <c r="A141" s="132" t="s">
        <v>15</v>
      </c>
      <c r="B141" s="133"/>
      <c r="C141" s="124">
        <v>6090</v>
      </c>
      <c r="D141" s="124"/>
      <c r="E141" s="124"/>
      <c r="F141" s="124">
        <v>800</v>
      </c>
      <c r="G141" s="124"/>
      <c r="H141" s="124"/>
      <c r="I141" s="124">
        <v>1646</v>
      </c>
      <c r="J141" s="124"/>
      <c r="K141" s="124"/>
      <c r="L141" s="124">
        <f t="shared" ref="L141:L143" si="19">SUM(C141:K141)</f>
        <v>8536</v>
      </c>
      <c r="M141" s="124"/>
      <c r="N141" s="124"/>
      <c r="O141" s="124"/>
      <c r="P141" s="124"/>
      <c r="Q141" s="124"/>
    </row>
    <row r="142" spans="1:17" ht="33.75" customHeight="1">
      <c r="A142" s="136" t="s">
        <v>18</v>
      </c>
      <c r="B142" s="137"/>
      <c r="C142" s="124">
        <v>8920</v>
      </c>
      <c r="D142" s="124"/>
      <c r="E142" s="124"/>
      <c r="F142" s="124">
        <v>1700</v>
      </c>
      <c r="G142" s="124"/>
      <c r="H142" s="124"/>
      <c r="I142" s="124">
        <v>3740</v>
      </c>
      <c r="J142" s="124"/>
      <c r="K142" s="124"/>
      <c r="L142" s="124">
        <f t="shared" si="19"/>
        <v>14360</v>
      </c>
      <c r="M142" s="124"/>
      <c r="N142" s="124"/>
      <c r="O142" s="124"/>
      <c r="P142" s="124"/>
      <c r="Q142" s="124"/>
    </row>
    <row r="143" spans="1:17">
      <c r="A143" s="132" t="s">
        <v>21</v>
      </c>
      <c r="B143" s="133"/>
      <c r="C143" s="124">
        <v>6320</v>
      </c>
      <c r="D143" s="124"/>
      <c r="E143" s="124"/>
      <c r="F143" s="124">
        <v>3920</v>
      </c>
      <c r="G143" s="124"/>
      <c r="H143" s="124"/>
      <c r="I143" s="124">
        <v>3297</v>
      </c>
      <c r="J143" s="124"/>
      <c r="K143" s="124"/>
      <c r="L143" s="124">
        <f t="shared" si="19"/>
        <v>13537</v>
      </c>
      <c r="M143" s="124"/>
      <c r="N143" s="124"/>
      <c r="O143" s="124"/>
      <c r="P143" s="124"/>
      <c r="Q143" s="124"/>
    </row>
    <row r="144" spans="1:17">
      <c r="A144" s="89"/>
      <c r="B144" s="92"/>
      <c r="C144" s="128">
        <f>SUM(C140:E143)</f>
        <v>28450</v>
      </c>
      <c r="D144" s="128"/>
      <c r="E144" s="128"/>
      <c r="F144" s="128">
        <f>SUM(F140:H143)</f>
        <v>7400</v>
      </c>
      <c r="G144" s="128"/>
      <c r="H144" s="128"/>
      <c r="I144" s="128">
        <f>SUM(I140:K143)</f>
        <v>10622</v>
      </c>
      <c r="J144" s="128"/>
      <c r="K144" s="128"/>
      <c r="L144" s="128">
        <f>SUM(C144:K144)</f>
        <v>46472</v>
      </c>
      <c r="M144" s="128"/>
      <c r="N144" s="128"/>
      <c r="O144" s="91"/>
      <c r="P144" s="91"/>
      <c r="Q144" s="90"/>
    </row>
    <row r="145" spans="1:17">
      <c r="A145" s="127" t="s">
        <v>159</v>
      </c>
      <c r="B145" s="128"/>
      <c r="C145" s="128"/>
      <c r="D145" s="128"/>
      <c r="E145" s="128"/>
      <c r="F145" s="128"/>
      <c r="G145" s="128"/>
      <c r="H145" s="128"/>
      <c r="I145" s="128"/>
      <c r="J145" s="128"/>
      <c r="K145" s="128"/>
      <c r="L145" s="128"/>
      <c r="M145" s="128"/>
      <c r="N145" s="128"/>
      <c r="O145" s="128"/>
      <c r="P145" s="128"/>
      <c r="Q145" s="129"/>
    </row>
    <row r="146" spans="1:17">
      <c r="A146" s="149" t="s">
        <v>90</v>
      </c>
      <c r="B146" s="149"/>
      <c r="C146" s="149" t="s">
        <v>134</v>
      </c>
      <c r="D146" s="149"/>
      <c r="E146" s="149"/>
      <c r="F146" s="149" t="s">
        <v>135</v>
      </c>
      <c r="G146" s="149"/>
      <c r="H146" s="149"/>
      <c r="I146" s="149" t="s">
        <v>135</v>
      </c>
      <c r="J146" s="149"/>
      <c r="K146" s="149"/>
      <c r="L146" s="149" t="s">
        <v>136</v>
      </c>
      <c r="M146" s="149"/>
      <c r="N146" s="149"/>
      <c r="O146" s="149" t="s">
        <v>137</v>
      </c>
      <c r="P146" s="149"/>
      <c r="Q146" s="149"/>
    </row>
    <row r="147" spans="1:17">
      <c r="A147" s="132" t="s">
        <v>11</v>
      </c>
      <c r="B147" s="133"/>
      <c r="C147" s="150">
        <v>19818.900000000001</v>
      </c>
      <c r="D147" s="150"/>
      <c r="E147" s="150"/>
      <c r="F147" s="154">
        <f>C147+I147</f>
        <v>20271.487400000002</v>
      </c>
      <c r="G147" s="128"/>
      <c r="H147" s="129"/>
      <c r="I147" s="123">
        <f>22629.37*0.02</f>
        <v>452.5874</v>
      </c>
      <c r="J147" s="124"/>
      <c r="K147" s="124"/>
      <c r="L147" s="123">
        <f>22629.37*0.03</f>
        <v>678.88109999999995</v>
      </c>
      <c r="M147" s="124"/>
      <c r="N147" s="124"/>
      <c r="O147" s="123">
        <f>L147+C147</f>
        <v>20497.7811</v>
      </c>
      <c r="P147" s="124"/>
      <c r="Q147" s="124"/>
    </row>
    <row r="148" spans="1:17">
      <c r="A148" s="132" t="s">
        <v>15</v>
      </c>
      <c r="B148" s="133"/>
      <c r="C148" s="150">
        <v>20688.599999999999</v>
      </c>
      <c r="D148" s="150"/>
      <c r="E148" s="150"/>
      <c r="F148" s="154">
        <f>C148+I148</f>
        <v>21143.5854</v>
      </c>
      <c r="G148" s="128"/>
      <c r="H148" s="129"/>
      <c r="I148" s="150">
        <f>22749.27*0.02</f>
        <v>454.98540000000003</v>
      </c>
      <c r="J148" s="150"/>
      <c r="K148" s="150"/>
      <c r="L148" s="150">
        <f>22749.27*0.03</f>
        <v>682.47810000000004</v>
      </c>
      <c r="M148" s="150"/>
      <c r="N148" s="150"/>
      <c r="O148" s="123">
        <f t="shared" ref="O148:O150" si="20">L148+C148</f>
        <v>21371.078099999999</v>
      </c>
      <c r="P148" s="124"/>
      <c r="Q148" s="124"/>
    </row>
    <row r="149" spans="1:17">
      <c r="A149" s="136" t="s">
        <v>18</v>
      </c>
      <c r="B149" s="137"/>
      <c r="C149" s="150">
        <v>3978.9</v>
      </c>
      <c r="D149" s="150"/>
      <c r="E149" s="150"/>
      <c r="F149" s="154">
        <f>C149+I149</f>
        <v>4082.8353999999999</v>
      </c>
      <c r="G149" s="128"/>
      <c r="H149" s="129"/>
      <c r="I149" s="150">
        <f>5196.77*0.02</f>
        <v>103.93540000000002</v>
      </c>
      <c r="J149" s="150"/>
      <c r="K149" s="150"/>
      <c r="L149" s="150">
        <f>5196.77*0.03</f>
        <v>155.90309999999999</v>
      </c>
      <c r="M149" s="150"/>
      <c r="N149" s="150"/>
      <c r="O149" s="123">
        <f t="shared" si="20"/>
        <v>4134.8031000000001</v>
      </c>
      <c r="P149" s="124"/>
      <c r="Q149" s="124"/>
    </row>
    <row r="150" spans="1:17">
      <c r="A150" s="132" t="s">
        <v>21</v>
      </c>
      <c r="B150" s="133"/>
      <c r="C150" s="150">
        <v>656.6</v>
      </c>
      <c r="D150" s="150"/>
      <c r="E150" s="150"/>
      <c r="F150" s="154">
        <f>C150+I150</f>
        <v>683.1694</v>
      </c>
      <c r="G150" s="128"/>
      <c r="H150" s="129"/>
      <c r="I150" s="150">
        <f>1328.47*0.02</f>
        <v>26.569400000000002</v>
      </c>
      <c r="J150" s="150"/>
      <c r="K150" s="150"/>
      <c r="L150" s="150">
        <f>1328.47*0.03</f>
        <v>39.854100000000003</v>
      </c>
      <c r="M150" s="150"/>
      <c r="N150" s="150"/>
      <c r="O150" s="123">
        <f t="shared" si="20"/>
        <v>696.45410000000004</v>
      </c>
      <c r="P150" s="124"/>
      <c r="Q150" s="124"/>
    </row>
    <row r="151" spans="1:17">
      <c r="A151" s="151" t="s">
        <v>160</v>
      </c>
      <c r="B151" s="152"/>
      <c r="C151" s="152"/>
      <c r="D151" s="152"/>
      <c r="E151" s="152"/>
      <c r="F151" s="152"/>
      <c r="G151" s="152"/>
      <c r="H151" s="152"/>
      <c r="I151" s="152"/>
      <c r="J151" s="152"/>
      <c r="K151" s="152"/>
      <c r="L151" s="152"/>
      <c r="M151" s="152"/>
      <c r="N151" s="152"/>
      <c r="O151" s="152"/>
      <c r="P151" s="152"/>
      <c r="Q151" s="153"/>
    </row>
    <row r="152" spans="1:17">
      <c r="A152" s="149" t="s">
        <v>90</v>
      </c>
      <c r="B152" s="149"/>
      <c r="C152" s="149" t="s">
        <v>134</v>
      </c>
      <c r="D152" s="149"/>
      <c r="E152" s="149"/>
      <c r="F152" s="149" t="s">
        <v>135</v>
      </c>
      <c r="G152" s="149"/>
      <c r="H152" s="149"/>
      <c r="I152" s="149" t="s">
        <v>136</v>
      </c>
      <c r="J152" s="149"/>
      <c r="K152" s="149"/>
      <c r="L152" s="124"/>
      <c r="M152" s="124"/>
      <c r="N152" s="124"/>
      <c r="O152" s="124"/>
      <c r="P152" s="124"/>
      <c r="Q152" s="124"/>
    </row>
    <row r="153" spans="1:17">
      <c r="A153" s="132" t="s">
        <v>11</v>
      </c>
      <c r="B153" s="133"/>
      <c r="C153" s="124">
        <v>6330</v>
      </c>
      <c r="D153" s="124"/>
      <c r="E153" s="124"/>
      <c r="F153" s="124">
        <v>890</v>
      </c>
      <c r="G153" s="124"/>
      <c r="H153" s="124"/>
      <c r="I153" s="124">
        <v>1687</v>
      </c>
      <c r="J153" s="124"/>
      <c r="K153" s="124"/>
      <c r="L153" s="124">
        <f>SUM(C153:K153)</f>
        <v>8907</v>
      </c>
      <c r="M153" s="124"/>
      <c r="N153" s="124"/>
      <c r="O153" s="124"/>
      <c r="P153" s="124"/>
      <c r="Q153" s="124"/>
    </row>
    <row r="154" spans="1:17">
      <c r="A154" s="132" t="s">
        <v>15</v>
      </c>
      <c r="B154" s="133"/>
      <c r="C154" s="124">
        <v>5380</v>
      </c>
      <c r="D154" s="124"/>
      <c r="E154" s="124"/>
      <c r="F154" s="124">
        <v>720</v>
      </c>
      <c r="G154" s="124"/>
      <c r="H154" s="124"/>
      <c r="I154" s="124">
        <v>1430</v>
      </c>
      <c r="J154" s="124"/>
      <c r="K154" s="124"/>
      <c r="L154" s="124">
        <f t="shared" ref="L154:L156" si="21">SUM(C154:K154)</f>
        <v>7530</v>
      </c>
      <c r="M154" s="124"/>
      <c r="N154" s="124"/>
      <c r="O154" s="124"/>
      <c r="P154" s="124"/>
      <c r="Q154" s="124"/>
    </row>
    <row r="155" spans="1:17">
      <c r="A155" s="136" t="s">
        <v>18</v>
      </c>
      <c r="B155" s="137"/>
      <c r="C155" s="124">
        <v>8590</v>
      </c>
      <c r="D155" s="124"/>
      <c r="E155" s="124"/>
      <c r="F155" s="124">
        <v>1570</v>
      </c>
      <c r="G155" s="124"/>
      <c r="H155" s="124"/>
      <c r="I155" s="124">
        <v>3587</v>
      </c>
      <c r="J155" s="124"/>
      <c r="K155" s="124"/>
      <c r="L155" s="124">
        <f t="shared" si="21"/>
        <v>13747</v>
      </c>
      <c r="M155" s="124"/>
      <c r="N155" s="124"/>
      <c r="O155" s="124"/>
      <c r="P155" s="124"/>
      <c r="Q155" s="124"/>
    </row>
    <row r="156" spans="1:17">
      <c r="A156" s="132" t="s">
        <v>21</v>
      </c>
      <c r="B156" s="133"/>
      <c r="C156" s="124">
        <v>6070</v>
      </c>
      <c r="D156" s="124"/>
      <c r="E156" s="124"/>
      <c r="F156" s="124">
        <v>3660</v>
      </c>
      <c r="G156" s="124"/>
      <c r="H156" s="124"/>
      <c r="I156" s="124">
        <v>3203</v>
      </c>
      <c r="J156" s="124"/>
      <c r="K156" s="124"/>
      <c r="L156" s="124">
        <f t="shared" si="21"/>
        <v>12933</v>
      </c>
      <c r="M156" s="124"/>
      <c r="N156" s="124"/>
      <c r="O156" s="124"/>
      <c r="P156" s="124"/>
      <c r="Q156" s="124"/>
    </row>
    <row r="157" spans="1:17">
      <c r="A157" s="89"/>
      <c r="B157" s="92"/>
      <c r="C157" s="128">
        <f>SUM(C153:E156)</f>
        <v>26370</v>
      </c>
      <c r="D157" s="128"/>
      <c r="E157" s="128"/>
      <c r="F157" s="128">
        <f>SUM(F153:H156)</f>
        <v>6840</v>
      </c>
      <c r="G157" s="128"/>
      <c r="H157" s="128"/>
      <c r="I157" s="128">
        <f>SUM(I153:K156)</f>
        <v>9907</v>
      </c>
      <c r="J157" s="128"/>
      <c r="K157" s="128"/>
      <c r="L157" s="128">
        <f>SUM(C157:K157)</f>
        <v>43117</v>
      </c>
      <c r="M157" s="128"/>
      <c r="N157" s="128"/>
      <c r="O157" s="91"/>
      <c r="P157" s="91"/>
      <c r="Q157" s="90"/>
    </row>
    <row r="158" spans="1:17">
      <c r="A158" s="127"/>
      <c r="B158" s="128"/>
      <c r="C158" s="128"/>
      <c r="D158" s="128"/>
      <c r="E158" s="128"/>
      <c r="F158" s="128"/>
      <c r="G158" s="128"/>
      <c r="H158" s="128"/>
      <c r="I158" s="128"/>
      <c r="J158" s="128"/>
      <c r="K158" s="128"/>
      <c r="L158" s="128"/>
      <c r="M158" s="128"/>
      <c r="N158" s="128"/>
      <c r="O158" s="128"/>
      <c r="P158" s="128"/>
      <c r="Q158" s="129"/>
    </row>
    <row r="159" spans="1:17">
      <c r="A159" s="149"/>
      <c r="B159" s="149"/>
      <c r="C159" s="149"/>
      <c r="D159" s="149"/>
      <c r="E159" s="149"/>
      <c r="F159" s="149"/>
      <c r="G159" s="149"/>
      <c r="H159" s="149"/>
      <c r="I159" s="149"/>
      <c r="J159" s="149"/>
      <c r="K159" s="149"/>
      <c r="L159" s="149"/>
      <c r="M159" s="149"/>
      <c r="N159" s="149"/>
      <c r="O159" s="149"/>
      <c r="P159" s="149"/>
      <c r="Q159" s="149"/>
    </row>
    <row r="160" spans="1:17">
      <c r="A160" s="132"/>
      <c r="B160" s="133"/>
      <c r="C160" s="124"/>
      <c r="D160" s="124"/>
      <c r="E160" s="124"/>
      <c r="F160" s="127"/>
      <c r="G160" s="128"/>
      <c r="H160" s="129"/>
      <c r="I160" s="124"/>
      <c r="J160" s="124"/>
      <c r="K160" s="124"/>
      <c r="L160" s="124"/>
      <c r="M160" s="124"/>
      <c r="N160" s="124"/>
      <c r="O160" s="124"/>
      <c r="P160" s="124"/>
      <c r="Q160" s="124"/>
    </row>
    <row r="161" spans="1:17">
      <c r="A161" s="132"/>
      <c r="B161" s="133"/>
      <c r="C161" s="124"/>
      <c r="D161" s="124"/>
      <c r="E161" s="124"/>
      <c r="F161" s="127"/>
      <c r="G161" s="128"/>
      <c r="H161" s="129"/>
      <c r="I161" s="124"/>
      <c r="J161" s="124"/>
      <c r="K161" s="124"/>
      <c r="L161" s="124"/>
      <c r="M161" s="124"/>
      <c r="N161" s="124"/>
      <c r="O161" s="124"/>
      <c r="P161" s="124"/>
      <c r="Q161" s="124"/>
    </row>
    <row r="162" spans="1:17">
      <c r="A162" s="136"/>
      <c r="B162" s="137"/>
      <c r="C162" s="124"/>
      <c r="D162" s="124"/>
      <c r="E162" s="124"/>
      <c r="F162" s="127"/>
      <c r="G162" s="128"/>
      <c r="H162" s="129"/>
      <c r="I162" s="124"/>
      <c r="J162" s="124"/>
      <c r="K162" s="124"/>
      <c r="L162" s="124"/>
      <c r="M162" s="124"/>
      <c r="N162" s="124"/>
      <c r="O162" s="124"/>
      <c r="P162" s="124"/>
      <c r="Q162" s="124"/>
    </row>
    <row r="163" spans="1:17">
      <c r="A163" s="132"/>
      <c r="B163" s="133"/>
      <c r="C163" s="124"/>
      <c r="D163" s="124"/>
      <c r="E163" s="124"/>
      <c r="F163" s="127"/>
      <c r="G163" s="128"/>
      <c r="H163" s="129"/>
      <c r="I163" s="124"/>
      <c r="J163" s="124"/>
      <c r="K163" s="124"/>
      <c r="L163" s="124"/>
      <c r="M163" s="124"/>
      <c r="N163" s="124"/>
      <c r="O163" s="124"/>
      <c r="P163" s="124"/>
      <c r="Q163" s="124"/>
    </row>
    <row r="164" spans="1:17">
      <c r="A164" s="151"/>
      <c r="B164" s="152"/>
      <c r="C164" s="152"/>
      <c r="D164" s="152"/>
      <c r="E164" s="152"/>
      <c r="F164" s="152"/>
      <c r="G164" s="152"/>
      <c r="H164" s="152"/>
      <c r="I164" s="152"/>
      <c r="J164" s="152"/>
      <c r="K164" s="152"/>
      <c r="L164" s="152"/>
      <c r="M164" s="152"/>
      <c r="N164" s="152"/>
      <c r="O164" s="152"/>
      <c r="P164" s="152"/>
      <c r="Q164" s="153"/>
    </row>
    <row r="165" spans="1:17">
      <c r="A165" s="149"/>
      <c r="B165" s="149"/>
      <c r="C165" s="149"/>
      <c r="D165" s="149"/>
      <c r="E165" s="149"/>
      <c r="F165" s="149"/>
      <c r="G165" s="149"/>
      <c r="H165" s="149"/>
      <c r="I165" s="149"/>
      <c r="J165" s="149"/>
      <c r="K165" s="149"/>
      <c r="L165" s="124"/>
      <c r="M165" s="124"/>
      <c r="N165" s="124"/>
      <c r="O165" s="124"/>
      <c r="P165" s="124"/>
      <c r="Q165" s="124"/>
    </row>
    <row r="166" spans="1:17">
      <c r="A166" s="132"/>
      <c r="B166" s="133"/>
      <c r="C166" s="124"/>
      <c r="D166" s="124"/>
      <c r="E166" s="124"/>
      <c r="F166" s="127"/>
      <c r="G166" s="128"/>
      <c r="H166" s="129"/>
      <c r="I166" s="124"/>
      <c r="J166" s="124"/>
      <c r="K166" s="124"/>
      <c r="L166" s="124"/>
      <c r="M166" s="124"/>
      <c r="N166" s="124"/>
      <c r="O166" s="124"/>
      <c r="P166" s="124"/>
      <c r="Q166" s="124"/>
    </row>
    <row r="167" spans="1:17">
      <c r="A167" s="132"/>
      <c r="B167" s="133"/>
      <c r="C167" s="124"/>
      <c r="D167" s="124"/>
      <c r="E167" s="124"/>
      <c r="F167" s="127"/>
      <c r="G167" s="128"/>
      <c r="H167" s="129"/>
      <c r="I167" s="124"/>
      <c r="J167" s="124"/>
      <c r="K167" s="124"/>
      <c r="L167" s="124"/>
      <c r="M167" s="124"/>
      <c r="N167" s="124"/>
      <c r="O167" s="124"/>
      <c r="P167" s="124"/>
      <c r="Q167" s="124"/>
    </row>
    <row r="168" spans="1:17">
      <c r="A168" s="136"/>
      <c r="B168" s="137"/>
      <c r="C168" s="124"/>
      <c r="D168" s="124"/>
      <c r="E168" s="124"/>
      <c r="F168" s="127"/>
      <c r="G168" s="128"/>
      <c r="H168" s="129"/>
      <c r="I168" s="124"/>
      <c r="J168" s="124"/>
      <c r="K168" s="124"/>
      <c r="L168" s="124"/>
      <c r="M168" s="124"/>
      <c r="N168" s="124"/>
      <c r="O168" s="124"/>
      <c r="P168" s="124"/>
      <c r="Q168" s="124"/>
    </row>
    <row r="169" spans="1:17">
      <c r="A169" s="132"/>
      <c r="B169" s="133"/>
      <c r="C169" s="124"/>
      <c r="D169" s="124"/>
      <c r="E169" s="124"/>
      <c r="F169" s="127"/>
      <c r="G169" s="128"/>
      <c r="H169" s="129"/>
      <c r="I169" s="124"/>
      <c r="J169" s="124"/>
      <c r="K169" s="124"/>
      <c r="L169" s="124"/>
      <c r="M169" s="124"/>
      <c r="N169" s="124"/>
      <c r="O169" s="124"/>
      <c r="P169" s="124"/>
      <c r="Q169" s="124"/>
    </row>
    <row r="170" spans="1:17">
      <c r="A170" s="124"/>
      <c r="B170" s="124"/>
      <c r="C170" s="124"/>
      <c r="D170" s="124"/>
      <c r="E170" s="124"/>
      <c r="F170" s="124"/>
      <c r="G170" s="124"/>
      <c r="H170" s="124"/>
      <c r="I170" s="124"/>
      <c r="J170" s="124"/>
      <c r="K170" s="124"/>
      <c r="L170" s="124"/>
      <c r="M170" s="124"/>
      <c r="N170" s="124"/>
      <c r="O170" s="124"/>
      <c r="P170" s="124"/>
      <c r="Q170" s="124"/>
    </row>
    <row r="171" spans="1:17">
      <c r="A171" s="124"/>
      <c r="B171" s="124"/>
      <c r="C171" s="124"/>
      <c r="D171" s="124"/>
      <c r="E171" s="124"/>
      <c r="F171" s="124"/>
      <c r="G171" s="124"/>
      <c r="H171" s="124"/>
      <c r="I171" s="124"/>
      <c r="J171" s="124"/>
      <c r="K171" s="124"/>
      <c r="L171" s="124"/>
      <c r="M171" s="124"/>
      <c r="N171" s="124"/>
      <c r="O171" s="124"/>
      <c r="P171" s="124"/>
      <c r="Q171" s="124"/>
    </row>
    <row r="172" spans="1:17">
      <c r="A172" s="124"/>
      <c r="B172" s="124"/>
      <c r="C172" s="124"/>
      <c r="D172" s="124"/>
      <c r="E172" s="124"/>
      <c r="F172" s="124"/>
      <c r="G172" s="124"/>
      <c r="H172" s="124"/>
      <c r="I172" s="124"/>
      <c r="J172" s="124"/>
      <c r="K172" s="124"/>
      <c r="L172" s="124"/>
      <c r="M172" s="124"/>
      <c r="N172" s="124"/>
      <c r="O172" s="124"/>
      <c r="P172" s="124"/>
      <c r="Q172" s="124"/>
    </row>
    <row r="173" spans="1:17">
      <c r="A173" s="124"/>
      <c r="B173" s="124"/>
      <c r="C173" s="124"/>
      <c r="D173" s="124"/>
      <c r="E173" s="124"/>
      <c r="F173" s="124"/>
      <c r="G173" s="124"/>
      <c r="H173" s="124"/>
      <c r="I173" s="124"/>
      <c r="J173" s="124"/>
      <c r="K173" s="124"/>
      <c r="L173" s="124"/>
      <c r="M173" s="124"/>
      <c r="N173" s="124"/>
      <c r="O173" s="124"/>
      <c r="P173" s="124"/>
      <c r="Q173" s="124"/>
    </row>
    <row r="174" spans="1:17">
      <c r="A174" s="124"/>
      <c r="B174" s="124"/>
      <c r="C174" s="124"/>
      <c r="D174" s="124"/>
      <c r="E174" s="124"/>
      <c r="F174" s="124"/>
      <c r="G174" s="124"/>
      <c r="H174" s="124"/>
      <c r="I174" s="124"/>
      <c r="J174" s="124"/>
      <c r="K174" s="124"/>
      <c r="L174" s="124"/>
      <c r="M174" s="124"/>
      <c r="N174" s="124"/>
      <c r="O174" s="124"/>
      <c r="P174" s="124"/>
      <c r="Q174" s="124"/>
    </row>
    <row r="175" spans="1:17">
      <c r="A175" s="124"/>
      <c r="B175" s="124"/>
      <c r="C175" s="124"/>
      <c r="D175" s="124"/>
      <c r="E175" s="124"/>
      <c r="F175" s="124"/>
      <c r="G175" s="124"/>
      <c r="H175" s="124"/>
      <c r="I175" s="124"/>
      <c r="J175" s="124"/>
      <c r="K175" s="124"/>
      <c r="L175" s="124"/>
      <c r="M175" s="124"/>
      <c r="N175" s="124"/>
      <c r="O175" s="124"/>
      <c r="P175" s="124"/>
      <c r="Q175" s="124"/>
    </row>
    <row r="176" spans="1:17">
      <c r="A176" s="124"/>
      <c r="B176" s="124"/>
      <c r="C176" s="124"/>
      <c r="D176" s="124"/>
      <c r="E176" s="124"/>
      <c r="F176" s="124"/>
      <c r="G176" s="124"/>
      <c r="H176" s="124"/>
      <c r="I176" s="124"/>
      <c r="J176" s="124"/>
      <c r="K176" s="124"/>
      <c r="L176" s="124"/>
      <c r="M176" s="124"/>
      <c r="N176" s="124"/>
      <c r="O176" s="124"/>
      <c r="P176" s="124"/>
      <c r="Q176" s="124"/>
    </row>
    <row r="177" spans="1:17">
      <c r="A177" s="124"/>
      <c r="B177" s="124"/>
      <c r="C177" s="124"/>
      <c r="D177" s="124"/>
      <c r="E177" s="124"/>
      <c r="F177" s="124"/>
      <c r="G177" s="124"/>
      <c r="H177" s="124"/>
      <c r="I177" s="124"/>
      <c r="J177" s="124"/>
      <c r="K177" s="124"/>
      <c r="L177" s="124"/>
      <c r="M177" s="124"/>
      <c r="N177" s="124"/>
      <c r="O177" s="124"/>
      <c r="P177" s="124"/>
      <c r="Q177" s="124"/>
    </row>
    <row r="178" spans="1:17">
      <c r="A178" s="124"/>
      <c r="B178" s="124"/>
      <c r="C178" s="124"/>
      <c r="D178" s="124"/>
      <c r="E178" s="124"/>
      <c r="F178" s="124"/>
      <c r="G178" s="124"/>
      <c r="H178" s="124"/>
      <c r="I178" s="124"/>
      <c r="J178" s="124"/>
      <c r="K178" s="124"/>
      <c r="L178" s="124"/>
      <c r="M178" s="124"/>
      <c r="N178" s="124"/>
      <c r="O178" s="124"/>
      <c r="P178" s="124"/>
      <c r="Q178" s="124"/>
    </row>
    <row r="179" spans="1:17">
      <c r="A179" s="124"/>
      <c r="B179" s="124"/>
      <c r="C179" s="124"/>
      <c r="D179" s="124"/>
      <c r="E179" s="124"/>
      <c r="F179" s="124"/>
      <c r="G179" s="124"/>
      <c r="H179" s="124"/>
      <c r="I179" s="124"/>
      <c r="J179" s="124"/>
      <c r="K179" s="124"/>
      <c r="L179" s="124"/>
      <c r="M179" s="124"/>
      <c r="N179" s="124"/>
      <c r="O179" s="124"/>
      <c r="P179" s="124"/>
      <c r="Q179" s="124"/>
    </row>
    <row r="180" spans="1:17">
      <c r="A180" s="124"/>
      <c r="B180" s="124"/>
      <c r="C180" s="124"/>
      <c r="D180" s="124"/>
      <c r="E180" s="124"/>
      <c r="F180" s="124"/>
      <c r="G180" s="124"/>
      <c r="H180" s="124"/>
      <c r="I180" s="124"/>
      <c r="J180" s="124"/>
      <c r="K180" s="124"/>
      <c r="L180" s="124"/>
      <c r="M180" s="124"/>
      <c r="N180" s="124"/>
      <c r="O180" s="124"/>
      <c r="P180" s="124"/>
      <c r="Q180" s="124"/>
    </row>
    <row r="181" spans="1:17">
      <c r="A181" s="124"/>
      <c r="B181" s="124"/>
      <c r="C181" s="124"/>
      <c r="D181" s="124"/>
      <c r="E181" s="124"/>
      <c r="F181" s="124"/>
      <c r="G181" s="124"/>
      <c r="H181" s="124"/>
      <c r="I181" s="124"/>
      <c r="J181" s="124"/>
      <c r="K181" s="124"/>
      <c r="L181" s="124"/>
      <c r="M181" s="124"/>
      <c r="N181" s="124"/>
      <c r="O181" s="124"/>
      <c r="P181" s="124"/>
      <c r="Q181" s="124"/>
    </row>
    <row r="182" spans="1:17">
      <c r="A182" s="124"/>
      <c r="B182" s="124"/>
      <c r="C182" s="124"/>
      <c r="D182" s="124"/>
      <c r="E182" s="124"/>
      <c r="F182" s="124"/>
      <c r="G182" s="124"/>
      <c r="H182" s="124"/>
      <c r="I182" s="124"/>
      <c r="J182" s="124"/>
      <c r="K182" s="124"/>
      <c r="L182" s="124"/>
      <c r="M182" s="124"/>
      <c r="N182" s="124"/>
      <c r="O182" s="124"/>
      <c r="P182" s="124"/>
      <c r="Q182" s="124"/>
    </row>
    <row r="183" spans="1:17">
      <c r="A183" s="124"/>
      <c r="B183" s="124"/>
      <c r="C183" s="124"/>
      <c r="D183" s="124"/>
      <c r="E183" s="124"/>
      <c r="F183" s="124"/>
      <c r="G183" s="124"/>
      <c r="H183" s="124"/>
      <c r="I183" s="124"/>
      <c r="J183" s="124"/>
      <c r="K183" s="124"/>
      <c r="L183" s="124"/>
      <c r="M183" s="124"/>
      <c r="N183" s="124"/>
      <c r="O183" s="124"/>
      <c r="P183" s="124"/>
      <c r="Q183" s="124"/>
    </row>
    <row r="184" spans="1:17">
      <c r="A184" s="124"/>
      <c r="B184" s="124"/>
      <c r="C184" s="124"/>
      <c r="D184" s="124"/>
      <c r="E184" s="124"/>
      <c r="F184" s="124"/>
      <c r="G184" s="124"/>
      <c r="H184" s="124"/>
      <c r="I184" s="124"/>
      <c r="J184" s="124"/>
      <c r="K184" s="124"/>
      <c r="L184" s="124"/>
      <c r="M184" s="124"/>
      <c r="N184" s="124"/>
      <c r="O184" s="124"/>
      <c r="P184" s="124"/>
      <c r="Q184" s="124"/>
    </row>
    <row r="185" spans="1:17">
      <c r="A185" s="124"/>
      <c r="B185" s="124"/>
      <c r="C185" s="124"/>
      <c r="D185" s="124"/>
      <c r="E185" s="124"/>
      <c r="F185" s="124"/>
      <c r="G185" s="124"/>
      <c r="H185" s="124"/>
      <c r="I185" s="124"/>
      <c r="J185" s="124"/>
      <c r="K185" s="124"/>
      <c r="L185" s="124"/>
      <c r="M185" s="124"/>
      <c r="N185" s="124"/>
      <c r="O185" s="124"/>
      <c r="P185" s="124"/>
      <c r="Q185" s="124"/>
    </row>
    <row r="186" spans="1:17">
      <c r="A186" s="124"/>
      <c r="B186" s="124"/>
      <c r="C186" s="124"/>
      <c r="D186" s="124"/>
      <c r="E186" s="124"/>
      <c r="F186" s="124"/>
      <c r="G186" s="124"/>
      <c r="H186" s="124"/>
      <c r="I186" s="124"/>
      <c r="J186" s="124"/>
      <c r="K186" s="124"/>
      <c r="L186" s="124"/>
      <c r="M186" s="124"/>
      <c r="N186" s="124"/>
      <c r="O186" s="124"/>
      <c r="P186" s="124"/>
      <c r="Q186" s="124"/>
    </row>
    <row r="187" spans="1:17">
      <c r="A187" s="124"/>
      <c r="B187" s="124"/>
      <c r="C187" s="124"/>
      <c r="D187" s="124"/>
      <c r="E187" s="124"/>
      <c r="F187" s="124"/>
      <c r="G187" s="124"/>
      <c r="H187" s="124"/>
      <c r="I187" s="124"/>
      <c r="J187" s="124"/>
      <c r="K187" s="124"/>
      <c r="L187" s="124"/>
      <c r="M187" s="124"/>
      <c r="N187" s="124"/>
      <c r="O187" s="124"/>
      <c r="P187" s="124"/>
      <c r="Q187" s="124"/>
    </row>
    <row r="188" spans="1:17">
      <c r="A188" s="124"/>
      <c r="B188" s="124"/>
      <c r="C188" s="124"/>
      <c r="D188" s="124"/>
      <c r="E188" s="124"/>
      <c r="F188" s="124"/>
      <c r="G188" s="124"/>
      <c r="H188" s="124"/>
      <c r="I188" s="124"/>
      <c r="J188" s="124"/>
      <c r="K188" s="124"/>
      <c r="L188" s="124"/>
      <c r="M188" s="124"/>
      <c r="N188" s="124"/>
      <c r="O188" s="124"/>
      <c r="P188" s="124"/>
      <c r="Q188" s="124"/>
    </row>
    <row r="189" spans="1:17">
      <c r="A189" s="124"/>
      <c r="B189" s="124"/>
      <c r="C189" s="124"/>
      <c r="D189" s="124"/>
      <c r="E189" s="124"/>
      <c r="F189" s="124"/>
      <c r="G189" s="124"/>
      <c r="H189" s="124"/>
      <c r="I189" s="124"/>
      <c r="J189" s="124"/>
      <c r="K189" s="124"/>
      <c r="L189" s="124"/>
      <c r="M189" s="124"/>
      <c r="N189" s="124"/>
      <c r="O189" s="124"/>
      <c r="P189" s="124"/>
      <c r="Q189" s="124"/>
    </row>
    <row r="190" spans="1:17">
      <c r="A190" s="124"/>
      <c r="B190" s="124"/>
      <c r="C190" s="124"/>
      <c r="D190" s="124"/>
      <c r="E190" s="124"/>
      <c r="F190" s="124"/>
      <c r="G190" s="124"/>
      <c r="H190" s="124"/>
      <c r="I190" s="124"/>
      <c r="J190" s="124"/>
      <c r="K190" s="124"/>
      <c r="L190" s="124"/>
      <c r="M190" s="124"/>
      <c r="N190" s="124"/>
      <c r="O190" s="124"/>
      <c r="P190" s="124"/>
      <c r="Q190" s="124"/>
    </row>
    <row r="191" spans="1:17">
      <c r="A191" s="124"/>
      <c r="B191" s="124"/>
      <c r="C191" s="124"/>
      <c r="D191" s="124"/>
      <c r="E191" s="124"/>
      <c r="F191" s="124"/>
      <c r="G191" s="124"/>
      <c r="H191" s="124"/>
      <c r="I191" s="124"/>
      <c r="J191" s="124"/>
      <c r="K191" s="124"/>
      <c r="L191" s="124"/>
      <c r="M191" s="124"/>
      <c r="N191" s="124"/>
      <c r="O191" s="124"/>
      <c r="P191" s="124"/>
      <c r="Q191" s="124"/>
    </row>
    <row r="192" spans="1:17">
      <c r="A192" s="124"/>
      <c r="B192" s="124"/>
      <c r="C192" s="124"/>
      <c r="D192" s="124"/>
      <c r="E192" s="124"/>
      <c r="F192" s="124"/>
      <c r="G192" s="124"/>
      <c r="H192" s="124"/>
      <c r="I192" s="124"/>
      <c r="J192" s="124"/>
      <c r="K192" s="124"/>
      <c r="L192" s="124"/>
      <c r="M192" s="124"/>
      <c r="N192" s="124"/>
      <c r="O192" s="124"/>
      <c r="P192" s="124"/>
      <c r="Q192" s="124"/>
    </row>
    <row r="193" spans="1:17">
      <c r="A193" s="124"/>
      <c r="B193" s="124"/>
      <c r="C193" s="124"/>
      <c r="D193" s="124"/>
      <c r="E193" s="124"/>
      <c r="F193" s="124"/>
      <c r="G193" s="124"/>
      <c r="H193" s="124"/>
      <c r="I193" s="124"/>
      <c r="J193" s="124"/>
      <c r="K193" s="124"/>
      <c r="L193" s="124"/>
      <c r="M193" s="124"/>
      <c r="N193" s="124"/>
      <c r="O193" s="124"/>
      <c r="P193" s="124"/>
      <c r="Q193" s="124"/>
    </row>
    <row r="194" spans="1:17">
      <c r="A194" s="124"/>
      <c r="B194" s="124"/>
      <c r="C194" s="124"/>
      <c r="D194" s="124"/>
      <c r="E194" s="124"/>
      <c r="F194" s="124"/>
      <c r="G194" s="124"/>
      <c r="H194" s="124"/>
      <c r="I194" s="124"/>
      <c r="J194" s="124"/>
      <c r="K194" s="124"/>
      <c r="L194" s="124"/>
      <c r="M194" s="124"/>
      <c r="N194" s="124"/>
      <c r="O194" s="124"/>
      <c r="P194" s="124"/>
      <c r="Q194" s="124"/>
    </row>
    <row r="195" spans="1:17">
      <c r="A195" s="124"/>
      <c r="B195" s="124"/>
      <c r="C195" s="124"/>
      <c r="D195" s="124"/>
      <c r="E195" s="124"/>
      <c r="F195" s="124"/>
      <c r="G195" s="124"/>
      <c r="H195" s="124"/>
      <c r="I195" s="124"/>
      <c r="J195" s="124"/>
      <c r="K195" s="124"/>
      <c r="L195" s="124"/>
      <c r="M195" s="124"/>
      <c r="N195" s="124"/>
      <c r="O195" s="124"/>
      <c r="P195" s="124"/>
      <c r="Q195" s="124"/>
    </row>
    <row r="196" spans="1:17">
      <c r="A196" s="124"/>
      <c r="B196" s="124"/>
      <c r="C196" s="124"/>
      <c r="D196" s="124"/>
      <c r="E196" s="124"/>
      <c r="F196" s="124"/>
      <c r="G196" s="124"/>
      <c r="H196" s="124"/>
      <c r="I196" s="124"/>
      <c r="J196" s="124"/>
      <c r="K196" s="124"/>
      <c r="L196" s="124"/>
      <c r="M196" s="124"/>
      <c r="N196" s="124"/>
      <c r="O196" s="124"/>
      <c r="P196" s="124"/>
      <c r="Q196" s="124"/>
    </row>
    <row r="197" spans="1:17">
      <c r="A197" s="124"/>
      <c r="B197" s="124"/>
      <c r="C197" s="124"/>
      <c r="D197" s="124"/>
      <c r="E197" s="124"/>
      <c r="F197" s="124"/>
      <c r="G197" s="124"/>
      <c r="H197" s="124"/>
      <c r="I197" s="124"/>
      <c r="J197" s="124"/>
      <c r="K197" s="124"/>
      <c r="L197" s="124"/>
      <c r="M197" s="124"/>
      <c r="N197" s="124"/>
      <c r="O197" s="124"/>
      <c r="P197" s="124"/>
      <c r="Q197" s="124"/>
    </row>
    <row r="198" spans="1:17">
      <c r="A198" s="124"/>
      <c r="B198" s="124"/>
      <c r="C198" s="124"/>
      <c r="D198" s="124"/>
      <c r="E198" s="124"/>
      <c r="F198" s="124"/>
      <c r="G198" s="124"/>
      <c r="H198" s="124"/>
      <c r="I198" s="124"/>
      <c r="J198" s="124"/>
      <c r="K198" s="124"/>
      <c r="L198" s="124"/>
      <c r="M198" s="124"/>
      <c r="N198" s="124"/>
      <c r="O198" s="124"/>
      <c r="P198" s="124"/>
      <c r="Q198" s="124"/>
    </row>
    <row r="199" spans="1:17">
      <c r="A199" s="124"/>
      <c r="B199" s="124"/>
      <c r="C199" s="124"/>
      <c r="D199" s="124"/>
      <c r="E199" s="124"/>
      <c r="F199" s="124"/>
      <c r="G199" s="124"/>
      <c r="H199" s="124"/>
      <c r="I199" s="124"/>
      <c r="J199" s="124"/>
      <c r="K199" s="124"/>
      <c r="L199" s="124"/>
      <c r="M199" s="124"/>
      <c r="N199" s="124"/>
      <c r="O199" s="124"/>
      <c r="P199" s="124"/>
      <c r="Q199" s="124"/>
    </row>
    <row r="200" spans="1:17">
      <c r="A200" s="124"/>
      <c r="B200" s="124"/>
      <c r="C200" s="124"/>
      <c r="D200" s="124"/>
      <c r="E200" s="124"/>
      <c r="F200" s="124"/>
      <c r="G200" s="124"/>
      <c r="H200" s="124"/>
      <c r="I200" s="124"/>
      <c r="J200" s="124"/>
      <c r="K200" s="124"/>
      <c r="L200" s="124"/>
      <c r="M200" s="124"/>
      <c r="N200" s="124"/>
      <c r="O200" s="124"/>
      <c r="P200" s="124"/>
      <c r="Q200" s="124"/>
    </row>
    <row r="201" spans="1:17">
      <c r="A201" s="124"/>
      <c r="B201" s="124"/>
      <c r="C201" s="124"/>
      <c r="D201" s="124"/>
      <c r="E201" s="124"/>
      <c r="F201" s="124"/>
      <c r="G201" s="124"/>
      <c r="H201" s="124"/>
      <c r="I201" s="124"/>
      <c r="J201" s="124"/>
      <c r="K201" s="124"/>
      <c r="L201" s="124"/>
      <c r="M201" s="124"/>
      <c r="N201" s="124"/>
      <c r="O201" s="124"/>
      <c r="P201" s="124"/>
      <c r="Q201" s="124"/>
    </row>
    <row r="202" spans="1:17">
      <c r="A202" s="124"/>
      <c r="B202" s="124"/>
      <c r="C202" s="124"/>
      <c r="D202" s="124"/>
      <c r="E202" s="124"/>
      <c r="F202" s="124"/>
      <c r="G202" s="124"/>
      <c r="H202" s="124"/>
      <c r="I202" s="124"/>
      <c r="J202" s="124"/>
      <c r="K202" s="124"/>
      <c r="L202" s="124"/>
      <c r="M202" s="124"/>
      <c r="N202" s="124"/>
      <c r="O202" s="124"/>
      <c r="P202" s="124"/>
      <c r="Q202" s="124"/>
    </row>
    <row r="203" spans="1:17">
      <c r="A203" s="124"/>
      <c r="B203" s="124"/>
      <c r="C203" s="124"/>
      <c r="D203" s="124"/>
      <c r="E203" s="124"/>
      <c r="F203" s="124"/>
      <c r="G203" s="124"/>
      <c r="H203" s="124"/>
      <c r="I203" s="124"/>
      <c r="J203" s="124"/>
      <c r="K203" s="124"/>
      <c r="L203" s="124"/>
      <c r="M203" s="124"/>
      <c r="N203" s="124"/>
      <c r="O203" s="124"/>
      <c r="P203" s="124"/>
      <c r="Q203" s="124"/>
    </row>
    <row r="204" spans="1:17">
      <c r="A204" s="124"/>
      <c r="B204" s="124"/>
      <c r="C204" s="124"/>
      <c r="D204" s="124"/>
      <c r="E204" s="124"/>
      <c r="F204" s="124"/>
      <c r="G204" s="124"/>
      <c r="H204" s="124"/>
      <c r="I204" s="124"/>
      <c r="J204" s="124"/>
      <c r="K204" s="124"/>
      <c r="L204" s="124"/>
      <c r="M204" s="124"/>
      <c r="N204" s="124"/>
      <c r="O204" s="124"/>
      <c r="P204" s="124"/>
      <c r="Q204" s="124"/>
    </row>
    <row r="205" spans="1:17">
      <c r="A205" s="124"/>
      <c r="B205" s="124"/>
      <c r="C205" s="124"/>
      <c r="D205" s="124"/>
      <c r="E205" s="124"/>
      <c r="F205" s="124"/>
      <c r="G205" s="124"/>
      <c r="H205" s="124"/>
      <c r="I205" s="124"/>
      <c r="J205" s="124"/>
      <c r="K205" s="124"/>
      <c r="L205" s="124"/>
      <c r="M205" s="124"/>
      <c r="N205" s="124"/>
      <c r="O205" s="124"/>
      <c r="P205" s="124"/>
      <c r="Q205" s="124"/>
    </row>
    <row r="206" spans="1:17">
      <c r="A206" s="124"/>
      <c r="B206" s="124"/>
      <c r="C206" s="124"/>
      <c r="D206" s="124"/>
      <c r="E206" s="124"/>
      <c r="F206" s="124"/>
      <c r="G206" s="124"/>
      <c r="H206" s="124"/>
      <c r="I206" s="124"/>
      <c r="J206" s="124"/>
      <c r="K206" s="124"/>
      <c r="L206" s="124"/>
      <c r="M206" s="124"/>
      <c r="N206" s="124"/>
      <c r="O206" s="124"/>
      <c r="P206" s="124"/>
      <c r="Q206" s="124"/>
    </row>
    <row r="207" spans="1:17">
      <c r="A207" s="124"/>
      <c r="B207" s="124"/>
      <c r="C207" s="124"/>
      <c r="D207" s="124"/>
      <c r="E207" s="124"/>
      <c r="F207" s="124"/>
      <c r="G207" s="124"/>
      <c r="H207" s="124"/>
      <c r="I207" s="124"/>
      <c r="J207" s="124"/>
      <c r="K207" s="124"/>
      <c r="L207" s="124"/>
      <c r="M207" s="124"/>
      <c r="N207" s="124"/>
      <c r="O207" s="124"/>
      <c r="P207" s="124"/>
      <c r="Q207" s="124"/>
    </row>
    <row r="208" spans="1:17">
      <c r="A208" s="124"/>
      <c r="B208" s="124"/>
      <c r="C208" s="124"/>
      <c r="D208" s="124"/>
      <c r="E208" s="124"/>
      <c r="F208" s="124"/>
      <c r="G208" s="124"/>
      <c r="H208" s="124"/>
      <c r="I208" s="124"/>
      <c r="J208" s="124"/>
      <c r="K208" s="124"/>
      <c r="L208" s="124"/>
      <c r="M208" s="124"/>
      <c r="N208" s="124"/>
      <c r="O208" s="124"/>
      <c r="P208" s="124"/>
      <c r="Q208" s="124"/>
    </row>
    <row r="209" spans="1:17">
      <c r="A209" s="124"/>
      <c r="B209" s="124"/>
      <c r="C209" s="124"/>
      <c r="D209" s="124"/>
      <c r="E209" s="124"/>
      <c r="F209" s="124"/>
      <c r="G209" s="124"/>
      <c r="H209" s="124"/>
      <c r="I209" s="124"/>
      <c r="J209" s="124"/>
      <c r="K209" s="124"/>
      <c r="L209" s="124"/>
      <c r="M209" s="124"/>
      <c r="N209" s="124"/>
      <c r="O209" s="124"/>
      <c r="P209" s="124"/>
      <c r="Q209" s="124"/>
    </row>
    <row r="210" spans="1:17">
      <c r="A210" s="124"/>
      <c r="B210" s="124"/>
      <c r="C210" s="124"/>
      <c r="D210" s="124"/>
      <c r="E210" s="124"/>
      <c r="F210" s="124"/>
      <c r="G210" s="124"/>
      <c r="H210" s="124"/>
      <c r="I210" s="124"/>
      <c r="J210" s="124"/>
      <c r="K210" s="124"/>
      <c r="L210" s="124"/>
      <c r="M210" s="124"/>
      <c r="N210" s="124"/>
      <c r="O210" s="124"/>
      <c r="P210" s="124"/>
      <c r="Q210" s="124"/>
    </row>
    <row r="211" spans="1:17">
      <c r="A211" s="124"/>
      <c r="B211" s="124"/>
      <c r="C211" s="124"/>
      <c r="D211" s="124"/>
      <c r="E211" s="124"/>
      <c r="F211" s="124"/>
      <c r="G211" s="124"/>
      <c r="H211" s="124"/>
      <c r="I211" s="124"/>
      <c r="J211" s="124"/>
      <c r="K211" s="124"/>
      <c r="L211" s="124"/>
      <c r="M211" s="124"/>
      <c r="N211" s="124"/>
      <c r="O211" s="124"/>
      <c r="P211" s="124"/>
      <c r="Q211" s="124"/>
    </row>
    <row r="212" spans="1:17">
      <c r="A212" s="124"/>
      <c r="B212" s="124"/>
      <c r="C212" s="124"/>
      <c r="D212" s="124"/>
      <c r="E212" s="124"/>
      <c r="F212" s="124"/>
      <c r="G212" s="124"/>
      <c r="H212" s="124"/>
      <c r="I212" s="124"/>
      <c r="J212" s="124"/>
      <c r="K212" s="124"/>
      <c r="L212" s="124"/>
      <c r="M212" s="124"/>
      <c r="N212" s="124"/>
      <c r="O212" s="124"/>
      <c r="P212" s="124"/>
      <c r="Q212" s="124"/>
    </row>
    <row r="213" spans="1:17">
      <c r="A213" s="124"/>
      <c r="B213" s="124"/>
      <c r="C213" s="124"/>
      <c r="D213" s="124"/>
      <c r="E213" s="124"/>
      <c r="F213" s="124"/>
      <c r="G213" s="124"/>
      <c r="H213" s="124"/>
      <c r="I213" s="124"/>
      <c r="J213" s="124"/>
      <c r="K213" s="124"/>
      <c r="L213" s="124"/>
      <c r="M213" s="124"/>
      <c r="N213" s="124"/>
      <c r="O213" s="124"/>
      <c r="P213" s="124"/>
      <c r="Q213" s="124"/>
    </row>
    <row r="214" spans="1:17">
      <c r="A214" s="124"/>
      <c r="B214" s="124"/>
      <c r="C214" s="124"/>
      <c r="D214" s="124"/>
      <c r="E214" s="124"/>
      <c r="F214" s="124"/>
      <c r="G214" s="124"/>
      <c r="H214" s="124"/>
      <c r="I214" s="124"/>
      <c r="J214" s="124"/>
      <c r="K214" s="124"/>
      <c r="L214" s="124"/>
      <c r="M214" s="124"/>
      <c r="N214" s="124"/>
      <c r="O214" s="124"/>
      <c r="P214" s="124"/>
      <c r="Q214" s="124"/>
    </row>
    <row r="215" spans="1:17">
      <c r="A215" s="124"/>
      <c r="B215" s="124"/>
      <c r="C215" s="124"/>
      <c r="D215" s="124"/>
      <c r="E215" s="124"/>
      <c r="F215" s="124"/>
      <c r="G215" s="124"/>
      <c r="H215" s="124"/>
      <c r="I215" s="124"/>
      <c r="J215" s="124"/>
      <c r="K215" s="124"/>
      <c r="L215" s="124"/>
      <c r="M215" s="124"/>
      <c r="N215" s="124"/>
      <c r="O215" s="124"/>
      <c r="P215" s="124"/>
      <c r="Q215" s="124"/>
    </row>
    <row r="216" spans="1:17">
      <c r="A216" s="124"/>
      <c r="B216" s="124"/>
      <c r="C216" s="124"/>
      <c r="D216" s="124"/>
      <c r="E216" s="124"/>
      <c r="F216" s="124"/>
      <c r="G216" s="124"/>
      <c r="H216" s="124"/>
      <c r="I216" s="124"/>
      <c r="J216" s="124"/>
      <c r="K216" s="124"/>
      <c r="L216" s="124"/>
      <c r="M216" s="124"/>
      <c r="N216" s="124"/>
      <c r="O216" s="124"/>
      <c r="P216" s="124"/>
      <c r="Q216" s="124"/>
    </row>
    <row r="217" spans="1:17">
      <c r="A217" s="124"/>
      <c r="B217" s="124"/>
      <c r="C217" s="124"/>
      <c r="D217" s="124"/>
      <c r="E217" s="124"/>
      <c r="F217" s="124"/>
      <c r="G217" s="124"/>
      <c r="H217" s="124"/>
      <c r="I217" s="124"/>
      <c r="J217" s="124"/>
      <c r="K217" s="124"/>
      <c r="L217" s="124"/>
      <c r="M217" s="124"/>
      <c r="N217" s="124"/>
      <c r="O217" s="124"/>
      <c r="P217" s="124"/>
      <c r="Q217" s="124"/>
    </row>
    <row r="218" spans="1:17">
      <c r="A218" s="124"/>
      <c r="B218" s="124"/>
      <c r="C218" s="124"/>
      <c r="D218" s="124"/>
      <c r="E218" s="124"/>
      <c r="F218" s="124"/>
      <c r="G218" s="124"/>
      <c r="H218" s="124"/>
      <c r="I218" s="124"/>
      <c r="J218" s="124"/>
      <c r="K218" s="124"/>
      <c r="L218" s="124"/>
      <c r="M218" s="124"/>
      <c r="N218" s="124"/>
      <c r="O218" s="124"/>
      <c r="P218" s="124"/>
      <c r="Q218" s="124"/>
    </row>
    <row r="219" spans="1:17">
      <c r="A219" s="124"/>
      <c r="B219" s="124"/>
      <c r="C219" s="124"/>
      <c r="D219" s="124"/>
      <c r="E219" s="124"/>
      <c r="F219" s="124"/>
      <c r="G219" s="124"/>
      <c r="H219" s="124"/>
      <c r="I219" s="124"/>
      <c r="J219" s="124"/>
      <c r="K219" s="124"/>
      <c r="L219" s="124"/>
      <c r="M219" s="124"/>
      <c r="N219" s="124"/>
      <c r="O219" s="124"/>
      <c r="P219" s="124"/>
      <c r="Q219" s="124"/>
    </row>
    <row r="220" spans="1:17">
      <c r="A220" s="124"/>
      <c r="B220" s="124"/>
      <c r="C220" s="124"/>
      <c r="D220" s="124"/>
      <c r="E220" s="124"/>
      <c r="F220" s="124"/>
      <c r="G220" s="124"/>
      <c r="H220" s="124"/>
      <c r="I220" s="124"/>
      <c r="J220" s="124"/>
      <c r="K220" s="124"/>
      <c r="L220" s="124"/>
      <c r="M220" s="124"/>
      <c r="N220" s="124"/>
      <c r="O220" s="124"/>
      <c r="P220" s="124"/>
      <c r="Q220" s="124"/>
    </row>
    <row r="221" spans="1:17">
      <c r="A221" s="124"/>
      <c r="B221" s="124"/>
      <c r="C221" s="124"/>
      <c r="D221" s="124"/>
      <c r="E221" s="124"/>
      <c r="F221" s="124"/>
      <c r="G221" s="124"/>
      <c r="H221" s="124"/>
      <c r="I221" s="124"/>
      <c r="J221" s="124"/>
      <c r="K221" s="124"/>
      <c r="L221" s="124"/>
      <c r="M221" s="124"/>
      <c r="N221" s="124"/>
      <c r="O221" s="124"/>
      <c r="P221" s="124"/>
      <c r="Q221" s="124"/>
    </row>
    <row r="222" spans="1:17">
      <c r="A222" s="124"/>
      <c r="B222" s="124"/>
      <c r="C222" s="124"/>
      <c r="D222" s="124"/>
      <c r="E222" s="124"/>
      <c r="F222" s="124"/>
      <c r="G222" s="124"/>
      <c r="H222" s="124"/>
      <c r="I222" s="124"/>
      <c r="J222" s="124"/>
      <c r="K222" s="124"/>
      <c r="L222" s="124"/>
      <c r="M222" s="124"/>
      <c r="N222" s="124"/>
      <c r="O222" s="124"/>
      <c r="P222" s="124"/>
      <c r="Q222" s="124"/>
    </row>
    <row r="223" spans="1:17">
      <c r="A223" s="124"/>
      <c r="B223" s="124"/>
      <c r="C223" s="124"/>
      <c r="D223" s="124"/>
      <c r="E223" s="124"/>
      <c r="F223" s="124"/>
      <c r="G223" s="124"/>
      <c r="H223" s="124"/>
      <c r="I223" s="124"/>
      <c r="J223" s="124"/>
      <c r="K223" s="124"/>
      <c r="L223" s="124"/>
      <c r="M223" s="124"/>
      <c r="N223" s="124"/>
      <c r="O223" s="124"/>
      <c r="P223" s="124"/>
      <c r="Q223" s="124"/>
    </row>
    <row r="224" spans="1:17">
      <c r="A224" s="124"/>
      <c r="B224" s="124"/>
      <c r="C224" s="124"/>
      <c r="D224" s="124"/>
      <c r="E224" s="124"/>
      <c r="F224" s="124"/>
      <c r="G224" s="124"/>
      <c r="H224" s="124"/>
      <c r="I224" s="124"/>
      <c r="J224" s="124"/>
      <c r="K224" s="124"/>
      <c r="L224" s="124"/>
      <c r="M224" s="124"/>
      <c r="N224" s="124"/>
      <c r="O224" s="124"/>
      <c r="P224" s="124"/>
      <c r="Q224" s="124"/>
    </row>
    <row r="225" spans="1:17">
      <c r="A225" s="124"/>
      <c r="B225" s="124"/>
      <c r="C225" s="124"/>
      <c r="D225" s="124"/>
      <c r="E225" s="124"/>
      <c r="F225" s="124"/>
      <c r="G225" s="124"/>
      <c r="H225" s="124"/>
      <c r="I225" s="124"/>
      <c r="J225" s="124"/>
      <c r="K225" s="124"/>
      <c r="L225" s="124"/>
      <c r="M225" s="124"/>
      <c r="N225" s="124"/>
      <c r="O225" s="124"/>
      <c r="P225" s="124"/>
      <c r="Q225" s="124"/>
    </row>
    <row r="226" spans="1:17">
      <c r="A226" s="124"/>
      <c r="B226" s="124"/>
      <c r="C226" s="124"/>
      <c r="D226" s="124"/>
      <c r="E226" s="124"/>
      <c r="F226" s="124"/>
      <c r="G226" s="124"/>
      <c r="H226" s="124"/>
      <c r="I226" s="124"/>
      <c r="J226" s="124"/>
      <c r="K226" s="124"/>
      <c r="L226" s="124"/>
      <c r="M226" s="124"/>
      <c r="N226" s="124"/>
      <c r="O226" s="124"/>
      <c r="P226" s="124"/>
      <c r="Q226" s="124"/>
    </row>
    <row r="227" spans="1:17">
      <c r="A227" s="124"/>
      <c r="B227" s="124"/>
      <c r="C227" s="124"/>
      <c r="D227" s="124"/>
      <c r="E227" s="124"/>
      <c r="F227" s="124"/>
      <c r="G227" s="124"/>
      <c r="H227" s="124"/>
      <c r="I227" s="124"/>
      <c r="J227" s="124"/>
      <c r="K227" s="124"/>
      <c r="L227" s="124"/>
      <c r="M227" s="124"/>
      <c r="N227" s="124"/>
      <c r="O227" s="124"/>
      <c r="P227" s="124"/>
      <c r="Q227" s="124"/>
    </row>
    <row r="228" spans="1:17">
      <c r="A228" s="124"/>
      <c r="B228" s="124"/>
      <c r="C228" s="124"/>
      <c r="D228" s="124"/>
      <c r="E228" s="124"/>
      <c r="F228" s="124"/>
      <c r="G228" s="124"/>
      <c r="H228" s="124"/>
      <c r="I228" s="124"/>
      <c r="J228" s="124"/>
      <c r="K228" s="124"/>
      <c r="L228" s="124"/>
      <c r="M228" s="124"/>
      <c r="N228" s="124"/>
      <c r="O228" s="124"/>
      <c r="P228" s="124"/>
      <c r="Q228" s="124"/>
    </row>
    <row r="229" spans="1:17">
      <c r="A229" s="124"/>
      <c r="B229" s="124"/>
      <c r="C229" s="124"/>
      <c r="D229" s="124"/>
      <c r="E229" s="124"/>
      <c r="F229" s="124"/>
      <c r="G229" s="124"/>
      <c r="H229" s="124"/>
      <c r="I229" s="124"/>
      <c r="J229" s="124"/>
      <c r="K229" s="124"/>
      <c r="L229" s="124"/>
      <c r="M229" s="124"/>
      <c r="N229" s="124"/>
      <c r="O229" s="124"/>
      <c r="P229" s="124"/>
      <c r="Q229" s="124"/>
    </row>
    <row r="230" spans="1:17">
      <c r="A230" s="124"/>
      <c r="B230" s="124"/>
      <c r="C230" s="124"/>
      <c r="D230" s="124"/>
      <c r="E230" s="124"/>
      <c r="F230" s="124"/>
      <c r="G230" s="124"/>
      <c r="H230" s="124"/>
      <c r="I230" s="124"/>
      <c r="J230" s="124"/>
      <c r="K230" s="124"/>
      <c r="L230" s="124"/>
      <c r="M230" s="124"/>
      <c r="N230" s="124"/>
      <c r="O230" s="124"/>
      <c r="P230" s="124"/>
      <c r="Q230" s="124"/>
    </row>
    <row r="231" spans="1:17">
      <c r="A231" s="124"/>
      <c r="B231" s="124"/>
      <c r="C231" s="124"/>
      <c r="D231" s="124"/>
      <c r="E231" s="124"/>
      <c r="F231" s="124"/>
      <c r="G231" s="124"/>
      <c r="H231" s="124"/>
      <c r="I231" s="124"/>
      <c r="J231" s="124"/>
      <c r="K231" s="124"/>
      <c r="L231" s="124"/>
      <c r="M231" s="124"/>
      <c r="N231" s="124"/>
      <c r="O231" s="124"/>
      <c r="P231" s="124"/>
      <c r="Q231" s="124"/>
    </row>
    <row r="232" spans="1:17">
      <c r="A232" s="124"/>
      <c r="B232" s="124"/>
      <c r="C232" s="124"/>
      <c r="D232" s="124"/>
      <c r="E232" s="124"/>
      <c r="F232" s="124"/>
      <c r="G232" s="124"/>
      <c r="H232" s="124"/>
      <c r="I232" s="124"/>
      <c r="J232" s="124"/>
      <c r="K232" s="124"/>
      <c r="L232" s="124"/>
      <c r="M232" s="124"/>
      <c r="N232" s="124"/>
      <c r="O232" s="124"/>
      <c r="P232" s="124"/>
      <c r="Q232" s="124"/>
    </row>
    <row r="233" spans="1:17">
      <c r="A233" s="124"/>
      <c r="B233" s="124"/>
      <c r="C233" s="124"/>
      <c r="D233" s="124"/>
      <c r="E233" s="124"/>
      <c r="F233" s="124"/>
      <c r="G233" s="124"/>
      <c r="H233" s="124"/>
      <c r="I233" s="124"/>
      <c r="J233" s="124"/>
      <c r="K233" s="124"/>
      <c r="L233" s="124"/>
      <c r="M233" s="124"/>
      <c r="N233" s="124"/>
      <c r="O233" s="124"/>
      <c r="P233" s="124"/>
      <c r="Q233" s="124"/>
    </row>
    <row r="234" spans="1:17">
      <c r="A234" s="124"/>
      <c r="B234" s="124"/>
      <c r="C234" s="124"/>
      <c r="D234" s="124"/>
      <c r="E234" s="124"/>
      <c r="F234" s="124"/>
      <c r="G234" s="124"/>
      <c r="H234" s="124"/>
      <c r="I234" s="124"/>
      <c r="J234" s="124"/>
      <c r="K234" s="124"/>
      <c r="L234" s="124"/>
      <c r="M234" s="124"/>
      <c r="N234" s="124"/>
      <c r="O234" s="124"/>
      <c r="P234" s="124"/>
      <c r="Q234" s="124"/>
    </row>
    <row r="235" spans="1:17">
      <c r="A235" s="124"/>
      <c r="B235" s="124"/>
      <c r="C235" s="124"/>
      <c r="D235" s="124"/>
      <c r="E235" s="124"/>
      <c r="F235" s="124"/>
      <c r="G235" s="124"/>
      <c r="H235" s="124"/>
      <c r="I235" s="124"/>
      <c r="J235" s="124"/>
      <c r="K235" s="124"/>
      <c r="L235" s="124"/>
      <c r="M235" s="124"/>
      <c r="N235" s="124"/>
      <c r="O235" s="124"/>
      <c r="P235" s="124"/>
      <c r="Q235" s="124"/>
    </row>
    <row r="236" spans="1:17">
      <c r="A236" s="124"/>
      <c r="B236" s="124"/>
      <c r="C236" s="124"/>
      <c r="D236" s="124"/>
      <c r="E236" s="124"/>
      <c r="F236" s="124"/>
      <c r="G236" s="124"/>
      <c r="H236" s="124"/>
      <c r="I236" s="124"/>
      <c r="J236" s="124"/>
      <c r="K236" s="124"/>
      <c r="L236" s="124"/>
      <c r="M236" s="124"/>
      <c r="N236" s="124"/>
      <c r="O236" s="124"/>
      <c r="P236" s="124"/>
      <c r="Q236" s="124"/>
    </row>
    <row r="237" spans="1:17">
      <c r="A237" s="124"/>
      <c r="B237" s="124"/>
      <c r="C237" s="124"/>
      <c r="D237" s="124"/>
      <c r="E237" s="124"/>
      <c r="F237" s="124"/>
      <c r="G237" s="124"/>
      <c r="H237" s="124"/>
      <c r="I237" s="124"/>
      <c r="J237" s="124"/>
      <c r="K237" s="124"/>
      <c r="L237" s="124"/>
      <c r="M237" s="124"/>
      <c r="N237" s="124"/>
      <c r="O237" s="124"/>
      <c r="P237" s="124"/>
      <c r="Q237" s="124"/>
    </row>
    <row r="238" spans="1:17">
      <c r="A238" s="124"/>
      <c r="B238" s="124"/>
      <c r="C238" s="124"/>
      <c r="D238" s="124"/>
      <c r="E238" s="124"/>
      <c r="F238" s="124"/>
      <c r="G238" s="124"/>
      <c r="H238" s="124"/>
      <c r="I238" s="124"/>
      <c r="J238" s="124"/>
      <c r="K238" s="124"/>
      <c r="L238" s="124"/>
      <c r="M238" s="124"/>
      <c r="N238" s="124"/>
      <c r="O238" s="124"/>
      <c r="P238" s="124"/>
      <c r="Q238" s="124"/>
    </row>
    <row r="239" spans="1:17">
      <c r="A239" s="124"/>
      <c r="B239" s="124"/>
      <c r="C239" s="124"/>
      <c r="D239" s="124"/>
      <c r="E239" s="124"/>
      <c r="F239" s="124"/>
      <c r="G239" s="124"/>
      <c r="H239" s="124"/>
      <c r="I239" s="124"/>
      <c r="J239" s="124"/>
      <c r="K239" s="124"/>
      <c r="L239" s="124"/>
      <c r="M239" s="124"/>
      <c r="N239" s="124"/>
      <c r="O239" s="124"/>
      <c r="P239" s="124"/>
      <c r="Q239" s="124"/>
    </row>
    <row r="240" spans="1:17">
      <c r="A240" s="124"/>
      <c r="B240" s="124"/>
      <c r="C240" s="124"/>
      <c r="D240" s="124"/>
      <c r="E240" s="124"/>
      <c r="F240" s="124"/>
      <c r="G240" s="124"/>
      <c r="H240" s="124"/>
      <c r="I240" s="124"/>
      <c r="J240" s="124"/>
      <c r="K240" s="124"/>
      <c r="L240" s="124"/>
      <c r="M240" s="124"/>
      <c r="N240" s="124"/>
      <c r="O240" s="124"/>
      <c r="P240" s="124"/>
      <c r="Q240" s="124"/>
    </row>
  </sheetData>
  <mergeCells count="1281">
    <mergeCell ref="A3:B3"/>
    <mergeCell ref="A4:B4"/>
    <mergeCell ref="C22:E22"/>
    <mergeCell ref="C23:E23"/>
    <mergeCell ref="C24:E24"/>
    <mergeCell ref="C25:E25"/>
    <mergeCell ref="C19:E19"/>
    <mergeCell ref="C20:E20"/>
    <mergeCell ref="A5:B5"/>
    <mergeCell ref="A6:B6"/>
    <mergeCell ref="A7:B7"/>
    <mergeCell ref="L3:N3"/>
    <mergeCell ref="A22:B22"/>
    <mergeCell ref="A23:B23"/>
    <mergeCell ref="A25:B25"/>
    <mergeCell ref="C3:E3"/>
    <mergeCell ref="C4:E4"/>
    <mergeCell ref="C5:E5"/>
    <mergeCell ref="C6:E6"/>
    <mergeCell ref="C7:E7"/>
    <mergeCell ref="A16:B16"/>
    <mergeCell ref="A17:B17"/>
    <mergeCell ref="A18:B18"/>
    <mergeCell ref="A19:B19"/>
    <mergeCell ref="A20:B20"/>
    <mergeCell ref="A9:B9"/>
    <mergeCell ref="A10:B10"/>
    <mergeCell ref="A11:B11"/>
    <mergeCell ref="F23:H23"/>
    <mergeCell ref="F24:H24"/>
    <mergeCell ref="F25:H25"/>
    <mergeCell ref="I3:K3"/>
    <mergeCell ref="I4:K4"/>
    <mergeCell ref="I5:K5"/>
    <mergeCell ref="I6:K6"/>
    <mergeCell ref="I7:K7"/>
    <mergeCell ref="F17:H17"/>
    <mergeCell ref="F18:H18"/>
    <mergeCell ref="F19:H19"/>
    <mergeCell ref="F20:H20"/>
    <mergeCell ref="F10:H10"/>
    <mergeCell ref="F11:H11"/>
    <mergeCell ref="F12:H12"/>
    <mergeCell ref="F13:H13"/>
    <mergeCell ref="I23:K23"/>
    <mergeCell ref="I24:K24"/>
    <mergeCell ref="I25:K25"/>
    <mergeCell ref="L4:N4"/>
    <mergeCell ref="L5:N5"/>
    <mergeCell ref="L6:N6"/>
    <mergeCell ref="L7:N7"/>
    <mergeCell ref="I16:K16"/>
    <mergeCell ref="I17:K17"/>
    <mergeCell ref="I18:K18"/>
    <mergeCell ref="I19:K19"/>
    <mergeCell ref="I20:K20"/>
    <mergeCell ref="I9:K9"/>
    <mergeCell ref="I10:K10"/>
    <mergeCell ref="I11:K11"/>
    <mergeCell ref="I12:K12"/>
    <mergeCell ref="I13:K13"/>
    <mergeCell ref="L22:N22"/>
    <mergeCell ref="L23:N23"/>
    <mergeCell ref="L24:N24"/>
    <mergeCell ref="L25:N25"/>
    <mergeCell ref="L19:N19"/>
    <mergeCell ref="L20:N20"/>
    <mergeCell ref="F22:H22"/>
    <mergeCell ref="L9:N9"/>
    <mergeCell ref="L10:N10"/>
    <mergeCell ref="L11:N11"/>
    <mergeCell ref="L12:N12"/>
    <mergeCell ref="L13:N13"/>
    <mergeCell ref="I22:K22"/>
    <mergeCell ref="A2:Q2"/>
    <mergeCell ref="O3:Q3"/>
    <mergeCell ref="O4:Q4"/>
    <mergeCell ref="O5:Q5"/>
    <mergeCell ref="O6:Q6"/>
    <mergeCell ref="O7:Q7"/>
    <mergeCell ref="L16:N16"/>
    <mergeCell ref="L17:N17"/>
    <mergeCell ref="L18:N18"/>
    <mergeCell ref="F3:H3"/>
    <mergeCell ref="F4:H4"/>
    <mergeCell ref="F5:H5"/>
    <mergeCell ref="F6:H6"/>
    <mergeCell ref="F7:H7"/>
    <mergeCell ref="C16:E16"/>
    <mergeCell ref="C17:E17"/>
    <mergeCell ref="C18:E18"/>
    <mergeCell ref="C9:E9"/>
    <mergeCell ref="C10:E10"/>
    <mergeCell ref="C11:E11"/>
    <mergeCell ref="C12:E12"/>
    <mergeCell ref="C13:E13"/>
    <mergeCell ref="A12:B12"/>
    <mergeCell ref="A13:B13"/>
    <mergeCell ref="F26:H26"/>
    <mergeCell ref="F29:H29"/>
    <mergeCell ref="F30:H30"/>
    <mergeCell ref="F31:H31"/>
    <mergeCell ref="F32:H32"/>
    <mergeCell ref="A1:Q1"/>
    <mergeCell ref="F9:H9"/>
    <mergeCell ref="F16:H16"/>
    <mergeCell ref="O22:Q22"/>
    <mergeCell ref="O16:Q16"/>
    <mergeCell ref="O17:Q17"/>
    <mergeCell ref="O18:Q18"/>
    <mergeCell ref="O19:Q19"/>
    <mergeCell ref="O20:Q20"/>
    <mergeCell ref="O9:Q9"/>
    <mergeCell ref="O10:Q10"/>
    <mergeCell ref="O11:Q11"/>
    <mergeCell ref="O12:Q12"/>
    <mergeCell ref="O13:Q13"/>
    <mergeCell ref="A8:Q8"/>
    <mergeCell ref="I26:K26"/>
    <mergeCell ref="I29:K29"/>
    <mergeCell ref="I30:K30"/>
    <mergeCell ref="I31:K31"/>
    <mergeCell ref="I32:K32"/>
    <mergeCell ref="A28:Q28"/>
    <mergeCell ref="C14:E14"/>
    <mergeCell ref="F14:H14"/>
    <mergeCell ref="I14:K14"/>
    <mergeCell ref="L14:N14"/>
    <mergeCell ref="F43:H43"/>
    <mergeCell ref="F44:H44"/>
    <mergeCell ref="F45:H45"/>
    <mergeCell ref="F46:H46"/>
    <mergeCell ref="F48:H48"/>
    <mergeCell ref="F49:H49"/>
    <mergeCell ref="F50:H50"/>
    <mergeCell ref="F51:H51"/>
    <mergeCell ref="F33:H33"/>
    <mergeCell ref="F35:H35"/>
    <mergeCell ref="F36:H36"/>
    <mergeCell ref="F37:H37"/>
    <mergeCell ref="F38:H38"/>
    <mergeCell ref="F39:H39"/>
    <mergeCell ref="F42:H42"/>
    <mergeCell ref="A34:Q34"/>
    <mergeCell ref="A41:Q41"/>
    <mergeCell ref="A47:Q47"/>
    <mergeCell ref="I36:K36"/>
    <mergeCell ref="I37:K37"/>
    <mergeCell ref="I38:K38"/>
    <mergeCell ref="I39:K39"/>
    <mergeCell ref="I42:K42"/>
    <mergeCell ref="I43:K43"/>
    <mergeCell ref="I44:K44"/>
    <mergeCell ref="I45:K45"/>
    <mergeCell ref="I33:K33"/>
    <mergeCell ref="I35:K35"/>
    <mergeCell ref="I46:K46"/>
    <mergeCell ref="I48:K48"/>
    <mergeCell ref="I49:K49"/>
    <mergeCell ref="I50:K50"/>
    <mergeCell ref="F62:H62"/>
    <mergeCell ref="F63:H63"/>
    <mergeCell ref="F64:H64"/>
    <mergeCell ref="F65:H65"/>
    <mergeCell ref="F68:H68"/>
    <mergeCell ref="F69:H69"/>
    <mergeCell ref="F70:H70"/>
    <mergeCell ref="F71:H71"/>
    <mergeCell ref="F52:H52"/>
    <mergeCell ref="F55:H55"/>
    <mergeCell ref="F56:H56"/>
    <mergeCell ref="F57:H57"/>
    <mergeCell ref="F58:H58"/>
    <mergeCell ref="F59:H59"/>
    <mergeCell ref="F61:H61"/>
    <mergeCell ref="A54:Q54"/>
    <mergeCell ref="A60:Q60"/>
    <mergeCell ref="A67:Q67"/>
    <mergeCell ref="I56:K56"/>
    <mergeCell ref="I57:K57"/>
    <mergeCell ref="I58:K58"/>
    <mergeCell ref="I59:K59"/>
    <mergeCell ref="I61:K61"/>
    <mergeCell ref="I62:K62"/>
    <mergeCell ref="I63:K63"/>
    <mergeCell ref="I64:K64"/>
    <mergeCell ref="A71:B71"/>
    <mergeCell ref="A55:B55"/>
    <mergeCell ref="A56:B56"/>
    <mergeCell ref="A57:B57"/>
    <mergeCell ref="A58:B58"/>
    <mergeCell ref="A59:B59"/>
    <mergeCell ref="F82:H82"/>
    <mergeCell ref="F83:H83"/>
    <mergeCell ref="F84:H84"/>
    <mergeCell ref="F85:H85"/>
    <mergeCell ref="F87:H87"/>
    <mergeCell ref="F88:H88"/>
    <mergeCell ref="F89:H89"/>
    <mergeCell ref="F90:H90"/>
    <mergeCell ref="F72:H72"/>
    <mergeCell ref="F74:H74"/>
    <mergeCell ref="F75:H75"/>
    <mergeCell ref="F76:H76"/>
    <mergeCell ref="F77:H77"/>
    <mergeCell ref="F78:H78"/>
    <mergeCell ref="F81:H81"/>
    <mergeCell ref="A73:Q73"/>
    <mergeCell ref="A80:Q80"/>
    <mergeCell ref="A86:Q86"/>
    <mergeCell ref="I85:K85"/>
    <mergeCell ref="I87:K87"/>
    <mergeCell ref="I88:K88"/>
    <mergeCell ref="I89:K89"/>
    <mergeCell ref="I90:K90"/>
    <mergeCell ref="A72:B72"/>
    <mergeCell ref="C81:E81"/>
    <mergeCell ref="C82:E82"/>
    <mergeCell ref="C83:E83"/>
    <mergeCell ref="L74:N74"/>
    <mergeCell ref="L75:N75"/>
    <mergeCell ref="L76:N76"/>
    <mergeCell ref="L77:N77"/>
    <mergeCell ref="L78:N78"/>
    <mergeCell ref="F101:H101"/>
    <mergeCell ref="F102:H102"/>
    <mergeCell ref="F103:H103"/>
    <mergeCell ref="F104:H104"/>
    <mergeCell ref="F107:H107"/>
    <mergeCell ref="F108:H108"/>
    <mergeCell ref="F109:H109"/>
    <mergeCell ref="F110:H110"/>
    <mergeCell ref="F91:H91"/>
    <mergeCell ref="F94:H94"/>
    <mergeCell ref="F95:H95"/>
    <mergeCell ref="F96:H96"/>
    <mergeCell ref="F97:H97"/>
    <mergeCell ref="F98:H98"/>
    <mergeCell ref="F100:H100"/>
    <mergeCell ref="A93:Q93"/>
    <mergeCell ref="A99:Q99"/>
    <mergeCell ref="A106:Q106"/>
    <mergeCell ref="I95:K95"/>
    <mergeCell ref="I96:K96"/>
    <mergeCell ref="I97:K97"/>
    <mergeCell ref="I98:K98"/>
    <mergeCell ref="I100:K100"/>
    <mergeCell ref="I101:K101"/>
    <mergeCell ref="I102:K102"/>
    <mergeCell ref="I103:K103"/>
    <mergeCell ref="I91:K91"/>
    <mergeCell ref="I94:K94"/>
    <mergeCell ref="I104:K104"/>
    <mergeCell ref="I107:K107"/>
    <mergeCell ref="I108:K108"/>
    <mergeCell ref="I109:K109"/>
    <mergeCell ref="F121:H121"/>
    <mergeCell ref="F122:H122"/>
    <mergeCell ref="F123:H123"/>
    <mergeCell ref="F124:H124"/>
    <mergeCell ref="F126:H126"/>
    <mergeCell ref="F127:H127"/>
    <mergeCell ref="F128:H128"/>
    <mergeCell ref="F129:H129"/>
    <mergeCell ref="F111:H111"/>
    <mergeCell ref="F113:H113"/>
    <mergeCell ref="F114:H114"/>
    <mergeCell ref="F115:H115"/>
    <mergeCell ref="F116:H116"/>
    <mergeCell ref="F117:H117"/>
    <mergeCell ref="F120:H120"/>
    <mergeCell ref="A112:Q112"/>
    <mergeCell ref="A119:Q119"/>
    <mergeCell ref="A125:Q125"/>
    <mergeCell ref="I114:K114"/>
    <mergeCell ref="I115:K115"/>
    <mergeCell ref="I116:K116"/>
    <mergeCell ref="I117:K117"/>
    <mergeCell ref="I120:K120"/>
    <mergeCell ref="I121:K121"/>
    <mergeCell ref="I122:K122"/>
    <mergeCell ref="I123:K123"/>
    <mergeCell ref="A126:B126"/>
    <mergeCell ref="A127:B127"/>
    <mergeCell ref="A128:B128"/>
    <mergeCell ref="A129:B129"/>
    <mergeCell ref="C115:E115"/>
    <mergeCell ref="C116:E116"/>
    <mergeCell ref="F140:H140"/>
    <mergeCell ref="F141:H141"/>
    <mergeCell ref="F142:H142"/>
    <mergeCell ref="F143:H143"/>
    <mergeCell ref="F146:H146"/>
    <mergeCell ref="F147:H147"/>
    <mergeCell ref="F148:H148"/>
    <mergeCell ref="F149:H149"/>
    <mergeCell ref="F130:H130"/>
    <mergeCell ref="F133:H133"/>
    <mergeCell ref="F134:H134"/>
    <mergeCell ref="F135:H135"/>
    <mergeCell ref="F136:H136"/>
    <mergeCell ref="F137:H137"/>
    <mergeCell ref="F139:H139"/>
    <mergeCell ref="A132:Q132"/>
    <mergeCell ref="A138:Q138"/>
    <mergeCell ref="A145:Q145"/>
    <mergeCell ref="I143:K143"/>
    <mergeCell ref="I146:K146"/>
    <mergeCell ref="I147:K147"/>
    <mergeCell ref="I148:K148"/>
    <mergeCell ref="I149:K149"/>
    <mergeCell ref="A130:B130"/>
    <mergeCell ref="A142:B142"/>
    <mergeCell ref="A143:B143"/>
    <mergeCell ref="A146:B146"/>
    <mergeCell ref="A147:B147"/>
    <mergeCell ref="A148:B148"/>
    <mergeCell ref="A149:B149"/>
    <mergeCell ref="A133:B133"/>
    <mergeCell ref="A134:B134"/>
    <mergeCell ref="F160:H160"/>
    <mergeCell ref="F161:H161"/>
    <mergeCell ref="F162:H162"/>
    <mergeCell ref="F163:H163"/>
    <mergeCell ref="F165:H165"/>
    <mergeCell ref="F166:H166"/>
    <mergeCell ref="F167:H167"/>
    <mergeCell ref="F168:H168"/>
    <mergeCell ref="F150:H150"/>
    <mergeCell ref="F152:H152"/>
    <mergeCell ref="F153:H153"/>
    <mergeCell ref="F154:H154"/>
    <mergeCell ref="F155:H155"/>
    <mergeCell ref="F156:H156"/>
    <mergeCell ref="F159:H159"/>
    <mergeCell ref="A151:Q151"/>
    <mergeCell ref="A158:Q158"/>
    <mergeCell ref="A164:Q164"/>
    <mergeCell ref="I153:K153"/>
    <mergeCell ref="I154:K154"/>
    <mergeCell ref="I155:K155"/>
    <mergeCell ref="I156:K156"/>
    <mergeCell ref="I159:K159"/>
    <mergeCell ref="I160:K160"/>
    <mergeCell ref="I161:K161"/>
    <mergeCell ref="I162:K162"/>
    <mergeCell ref="I150:K150"/>
    <mergeCell ref="I152:K152"/>
    <mergeCell ref="A150:B150"/>
    <mergeCell ref="L154:N154"/>
    <mergeCell ref="L155:N155"/>
    <mergeCell ref="L156:N156"/>
    <mergeCell ref="F178:H178"/>
    <mergeCell ref="F179:H179"/>
    <mergeCell ref="F180:H180"/>
    <mergeCell ref="F181:H181"/>
    <mergeCell ref="F182:H182"/>
    <mergeCell ref="F183:H183"/>
    <mergeCell ref="F184:H184"/>
    <mergeCell ref="F185:H185"/>
    <mergeCell ref="F186:H186"/>
    <mergeCell ref="F169:H169"/>
    <mergeCell ref="F170:H170"/>
    <mergeCell ref="F171:H171"/>
    <mergeCell ref="F172:H172"/>
    <mergeCell ref="F173:H173"/>
    <mergeCell ref="F174:H174"/>
    <mergeCell ref="F175:H175"/>
    <mergeCell ref="F176:H176"/>
    <mergeCell ref="F177:H177"/>
    <mergeCell ref="F196:H196"/>
    <mergeCell ref="F197:H197"/>
    <mergeCell ref="F198:H198"/>
    <mergeCell ref="F199:H199"/>
    <mergeCell ref="F200:H200"/>
    <mergeCell ref="F201:H201"/>
    <mergeCell ref="F202:H202"/>
    <mergeCell ref="F203:H203"/>
    <mergeCell ref="F204:H204"/>
    <mergeCell ref="F187:H187"/>
    <mergeCell ref="F188:H188"/>
    <mergeCell ref="F189:H189"/>
    <mergeCell ref="F190:H190"/>
    <mergeCell ref="F191:H191"/>
    <mergeCell ref="F192:H192"/>
    <mergeCell ref="F193:H193"/>
    <mergeCell ref="F194:H194"/>
    <mergeCell ref="F195:H195"/>
    <mergeCell ref="F214:H214"/>
    <mergeCell ref="F215:H215"/>
    <mergeCell ref="F216:H216"/>
    <mergeCell ref="F217:H217"/>
    <mergeCell ref="F218:H218"/>
    <mergeCell ref="F219:H219"/>
    <mergeCell ref="F220:H220"/>
    <mergeCell ref="F221:H221"/>
    <mergeCell ref="F222:H222"/>
    <mergeCell ref="F205:H205"/>
    <mergeCell ref="F206:H206"/>
    <mergeCell ref="F207:H207"/>
    <mergeCell ref="F208:H208"/>
    <mergeCell ref="F209:H209"/>
    <mergeCell ref="F210:H210"/>
    <mergeCell ref="F211:H211"/>
    <mergeCell ref="F212:H212"/>
    <mergeCell ref="F213:H213"/>
    <mergeCell ref="F232:H232"/>
    <mergeCell ref="F233:H233"/>
    <mergeCell ref="F234:H234"/>
    <mergeCell ref="F235:H235"/>
    <mergeCell ref="F236:H236"/>
    <mergeCell ref="F237:H237"/>
    <mergeCell ref="F238:H238"/>
    <mergeCell ref="F239:H239"/>
    <mergeCell ref="F240:H240"/>
    <mergeCell ref="F223:H223"/>
    <mergeCell ref="F224:H224"/>
    <mergeCell ref="F225:H225"/>
    <mergeCell ref="F226:H226"/>
    <mergeCell ref="F227:H227"/>
    <mergeCell ref="F228:H228"/>
    <mergeCell ref="F229:H229"/>
    <mergeCell ref="F230:H230"/>
    <mergeCell ref="F231:H231"/>
    <mergeCell ref="I51:K51"/>
    <mergeCell ref="I52:K52"/>
    <mergeCell ref="I55:K55"/>
    <mergeCell ref="I75:K75"/>
    <mergeCell ref="I76:K76"/>
    <mergeCell ref="I77:K77"/>
    <mergeCell ref="I78:K78"/>
    <mergeCell ref="I81:K81"/>
    <mergeCell ref="I82:K82"/>
    <mergeCell ref="I83:K83"/>
    <mergeCell ref="I84:K84"/>
    <mergeCell ref="I65:K65"/>
    <mergeCell ref="I68:K68"/>
    <mergeCell ref="I69:K69"/>
    <mergeCell ref="I70:K70"/>
    <mergeCell ref="I71:K71"/>
    <mergeCell ref="I72:K72"/>
    <mergeCell ref="I74:K74"/>
    <mergeCell ref="I110:K110"/>
    <mergeCell ref="I111:K111"/>
    <mergeCell ref="I113:K113"/>
    <mergeCell ref="I134:K134"/>
    <mergeCell ref="I135:K135"/>
    <mergeCell ref="I136:K136"/>
    <mergeCell ref="I137:K137"/>
    <mergeCell ref="I139:K139"/>
    <mergeCell ref="I140:K140"/>
    <mergeCell ref="I141:K141"/>
    <mergeCell ref="I142:K142"/>
    <mergeCell ref="I124:K124"/>
    <mergeCell ref="I126:K126"/>
    <mergeCell ref="I127:K127"/>
    <mergeCell ref="I128:K128"/>
    <mergeCell ref="I129:K129"/>
    <mergeCell ref="I130:K130"/>
    <mergeCell ref="I133:K133"/>
    <mergeCell ref="I172:K172"/>
    <mergeCell ref="I173:K173"/>
    <mergeCell ref="I174:K174"/>
    <mergeCell ref="I175:K175"/>
    <mergeCell ref="I176:K176"/>
    <mergeCell ref="I177:K177"/>
    <mergeCell ref="I178:K178"/>
    <mergeCell ref="I179:K179"/>
    <mergeCell ref="I180:K180"/>
    <mergeCell ref="I163:K163"/>
    <mergeCell ref="I165:K165"/>
    <mergeCell ref="I166:K166"/>
    <mergeCell ref="I167:K167"/>
    <mergeCell ref="I168:K168"/>
    <mergeCell ref="I169:K169"/>
    <mergeCell ref="I170:K170"/>
    <mergeCell ref="I171:K171"/>
    <mergeCell ref="I203:K203"/>
    <mergeCell ref="I204:K204"/>
    <mergeCell ref="I205:K205"/>
    <mergeCell ref="I206:K206"/>
    <mergeCell ref="I207:K207"/>
    <mergeCell ref="I190:K190"/>
    <mergeCell ref="I191:K191"/>
    <mergeCell ref="I192:K192"/>
    <mergeCell ref="I193:K193"/>
    <mergeCell ref="I194:K194"/>
    <mergeCell ref="I195:K195"/>
    <mergeCell ref="I196:K196"/>
    <mergeCell ref="I197:K197"/>
    <mergeCell ref="I198:K198"/>
    <mergeCell ref="I181:K181"/>
    <mergeCell ref="I182:K182"/>
    <mergeCell ref="I183:K183"/>
    <mergeCell ref="I184:K184"/>
    <mergeCell ref="I185:K185"/>
    <mergeCell ref="I186:K186"/>
    <mergeCell ref="I187:K187"/>
    <mergeCell ref="I188:K188"/>
    <mergeCell ref="I189:K189"/>
    <mergeCell ref="A44:B44"/>
    <mergeCell ref="I226:K226"/>
    <mergeCell ref="I227:K227"/>
    <mergeCell ref="I228:K228"/>
    <mergeCell ref="I229:K229"/>
    <mergeCell ref="I230:K230"/>
    <mergeCell ref="I231:K231"/>
    <mergeCell ref="I232:K232"/>
    <mergeCell ref="I233:K233"/>
    <mergeCell ref="I234:K234"/>
    <mergeCell ref="I217:K217"/>
    <mergeCell ref="I218:K218"/>
    <mergeCell ref="I219:K219"/>
    <mergeCell ref="I220:K220"/>
    <mergeCell ref="I221:K221"/>
    <mergeCell ref="I222:K222"/>
    <mergeCell ref="I223:K223"/>
    <mergeCell ref="I224:K224"/>
    <mergeCell ref="I225:K225"/>
    <mergeCell ref="I208:K208"/>
    <mergeCell ref="I209:K209"/>
    <mergeCell ref="I210:K210"/>
    <mergeCell ref="I211:K211"/>
    <mergeCell ref="I212:K212"/>
    <mergeCell ref="I213:K213"/>
    <mergeCell ref="I214:K214"/>
    <mergeCell ref="I215:K215"/>
    <mergeCell ref="I216:K216"/>
    <mergeCell ref="I199:K199"/>
    <mergeCell ref="I200:K200"/>
    <mergeCell ref="I201:K201"/>
    <mergeCell ref="I202:K202"/>
    <mergeCell ref="A45:B45"/>
    <mergeCell ref="A46:B46"/>
    <mergeCell ref="A48:B48"/>
    <mergeCell ref="A49:B49"/>
    <mergeCell ref="A50:B50"/>
    <mergeCell ref="A51:B51"/>
    <mergeCell ref="A52:B52"/>
    <mergeCell ref="I235:K235"/>
    <mergeCell ref="I236:K236"/>
    <mergeCell ref="I237:K237"/>
    <mergeCell ref="I238:K238"/>
    <mergeCell ref="I239:K239"/>
    <mergeCell ref="I240:K240"/>
    <mergeCell ref="A24:B24"/>
    <mergeCell ref="A26:B26"/>
    <mergeCell ref="A29:B29"/>
    <mergeCell ref="A30:B30"/>
    <mergeCell ref="A31:B31"/>
    <mergeCell ref="A32:B32"/>
    <mergeCell ref="A33:B33"/>
    <mergeCell ref="A35:B35"/>
    <mergeCell ref="A36:B36"/>
    <mergeCell ref="A37:B37"/>
    <mergeCell ref="A38:B38"/>
    <mergeCell ref="A39:B39"/>
    <mergeCell ref="A42:B42"/>
    <mergeCell ref="A43:B43"/>
    <mergeCell ref="A64:B64"/>
    <mergeCell ref="A65:B65"/>
    <mergeCell ref="A68:B68"/>
    <mergeCell ref="A69:B69"/>
    <mergeCell ref="A70:B70"/>
    <mergeCell ref="A61:B61"/>
    <mergeCell ref="A62:B62"/>
    <mergeCell ref="A63:B63"/>
    <mergeCell ref="A84:B84"/>
    <mergeCell ref="A85:B85"/>
    <mergeCell ref="A87:B87"/>
    <mergeCell ref="A88:B88"/>
    <mergeCell ref="A89:B89"/>
    <mergeCell ref="A90:B90"/>
    <mergeCell ref="A91:B91"/>
    <mergeCell ref="A74:B74"/>
    <mergeCell ref="A75:B75"/>
    <mergeCell ref="A76:B76"/>
    <mergeCell ref="A77:B77"/>
    <mergeCell ref="A78:B78"/>
    <mergeCell ref="A81:B81"/>
    <mergeCell ref="A82:B82"/>
    <mergeCell ref="A83:B83"/>
    <mergeCell ref="A103:B103"/>
    <mergeCell ref="A104:B104"/>
    <mergeCell ref="A107:B107"/>
    <mergeCell ref="A108:B108"/>
    <mergeCell ref="A109:B109"/>
    <mergeCell ref="A110:B110"/>
    <mergeCell ref="A111:B111"/>
    <mergeCell ref="A94:B94"/>
    <mergeCell ref="A95:B95"/>
    <mergeCell ref="A96:B96"/>
    <mergeCell ref="A97:B97"/>
    <mergeCell ref="A98:B98"/>
    <mergeCell ref="A100:B100"/>
    <mergeCell ref="A101:B101"/>
    <mergeCell ref="A102:B102"/>
    <mergeCell ref="A123:B123"/>
    <mergeCell ref="A124:B124"/>
    <mergeCell ref="A113:B113"/>
    <mergeCell ref="A114:B114"/>
    <mergeCell ref="A115:B115"/>
    <mergeCell ref="A116:B116"/>
    <mergeCell ref="A117:B117"/>
    <mergeCell ref="A120:B120"/>
    <mergeCell ref="A121:B121"/>
    <mergeCell ref="A122:B122"/>
    <mergeCell ref="A135:B135"/>
    <mergeCell ref="A136:B136"/>
    <mergeCell ref="A137:B137"/>
    <mergeCell ref="A139:B139"/>
    <mergeCell ref="A140:B140"/>
    <mergeCell ref="A141:B141"/>
    <mergeCell ref="A162:B162"/>
    <mergeCell ref="A163:B163"/>
    <mergeCell ref="A165:B165"/>
    <mergeCell ref="A166:B166"/>
    <mergeCell ref="A167:B167"/>
    <mergeCell ref="A168:B168"/>
    <mergeCell ref="A169:B169"/>
    <mergeCell ref="A170:B170"/>
    <mergeCell ref="A152:B152"/>
    <mergeCell ref="A153:B153"/>
    <mergeCell ref="A154:B154"/>
    <mergeCell ref="A155:B155"/>
    <mergeCell ref="A156:B156"/>
    <mergeCell ref="A159:B159"/>
    <mergeCell ref="A160:B160"/>
    <mergeCell ref="A161:B161"/>
    <mergeCell ref="A180:B180"/>
    <mergeCell ref="A181:B181"/>
    <mergeCell ref="A182:B182"/>
    <mergeCell ref="A183:B183"/>
    <mergeCell ref="A184:B184"/>
    <mergeCell ref="A185:B185"/>
    <mergeCell ref="A186:B186"/>
    <mergeCell ref="A187:B187"/>
    <mergeCell ref="A188:B188"/>
    <mergeCell ref="A171:B171"/>
    <mergeCell ref="A172:B172"/>
    <mergeCell ref="A173:B173"/>
    <mergeCell ref="A174:B174"/>
    <mergeCell ref="A175:B175"/>
    <mergeCell ref="A176:B176"/>
    <mergeCell ref="A177:B177"/>
    <mergeCell ref="A178:B178"/>
    <mergeCell ref="A179:B179"/>
    <mergeCell ref="A199:B199"/>
    <mergeCell ref="A200:B200"/>
    <mergeCell ref="A201:B201"/>
    <mergeCell ref="A202:B202"/>
    <mergeCell ref="A203:B203"/>
    <mergeCell ref="A204:B204"/>
    <mergeCell ref="A205:B205"/>
    <mergeCell ref="A206:B206"/>
    <mergeCell ref="A189:B189"/>
    <mergeCell ref="A190:B190"/>
    <mergeCell ref="A191:B191"/>
    <mergeCell ref="A192:B192"/>
    <mergeCell ref="A193:B193"/>
    <mergeCell ref="A194:B194"/>
    <mergeCell ref="A195:B195"/>
    <mergeCell ref="A196:B196"/>
    <mergeCell ref="A197:B197"/>
    <mergeCell ref="A239:B239"/>
    <mergeCell ref="A240:B240"/>
    <mergeCell ref="C26:E26"/>
    <mergeCell ref="C29:E29"/>
    <mergeCell ref="C30:E30"/>
    <mergeCell ref="C31:E31"/>
    <mergeCell ref="C32:E32"/>
    <mergeCell ref="C33:E33"/>
    <mergeCell ref="C35:E35"/>
    <mergeCell ref="C36:E36"/>
    <mergeCell ref="C37:E37"/>
    <mergeCell ref="C38:E38"/>
    <mergeCell ref="C39:E39"/>
    <mergeCell ref="C42:E42"/>
    <mergeCell ref="C43:E43"/>
    <mergeCell ref="C44:E44"/>
    <mergeCell ref="A225:B225"/>
    <mergeCell ref="A226:B226"/>
    <mergeCell ref="A227:B227"/>
    <mergeCell ref="A228:B228"/>
    <mergeCell ref="A229:B229"/>
    <mergeCell ref="A230:B230"/>
    <mergeCell ref="A231:B231"/>
    <mergeCell ref="A232:B232"/>
    <mergeCell ref="C55:E55"/>
    <mergeCell ref="C56:E56"/>
    <mergeCell ref="C57:E57"/>
    <mergeCell ref="A233:B233"/>
    <mergeCell ref="A216:B216"/>
    <mergeCell ref="A217:B217"/>
    <mergeCell ref="A218:B218"/>
    <mergeCell ref="A219:B219"/>
    <mergeCell ref="C74:E74"/>
    <mergeCell ref="C75:E75"/>
    <mergeCell ref="C76:E76"/>
    <mergeCell ref="C77:E77"/>
    <mergeCell ref="C78:E78"/>
    <mergeCell ref="C64:E64"/>
    <mergeCell ref="C65:E65"/>
    <mergeCell ref="C68:E68"/>
    <mergeCell ref="C69:E69"/>
    <mergeCell ref="C70:E70"/>
    <mergeCell ref="C71:E71"/>
    <mergeCell ref="C72:E72"/>
    <mergeCell ref="A234:B234"/>
    <mergeCell ref="A235:B235"/>
    <mergeCell ref="A236:B236"/>
    <mergeCell ref="A237:B237"/>
    <mergeCell ref="A238:B238"/>
    <mergeCell ref="A220:B220"/>
    <mergeCell ref="A221:B221"/>
    <mergeCell ref="A222:B222"/>
    <mergeCell ref="A223:B223"/>
    <mergeCell ref="A224:B224"/>
    <mergeCell ref="A207:B207"/>
    <mergeCell ref="A208:B208"/>
    <mergeCell ref="A209:B209"/>
    <mergeCell ref="A210:B210"/>
    <mergeCell ref="A211:B211"/>
    <mergeCell ref="A212:B212"/>
    <mergeCell ref="A213:B213"/>
    <mergeCell ref="A214:B214"/>
    <mergeCell ref="A215:B215"/>
    <mergeCell ref="A198:B198"/>
    <mergeCell ref="C94:E94"/>
    <mergeCell ref="C95:E95"/>
    <mergeCell ref="C96:E96"/>
    <mergeCell ref="C97:E97"/>
    <mergeCell ref="C98:E98"/>
    <mergeCell ref="C100:E100"/>
    <mergeCell ref="C101:E101"/>
    <mergeCell ref="C102:E102"/>
    <mergeCell ref="C84:E84"/>
    <mergeCell ref="C85:E85"/>
    <mergeCell ref="C87:E87"/>
    <mergeCell ref="C88:E88"/>
    <mergeCell ref="C89:E89"/>
    <mergeCell ref="C90:E90"/>
    <mergeCell ref="C91:E91"/>
    <mergeCell ref="C113:E113"/>
    <mergeCell ref="C114:E114"/>
    <mergeCell ref="C92:E92"/>
    <mergeCell ref="C144:E144"/>
    <mergeCell ref="C117:E117"/>
    <mergeCell ref="C120:E120"/>
    <mergeCell ref="C121:E121"/>
    <mergeCell ref="C122:E122"/>
    <mergeCell ref="C103:E103"/>
    <mergeCell ref="C104:E104"/>
    <mergeCell ref="C107:E107"/>
    <mergeCell ref="C108:E108"/>
    <mergeCell ref="C109:E109"/>
    <mergeCell ref="C110:E110"/>
    <mergeCell ref="C111:E111"/>
    <mergeCell ref="C133:E133"/>
    <mergeCell ref="C134:E134"/>
    <mergeCell ref="C135:E135"/>
    <mergeCell ref="C136:E136"/>
    <mergeCell ref="C137:E137"/>
    <mergeCell ref="C139:E139"/>
    <mergeCell ref="C162:E162"/>
    <mergeCell ref="C163:E163"/>
    <mergeCell ref="C165:E165"/>
    <mergeCell ref="C166:E166"/>
    <mergeCell ref="C167:E167"/>
    <mergeCell ref="C168:E168"/>
    <mergeCell ref="C169:E169"/>
    <mergeCell ref="C170:E170"/>
    <mergeCell ref="C140:E140"/>
    <mergeCell ref="C141:E141"/>
    <mergeCell ref="C123:E123"/>
    <mergeCell ref="C124:E124"/>
    <mergeCell ref="C126:E126"/>
    <mergeCell ref="C127:E127"/>
    <mergeCell ref="C128:E128"/>
    <mergeCell ref="C129:E129"/>
    <mergeCell ref="C130:E130"/>
    <mergeCell ref="C152:E152"/>
    <mergeCell ref="C153:E153"/>
    <mergeCell ref="C154:E154"/>
    <mergeCell ref="C155:E155"/>
    <mergeCell ref="C156:E156"/>
    <mergeCell ref="C159:E159"/>
    <mergeCell ref="C160:E160"/>
    <mergeCell ref="C161:E161"/>
    <mergeCell ref="C142:E142"/>
    <mergeCell ref="C143:E143"/>
    <mergeCell ref="C146:E146"/>
    <mergeCell ref="C147:E147"/>
    <mergeCell ref="C148:E148"/>
    <mergeCell ref="C149:E149"/>
    <mergeCell ref="C150:E150"/>
    <mergeCell ref="C206:E206"/>
    <mergeCell ref="C189:E189"/>
    <mergeCell ref="C190:E190"/>
    <mergeCell ref="C191:E191"/>
    <mergeCell ref="C192:E192"/>
    <mergeCell ref="C193:E193"/>
    <mergeCell ref="C194:E194"/>
    <mergeCell ref="C195:E195"/>
    <mergeCell ref="C196:E196"/>
    <mergeCell ref="C171:E171"/>
    <mergeCell ref="C172:E172"/>
    <mergeCell ref="C173:E173"/>
    <mergeCell ref="C174:E174"/>
    <mergeCell ref="C175:E175"/>
    <mergeCell ref="C176:E176"/>
    <mergeCell ref="C177:E177"/>
    <mergeCell ref="C178:E178"/>
    <mergeCell ref="C179:E179"/>
    <mergeCell ref="C198:E198"/>
    <mergeCell ref="C199:E199"/>
    <mergeCell ref="C200:E200"/>
    <mergeCell ref="C201:E201"/>
    <mergeCell ref="C180:E180"/>
    <mergeCell ref="C181:E181"/>
    <mergeCell ref="C182:E182"/>
    <mergeCell ref="C183:E183"/>
    <mergeCell ref="C184:E184"/>
    <mergeCell ref="C185:E185"/>
    <mergeCell ref="C186:E186"/>
    <mergeCell ref="C187:E187"/>
    <mergeCell ref="C188:E188"/>
    <mergeCell ref="C202:E202"/>
    <mergeCell ref="C203:E203"/>
    <mergeCell ref="C204:E204"/>
    <mergeCell ref="C205:E205"/>
    <mergeCell ref="C197:E197"/>
    <mergeCell ref="C207:E207"/>
    <mergeCell ref="C208:E208"/>
    <mergeCell ref="C209:E209"/>
    <mergeCell ref="C234:E234"/>
    <mergeCell ref="C235:E235"/>
    <mergeCell ref="C236:E236"/>
    <mergeCell ref="C237:E237"/>
    <mergeCell ref="C225:E225"/>
    <mergeCell ref="C226:E226"/>
    <mergeCell ref="C227:E227"/>
    <mergeCell ref="C228:E228"/>
    <mergeCell ref="C229:E229"/>
    <mergeCell ref="C230:E230"/>
    <mergeCell ref="C231:E231"/>
    <mergeCell ref="C232:E232"/>
    <mergeCell ref="C233:E233"/>
    <mergeCell ref="C216:E216"/>
    <mergeCell ref="C217:E217"/>
    <mergeCell ref="C218:E218"/>
    <mergeCell ref="C219:E219"/>
    <mergeCell ref="C220:E220"/>
    <mergeCell ref="C221:E221"/>
    <mergeCell ref="C222:E222"/>
    <mergeCell ref="C223:E223"/>
    <mergeCell ref="C224:E224"/>
    <mergeCell ref="C210:E210"/>
    <mergeCell ref="C211:E211"/>
    <mergeCell ref="C212:E212"/>
    <mergeCell ref="C213:E213"/>
    <mergeCell ref="C214:E214"/>
    <mergeCell ref="C215:E215"/>
    <mergeCell ref="C238:E238"/>
    <mergeCell ref="C239:E239"/>
    <mergeCell ref="C240:E240"/>
    <mergeCell ref="L26:N26"/>
    <mergeCell ref="L29:N29"/>
    <mergeCell ref="L30:N30"/>
    <mergeCell ref="L31:N31"/>
    <mergeCell ref="L32:N32"/>
    <mergeCell ref="L33:N33"/>
    <mergeCell ref="L35:N35"/>
    <mergeCell ref="L36:N36"/>
    <mergeCell ref="L37:N37"/>
    <mergeCell ref="L38:N38"/>
    <mergeCell ref="L39:N39"/>
    <mergeCell ref="L42:N42"/>
    <mergeCell ref="L43:N43"/>
    <mergeCell ref="L44:N44"/>
    <mergeCell ref="L55:N55"/>
    <mergeCell ref="L56:N56"/>
    <mergeCell ref="L57:N57"/>
    <mergeCell ref="L58:N58"/>
    <mergeCell ref="L59:N59"/>
    <mergeCell ref="L61:N61"/>
    <mergeCell ref="L62:N62"/>
    <mergeCell ref="L63:N63"/>
    <mergeCell ref="L45:N45"/>
    <mergeCell ref="L46:N46"/>
    <mergeCell ref="L48:N48"/>
    <mergeCell ref="L49:N49"/>
    <mergeCell ref="L50:N50"/>
    <mergeCell ref="L51:N51"/>
    <mergeCell ref="L52:N52"/>
    <mergeCell ref="L81:N81"/>
    <mergeCell ref="L82:N82"/>
    <mergeCell ref="L83:N83"/>
    <mergeCell ref="L64:N64"/>
    <mergeCell ref="L65:N65"/>
    <mergeCell ref="L68:N68"/>
    <mergeCell ref="L69:N69"/>
    <mergeCell ref="L70:N70"/>
    <mergeCell ref="L71:N71"/>
    <mergeCell ref="L72:N72"/>
    <mergeCell ref="L94:N94"/>
    <mergeCell ref="L95:N95"/>
    <mergeCell ref="L96:N96"/>
    <mergeCell ref="L97:N97"/>
    <mergeCell ref="L98:N98"/>
    <mergeCell ref="L100:N100"/>
    <mergeCell ref="L101:N101"/>
    <mergeCell ref="L126:N126"/>
    <mergeCell ref="L127:N127"/>
    <mergeCell ref="L128:N128"/>
    <mergeCell ref="L129:N129"/>
    <mergeCell ref="L130:N130"/>
    <mergeCell ref="L152:N152"/>
    <mergeCell ref="L153:N153"/>
    <mergeCell ref="L102:N102"/>
    <mergeCell ref="L84:N84"/>
    <mergeCell ref="L85:N85"/>
    <mergeCell ref="L87:N87"/>
    <mergeCell ref="L88:N88"/>
    <mergeCell ref="L89:N89"/>
    <mergeCell ref="L90:N90"/>
    <mergeCell ref="L91:N91"/>
    <mergeCell ref="L113:N113"/>
    <mergeCell ref="L114:N114"/>
    <mergeCell ref="L115:N115"/>
    <mergeCell ref="L116:N116"/>
    <mergeCell ref="L117:N117"/>
    <mergeCell ref="L120:N120"/>
    <mergeCell ref="L121:N121"/>
    <mergeCell ref="L122:N122"/>
    <mergeCell ref="L103:N103"/>
    <mergeCell ref="L104:N104"/>
    <mergeCell ref="L107:N107"/>
    <mergeCell ref="L108:N108"/>
    <mergeCell ref="L109:N109"/>
    <mergeCell ref="L110:N110"/>
    <mergeCell ref="L111:N111"/>
    <mergeCell ref="L159:N159"/>
    <mergeCell ref="L160:N160"/>
    <mergeCell ref="L161:N161"/>
    <mergeCell ref="L142:N142"/>
    <mergeCell ref="L143:N143"/>
    <mergeCell ref="L146:N146"/>
    <mergeCell ref="L147:N147"/>
    <mergeCell ref="L148:N148"/>
    <mergeCell ref="L149:N149"/>
    <mergeCell ref="L150:N150"/>
    <mergeCell ref="L171:N171"/>
    <mergeCell ref="L172:N172"/>
    <mergeCell ref="L173:N173"/>
    <mergeCell ref="L174:N174"/>
    <mergeCell ref="L175:N175"/>
    <mergeCell ref="L176:N176"/>
    <mergeCell ref="L177:N177"/>
    <mergeCell ref="L178:N178"/>
    <mergeCell ref="L179:N179"/>
    <mergeCell ref="L162:N162"/>
    <mergeCell ref="L163:N163"/>
    <mergeCell ref="L165:N165"/>
    <mergeCell ref="L166:N166"/>
    <mergeCell ref="L167:N167"/>
    <mergeCell ref="L168:N168"/>
    <mergeCell ref="L169:N169"/>
    <mergeCell ref="L170:N170"/>
    <mergeCell ref="L202:N202"/>
    <mergeCell ref="L203:N203"/>
    <mergeCell ref="L204:N204"/>
    <mergeCell ref="L205:N205"/>
    <mergeCell ref="L206:N206"/>
    <mergeCell ref="L189:N189"/>
    <mergeCell ref="L190:N190"/>
    <mergeCell ref="L191:N191"/>
    <mergeCell ref="L192:N192"/>
    <mergeCell ref="L193:N193"/>
    <mergeCell ref="L194:N194"/>
    <mergeCell ref="L195:N195"/>
    <mergeCell ref="L196:N196"/>
    <mergeCell ref="L197:N197"/>
    <mergeCell ref="L180:N180"/>
    <mergeCell ref="L181:N181"/>
    <mergeCell ref="L182:N182"/>
    <mergeCell ref="L183:N183"/>
    <mergeCell ref="L184:N184"/>
    <mergeCell ref="L185:N185"/>
    <mergeCell ref="L186:N186"/>
    <mergeCell ref="L187:N187"/>
    <mergeCell ref="L188:N188"/>
    <mergeCell ref="L225:N225"/>
    <mergeCell ref="L226:N226"/>
    <mergeCell ref="L227:N227"/>
    <mergeCell ref="L228:N228"/>
    <mergeCell ref="L229:N229"/>
    <mergeCell ref="L230:N230"/>
    <mergeCell ref="L231:N231"/>
    <mergeCell ref="L232:N232"/>
    <mergeCell ref="L233:N233"/>
    <mergeCell ref="L216:N216"/>
    <mergeCell ref="L217:N217"/>
    <mergeCell ref="L218:N218"/>
    <mergeCell ref="L219:N219"/>
    <mergeCell ref="L220:N220"/>
    <mergeCell ref="L221:N221"/>
    <mergeCell ref="L222:N222"/>
    <mergeCell ref="L223:N223"/>
    <mergeCell ref="L224:N224"/>
    <mergeCell ref="L207:N207"/>
    <mergeCell ref="L208:N208"/>
    <mergeCell ref="L209:N209"/>
    <mergeCell ref="L210:N210"/>
    <mergeCell ref="L211:N211"/>
    <mergeCell ref="L212:N212"/>
    <mergeCell ref="L213:N213"/>
    <mergeCell ref="L214:N214"/>
    <mergeCell ref="L215:N215"/>
    <mergeCell ref="L198:N198"/>
    <mergeCell ref="L199:N199"/>
    <mergeCell ref="L200:N200"/>
    <mergeCell ref="L201:N201"/>
    <mergeCell ref="O42:Q42"/>
    <mergeCell ref="O43:Q43"/>
    <mergeCell ref="O44:Q44"/>
    <mergeCell ref="O45:Q45"/>
    <mergeCell ref="O46:Q46"/>
    <mergeCell ref="O48:Q48"/>
    <mergeCell ref="O49:Q49"/>
    <mergeCell ref="O50:Q50"/>
    <mergeCell ref="L234:N234"/>
    <mergeCell ref="L235:N235"/>
    <mergeCell ref="L236:N236"/>
    <mergeCell ref="L237:N237"/>
    <mergeCell ref="L238:N238"/>
    <mergeCell ref="L239:N239"/>
    <mergeCell ref="L240:N240"/>
    <mergeCell ref="O23:Q23"/>
    <mergeCell ref="O24:Q24"/>
    <mergeCell ref="O25:Q25"/>
    <mergeCell ref="O26:Q26"/>
    <mergeCell ref="O29:Q29"/>
    <mergeCell ref="O30:Q30"/>
    <mergeCell ref="O31:Q31"/>
    <mergeCell ref="O32:Q32"/>
    <mergeCell ref="O33:Q33"/>
    <mergeCell ref="O35:Q35"/>
    <mergeCell ref="O36:Q36"/>
    <mergeCell ref="O37:Q37"/>
    <mergeCell ref="O38:Q38"/>
    <mergeCell ref="O39:Q39"/>
    <mergeCell ref="O61:Q61"/>
    <mergeCell ref="O62:Q62"/>
    <mergeCell ref="O63:Q63"/>
    <mergeCell ref="O64:Q64"/>
    <mergeCell ref="O65:Q65"/>
    <mergeCell ref="O68:Q68"/>
    <mergeCell ref="O69:Q69"/>
    <mergeCell ref="O70:Q70"/>
    <mergeCell ref="O51:Q51"/>
    <mergeCell ref="O52:Q52"/>
    <mergeCell ref="O55:Q55"/>
    <mergeCell ref="O56:Q56"/>
    <mergeCell ref="O57:Q57"/>
    <mergeCell ref="O58:Q58"/>
    <mergeCell ref="O59:Q59"/>
    <mergeCell ref="O81:Q81"/>
    <mergeCell ref="O82:Q82"/>
    <mergeCell ref="O83:Q83"/>
    <mergeCell ref="O84:Q84"/>
    <mergeCell ref="O85:Q85"/>
    <mergeCell ref="O87:Q87"/>
    <mergeCell ref="O88:Q88"/>
    <mergeCell ref="O89:Q89"/>
    <mergeCell ref="O71:Q71"/>
    <mergeCell ref="O72:Q72"/>
    <mergeCell ref="O74:Q74"/>
    <mergeCell ref="O75:Q75"/>
    <mergeCell ref="O76:Q76"/>
    <mergeCell ref="O77:Q77"/>
    <mergeCell ref="O78:Q78"/>
    <mergeCell ref="O100:Q100"/>
    <mergeCell ref="O101:Q101"/>
    <mergeCell ref="O102:Q102"/>
    <mergeCell ref="O103:Q103"/>
    <mergeCell ref="O104:Q104"/>
    <mergeCell ref="O107:Q107"/>
    <mergeCell ref="O108:Q108"/>
    <mergeCell ref="O109:Q109"/>
    <mergeCell ref="O90:Q90"/>
    <mergeCell ref="O91:Q91"/>
    <mergeCell ref="O94:Q94"/>
    <mergeCell ref="O95:Q95"/>
    <mergeCell ref="O96:Q96"/>
    <mergeCell ref="O97:Q97"/>
    <mergeCell ref="O98:Q98"/>
    <mergeCell ref="O120:Q120"/>
    <mergeCell ref="O121:Q121"/>
    <mergeCell ref="O122:Q122"/>
    <mergeCell ref="O123:Q123"/>
    <mergeCell ref="O124:Q124"/>
    <mergeCell ref="O126:Q126"/>
    <mergeCell ref="O127:Q127"/>
    <mergeCell ref="O128:Q128"/>
    <mergeCell ref="O110:Q110"/>
    <mergeCell ref="O111:Q111"/>
    <mergeCell ref="O113:Q113"/>
    <mergeCell ref="O114:Q114"/>
    <mergeCell ref="O115:Q115"/>
    <mergeCell ref="O116:Q116"/>
    <mergeCell ref="O117:Q117"/>
    <mergeCell ref="O139:Q139"/>
    <mergeCell ref="O140:Q140"/>
    <mergeCell ref="O141:Q141"/>
    <mergeCell ref="O142:Q142"/>
    <mergeCell ref="O143:Q143"/>
    <mergeCell ref="O146:Q146"/>
    <mergeCell ref="O147:Q147"/>
    <mergeCell ref="O148:Q148"/>
    <mergeCell ref="O129:Q129"/>
    <mergeCell ref="O130:Q130"/>
    <mergeCell ref="O133:Q133"/>
    <mergeCell ref="O134:Q134"/>
    <mergeCell ref="O135:Q135"/>
    <mergeCell ref="O136:Q136"/>
    <mergeCell ref="O137:Q137"/>
    <mergeCell ref="O159:Q159"/>
    <mergeCell ref="O160:Q160"/>
    <mergeCell ref="O161:Q161"/>
    <mergeCell ref="O162:Q162"/>
    <mergeCell ref="O163:Q163"/>
    <mergeCell ref="O165:Q165"/>
    <mergeCell ref="O166:Q166"/>
    <mergeCell ref="O167:Q167"/>
    <mergeCell ref="O149:Q149"/>
    <mergeCell ref="O150:Q150"/>
    <mergeCell ref="O152:Q152"/>
    <mergeCell ref="O153:Q153"/>
    <mergeCell ref="O154:Q154"/>
    <mergeCell ref="O155:Q155"/>
    <mergeCell ref="O156:Q156"/>
    <mergeCell ref="O177:Q177"/>
    <mergeCell ref="O178:Q178"/>
    <mergeCell ref="O179:Q179"/>
    <mergeCell ref="O180:Q180"/>
    <mergeCell ref="O181:Q181"/>
    <mergeCell ref="O182:Q182"/>
    <mergeCell ref="O183:Q183"/>
    <mergeCell ref="O184:Q184"/>
    <mergeCell ref="O185:Q185"/>
    <mergeCell ref="O168:Q168"/>
    <mergeCell ref="O169:Q169"/>
    <mergeCell ref="O170:Q170"/>
    <mergeCell ref="O171:Q171"/>
    <mergeCell ref="O172:Q172"/>
    <mergeCell ref="O173:Q173"/>
    <mergeCell ref="O174:Q174"/>
    <mergeCell ref="O175:Q175"/>
    <mergeCell ref="O176:Q176"/>
    <mergeCell ref="O206:Q206"/>
    <mergeCell ref="O207:Q207"/>
    <mergeCell ref="O208:Q208"/>
    <mergeCell ref="O209:Q209"/>
    <mergeCell ref="O210:Q210"/>
    <mergeCell ref="O211:Q211"/>
    <mergeCell ref="O212:Q212"/>
    <mergeCell ref="O195:Q195"/>
    <mergeCell ref="O196:Q196"/>
    <mergeCell ref="O197:Q197"/>
    <mergeCell ref="O198:Q198"/>
    <mergeCell ref="O199:Q199"/>
    <mergeCell ref="O200:Q200"/>
    <mergeCell ref="O201:Q201"/>
    <mergeCell ref="O202:Q202"/>
    <mergeCell ref="O203:Q203"/>
    <mergeCell ref="O186:Q186"/>
    <mergeCell ref="O187:Q187"/>
    <mergeCell ref="O188:Q188"/>
    <mergeCell ref="O189:Q189"/>
    <mergeCell ref="O190:Q190"/>
    <mergeCell ref="O191:Q191"/>
    <mergeCell ref="O192:Q192"/>
    <mergeCell ref="O193:Q193"/>
    <mergeCell ref="O194:Q194"/>
    <mergeCell ref="O240:Q240"/>
    <mergeCell ref="A15:Q15"/>
    <mergeCell ref="A21:Q21"/>
    <mergeCell ref="O231:Q231"/>
    <mergeCell ref="O232:Q232"/>
    <mergeCell ref="O233:Q233"/>
    <mergeCell ref="O234:Q234"/>
    <mergeCell ref="O235:Q235"/>
    <mergeCell ref="O236:Q236"/>
    <mergeCell ref="O237:Q237"/>
    <mergeCell ref="O238:Q238"/>
    <mergeCell ref="O239:Q239"/>
    <mergeCell ref="O222:Q222"/>
    <mergeCell ref="O223:Q223"/>
    <mergeCell ref="O224:Q224"/>
    <mergeCell ref="O225:Q225"/>
    <mergeCell ref="O226:Q226"/>
    <mergeCell ref="O227:Q227"/>
    <mergeCell ref="O228:Q228"/>
    <mergeCell ref="O229:Q229"/>
    <mergeCell ref="O230:Q230"/>
    <mergeCell ref="O213:Q213"/>
    <mergeCell ref="O214:Q214"/>
    <mergeCell ref="O215:Q215"/>
    <mergeCell ref="O216:Q216"/>
    <mergeCell ref="O217:Q217"/>
    <mergeCell ref="O218:Q218"/>
    <mergeCell ref="O219:Q219"/>
    <mergeCell ref="O220:Q220"/>
    <mergeCell ref="O221:Q221"/>
    <mergeCell ref="O204:Q204"/>
    <mergeCell ref="O205:Q205"/>
    <mergeCell ref="C27:E27"/>
    <mergeCell ref="F27:H27"/>
    <mergeCell ref="I27:K27"/>
    <mergeCell ref="L27:N27"/>
    <mergeCell ref="C40:E40"/>
    <mergeCell ref="F40:H40"/>
    <mergeCell ref="I40:K40"/>
    <mergeCell ref="L40:N40"/>
    <mergeCell ref="C53:E53"/>
    <mergeCell ref="F53:H53"/>
    <mergeCell ref="I53:K53"/>
    <mergeCell ref="L53:N53"/>
    <mergeCell ref="C66:E66"/>
    <mergeCell ref="F66:H66"/>
    <mergeCell ref="I66:K66"/>
    <mergeCell ref="L66:N66"/>
    <mergeCell ref="C79:E79"/>
    <mergeCell ref="F79:H79"/>
    <mergeCell ref="I79:K79"/>
    <mergeCell ref="L79:N79"/>
    <mergeCell ref="C58:E58"/>
    <mergeCell ref="C59:E59"/>
    <mergeCell ref="C61:E61"/>
    <mergeCell ref="C62:E62"/>
    <mergeCell ref="C63:E63"/>
    <mergeCell ref="C45:E45"/>
    <mergeCell ref="C46:E46"/>
    <mergeCell ref="C48:E48"/>
    <mergeCell ref="C49:E49"/>
    <mergeCell ref="C50:E50"/>
    <mergeCell ref="C51:E51"/>
    <mergeCell ref="C52:E52"/>
    <mergeCell ref="F144:H144"/>
    <mergeCell ref="I144:K144"/>
    <mergeCell ref="L144:N144"/>
    <mergeCell ref="C157:E157"/>
    <mergeCell ref="F157:H157"/>
    <mergeCell ref="I157:K157"/>
    <mergeCell ref="L157:N157"/>
    <mergeCell ref="F92:H92"/>
    <mergeCell ref="I92:K92"/>
    <mergeCell ref="L92:N92"/>
    <mergeCell ref="C105:E105"/>
    <mergeCell ref="F105:H105"/>
    <mergeCell ref="I105:K105"/>
    <mergeCell ref="L105:N105"/>
    <mergeCell ref="C118:E118"/>
    <mergeCell ref="F118:H118"/>
    <mergeCell ref="I118:K118"/>
    <mergeCell ref="L118:N118"/>
    <mergeCell ref="C131:E131"/>
    <mergeCell ref="F131:H131"/>
    <mergeCell ref="I131:K131"/>
    <mergeCell ref="L131:N131"/>
    <mergeCell ref="L133:N133"/>
    <mergeCell ref="L134:N134"/>
    <mergeCell ref="L135:N135"/>
    <mergeCell ref="L136:N136"/>
    <mergeCell ref="L137:N137"/>
    <mergeCell ref="L139:N139"/>
    <mergeCell ref="L140:N140"/>
    <mergeCell ref="L141:N141"/>
    <mergeCell ref="L123:N123"/>
    <mergeCell ref="L124:N124"/>
  </mergeCells>
  <pageMargins left="0.511811024" right="0.511811024" top="0.78740157499999996" bottom="0.78740157499999996" header="0.31496062000000002" footer="0.31496062000000002"/>
  <ignoredErrors>
    <ignoredError sqref="L5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54"/>
  <sheetViews>
    <sheetView workbookViewId="0">
      <selection activeCell="C5" sqref="C5"/>
    </sheetView>
  </sheetViews>
  <sheetFormatPr defaultRowHeight="15"/>
  <cols>
    <col min="1" max="1" width="19.5703125" customWidth="1"/>
    <col min="2" max="2" width="21.85546875" customWidth="1"/>
    <col min="3" max="3" width="23.42578125" customWidth="1"/>
  </cols>
  <sheetData>
    <row r="1" spans="1:18">
      <c r="A1" s="160" t="s">
        <v>161</v>
      </c>
      <c r="B1" s="160"/>
    </row>
    <row r="2" spans="1:18">
      <c r="A2" s="160"/>
      <c r="B2" s="160"/>
    </row>
    <row r="3" spans="1:18">
      <c r="A3" s="36" t="s">
        <v>162</v>
      </c>
      <c r="B3" s="37" t="s">
        <v>163</v>
      </c>
    </row>
    <row r="4" spans="1:18">
      <c r="A4" s="38" t="s">
        <v>164</v>
      </c>
      <c r="B4" s="39">
        <v>150000000</v>
      </c>
    </row>
    <row r="5" spans="1:18">
      <c r="A5" s="38" t="s">
        <v>135</v>
      </c>
      <c r="B5" s="39">
        <v>100000000</v>
      </c>
      <c r="C5" s="93">
        <f>SUM(B4:B6)</f>
        <v>330000000</v>
      </c>
    </row>
    <row r="6" spans="1:18">
      <c r="A6" s="40" t="s">
        <v>165</v>
      </c>
      <c r="B6" s="41">
        <v>80000000</v>
      </c>
    </row>
    <row r="7" spans="1:18">
      <c r="A7" s="161" t="s">
        <v>166</v>
      </c>
      <c r="B7" s="161"/>
      <c r="C7" s="161"/>
      <c r="D7" s="161"/>
      <c r="E7" s="161"/>
      <c r="F7" s="161"/>
      <c r="G7" s="161"/>
      <c r="H7" s="161"/>
      <c r="I7" s="161"/>
      <c r="J7" s="161"/>
      <c r="K7" s="161"/>
      <c r="L7" s="161"/>
      <c r="M7" s="161"/>
      <c r="N7" s="161"/>
      <c r="O7" s="161"/>
      <c r="P7" s="161"/>
      <c r="Q7" s="161"/>
      <c r="R7" s="161"/>
    </row>
    <row r="8" spans="1:18">
      <c r="A8" s="162" t="s">
        <v>134</v>
      </c>
      <c r="B8" s="163"/>
      <c r="C8" s="164"/>
    </row>
    <row r="9" spans="1:18">
      <c r="A9" s="76" t="s">
        <v>167</v>
      </c>
      <c r="B9" s="78">
        <v>6521739.1299999999</v>
      </c>
      <c r="C9" s="77"/>
    </row>
    <row r="10" spans="1:18">
      <c r="A10" s="76" t="s">
        <v>168</v>
      </c>
      <c r="B10" s="78">
        <v>6521739.1299999999</v>
      </c>
      <c r="C10" s="77"/>
    </row>
    <row r="11" spans="1:18">
      <c r="A11" s="76" t="s">
        <v>169</v>
      </c>
      <c r="B11" s="78">
        <v>6521739.1299999999</v>
      </c>
      <c r="C11" s="77"/>
    </row>
    <row r="12" spans="1:18">
      <c r="A12" s="76" t="s">
        <v>170</v>
      </c>
      <c r="B12" s="78">
        <v>6521739.1299999999</v>
      </c>
      <c r="C12" s="77"/>
    </row>
    <row r="13" spans="1:18">
      <c r="A13" s="76" t="s">
        <v>171</v>
      </c>
      <c r="B13" s="78">
        <v>6521739.1299999999</v>
      </c>
      <c r="C13" s="77"/>
    </row>
    <row r="14" spans="1:18">
      <c r="A14" s="76" t="s">
        <v>172</v>
      </c>
      <c r="B14" s="78">
        <v>6521739.1299999999</v>
      </c>
      <c r="C14" s="77"/>
    </row>
    <row r="15" spans="1:18">
      <c r="A15" s="76" t="s">
        <v>173</v>
      </c>
      <c r="B15" s="78">
        <v>6521739.1299999999</v>
      </c>
      <c r="C15" s="77"/>
    </row>
    <row r="16" spans="1:18">
      <c r="A16" s="76" t="s">
        <v>174</v>
      </c>
      <c r="B16" s="78">
        <v>6521739.1299999999</v>
      </c>
      <c r="C16" s="77"/>
    </row>
    <row r="17" spans="1:3">
      <c r="A17" s="86" t="s">
        <v>175</v>
      </c>
      <c r="B17" s="78">
        <v>6521739.1299999999</v>
      </c>
      <c r="C17" s="86"/>
    </row>
    <row r="18" spans="1:3">
      <c r="A18" s="86" t="s">
        <v>176</v>
      </c>
      <c r="B18" s="78">
        <v>6521739.1299999999</v>
      </c>
      <c r="C18" s="86"/>
    </row>
    <row r="19" spans="1:3">
      <c r="A19" s="86" t="s">
        <v>177</v>
      </c>
      <c r="B19" s="78">
        <v>6521739.1299999999</v>
      </c>
      <c r="C19" s="86"/>
    </row>
    <row r="20" spans="1:3">
      <c r="A20" s="86" t="s">
        <v>178</v>
      </c>
      <c r="B20" s="78">
        <v>6521739.1299999999</v>
      </c>
      <c r="C20" s="86"/>
    </row>
    <row r="21" spans="1:3">
      <c r="A21" s="86" t="s">
        <v>179</v>
      </c>
      <c r="B21" s="78">
        <v>6521739.1299999999</v>
      </c>
      <c r="C21" s="86"/>
    </row>
    <row r="22" spans="1:3">
      <c r="A22" s="86" t="s">
        <v>180</v>
      </c>
      <c r="B22" s="78">
        <v>6521739.1299999999</v>
      </c>
      <c r="C22" s="86"/>
    </row>
    <row r="23" spans="1:3">
      <c r="A23" s="86" t="s">
        <v>181</v>
      </c>
      <c r="B23" s="78">
        <v>6521739.1299999999</v>
      </c>
      <c r="C23" s="86"/>
    </row>
    <row r="24" spans="1:3">
      <c r="A24" s="86" t="s">
        <v>182</v>
      </c>
      <c r="B24" s="78">
        <v>6521739.1299999999</v>
      </c>
      <c r="C24" s="86"/>
    </row>
    <row r="25" spans="1:3">
      <c r="A25" s="86" t="s">
        <v>183</v>
      </c>
      <c r="B25" s="78">
        <v>6521739.1299999999</v>
      </c>
      <c r="C25" s="86"/>
    </row>
    <row r="26" spans="1:3">
      <c r="A26" s="86" t="s">
        <v>184</v>
      </c>
      <c r="B26" s="78">
        <v>6521739.1299999999</v>
      </c>
      <c r="C26" s="86"/>
    </row>
    <row r="27" spans="1:3">
      <c r="A27" s="86" t="s">
        <v>185</v>
      </c>
      <c r="B27" s="78">
        <v>6521739.1299999999</v>
      </c>
      <c r="C27" s="86"/>
    </row>
    <row r="28" spans="1:3">
      <c r="A28" s="86" t="s">
        <v>186</v>
      </c>
      <c r="B28" s="78">
        <v>6521739.1299999999</v>
      </c>
      <c r="C28" s="86"/>
    </row>
    <row r="29" spans="1:3">
      <c r="A29" s="86" t="s">
        <v>187</v>
      </c>
      <c r="B29" s="78">
        <v>6521739.1299999999</v>
      </c>
      <c r="C29" s="86"/>
    </row>
    <row r="30" spans="1:3">
      <c r="A30" s="86" t="s">
        <v>188</v>
      </c>
      <c r="B30" s="78">
        <v>6521739.1299999999</v>
      </c>
      <c r="C30" s="86"/>
    </row>
    <row r="31" spans="1:3">
      <c r="A31" t="s">
        <v>60</v>
      </c>
      <c r="B31" s="80">
        <f>SUM(B9:B30)</f>
        <v>143478260.85999995</v>
      </c>
    </row>
    <row r="33" spans="1:3">
      <c r="A33" s="156" t="s">
        <v>135</v>
      </c>
      <c r="B33" s="157"/>
      <c r="C33" s="158"/>
    </row>
    <row r="34" spans="1:3">
      <c r="A34" s="75" t="s">
        <v>189</v>
      </c>
      <c r="B34" s="79">
        <v>14285714.279999999</v>
      </c>
      <c r="C34" s="75"/>
    </row>
    <row r="35" spans="1:3">
      <c r="A35" s="75" t="s">
        <v>190</v>
      </c>
      <c r="B35" s="79">
        <v>14285714.279999999</v>
      </c>
      <c r="C35" s="75"/>
    </row>
    <row r="36" spans="1:3">
      <c r="A36" s="75" t="s">
        <v>191</v>
      </c>
      <c r="B36" s="79">
        <v>14285714.279999999</v>
      </c>
      <c r="C36" s="75"/>
    </row>
    <row r="37" spans="1:3">
      <c r="A37" s="75" t="s">
        <v>192</v>
      </c>
      <c r="B37" s="79">
        <v>14285714.279999999</v>
      </c>
      <c r="C37" s="75"/>
    </row>
    <row r="38" spans="1:3">
      <c r="A38" s="75" t="s">
        <v>193</v>
      </c>
      <c r="B38" s="79">
        <v>14285714.279999999</v>
      </c>
      <c r="C38" s="75"/>
    </row>
    <row r="39" spans="1:3">
      <c r="A39" s="75" t="s">
        <v>194</v>
      </c>
      <c r="B39" s="79">
        <v>14285714.279999999</v>
      </c>
      <c r="C39" s="75"/>
    </row>
    <row r="40" spans="1:3">
      <c r="A40" s="75" t="s">
        <v>195</v>
      </c>
      <c r="B40" s="79">
        <v>14285714.279999999</v>
      </c>
      <c r="C40" s="75"/>
    </row>
    <row r="41" spans="1:3">
      <c r="A41" t="s">
        <v>60</v>
      </c>
      <c r="B41" s="80">
        <f>SUM(B34:B40)</f>
        <v>99999999.959999993</v>
      </c>
    </row>
    <row r="42" spans="1:3">
      <c r="A42" s="159" t="s">
        <v>196</v>
      </c>
      <c r="B42" s="159"/>
      <c r="C42" s="159"/>
    </row>
    <row r="43" spans="1:3">
      <c r="A43" s="87" t="s">
        <v>197</v>
      </c>
      <c r="B43" s="88">
        <v>8000000</v>
      </c>
      <c r="C43" s="87"/>
    </row>
    <row r="44" spans="1:3">
      <c r="A44" s="87" t="s">
        <v>198</v>
      </c>
      <c r="B44" s="88">
        <v>8000000</v>
      </c>
      <c r="C44" s="87"/>
    </row>
    <row r="45" spans="1:3">
      <c r="A45" s="87" t="s">
        <v>199</v>
      </c>
      <c r="B45" s="88">
        <v>8000000</v>
      </c>
      <c r="C45" s="87"/>
    </row>
    <row r="46" spans="1:3">
      <c r="A46" s="87" t="s">
        <v>200</v>
      </c>
      <c r="B46" s="88">
        <v>8000000</v>
      </c>
      <c r="C46" s="87"/>
    </row>
    <row r="47" spans="1:3">
      <c r="A47" s="87" t="s">
        <v>201</v>
      </c>
      <c r="B47" s="88">
        <v>8000000</v>
      </c>
      <c r="C47" s="87"/>
    </row>
    <row r="48" spans="1:3">
      <c r="A48" s="87" t="s">
        <v>202</v>
      </c>
      <c r="B48" s="88">
        <v>8000000</v>
      </c>
      <c r="C48" s="87"/>
    </row>
    <row r="49" spans="1:3">
      <c r="A49" s="87" t="s">
        <v>203</v>
      </c>
      <c r="B49" s="88">
        <v>8000000</v>
      </c>
      <c r="C49" s="87"/>
    </row>
    <row r="50" spans="1:3">
      <c r="A50" s="87" t="s">
        <v>204</v>
      </c>
      <c r="B50" s="88">
        <v>8000000</v>
      </c>
      <c r="C50" s="87"/>
    </row>
    <row r="51" spans="1:3">
      <c r="A51" s="87" t="s">
        <v>205</v>
      </c>
      <c r="B51" s="88">
        <v>8000000</v>
      </c>
      <c r="C51" s="87"/>
    </row>
    <row r="52" spans="1:3">
      <c r="A52" s="87" t="s">
        <v>206</v>
      </c>
      <c r="B52" s="88">
        <v>8000000</v>
      </c>
      <c r="C52" s="87"/>
    </row>
    <row r="53" spans="1:3">
      <c r="A53" t="s">
        <v>60</v>
      </c>
      <c r="B53" s="80">
        <f>SUM(B43:B52)</f>
        <v>80000000</v>
      </c>
    </row>
    <row r="54" spans="1:3">
      <c r="A54" s="81" t="s">
        <v>207</v>
      </c>
      <c r="B54" s="82">
        <f>B31+B41+B53</f>
        <v>323478260.81999993</v>
      </c>
    </row>
  </sheetData>
  <mergeCells count="5">
    <mergeCell ref="A33:C33"/>
    <mergeCell ref="A42:C42"/>
    <mergeCell ref="A1:B2"/>
    <mergeCell ref="A7:R7"/>
    <mergeCell ref="A8:C8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25"/>
  <sheetViews>
    <sheetView workbookViewId="0">
      <selection activeCell="G19" sqref="G19"/>
    </sheetView>
  </sheetViews>
  <sheetFormatPr defaultRowHeight="15"/>
  <cols>
    <col min="1" max="1" width="16.85546875" customWidth="1"/>
    <col min="2" max="2" width="15.85546875" bestFit="1" customWidth="1"/>
    <col min="3" max="3" width="21.7109375" customWidth="1"/>
    <col min="4" max="4" width="18.28515625" customWidth="1"/>
  </cols>
  <sheetData>
    <row r="1" spans="1:14">
      <c r="A1" s="165" t="s">
        <v>208</v>
      </c>
      <c r="B1" s="165"/>
      <c r="C1" s="165"/>
    </row>
    <row r="2" spans="1:14">
      <c r="A2" s="42" t="s">
        <v>209</v>
      </c>
      <c r="B2" s="43"/>
      <c r="C2" s="43"/>
    </row>
    <row r="3" spans="1:14">
      <c r="A3" s="43"/>
      <c r="B3" s="43"/>
      <c r="C3" s="43"/>
    </row>
    <row r="4" spans="1:14" ht="45">
      <c r="A4" s="44" t="s">
        <v>210</v>
      </c>
      <c r="B4" s="44" t="s">
        <v>211</v>
      </c>
      <c r="C4" s="44" t="s">
        <v>212</v>
      </c>
    </row>
    <row r="5" spans="1:14">
      <c r="A5" s="45">
        <v>25</v>
      </c>
      <c r="B5" s="46">
        <v>525000</v>
      </c>
      <c r="C5" s="46">
        <v>14437</v>
      </c>
    </row>
    <row r="6" spans="1:14">
      <c r="A6" s="45">
        <v>50</v>
      </c>
      <c r="B6" s="46">
        <v>1050000</v>
      </c>
      <c r="C6" s="46">
        <v>36540</v>
      </c>
    </row>
    <row r="7" spans="1:14">
      <c r="A7" s="45">
        <v>100</v>
      </c>
      <c r="B7" s="46">
        <v>2100000</v>
      </c>
      <c r="C7" s="46">
        <v>95550</v>
      </c>
    </row>
    <row r="8" spans="1:14">
      <c r="A8" s="45">
        <v>150</v>
      </c>
      <c r="B8" s="46">
        <v>3150000</v>
      </c>
      <c r="C8" s="46">
        <v>200812</v>
      </c>
    </row>
    <row r="9" spans="1:14">
      <c r="A9" s="45">
        <v>200</v>
      </c>
      <c r="B9" s="46">
        <v>4200000</v>
      </c>
      <c r="C9" s="46">
        <v>311220</v>
      </c>
    </row>
    <row r="10" spans="1:14">
      <c r="A10" s="45">
        <v>250</v>
      </c>
      <c r="B10" s="46">
        <v>5250000</v>
      </c>
      <c r="C10" s="46">
        <v>406455</v>
      </c>
    </row>
    <row r="11" spans="1:14">
      <c r="A11" s="45">
        <v>300</v>
      </c>
      <c r="B11" s="46">
        <v>6300000</v>
      </c>
      <c r="C11" s="46">
        <v>517954</v>
      </c>
    </row>
    <row r="12" spans="1:14">
      <c r="A12" s="45">
        <v>350</v>
      </c>
      <c r="B12" s="46">
        <v>7350000</v>
      </c>
      <c r="C12" s="46">
        <v>637245</v>
      </c>
    </row>
    <row r="13" spans="1:14">
      <c r="A13" s="45">
        <v>400</v>
      </c>
      <c r="B13" s="46">
        <v>8400000</v>
      </c>
      <c r="C13" s="46">
        <v>778680</v>
      </c>
    </row>
    <row r="14" spans="1:14">
      <c r="A14" s="126" t="s">
        <v>208</v>
      </c>
      <c r="B14" s="126"/>
      <c r="C14" s="126"/>
      <c r="D14" s="126"/>
      <c r="E14" s="126"/>
      <c r="F14" s="126"/>
      <c r="G14" s="126"/>
      <c r="H14" s="126"/>
      <c r="I14" s="126"/>
      <c r="J14" s="126"/>
      <c r="K14" s="126"/>
      <c r="L14" s="126"/>
      <c r="M14" s="126"/>
      <c r="N14" s="126"/>
    </row>
    <row r="15" spans="1:14">
      <c r="A15" s="124" t="s">
        <v>76</v>
      </c>
      <c r="B15" s="124"/>
      <c r="C15" s="34" t="s">
        <v>213</v>
      </c>
      <c r="D15" s="34" t="s">
        <v>214</v>
      </c>
      <c r="E15" s="124" t="s">
        <v>215</v>
      </c>
      <c r="F15" s="124"/>
    </row>
    <row r="16" spans="1:14">
      <c r="A16" s="124">
        <v>25</v>
      </c>
      <c r="B16" s="124"/>
      <c r="C16" s="34" t="s">
        <v>135</v>
      </c>
      <c r="D16" s="83">
        <v>525000</v>
      </c>
      <c r="E16" s="150">
        <v>14437</v>
      </c>
      <c r="F16" s="150"/>
    </row>
    <row r="17" spans="1:7">
      <c r="A17" s="124">
        <v>25</v>
      </c>
      <c r="B17" s="124"/>
      <c r="C17" s="34" t="s">
        <v>216</v>
      </c>
      <c r="D17" s="83">
        <v>525000</v>
      </c>
      <c r="E17" s="150">
        <v>14437</v>
      </c>
      <c r="F17" s="150"/>
    </row>
    <row r="18" spans="1:7">
      <c r="A18" s="124">
        <v>25</v>
      </c>
      <c r="B18" s="124"/>
      <c r="C18" s="34" t="s">
        <v>217</v>
      </c>
      <c r="D18" s="83">
        <v>525000</v>
      </c>
      <c r="E18" s="150">
        <v>14437</v>
      </c>
      <c r="F18" s="150"/>
    </row>
    <row r="19" spans="1:7">
      <c r="A19" s="126">
        <f>SUM(A16:B18)</f>
        <v>75</v>
      </c>
      <c r="B19" s="126"/>
      <c r="D19" s="35">
        <f>SUM(D16:D18)</f>
        <v>1575000</v>
      </c>
      <c r="E19" s="125">
        <f>SUM(E16:F18)</f>
        <v>43311</v>
      </c>
      <c r="F19" s="126"/>
      <c r="G19" s="35">
        <f>E19/3133020</f>
        <v>1.3824041978665953E-2</v>
      </c>
    </row>
    <row r="20" spans="1:7">
      <c r="A20" s="126"/>
      <c r="B20" s="126"/>
      <c r="E20" s="126"/>
      <c r="F20" s="126"/>
    </row>
    <row r="21" spans="1:7">
      <c r="A21" s="126"/>
      <c r="B21" s="126"/>
      <c r="E21" s="126"/>
      <c r="F21" s="126"/>
    </row>
    <row r="22" spans="1:7">
      <c r="A22" s="126"/>
      <c r="B22" s="126"/>
      <c r="E22" s="126"/>
      <c r="F22" s="126"/>
    </row>
    <row r="23" spans="1:7">
      <c r="A23" s="126"/>
      <c r="B23" s="126"/>
      <c r="E23" s="126"/>
      <c r="F23" s="126"/>
    </row>
    <row r="24" spans="1:7">
      <c r="A24" s="126"/>
      <c r="B24" s="126"/>
      <c r="E24" s="126"/>
      <c r="F24" s="126"/>
    </row>
    <row r="25" spans="1:7">
      <c r="A25" s="126"/>
      <c r="B25" s="126"/>
      <c r="E25" s="126"/>
      <c r="F25" s="126"/>
    </row>
  </sheetData>
  <mergeCells count="24">
    <mergeCell ref="A1:C1"/>
    <mergeCell ref="A14:N14"/>
    <mergeCell ref="A15:B15"/>
    <mergeCell ref="E15:F15"/>
    <mergeCell ref="E16:F16"/>
    <mergeCell ref="E17:F17"/>
    <mergeCell ref="E18:F18"/>
    <mergeCell ref="A19:B19"/>
    <mergeCell ref="A16:B16"/>
    <mergeCell ref="A17:B17"/>
    <mergeCell ref="A18:B18"/>
    <mergeCell ref="E24:F24"/>
    <mergeCell ref="A24:B24"/>
    <mergeCell ref="A25:B25"/>
    <mergeCell ref="E25:F25"/>
    <mergeCell ref="E19:F19"/>
    <mergeCell ref="E20:F20"/>
    <mergeCell ref="E21:F21"/>
    <mergeCell ref="E22:F22"/>
    <mergeCell ref="E23:F23"/>
    <mergeCell ref="A20:B20"/>
    <mergeCell ref="A21:B21"/>
    <mergeCell ref="A22:B22"/>
    <mergeCell ref="A23:B23"/>
  </mergeCells>
  <pageMargins left="0.511811024" right="0.511811024" top="0.78740157499999996" bottom="0.78740157499999996" header="0.31496062000000002" footer="0.31496062000000002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9"/>
  <sheetViews>
    <sheetView workbookViewId="0">
      <selection activeCell="B38" sqref="B38"/>
    </sheetView>
  </sheetViews>
  <sheetFormatPr defaultRowHeight="15"/>
  <cols>
    <col min="1" max="1" width="57" bestFit="1" customWidth="1"/>
    <col min="2" max="2" width="23.5703125" customWidth="1"/>
    <col min="3" max="3" width="18.42578125" customWidth="1"/>
    <col min="4" max="4" width="17.5703125" customWidth="1"/>
    <col min="5" max="5" width="10.28515625" customWidth="1"/>
    <col min="6" max="6" width="10" customWidth="1"/>
    <col min="7" max="7" width="16.85546875" bestFit="1" customWidth="1"/>
  </cols>
  <sheetData>
    <row r="1" spans="1:6">
      <c r="A1" s="166" t="s">
        <v>218</v>
      </c>
      <c r="B1" s="166"/>
      <c r="C1" s="166"/>
      <c r="D1" s="166"/>
    </row>
    <row r="2" spans="1:6">
      <c r="A2" s="47" t="s">
        <v>219</v>
      </c>
      <c r="B2" s="48"/>
      <c r="C2" s="48"/>
      <c r="D2" s="48"/>
    </row>
    <row r="3" spans="1:6">
      <c r="A3" s="48"/>
      <c r="B3" s="49" t="s">
        <v>220</v>
      </c>
      <c r="C3" s="49" t="s">
        <v>221</v>
      </c>
      <c r="D3" s="49" t="s">
        <v>222</v>
      </c>
    </row>
    <row r="4" spans="1:6">
      <c r="A4" s="50" t="s">
        <v>223</v>
      </c>
      <c r="B4" s="51">
        <v>15000</v>
      </c>
      <c r="C4" s="51">
        <v>80000</v>
      </c>
      <c r="D4" s="51">
        <v>68500</v>
      </c>
    </row>
    <row r="5" spans="1:6">
      <c r="A5" s="50" t="s">
        <v>224</v>
      </c>
      <c r="B5" s="51">
        <v>16000</v>
      </c>
      <c r="C5" s="51">
        <v>90000</v>
      </c>
      <c r="D5" s="51">
        <v>78500</v>
      </c>
    </row>
    <row r="6" spans="1:6">
      <c r="A6" s="50" t="s">
        <v>225</v>
      </c>
      <c r="B6" s="51">
        <v>19000</v>
      </c>
      <c r="C6" s="51">
        <v>100000</v>
      </c>
      <c r="D6" s="51">
        <v>82500</v>
      </c>
    </row>
    <row r="7" spans="1:6">
      <c r="A7" s="48"/>
      <c r="B7" s="48"/>
      <c r="C7" s="48"/>
      <c r="D7" s="48"/>
    </row>
    <row r="8" spans="1:6">
      <c r="A8" s="47" t="s">
        <v>226</v>
      </c>
      <c r="B8" s="47"/>
      <c r="C8" s="52"/>
      <c r="D8" s="48"/>
    </row>
    <row r="9" spans="1:6">
      <c r="A9" s="47" t="s">
        <v>227</v>
      </c>
      <c r="B9" s="47"/>
      <c r="C9" s="49"/>
      <c r="D9" s="53"/>
    </row>
    <row r="10" spans="1:6">
      <c r="A10" s="47" t="s">
        <v>228</v>
      </c>
      <c r="B10" s="47"/>
      <c r="C10" s="52"/>
      <c r="D10" s="48"/>
    </row>
    <row r="12" spans="1:6">
      <c r="A12" s="167" t="s">
        <v>218</v>
      </c>
      <c r="B12" s="168"/>
      <c r="C12" s="168"/>
      <c r="D12" s="168"/>
      <c r="E12" s="168"/>
      <c r="F12" s="168"/>
    </row>
    <row r="13" spans="1:6">
      <c r="A13" s="85"/>
      <c r="B13" s="85" t="s">
        <v>229</v>
      </c>
      <c r="C13" s="49" t="s">
        <v>220</v>
      </c>
      <c r="D13" s="49" t="s">
        <v>221</v>
      </c>
      <c r="E13" s="166" t="s">
        <v>222</v>
      </c>
      <c r="F13" s="166"/>
    </row>
    <row r="14" spans="1:6">
      <c r="A14" s="50" t="s">
        <v>223</v>
      </c>
      <c r="B14" s="32">
        <v>7</v>
      </c>
      <c r="C14" s="84">
        <f>B4*7</f>
        <v>105000</v>
      </c>
      <c r="D14" s="84">
        <f>C4*7</f>
        <v>560000</v>
      </c>
      <c r="E14" s="125">
        <f>D4*7</f>
        <v>479500</v>
      </c>
      <c r="F14" s="126"/>
    </row>
    <row r="15" spans="1:6">
      <c r="A15" s="50" t="s">
        <v>224</v>
      </c>
      <c r="B15">
        <v>14</v>
      </c>
      <c r="C15" s="35">
        <f>B5*14</f>
        <v>224000</v>
      </c>
      <c r="D15" s="35">
        <f>C5*14</f>
        <v>1260000</v>
      </c>
      <c r="E15" s="125">
        <f>D5*14</f>
        <v>1099000</v>
      </c>
      <c r="F15" s="126"/>
    </row>
    <row r="16" spans="1:6">
      <c r="A16" s="50" t="s">
        <v>225</v>
      </c>
      <c r="B16">
        <v>117</v>
      </c>
      <c r="C16" s="35">
        <f>B6*117</f>
        <v>2223000</v>
      </c>
      <c r="D16" s="35">
        <f>C6*117</f>
        <v>11700000</v>
      </c>
      <c r="E16" s="125">
        <f>D6*117</f>
        <v>9652500</v>
      </c>
      <c r="F16" s="126"/>
    </row>
    <row r="17" spans="3:7">
      <c r="C17" s="35">
        <f>SUM(C14:C16)</f>
        <v>2552000</v>
      </c>
      <c r="D17" s="35">
        <f>SUM(D14:D16)</f>
        <v>13520000</v>
      </c>
      <c r="E17" s="125">
        <f>SUM(E14:F16)</f>
        <v>11231000</v>
      </c>
      <c r="F17" s="126"/>
      <c r="G17" s="35">
        <f>SUM(C17:F17)</f>
        <v>27303000</v>
      </c>
    </row>
    <row r="18" spans="3:7">
      <c r="E18" s="126"/>
      <c r="F18" s="126"/>
      <c r="G18" s="35">
        <f>G17/3133020</f>
        <v>8.7145948637416932</v>
      </c>
    </row>
    <row r="19" spans="3:7">
      <c r="G19" s="35"/>
    </row>
  </sheetData>
  <mergeCells count="8">
    <mergeCell ref="A1:D1"/>
    <mergeCell ref="E14:F14"/>
    <mergeCell ref="E15:F15"/>
    <mergeCell ref="E18:F18"/>
    <mergeCell ref="E16:F16"/>
    <mergeCell ref="E13:F13"/>
    <mergeCell ref="A12:F12"/>
    <mergeCell ref="E17:F17"/>
  </mergeCells>
  <pageMargins left="0.511811024" right="0.511811024" top="0.78740157499999996" bottom="0.78740157499999996" header="0.31496062000000002" footer="0.31496062000000002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27"/>
  <sheetViews>
    <sheetView workbookViewId="0">
      <selection activeCell="C14" sqref="C14:D14"/>
    </sheetView>
  </sheetViews>
  <sheetFormatPr defaultRowHeight="15"/>
  <cols>
    <col min="2" max="2" width="27.85546875" customWidth="1"/>
    <col min="3" max="3" width="12.85546875" customWidth="1"/>
    <col min="5" max="5" width="10.5703125" bestFit="1" customWidth="1"/>
  </cols>
  <sheetData>
    <row r="1" spans="1:5">
      <c r="A1" s="176" t="s">
        <v>230</v>
      </c>
      <c r="B1" s="176"/>
      <c r="C1" s="176"/>
    </row>
    <row r="2" spans="1:5">
      <c r="A2" s="54"/>
      <c r="B2" s="55"/>
      <c r="C2" s="56"/>
    </row>
    <row r="3" spans="1:5">
      <c r="A3" s="177" t="s">
        <v>231</v>
      </c>
      <c r="B3" s="177"/>
      <c r="C3" s="57" t="s">
        <v>232</v>
      </c>
    </row>
    <row r="4" spans="1:5">
      <c r="A4" s="178" t="s">
        <v>233</v>
      </c>
      <c r="B4" s="178"/>
      <c r="C4" s="58">
        <v>219.9</v>
      </c>
    </row>
    <row r="5" spans="1:5">
      <c r="A5" s="178" t="s">
        <v>234</v>
      </c>
      <c r="B5" s="178"/>
      <c r="C5" s="58">
        <v>149.9</v>
      </c>
    </row>
    <row r="6" spans="1:5">
      <c r="A6" s="178" t="s">
        <v>235</v>
      </c>
      <c r="B6" s="178"/>
      <c r="C6" s="58">
        <v>99.9</v>
      </c>
    </row>
    <row r="7" spans="1:5">
      <c r="A7" s="179" t="s">
        <v>236</v>
      </c>
      <c r="B7" s="179"/>
      <c r="C7" s="59">
        <v>59.9</v>
      </c>
    </row>
    <row r="9" spans="1:5">
      <c r="A9" s="176"/>
      <c r="B9" s="176"/>
      <c r="C9" s="176"/>
    </row>
    <row r="10" spans="1:5" ht="42" customHeight="1">
      <c r="A10" s="174"/>
      <c r="B10" s="174"/>
      <c r="C10" s="150"/>
      <c r="D10" s="150"/>
      <c r="E10" s="80"/>
    </row>
    <row r="11" spans="1:5" ht="42" customHeight="1">
      <c r="A11" s="172"/>
      <c r="B11" s="173"/>
      <c r="C11" s="169"/>
      <c r="D11" s="170"/>
      <c r="E11" s="80"/>
    </row>
    <row r="12" spans="1:5" ht="42" customHeight="1">
      <c r="A12" s="174"/>
      <c r="B12" s="174"/>
      <c r="C12" s="171"/>
      <c r="D12" s="171"/>
      <c r="E12" s="80"/>
    </row>
    <row r="13" spans="1:5" ht="42" customHeight="1">
      <c r="A13" s="172"/>
      <c r="B13" s="173"/>
      <c r="C13" s="171"/>
      <c r="D13" s="171"/>
      <c r="E13" s="80"/>
    </row>
    <row r="14" spans="1:5" ht="42" customHeight="1">
      <c r="A14" s="172"/>
      <c r="B14" s="173"/>
      <c r="C14" s="171"/>
      <c r="D14" s="171"/>
      <c r="E14" s="80"/>
    </row>
    <row r="15" spans="1:5" ht="42" customHeight="1">
      <c r="A15" s="172"/>
      <c r="B15" s="173"/>
      <c r="C15" s="171"/>
      <c r="D15" s="171"/>
      <c r="E15" s="80"/>
    </row>
    <row r="16" spans="1:5" ht="42" customHeight="1">
      <c r="A16" s="174"/>
      <c r="B16" s="174"/>
      <c r="C16" s="150"/>
      <c r="D16" s="150"/>
      <c r="E16" s="80"/>
    </row>
    <row r="17" spans="1:5" ht="42" customHeight="1">
      <c r="A17" s="172"/>
      <c r="B17" s="173"/>
      <c r="C17" s="169"/>
      <c r="D17" s="170"/>
      <c r="E17" s="80"/>
    </row>
    <row r="18" spans="1:5" ht="42" customHeight="1">
      <c r="A18" s="174"/>
      <c r="B18" s="174"/>
      <c r="C18" s="150"/>
      <c r="D18" s="150"/>
      <c r="E18" s="80"/>
    </row>
    <row r="19" spans="1:5" ht="42" customHeight="1">
      <c r="A19" s="174"/>
      <c r="B19" s="174"/>
      <c r="C19" s="150"/>
      <c r="D19" s="150"/>
      <c r="E19" s="80"/>
    </row>
    <row r="20" spans="1:5" ht="42" customHeight="1">
      <c r="A20" s="174"/>
      <c r="B20" s="174"/>
      <c r="C20" s="150"/>
      <c r="D20" s="150"/>
      <c r="E20" s="80"/>
    </row>
    <row r="21" spans="1:5" ht="42" customHeight="1">
      <c r="A21" s="174"/>
      <c r="B21" s="174"/>
      <c r="C21" s="150"/>
      <c r="D21" s="150"/>
      <c r="E21" s="80"/>
    </row>
    <row r="22" spans="1:5" ht="42" customHeight="1">
      <c r="A22" s="175"/>
      <c r="B22" s="175"/>
      <c r="C22" s="171"/>
      <c r="D22" s="171"/>
      <c r="E22" s="80"/>
    </row>
    <row r="23" spans="1:5" ht="42" customHeight="1">
      <c r="A23" s="172"/>
      <c r="B23" s="173"/>
      <c r="C23" s="169"/>
      <c r="D23" s="170"/>
      <c r="E23" s="80"/>
    </row>
    <row r="24" spans="1:5" ht="42" customHeight="1">
      <c r="A24" s="172"/>
      <c r="B24" s="173"/>
      <c r="C24" s="169"/>
      <c r="D24" s="170"/>
      <c r="E24" s="80"/>
    </row>
    <row r="25" spans="1:5" ht="42" customHeight="1">
      <c r="A25" s="172"/>
      <c r="B25" s="173"/>
      <c r="C25" s="169"/>
      <c r="D25" s="170"/>
      <c r="E25" s="80"/>
    </row>
    <row r="26" spans="1:5" ht="42" customHeight="1">
      <c r="A26" s="172"/>
      <c r="B26" s="173"/>
      <c r="C26" s="171"/>
      <c r="D26" s="171"/>
      <c r="E26" s="80"/>
    </row>
    <row r="27" spans="1:5" ht="42" customHeight="1">
      <c r="A27" s="172"/>
      <c r="B27" s="173"/>
      <c r="C27" s="171"/>
      <c r="D27" s="171"/>
      <c r="E27" s="80"/>
    </row>
  </sheetData>
  <mergeCells count="43">
    <mergeCell ref="A9:C9"/>
    <mergeCell ref="A1:C1"/>
    <mergeCell ref="A3:B3"/>
    <mergeCell ref="A4:B4"/>
    <mergeCell ref="A5:B5"/>
    <mergeCell ref="A6:B6"/>
    <mergeCell ref="A7:B7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</mergeCells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5CB6509907E474BA1475E9DFDAD1244" ma:contentTypeVersion="4" ma:contentTypeDescription="Create a new document." ma:contentTypeScope="" ma:versionID="115ef56eddf201b661b28d104b2e83af">
  <xsd:schema xmlns:xsd="http://www.w3.org/2001/XMLSchema" xmlns:xs="http://www.w3.org/2001/XMLSchema" xmlns:p="http://schemas.microsoft.com/office/2006/metadata/properties" xmlns:ns2="09ac3e00-b903-4e7b-9165-15a9e780f430" targetNamespace="http://schemas.microsoft.com/office/2006/metadata/properties" ma:root="true" ma:fieldsID="1dad8ad0c0cde660491e279cecd4efc7" ns2:_="">
    <xsd:import namespace="09ac3e00-b903-4e7b-9165-15a9e780f43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ac3e00-b903-4e7b-9165-15a9e780f43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F332D52-1D24-4234-AED8-16341AAC0A98}"/>
</file>

<file path=customXml/itemProps2.xml><?xml version="1.0" encoding="utf-8"?>
<ds:datastoreItem xmlns:ds="http://schemas.openxmlformats.org/officeDocument/2006/customXml" ds:itemID="{D04C12A2-EB12-4153-AD86-BDF584180E91}"/>
</file>

<file path=customXml/itemProps3.xml><?xml version="1.0" encoding="utf-8"?>
<ds:datastoreItem xmlns:ds="http://schemas.openxmlformats.org/officeDocument/2006/customXml" ds:itemID="{2BEFD30E-FB59-4427-AB8C-512A5FE51C9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Fundação de Apoio à Pesquisa FAPG</dc:creator>
  <cp:keywords/>
  <dc:description/>
  <cp:lastModifiedBy>PEDRO HENRIQUE PEREIRA PRADO</cp:lastModifiedBy>
  <cp:revision/>
  <dcterms:created xsi:type="dcterms:W3CDTF">2023-02-28T13:25:41Z</dcterms:created>
  <dcterms:modified xsi:type="dcterms:W3CDTF">2025-03-17T22:33:32Z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0x01010055CB6509907E474BA1475E9DFDAD1244</vt:lpwstr>
  </property>
</Properties>
</file>