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santos\Documents\"/>
    </mc:Choice>
  </mc:AlternateContent>
  <xr:revisionPtr revIDLastSave="0" documentId="8_{29FF2ECB-E7F3-734D-9EDE-1DA67618AF78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Pesquisa Inicial" sheetId="2" r:id="rId1"/>
    <sheet name="Sistema gerencial" sheetId="7" r:id="rId2"/>
    <sheet name="Vendas regional" sheetId="14" r:id="rId3"/>
    <sheet name="Franquia" sheetId="8" r:id="rId4"/>
    <sheet name="CUSTO ARMAZÉM" sheetId="9" r:id="rId5"/>
    <sheet name="CUSTO EQUIPES FUNCIONÁRIOS_x0009__x0009__x0009_" sheetId="10" r:id="rId6"/>
    <sheet name="VALOR DOS PACOTES DE SERVIÇO_x0009__x0009_" sheetId="11" r:id="rId7"/>
    <sheet name="POSTO DE ATENDIMENTO (PA)_x0009__x0009__x0009__x0009__x0009__x0009_" sheetId="12" r:id="rId8"/>
    <sheet name="DADOS" sheetId="3" r:id="rId9"/>
    <sheet name="GRÁFICO" sheetId="6" state="hidden" r:id="rId10"/>
    <sheet name="Planilha1 (2)" sheetId="5" state="hidden" r:id="rId11"/>
  </sheets>
  <calcPr calcId="191028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8" l="1"/>
  <c r="C112" i="7"/>
  <c r="D20" i="9"/>
  <c r="C113" i="7"/>
  <c r="D14" i="10"/>
  <c r="D15" i="10"/>
  <c r="D16" i="10"/>
  <c r="D17" i="10"/>
  <c r="C114" i="7"/>
  <c r="A20" i="12"/>
  <c r="C115" i="7"/>
  <c r="C116" i="7"/>
  <c r="K76" i="7"/>
  <c r="K77" i="7"/>
  <c r="K78" i="7"/>
  <c r="K75" i="7"/>
  <c r="C108" i="7"/>
  <c r="L11" i="14"/>
  <c r="L12" i="14"/>
  <c r="L13" i="14"/>
  <c r="L10" i="14"/>
  <c r="I157" i="14"/>
  <c r="F157" i="14"/>
  <c r="C157" i="14"/>
  <c r="L154" i="14"/>
  <c r="L155" i="14"/>
  <c r="L156" i="14"/>
  <c r="L153" i="14"/>
  <c r="I144" i="14"/>
  <c r="F144" i="14"/>
  <c r="C144" i="14"/>
  <c r="L141" i="14"/>
  <c r="L142" i="14"/>
  <c r="L143" i="14"/>
  <c r="L140" i="14"/>
  <c r="I131" i="14"/>
  <c r="F131" i="14"/>
  <c r="C131" i="14"/>
  <c r="L128" i="14"/>
  <c r="L129" i="14"/>
  <c r="L130" i="14"/>
  <c r="L127" i="14"/>
  <c r="K92" i="7"/>
  <c r="H92" i="7"/>
  <c r="K91" i="7"/>
  <c r="H91" i="7"/>
  <c r="K90" i="7"/>
  <c r="H90" i="7"/>
  <c r="K89" i="7"/>
  <c r="H89" i="7"/>
  <c r="K85" i="7"/>
  <c r="H85" i="7"/>
  <c r="K84" i="7"/>
  <c r="H84" i="7"/>
  <c r="K83" i="7"/>
  <c r="H83" i="7"/>
  <c r="K82" i="7"/>
  <c r="H82" i="7"/>
  <c r="K68" i="7"/>
  <c r="K69" i="7"/>
  <c r="K70" i="7"/>
  <c r="K67" i="7"/>
  <c r="L117" i="14"/>
  <c r="L116" i="14"/>
  <c r="L115" i="14"/>
  <c r="L114" i="14"/>
  <c r="I118" i="14"/>
  <c r="F118" i="14"/>
  <c r="C118" i="14"/>
  <c r="L104" i="14"/>
  <c r="L103" i="14"/>
  <c r="L102" i="14"/>
  <c r="L101" i="14"/>
  <c r="I105" i="14"/>
  <c r="F105" i="14"/>
  <c r="C105" i="14"/>
  <c r="K62" i="7"/>
  <c r="K60" i="7"/>
  <c r="K61" i="7"/>
  <c r="K59" i="7"/>
  <c r="L89" i="14"/>
  <c r="L90" i="14"/>
  <c r="L91" i="14"/>
  <c r="I92" i="14"/>
  <c r="F92" i="14"/>
  <c r="C92" i="14"/>
  <c r="L88" i="14"/>
  <c r="K52" i="7"/>
  <c r="K53" i="7"/>
  <c r="K54" i="7"/>
  <c r="K51" i="7"/>
  <c r="K37" i="7"/>
  <c r="K38" i="7"/>
  <c r="K39" i="7"/>
  <c r="K36" i="7"/>
  <c r="K44" i="7"/>
  <c r="K45" i="7"/>
  <c r="K46" i="7"/>
  <c r="K43" i="7"/>
  <c r="L76" i="14"/>
  <c r="L77" i="14"/>
  <c r="L78" i="14"/>
  <c r="I79" i="14"/>
  <c r="F79" i="14"/>
  <c r="C79" i="14"/>
  <c r="L75" i="14"/>
  <c r="L63" i="14"/>
  <c r="L64" i="14"/>
  <c r="L65" i="14"/>
  <c r="L62" i="14"/>
  <c r="I66" i="14"/>
  <c r="F66" i="14"/>
  <c r="C66" i="14"/>
  <c r="I53" i="14"/>
  <c r="F53" i="14"/>
  <c r="C53" i="14"/>
  <c r="L50" i="14"/>
  <c r="L51" i="14"/>
  <c r="L52" i="14"/>
  <c r="L49" i="14"/>
  <c r="K29" i="7"/>
  <c r="K30" i="7"/>
  <c r="K31" i="7"/>
  <c r="K28" i="7"/>
  <c r="I40" i="14"/>
  <c r="F40" i="14"/>
  <c r="C40" i="14"/>
  <c r="L39" i="14"/>
  <c r="L38" i="14"/>
  <c r="L37" i="14"/>
  <c r="L36" i="14"/>
  <c r="K21" i="7"/>
  <c r="K22" i="7"/>
  <c r="K23" i="7"/>
  <c r="K20" i="7"/>
  <c r="K13" i="7"/>
  <c r="K14" i="7"/>
  <c r="K15" i="7"/>
  <c r="K12" i="7"/>
  <c r="I27" i="14"/>
  <c r="F27" i="14"/>
  <c r="C27" i="14"/>
  <c r="L26" i="14"/>
  <c r="L25" i="14"/>
  <c r="L24" i="14"/>
  <c r="L23" i="14"/>
  <c r="K5" i="7"/>
  <c r="K6" i="7"/>
  <c r="K7" i="7"/>
  <c r="K4" i="7"/>
  <c r="I14" i="14"/>
  <c r="F14" i="14"/>
  <c r="C14" i="14"/>
  <c r="H86" i="7"/>
  <c r="L144" i="14"/>
  <c r="L131" i="14"/>
  <c r="L157" i="14"/>
  <c r="L118" i="14"/>
  <c r="L105" i="14"/>
  <c r="H93" i="7"/>
  <c r="L92" i="14"/>
  <c r="L66" i="14"/>
  <c r="L27" i="14"/>
  <c r="L14" i="14"/>
  <c r="L40" i="14"/>
  <c r="L53" i="14"/>
  <c r="L79" i="14"/>
  <c r="L150" i="14"/>
  <c r="O150" i="14"/>
  <c r="I150" i="14"/>
  <c r="F150" i="14"/>
  <c r="L149" i="14"/>
  <c r="O149" i="14"/>
  <c r="I149" i="14"/>
  <c r="F149" i="14"/>
  <c r="L148" i="14"/>
  <c r="O148" i="14"/>
  <c r="I148" i="14"/>
  <c r="F148" i="14"/>
  <c r="L147" i="14"/>
  <c r="O147" i="14"/>
  <c r="I147" i="14"/>
  <c r="F147" i="14"/>
  <c r="L137" i="14"/>
  <c r="O137" i="14"/>
  <c r="I137" i="14"/>
  <c r="F137" i="14"/>
  <c r="L136" i="14"/>
  <c r="O136" i="14"/>
  <c r="I136" i="14"/>
  <c r="F136" i="14"/>
  <c r="L135" i="14"/>
  <c r="O135" i="14"/>
  <c r="I135" i="14"/>
  <c r="F135" i="14"/>
  <c r="L134" i="14"/>
  <c r="O134" i="14"/>
  <c r="I134" i="14"/>
  <c r="F134" i="14"/>
  <c r="L124" i="14"/>
  <c r="O124" i="14"/>
  <c r="I124" i="14"/>
  <c r="F124" i="14"/>
  <c r="L123" i="14"/>
  <c r="O123" i="14"/>
  <c r="I123" i="14"/>
  <c r="F123" i="14"/>
  <c r="L122" i="14"/>
  <c r="O122" i="14"/>
  <c r="I122" i="14"/>
  <c r="F122" i="14"/>
  <c r="L121" i="14"/>
  <c r="O121" i="14"/>
  <c r="I121" i="14"/>
  <c r="F121" i="14"/>
  <c r="L111" i="14"/>
  <c r="O111" i="14"/>
  <c r="I111" i="14"/>
  <c r="F111" i="14"/>
  <c r="L110" i="14"/>
  <c r="O110" i="14"/>
  <c r="I110" i="14"/>
  <c r="F110" i="14"/>
  <c r="L109" i="14"/>
  <c r="O109" i="14"/>
  <c r="I109" i="14"/>
  <c r="F109" i="14"/>
  <c r="L108" i="14"/>
  <c r="O108" i="14"/>
  <c r="I108" i="14"/>
  <c r="F108" i="14"/>
  <c r="L98" i="14"/>
  <c r="O98" i="14"/>
  <c r="I98" i="14"/>
  <c r="F98" i="14"/>
  <c r="L97" i="14"/>
  <c r="O97" i="14"/>
  <c r="I97" i="14"/>
  <c r="F97" i="14"/>
  <c r="L96" i="14"/>
  <c r="O96" i="14"/>
  <c r="I96" i="14"/>
  <c r="F96" i="14"/>
  <c r="L95" i="14"/>
  <c r="O95" i="14"/>
  <c r="I95" i="14"/>
  <c r="F95" i="14"/>
  <c r="L85" i="14"/>
  <c r="O85" i="14"/>
  <c r="I85" i="14"/>
  <c r="F85" i="14"/>
  <c r="L84" i="14"/>
  <c r="O84" i="14"/>
  <c r="I84" i="14"/>
  <c r="F84" i="14"/>
  <c r="L83" i="14"/>
  <c r="O83" i="14"/>
  <c r="I83" i="14"/>
  <c r="F83" i="14"/>
  <c r="L82" i="14"/>
  <c r="O82" i="14"/>
  <c r="I82" i="14"/>
  <c r="F82" i="14"/>
  <c r="L72" i="14"/>
  <c r="O72" i="14"/>
  <c r="I72" i="14"/>
  <c r="F72" i="14"/>
  <c r="L71" i="14"/>
  <c r="O71" i="14"/>
  <c r="I71" i="14"/>
  <c r="F71" i="14"/>
  <c r="L70" i="14"/>
  <c r="O70" i="14"/>
  <c r="I70" i="14"/>
  <c r="F70" i="14"/>
  <c r="L69" i="14"/>
  <c r="O69" i="14"/>
  <c r="I69" i="14"/>
  <c r="F69" i="14"/>
  <c r="L59" i="14"/>
  <c r="O59" i="14"/>
  <c r="I59" i="14"/>
  <c r="F59" i="14"/>
  <c r="L58" i="14"/>
  <c r="O58" i="14"/>
  <c r="I58" i="14"/>
  <c r="F58" i="14"/>
  <c r="L57" i="14"/>
  <c r="O57" i="14"/>
  <c r="I57" i="14"/>
  <c r="F57" i="14"/>
  <c r="L56" i="14"/>
  <c r="O56" i="14"/>
  <c r="I56" i="14"/>
  <c r="F56" i="14"/>
  <c r="L46" i="14"/>
  <c r="O46" i="14"/>
  <c r="I46" i="14"/>
  <c r="F46" i="14"/>
  <c r="L45" i="14"/>
  <c r="O45" i="14"/>
  <c r="I45" i="14"/>
  <c r="F45" i="14"/>
  <c r="L44" i="14"/>
  <c r="O44" i="14"/>
  <c r="I44" i="14"/>
  <c r="F44" i="14"/>
  <c r="L43" i="14"/>
  <c r="O43" i="14"/>
  <c r="I43" i="14"/>
  <c r="F43" i="14"/>
  <c r="L33" i="14"/>
  <c r="O33" i="14"/>
  <c r="I33" i="14"/>
  <c r="F33" i="14"/>
  <c r="L32" i="14"/>
  <c r="O32" i="14"/>
  <c r="I32" i="14"/>
  <c r="F32" i="14"/>
  <c r="L31" i="14"/>
  <c r="O31" i="14"/>
  <c r="I31" i="14"/>
  <c r="F31" i="14"/>
  <c r="L30" i="14"/>
  <c r="O30" i="14"/>
  <c r="I30" i="14"/>
  <c r="F30" i="14"/>
  <c r="L20" i="14"/>
  <c r="O20" i="14"/>
  <c r="I20" i="14"/>
  <c r="F20" i="14"/>
  <c r="L19" i="14"/>
  <c r="O19" i="14"/>
  <c r="I19" i="14"/>
  <c r="F19" i="14"/>
  <c r="L18" i="14"/>
  <c r="O18" i="14"/>
  <c r="I18" i="14"/>
  <c r="F18" i="14"/>
  <c r="L17" i="14"/>
  <c r="O17" i="14"/>
  <c r="I17" i="14"/>
  <c r="F17" i="14"/>
  <c r="O92" i="7"/>
  <c r="Q92" i="7"/>
  <c r="R92" i="7"/>
  <c r="T92" i="7"/>
  <c r="O91" i="7"/>
  <c r="Q91" i="7"/>
  <c r="R91" i="7"/>
  <c r="T91" i="7"/>
  <c r="O90" i="7"/>
  <c r="Q90" i="7"/>
  <c r="R90" i="7"/>
  <c r="T90" i="7"/>
  <c r="O89" i="7"/>
  <c r="Q89" i="7"/>
  <c r="R89" i="7"/>
  <c r="T89" i="7"/>
  <c r="O85" i="7"/>
  <c r="O84" i="7"/>
  <c r="O83" i="7"/>
  <c r="O82" i="7"/>
  <c r="Q82" i="7"/>
  <c r="R82" i="7"/>
  <c r="T82" i="7"/>
  <c r="Q85" i="7"/>
  <c r="R85" i="7"/>
  <c r="T85" i="7"/>
  <c r="Q84" i="7"/>
  <c r="R84" i="7"/>
  <c r="T84" i="7"/>
  <c r="Q83" i="7"/>
  <c r="R83" i="7"/>
  <c r="T83" i="7"/>
  <c r="O51" i="7"/>
  <c r="Q51" i="7"/>
  <c r="L7" i="14"/>
  <c r="O7" i="14"/>
  <c r="L6" i="14"/>
  <c r="O6" i="14"/>
  <c r="L5" i="14"/>
  <c r="O5" i="14"/>
  <c r="L4" i="14"/>
  <c r="O4" i="14"/>
  <c r="I7" i="14"/>
  <c r="F7" i="14"/>
  <c r="I6" i="14"/>
  <c r="F6" i="14"/>
  <c r="I5" i="14"/>
  <c r="F5" i="14"/>
  <c r="I4" i="14"/>
  <c r="F4" i="14"/>
  <c r="O7" i="7"/>
  <c r="Q7" i="7"/>
  <c r="O6" i="7"/>
  <c r="Q6" i="7"/>
  <c r="O5" i="7"/>
  <c r="Q5" i="7"/>
  <c r="O4" i="7"/>
  <c r="Q4" i="7"/>
  <c r="H5" i="7"/>
  <c r="H6" i="7"/>
  <c r="H7" i="7"/>
  <c r="H4" i="7"/>
  <c r="T93" i="7"/>
  <c r="X93" i="7"/>
  <c r="T86" i="7"/>
  <c r="X86" i="7"/>
  <c r="R51" i="7"/>
  <c r="T51" i="7"/>
  <c r="B53" i="8"/>
  <c r="B31" i="8"/>
  <c r="E8" i="7"/>
  <c r="I24" i="7"/>
  <c r="I16" i="7"/>
  <c r="I8" i="7"/>
  <c r="O23" i="7"/>
  <c r="O20" i="7"/>
  <c r="O13" i="7"/>
  <c r="O14" i="7"/>
  <c r="O15" i="7"/>
  <c r="O12" i="7"/>
  <c r="R6" i="7"/>
  <c r="T6" i="7"/>
  <c r="R5" i="7"/>
  <c r="T5" i="7"/>
  <c r="H108" i="7"/>
  <c r="G108" i="7"/>
  <c r="A19" i="12"/>
  <c r="O76" i="7"/>
  <c r="O77" i="7"/>
  <c r="O78" i="7"/>
  <c r="O68" i="7"/>
  <c r="O69" i="7"/>
  <c r="O70" i="7"/>
  <c r="O67" i="7"/>
  <c r="O60" i="7"/>
  <c r="O61" i="7"/>
  <c r="O62" i="7"/>
  <c r="O59" i="7"/>
  <c r="C14" i="10"/>
  <c r="C15" i="10"/>
  <c r="C16" i="10"/>
  <c r="C17" i="10"/>
  <c r="E16" i="10"/>
  <c r="E14" i="10"/>
  <c r="E15" i="10"/>
  <c r="E17" i="10"/>
  <c r="B16" i="10"/>
  <c r="B15" i="10"/>
  <c r="B14" i="10"/>
  <c r="A20" i="9"/>
  <c r="E20" i="9"/>
  <c r="B41" i="8"/>
  <c r="B54" i="8"/>
  <c r="O52" i="7"/>
  <c r="O53" i="7"/>
  <c r="O54" i="7"/>
  <c r="O44" i="7"/>
  <c r="O45" i="7"/>
  <c r="O46" i="7"/>
  <c r="O43" i="7"/>
  <c r="O38" i="7"/>
  <c r="O39" i="7"/>
  <c r="O36" i="7"/>
  <c r="O29" i="7"/>
  <c r="O30" i="7"/>
  <c r="O31" i="7"/>
  <c r="O28" i="7"/>
  <c r="I71" i="7"/>
  <c r="I63" i="7"/>
  <c r="E55" i="7"/>
  <c r="I55" i="7"/>
  <c r="I47" i="7"/>
  <c r="G47" i="7"/>
  <c r="E47" i="7"/>
  <c r="I40" i="7"/>
  <c r="E40" i="7"/>
  <c r="E32" i="7"/>
  <c r="I32" i="7"/>
  <c r="E24" i="7"/>
  <c r="E16" i="7"/>
  <c r="G79" i="7"/>
  <c r="E79" i="7"/>
  <c r="G8" i="7"/>
  <c r="G63" i="7"/>
  <c r="H67" i="7"/>
  <c r="I79" i="7"/>
  <c r="G71" i="7"/>
  <c r="E71" i="7"/>
  <c r="E63" i="7"/>
  <c r="G55" i="7"/>
  <c r="G40" i="7"/>
  <c r="G32" i="7"/>
  <c r="G24" i="7"/>
  <c r="G16" i="7"/>
  <c r="H78" i="7"/>
  <c r="H77" i="7"/>
  <c r="H76" i="7"/>
  <c r="H75" i="7"/>
  <c r="H70" i="7"/>
  <c r="H69" i="7"/>
  <c r="H68" i="7"/>
  <c r="H62" i="7"/>
  <c r="H61" i="7"/>
  <c r="H60" i="7"/>
  <c r="H59" i="7"/>
  <c r="H54" i="7"/>
  <c r="H53" i="7"/>
  <c r="H52" i="7"/>
  <c r="H51" i="7"/>
  <c r="H46" i="7"/>
  <c r="H45" i="7"/>
  <c r="H44" i="7"/>
  <c r="H43" i="7"/>
  <c r="H39" i="7"/>
  <c r="H38" i="7"/>
  <c r="H37" i="7"/>
  <c r="O37" i="7"/>
  <c r="H36" i="7"/>
  <c r="H31" i="7"/>
  <c r="H30" i="7"/>
  <c r="H29" i="7"/>
  <c r="H28" i="7"/>
  <c r="H23" i="7"/>
  <c r="H22" i="7"/>
  <c r="O22" i="7"/>
  <c r="H21" i="7"/>
  <c r="H20" i="7"/>
  <c r="H15" i="7"/>
  <c r="H14" i="7"/>
  <c r="H13" i="7"/>
  <c r="H12" i="7"/>
  <c r="V5" i="7"/>
  <c r="V13" i="7"/>
  <c r="V21" i="7"/>
  <c r="V29" i="7"/>
  <c r="V37" i="7"/>
  <c r="V45" i="7"/>
  <c r="V53" i="7"/>
  <c r="V61" i="7"/>
  <c r="V69" i="7"/>
  <c r="V77" i="7"/>
  <c r="V85" i="7"/>
  <c r="V6" i="7"/>
  <c r="V14" i="7"/>
  <c r="V22" i="7"/>
  <c r="V30" i="7"/>
  <c r="V38" i="7"/>
  <c r="V46" i="7"/>
  <c r="V54" i="7"/>
  <c r="V62" i="7"/>
  <c r="V70" i="7"/>
  <c r="V78" i="7"/>
  <c r="V7" i="7"/>
  <c r="V15" i="7"/>
  <c r="V23" i="7"/>
  <c r="V31" i="7"/>
  <c r="V39" i="7"/>
  <c r="V4" i="7"/>
  <c r="V12" i="7"/>
  <c r="V20" i="7"/>
  <c r="V28" i="7"/>
  <c r="V36" i="7"/>
  <c r="R7" i="7"/>
  <c r="T7" i="7"/>
  <c r="R4" i="7"/>
  <c r="T4" i="7"/>
  <c r="P27" i="3"/>
  <c r="Y27" i="3"/>
  <c r="P26" i="3"/>
  <c r="Y26" i="3"/>
  <c r="P25" i="3"/>
  <c r="Y25" i="3"/>
  <c r="P24" i="3"/>
  <c r="Y24" i="3"/>
  <c r="P23" i="3"/>
  <c r="Y23" i="3"/>
  <c r="P22" i="3"/>
  <c r="Y22" i="3"/>
  <c r="P21" i="3"/>
  <c r="Y21" i="3"/>
  <c r="P20" i="3"/>
  <c r="Y20" i="3"/>
  <c r="P19" i="3"/>
  <c r="Y19" i="3"/>
  <c r="P18" i="3"/>
  <c r="Y18" i="3"/>
  <c r="P17" i="3"/>
  <c r="Y17" i="3"/>
  <c r="P16" i="3"/>
  <c r="Y16" i="3"/>
  <c r="P15" i="3"/>
  <c r="Y15" i="3"/>
  <c r="P14" i="3"/>
  <c r="Y14" i="3"/>
  <c r="P13" i="3"/>
  <c r="Y13" i="3"/>
  <c r="P12" i="3"/>
  <c r="Y12" i="3"/>
  <c r="P11" i="3"/>
  <c r="Y11" i="3"/>
  <c r="P10" i="3"/>
  <c r="Y10" i="3"/>
  <c r="P9" i="3"/>
  <c r="Y9" i="3"/>
  <c r="P8" i="3"/>
  <c r="Y8" i="3"/>
  <c r="P7" i="3"/>
  <c r="Y7" i="3"/>
  <c r="P6" i="3"/>
  <c r="Y6" i="3"/>
  <c r="P5" i="3"/>
  <c r="Y5" i="3"/>
  <c r="P4" i="3"/>
  <c r="Y4" i="3"/>
  <c r="P3" i="3"/>
  <c r="Y3" i="3"/>
  <c r="N27" i="3"/>
  <c r="X27" i="3"/>
  <c r="N26" i="3"/>
  <c r="X26" i="3"/>
  <c r="N25" i="3"/>
  <c r="X25" i="3"/>
  <c r="N24" i="3"/>
  <c r="X24" i="3"/>
  <c r="N23" i="3"/>
  <c r="X23" i="3"/>
  <c r="N22" i="3"/>
  <c r="X22" i="3"/>
  <c r="N21" i="3"/>
  <c r="X21" i="3"/>
  <c r="N20" i="3"/>
  <c r="X20" i="3"/>
  <c r="N19" i="3"/>
  <c r="X19" i="3"/>
  <c r="N18" i="3"/>
  <c r="X18" i="3"/>
  <c r="N17" i="3"/>
  <c r="X17" i="3"/>
  <c r="N16" i="3"/>
  <c r="X16" i="3"/>
  <c r="N15" i="3"/>
  <c r="X15" i="3"/>
  <c r="N14" i="3"/>
  <c r="X14" i="3"/>
  <c r="N13" i="3"/>
  <c r="X13" i="3"/>
  <c r="N12" i="3"/>
  <c r="X12" i="3"/>
  <c r="N11" i="3"/>
  <c r="X11" i="3"/>
  <c r="N10" i="3"/>
  <c r="X10" i="3"/>
  <c r="N9" i="3"/>
  <c r="X9" i="3"/>
  <c r="N8" i="3"/>
  <c r="X8" i="3"/>
  <c r="N7" i="3"/>
  <c r="X7" i="3"/>
  <c r="N6" i="3"/>
  <c r="X6" i="3"/>
  <c r="N5" i="3"/>
  <c r="X5" i="3"/>
  <c r="N4" i="3"/>
  <c r="X4" i="3"/>
  <c r="N3" i="3"/>
  <c r="X3" i="3"/>
  <c r="L27" i="3"/>
  <c r="W27" i="3"/>
  <c r="L26" i="3"/>
  <c r="W26" i="3"/>
  <c r="L25" i="3"/>
  <c r="W25" i="3"/>
  <c r="L24" i="3"/>
  <c r="W24" i="3"/>
  <c r="L23" i="3"/>
  <c r="W23" i="3"/>
  <c r="L22" i="3"/>
  <c r="W22" i="3"/>
  <c r="L21" i="3"/>
  <c r="W21" i="3"/>
  <c r="L20" i="3"/>
  <c r="W20" i="3"/>
  <c r="L19" i="3"/>
  <c r="W19" i="3"/>
  <c r="L18" i="3"/>
  <c r="W18" i="3"/>
  <c r="L17" i="3"/>
  <c r="W17" i="3"/>
  <c r="L16" i="3"/>
  <c r="W16" i="3"/>
  <c r="L15" i="3"/>
  <c r="W15" i="3"/>
  <c r="L14" i="3"/>
  <c r="W14" i="3"/>
  <c r="L13" i="3"/>
  <c r="W13" i="3"/>
  <c r="L12" i="3"/>
  <c r="W12" i="3"/>
  <c r="L11" i="3"/>
  <c r="W11" i="3"/>
  <c r="L10" i="3"/>
  <c r="W10" i="3"/>
  <c r="L9" i="3"/>
  <c r="W9" i="3"/>
  <c r="L8" i="3"/>
  <c r="W8" i="3"/>
  <c r="L7" i="3"/>
  <c r="W7" i="3"/>
  <c r="L6" i="3"/>
  <c r="W6" i="3"/>
  <c r="L5" i="3"/>
  <c r="W5" i="3"/>
  <c r="L4" i="3"/>
  <c r="W4" i="3"/>
  <c r="L3" i="3"/>
  <c r="W3" i="3"/>
  <c r="J27" i="3"/>
  <c r="V27" i="3"/>
  <c r="J26" i="3"/>
  <c r="V26" i="3"/>
  <c r="J25" i="3"/>
  <c r="V25" i="3"/>
  <c r="J24" i="3"/>
  <c r="V24" i="3"/>
  <c r="J23" i="3"/>
  <c r="V23" i="3"/>
  <c r="J22" i="3"/>
  <c r="V22" i="3"/>
  <c r="J21" i="3"/>
  <c r="V21" i="3"/>
  <c r="J20" i="3"/>
  <c r="V20" i="3"/>
  <c r="J19" i="3"/>
  <c r="V19" i="3"/>
  <c r="J18" i="3"/>
  <c r="V18" i="3"/>
  <c r="J17" i="3"/>
  <c r="V17" i="3"/>
  <c r="J16" i="3"/>
  <c r="V16" i="3"/>
  <c r="J15" i="3"/>
  <c r="V15" i="3"/>
  <c r="J14" i="3"/>
  <c r="V14" i="3"/>
  <c r="J13" i="3"/>
  <c r="V13" i="3"/>
  <c r="J12" i="3"/>
  <c r="V12" i="3"/>
  <c r="J11" i="3"/>
  <c r="V11" i="3"/>
  <c r="J10" i="3"/>
  <c r="V10" i="3"/>
  <c r="J9" i="3"/>
  <c r="V9" i="3"/>
  <c r="J8" i="3"/>
  <c r="V8" i="3"/>
  <c r="J7" i="3"/>
  <c r="V7" i="3"/>
  <c r="J6" i="3"/>
  <c r="V6" i="3"/>
  <c r="J5" i="3"/>
  <c r="V5" i="3"/>
  <c r="J4" i="3"/>
  <c r="V4" i="3"/>
  <c r="J3" i="3"/>
  <c r="V3" i="3"/>
  <c r="H27" i="3"/>
  <c r="U27" i="3"/>
  <c r="H26" i="3"/>
  <c r="U26" i="3"/>
  <c r="H25" i="3"/>
  <c r="U25" i="3"/>
  <c r="H24" i="3"/>
  <c r="U24" i="3"/>
  <c r="H23" i="3"/>
  <c r="U23" i="3"/>
  <c r="H22" i="3"/>
  <c r="U22" i="3"/>
  <c r="H21" i="3"/>
  <c r="U21" i="3"/>
  <c r="H20" i="3"/>
  <c r="U20" i="3"/>
  <c r="H19" i="3"/>
  <c r="U19" i="3"/>
  <c r="H18" i="3"/>
  <c r="U18" i="3"/>
  <c r="H17" i="3"/>
  <c r="U17" i="3"/>
  <c r="H16" i="3"/>
  <c r="U16" i="3"/>
  <c r="H15" i="3"/>
  <c r="U15" i="3"/>
  <c r="H14" i="3"/>
  <c r="U14" i="3"/>
  <c r="H13" i="3"/>
  <c r="U13" i="3"/>
  <c r="H12" i="3"/>
  <c r="U12" i="3"/>
  <c r="H11" i="3"/>
  <c r="U11" i="3"/>
  <c r="H10" i="3"/>
  <c r="U10" i="3"/>
  <c r="H9" i="3"/>
  <c r="U9" i="3"/>
  <c r="H8" i="3"/>
  <c r="U8" i="3"/>
  <c r="H7" i="3"/>
  <c r="U7" i="3"/>
  <c r="H6" i="3"/>
  <c r="U6" i="3"/>
  <c r="H5" i="3"/>
  <c r="U5" i="3"/>
  <c r="H4" i="3"/>
  <c r="U4" i="3"/>
  <c r="H3" i="3"/>
  <c r="U3" i="3"/>
  <c r="F4" i="3"/>
  <c r="T4" i="3"/>
  <c r="F5" i="3"/>
  <c r="T5" i="3"/>
  <c r="F6" i="3"/>
  <c r="T6" i="3"/>
  <c r="F7" i="3"/>
  <c r="T7" i="3"/>
  <c r="F8" i="3"/>
  <c r="T8" i="3"/>
  <c r="F9" i="3"/>
  <c r="T9" i="3"/>
  <c r="F10" i="3"/>
  <c r="T10" i="3"/>
  <c r="F11" i="3"/>
  <c r="T11" i="3"/>
  <c r="F12" i="3"/>
  <c r="T12" i="3"/>
  <c r="F13" i="3"/>
  <c r="T13" i="3"/>
  <c r="F14" i="3"/>
  <c r="T14" i="3"/>
  <c r="F15" i="3"/>
  <c r="T15" i="3"/>
  <c r="F16" i="3"/>
  <c r="T16" i="3"/>
  <c r="F17" i="3"/>
  <c r="T17" i="3"/>
  <c r="F18" i="3"/>
  <c r="T18" i="3"/>
  <c r="F19" i="3"/>
  <c r="T19" i="3"/>
  <c r="F20" i="3"/>
  <c r="T20" i="3"/>
  <c r="F21" i="3"/>
  <c r="T21" i="3"/>
  <c r="F22" i="3"/>
  <c r="T22" i="3"/>
  <c r="F23" i="3"/>
  <c r="T23" i="3"/>
  <c r="F24" i="3"/>
  <c r="T24" i="3"/>
  <c r="F25" i="3"/>
  <c r="T25" i="3"/>
  <c r="F26" i="3"/>
  <c r="T26" i="3"/>
  <c r="F27" i="3"/>
  <c r="T27" i="3"/>
  <c r="F3" i="3"/>
  <c r="T3" i="3"/>
  <c r="D4" i="3"/>
  <c r="S4" i="3"/>
  <c r="D5" i="3"/>
  <c r="Q5" i="3"/>
  <c r="D6" i="3"/>
  <c r="R6" i="3"/>
  <c r="D7" i="3"/>
  <c r="S7" i="3"/>
  <c r="D8" i="3"/>
  <c r="S8" i="3"/>
  <c r="D9" i="3"/>
  <c r="Q9" i="3"/>
  <c r="D10" i="3"/>
  <c r="R10" i="3"/>
  <c r="D11" i="3"/>
  <c r="S11" i="3"/>
  <c r="D12" i="3"/>
  <c r="S12" i="3"/>
  <c r="D13" i="3"/>
  <c r="Q13" i="3"/>
  <c r="D14" i="3"/>
  <c r="R14" i="3"/>
  <c r="D15" i="3"/>
  <c r="S15" i="3"/>
  <c r="D16" i="3"/>
  <c r="S16" i="3"/>
  <c r="D17" i="3"/>
  <c r="Q17" i="3"/>
  <c r="D18" i="3"/>
  <c r="R18" i="3"/>
  <c r="D19" i="3"/>
  <c r="S19" i="3"/>
  <c r="D20" i="3"/>
  <c r="S20" i="3"/>
  <c r="D21" i="3"/>
  <c r="Q21" i="3"/>
  <c r="D22" i="3"/>
  <c r="R22" i="3"/>
  <c r="D23" i="3"/>
  <c r="S23" i="3"/>
  <c r="D24" i="3"/>
  <c r="S24" i="3"/>
  <c r="D25" i="3"/>
  <c r="Q25" i="3"/>
  <c r="D26" i="3"/>
  <c r="R26" i="3"/>
  <c r="D27" i="3"/>
  <c r="S27" i="3"/>
  <c r="D3" i="3"/>
  <c r="D51" i="2"/>
  <c r="C38" i="2"/>
  <c r="O21" i="7"/>
  <c r="Q3" i="3"/>
  <c r="R3" i="3"/>
  <c r="Q26" i="3"/>
  <c r="Q24" i="3"/>
  <c r="Q22" i="3"/>
  <c r="Q20" i="3"/>
  <c r="Q18" i="3"/>
  <c r="Q16" i="3"/>
  <c r="Q14" i="3"/>
  <c r="Q12" i="3"/>
  <c r="Q10" i="3"/>
  <c r="Q8" i="3"/>
  <c r="Q6" i="3"/>
  <c r="Q4" i="3"/>
  <c r="S25" i="3"/>
  <c r="S21" i="3"/>
  <c r="S17" i="3"/>
  <c r="S13" i="3"/>
  <c r="S9" i="3"/>
  <c r="S5" i="3"/>
  <c r="R27" i="3"/>
  <c r="R25" i="3"/>
  <c r="R23" i="3"/>
  <c r="R21" i="3"/>
  <c r="R19" i="3"/>
  <c r="R17" i="3"/>
  <c r="R15" i="3"/>
  <c r="R13" i="3"/>
  <c r="R11" i="3"/>
  <c r="R9" i="3"/>
  <c r="R7" i="3"/>
  <c r="R5" i="3"/>
  <c r="S3" i="3"/>
  <c r="S26" i="3"/>
  <c r="S22" i="3"/>
  <c r="S18" i="3"/>
  <c r="S14" i="3"/>
  <c r="S10" i="3"/>
  <c r="S6" i="3"/>
  <c r="Q27" i="3"/>
  <c r="Q23" i="3"/>
  <c r="Q19" i="3"/>
  <c r="Q15" i="3"/>
  <c r="Q11" i="3"/>
  <c r="Q7" i="3"/>
  <c r="R24" i="3"/>
  <c r="R20" i="3"/>
  <c r="R16" i="3"/>
  <c r="R12" i="3"/>
  <c r="R8" i="3"/>
  <c r="R4" i="3"/>
  <c r="C43" i="2"/>
  <c r="C40" i="2"/>
  <c r="C47" i="2"/>
  <c r="I106" i="7"/>
  <c r="K106" i="7"/>
  <c r="M106" i="7"/>
  <c r="I100" i="7"/>
  <c r="K100" i="7"/>
  <c r="M100" i="7"/>
  <c r="I103" i="7"/>
  <c r="K103" i="7"/>
  <c r="M103" i="7"/>
  <c r="I105" i="7"/>
  <c r="K105" i="7"/>
  <c r="M105" i="7"/>
  <c r="I107" i="7"/>
  <c r="K107" i="7"/>
  <c r="M107" i="7"/>
  <c r="C117" i="7"/>
  <c r="I99" i="7"/>
  <c r="K99" i="7"/>
  <c r="M99" i="7"/>
  <c r="I102" i="7"/>
  <c r="K102" i="7"/>
  <c r="M102" i="7"/>
  <c r="I96" i="7"/>
  <c r="I104" i="7"/>
  <c r="K104" i="7"/>
  <c r="M104" i="7"/>
  <c r="I98" i="7"/>
  <c r="K98" i="7"/>
  <c r="M98" i="7"/>
  <c r="I101" i="7"/>
  <c r="K101" i="7"/>
  <c r="M101" i="7"/>
  <c r="I97" i="7"/>
  <c r="K97" i="7"/>
  <c r="M97" i="7"/>
  <c r="C41" i="2"/>
  <c r="C44" i="2"/>
  <c r="C45" i="2"/>
  <c r="C48" i="2"/>
  <c r="C42" i="2"/>
  <c r="C49" i="2"/>
  <c r="C39" i="2"/>
  <c r="C46" i="2"/>
  <c r="C51" i="2"/>
  <c r="Q77" i="7"/>
  <c r="R77" i="7"/>
  <c r="T77" i="7"/>
  <c r="Q76" i="7"/>
  <c r="R76" i="7"/>
  <c r="T76" i="7"/>
  <c r="Q78" i="7"/>
  <c r="R78" i="7"/>
  <c r="T78" i="7"/>
  <c r="Q69" i="7"/>
  <c r="R69" i="7"/>
  <c r="T69" i="7"/>
  <c r="Q70" i="7"/>
  <c r="R70" i="7"/>
  <c r="T70" i="7"/>
  <c r="Q68" i="7"/>
  <c r="R68" i="7"/>
  <c r="T68" i="7"/>
  <c r="Q67" i="7"/>
  <c r="R67" i="7"/>
  <c r="T67" i="7"/>
  <c r="Q62" i="7"/>
  <c r="R62" i="7"/>
  <c r="T62" i="7"/>
  <c r="Q60" i="7"/>
  <c r="R60" i="7"/>
  <c r="T60" i="7"/>
  <c r="Q61" i="7"/>
  <c r="R61" i="7"/>
  <c r="T61" i="7"/>
  <c r="Q59" i="7"/>
  <c r="R59" i="7"/>
  <c r="T59" i="7"/>
  <c r="Q53" i="7"/>
  <c r="R53" i="7"/>
  <c r="T53" i="7"/>
  <c r="Q54" i="7"/>
  <c r="R54" i="7"/>
  <c r="T54" i="7"/>
  <c r="Q52" i="7"/>
  <c r="R52" i="7"/>
  <c r="T52" i="7"/>
  <c r="Q38" i="7"/>
  <c r="R38" i="7"/>
  <c r="T38" i="7"/>
  <c r="Q37" i="7"/>
  <c r="R37" i="7"/>
  <c r="T37" i="7"/>
  <c r="Q39" i="7"/>
  <c r="R39" i="7"/>
  <c r="T39" i="7"/>
  <c r="Q36" i="7"/>
  <c r="R36" i="7"/>
  <c r="T36" i="7"/>
  <c r="Q46" i="7"/>
  <c r="R46" i="7"/>
  <c r="T46" i="7"/>
  <c r="Q44" i="7"/>
  <c r="R44" i="7"/>
  <c r="T44" i="7"/>
  <c r="Q45" i="7"/>
  <c r="R45" i="7"/>
  <c r="T45" i="7"/>
  <c r="Q43" i="7"/>
  <c r="R43" i="7"/>
  <c r="T43" i="7"/>
  <c r="Q29" i="7"/>
  <c r="R29" i="7"/>
  <c r="T29" i="7"/>
  <c r="Q31" i="7"/>
  <c r="R31" i="7"/>
  <c r="T31" i="7"/>
  <c r="Q30" i="7"/>
  <c r="R30" i="7"/>
  <c r="T30" i="7"/>
  <c r="Q28" i="7"/>
  <c r="R28" i="7"/>
  <c r="T28" i="7"/>
  <c r="Q22" i="7"/>
  <c r="R22" i="7"/>
  <c r="T22" i="7"/>
  <c r="Q23" i="7"/>
  <c r="R23" i="7"/>
  <c r="T23" i="7"/>
  <c r="Q21" i="7"/>
  <c r="R21" i="7"/>
  <c r="T21" i="7"/>
  <c r="Q20" i="7"/>
  <c r="R20" i="7"/>
  <c r="T20" i="7"/>
  <c r="Q15" i="7"/>
  <c r="R15" i="7"/>
  <c r="T15" i="7"/>
  <c r="Q13" i="7"/>
  <c r="R13" i="7"/>
  <c r="T13" i="7"/>
  <c r="Q14" i="7"/>
  <c r="R14" i="7"/>
  <c r="T14" i="7"/>
  <c r="Q12" i="7"/>
  <c r="R12" i="7"/>
  <c r="T12" i="7"/>
  <c r="H32" i="7"/>
  <c r="H16" i="7"/>
  <c r="H40" i="7"/>
  <c r="H79" i="7"/>
  <c r="H63" i="7"/>
  <c r="H71" i="7"/>
  <c r="H24" i="7"/>
  <c r="H47" i="7"/>
  <c r="O75" i="7"/>
  <c r="H55" i="7"/>
  <c r="V44" i="7"/>
  <c r="V52" i="7"/>
  <c r="V60" i="7"/>
  <c r="V68" i="7"/>
  <c r="V76" i="7"/>
  <c r="V84" i="7"/>
  <c r="V92" i="7"/>
  <c r="V43" i="7"/>
  <c r="V51" i="7"/>
  <c r="V59" i="7"/>
  <c r="V67" i="7"/>
  <c r="V75" i="7"/>
  <c r="H8" i="7"/>
  <c r="T8" i="7"/>
  <c r="K96" i="7"/>
  <c r="M96" i="7"/>
  <c r="I108" i="7"/>
  <c r="K108" i="7"/>
  <c r="M108" i="7"/>
  <c r="T71" i="7"/>
  <c r="X71" i="7"/>
  <c r="T40" i="7"/>
  <c r="X40" i="7"/>
  <c r="V83" i="7"/>
  <c r="V91" i="7"/>
  <c r="V82" i="7"/>
  <c r="Q75" i="7"/>
  <c r="R75" i="7"/>
  <c r="T63" i="7"/>
  <c r="T55" i="7"/>
  <c r="X55" i="7"/>
  <c r="T47" i="7"/>
  <c r="X47" i="7"/>
  <c r="T32" i="7"/>
  <c r="X32" i="7"/>
  <c r="T24" i="7"/>
  <c r="X24" i="7"/>
  <c r="R24" i="7"/>
  <c r="T16" i="7"/>
  <c r="X16" i="7"/>
  <c r="X63" i="7"/>
  <c r="X8" i="7"/>
  <c r="R79" i="7"/>
  <c r="T75" i="7"/>
  <c r="T79" i="7"/>
  <c r="X79" i="7"/>
  <c r="V89" i="7"/>
  <c r="V9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 desconhecido</author>
  </authors>
  <commentList>
    <comment ref="B4" authorId="0" shapeId="0" xr:uid="{00000000-0006-0000-0400-000001000000}">
      <text>
        <r>
          <rPr>
            <sz val="10"/>
            <rFont val="Arial"/>
            <family val="2"/>
          </rPr>
          <t xml:space="preserve">iran:
</t>
        </r>
        <r>
          <rPr>
            <sz val="9"/>
            <color rgb="FF000000"/>
            <rFont val="Segoe UI"/>
            <family val="2"/>
            <charset val="1"/>
          </rPr>
          <t>valor de aquisição e ampliação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 desconhecido</author>
  </authors>
  <commentList>
    <comment ref="B3" authorId="0" shapeId="0" xr:uid="{00000000-0006-0000-0500-000001000000}">
      <text>
        <r>
          <rPr>
            <sz val="10"/>
            <rFont val="Arial"/>
            <family val="2"/>
          </rPr>
          <t xml:space="preserve">iran: </t>
        </r>
        <r>
          <rPr>
            <sz val="9"/>
            <color rgb="FF000000"/>
            <rFont val="Segoe UI"/>
            <family val="2"/>
            <charset val="1"/>
          </rPr>
          <t>custo para contratar equipe, pago no primeiro mês (janeiro) junto com salário.</t>
        </r>
      </text>
    </comment>
    <comment ref="C13" authorId="0" shapeId="0" xr:uid="{00000000-0006-0000-0500-000002000000}">
      <text>
        <r>
          <rPr>
            <sz val="10"/>
            <rFont val="Arial"/>
            <family val="2"/>
          </rPr>
          <t xml:space="preserve">iran: </t>
        </r>
        <r>
          <rPr>
            <sz val="9"/>
            <color rgb="FF000000"/>
            <rFont val="Segoe UI"/>
            <family val="2"/>
            <charset val="1"/>
          </rPr>
          <t>custo para contratar equipe, pago no primeiro mês (janeiro) junto com salário.</t>
        </r>
      </text>
    </comment>
  </commentList>
</comments>
</file>

<file path=xl/sharedStrings.xml><?xml version="1.0" encoding="utf-8"?>
<sst xmlns="http://schemas.openxmlformats.org/spreadsheetml/2006/main" count="983" uniqueCount="288">
  <si>
    <t>PROJ INTEG I - GPI -  2024 2</t>
  </si>
  <si>
    <t>Demanda Nacional 2024</t>
  </si>
  <si>
    <t>10 milhoes</t>
  </si>
  <si>
    <t>Previsão do número total de celulares em unidade a serem comercializados no país neste ano corrente.</t>
  </si>
  <si>
    <t>Fonte(s):</t>
  </si>
  <si>
    <t>https://valor.globo.com/publicacoes/especiais/telecomunicacoes/noticia/2024/05/28/venda-de-celular-tem-leve-alta-apos-3-anos-de-queda.ghtml</t>
  </si>
  <si>
    <t>Pesquisa de Preços</t>
  </si>
  <si>
    <t>Aparelho</t>
  </si>
  <si>
    <t>Modelo</t>
  </si>
  <si>
    <t>Preço</t>
  </si>
  <si>
    <t>No Jogo será:</t>
  </si>
  <si>
    <t>iPhone 15 PRO Max 1Tb</t>
  </si>
  <si>
    <t>O Importado mais caro</t>
  </si>
  <si>
    <t>Fonte:</t>
  </si>
  <si>
    <t>https://tecnologia.ig.com.br/2023-09-13/iphone-15-pro-max-celular-mais-caro-brasil-veja-top-5.html.ampstories</t>
  </si>
  <si>
    <t>Galaxy Z Fold 5</t>
  </si>
  <si>
    <t>O Nacional mais caro</t>
  </si>
  <si>
    <t>https://www.oficinadanet.com.br/smartphones/40556-celulares-mais-caros-brasil#:~:text=O%20novo%20Galaxy%20Z%20Fold,Qualcomm%20Snapdragon%208%20Gen%202.</t>
  </si>
  <si>
    <t>O Importado mais barato</t>
  </si>
  <si>
    <t>O Nacional mais barato</t>
  </si>
  <si>
    <t>Obs: ordenar os preços de 1 a 4 por ordem de valor, sendo o 1 mais caro e o 4 mais barato</t>
  </si>
  <si>
    <t>Demografia e dados Sócio-Econômicos</t>
  </si>
  <si>
    <t>População</t>
  </si>
  <si>
    <t>Classes sociais em %</t>
  </si>
  <si>
    <t>A</t>
  </si>
  <si>
    <t>B</t>
  </si>
  <si>
    <t>C</t>
  </si>
  <si>
    <t>D</t>
  </si>
  <si>
    <t>E</t>
  </si>
  <si>
    <t>1) Região Sul</t>
  </si>
  <si>
    <t xml:space="preserve">	29.933.315</t>
  </si>
  <si>
    <t>2) Região Sudeste</t>
  </si>
  <si>
    <t>3) Região Nordeste</t>
  </si>
  <si>
    <t xml:space="preserve">	54.644.582</t>
  </si>
  <si>
    <t xml:space="preserve">4) Região Cento-Oeste </t>
  </si>
  <si>
    <t>5) Região Norte</t>
  </si>
  <si>
    <t>IBGE – Censo Demográfico</t>
  </si>
  <si>
    <t>Obs: Para o desenvolvimento do Planejamento Estratégico da Empresa, pesquisem mais informações que considerarem relevantes!</t>
  </si>
  <si>
    <t>Sazonalidade</t>
  </si>
  <si>
    <t xml:space="preserve">Comportamento de vendas ao longo do ano no varejo. </t>
  </si>
  <si>
    <t>Considerando datas comemorativas e períodos especifícos (janeiro menos circulação de dinheiro e dezembro mais, por exemplo).</t>
  </si>
  <si>
    <t>Mês</t>
  </si>
  <si>
    <t>%</t>
  </si>
  <si>
    <t>Qtde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</si>
  <si>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</si>
  <si>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</si>
  <si>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</si>
  <si>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</si>
  <si>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</si>
  <si>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</si>
  <si>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</si>
  <si>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</si>
  <si>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</si>
  <si>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</si>
  <si>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</si>
  <si>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</si>
  <si>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</si>
  <si>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https://www.ecommercebrasil.com.br/artigos/analise-detalhada-do-mercado-de-smartphones-e-maiores-vendas-de-2023</t>
  </si>
  <si>
    <t>Obs: Ao inserir as porcentagens mensais, a soma deve corresponder a 100% da Demanda!</t>
  </si>
  <si>
    <t>Na coluna Qtde será realizada o cálculo automático sobre o item 1 da pesquisa</t>
  </si>
  <si>
    <t>MARKET SHARE</t>
  </si>
  <si>
    <t>Com estes números pesquisados proponha um valor inicial de Market Share Nacional para a sua Empresa.</t>
  </si>
  <si>
    <t>Empresa:</t>
  </si>
  <si>
    <t>Se já definiu o nome</t>
  </si>
  <si>
    <t>Market Share</t>
  </si>
  <si>
    <t>Obs: No desenvolvimento do Planej. Estratégico vcs definirão em algumas semanas o valor definitivo a ser colocado como objetivo!</t>
  </si>
  <si>
    <t>Resposta do Time</t>
  </si>
  <si>
    <t>grupo</t>
  </si>
  <si>
    <t>bruna</t>
  </si>
  <si>
    <t>david</t>
  </si>
  <si>
    <t xml:space="preserve">lucas </t>
  </si>
  <si>
    <t>leonardo</t>
  </si>
  <si>
    <t>pedro</t>
  </si>
  <si>
    <t>vinicius</t>
  </si>
  <si>
    <t>d</t>
  </si>
  <si>
    <t>b</t>
  </si>
  <si>
    <t>c</t>
  </si>
  <si>
    <t>a</t>
  </si>
  <si>
    <t>RESPOSTA</t>
  </si>
  <si>
    <t>QUESTÃO</t>
  </si>
  <si>
    <t>QTD CERTO TOTAL</t>
  </si>
  <si>
    <t>QTD ERRADO TOTAL</t>
  </si>
  <si>
    <t>GRUPO</t>
  </si>
  <si>
    <t>BRUNA</t>
  </si>
  <si>
    <t>DAVID</t>
  </si>
  <si>
    <t>LUCAS</t>
  </si>
  <si>
    <t>LEONARDO</t>
  </si>
  <si>
    <t>PEDRO</t>
  </si>
  <si>
    <t>VINICIUS</t>
  </si>
  <si>
    <t>(Tudo)</t>
  </si>
  <si>
    <t>Rótulos de Linha</t>
  </si>
  <si>
    <t>Total Geral</t>
  </si>
  <si>
    <t>Soma de GRUPO</t>
  </si>
  <si>
    <t>Smartphone Samsung Galaxy J1</t>
  </si>
  <si>
    <t>https://www.magazineluiza.com.br/smartphone-samsung-galaxy-j1-mini-4g-dual-chip-j105-8gb-tela-4-wi-fi-android-5-1-camera-5mp-anatel/p/ad41g3332e/te/galx/?&amp;seller_id=kgtelecom&amp;utm_source=google&amp;utm_medium=cpc&amp;utm_term=76953&amp;utm_campaign=google_eco_per_ven_pla_tc_sor_3p_te-b&amp;utm_content=&amp;partner_id=76953&amp;gclsrc=aw.ds&amp;gclid=Cj0KCQjw3bm3BhDJARIsAKnHoVUldcVEqvtBRypGn3Zx9BXIUjLh31Ee1T7AR6WA2Qi3Yo_KNrDPjzEaAv01EALw_wcB</t>
  </si>
  <si>
    <t>https://www.magazineluiza.com.br/iphone-12-apple-64gb-branco-tela-61-12mp-ios/p/231147400/te/ip12/</t>
  </si>
  <si>
    <t>iPhone 12 Apple 64GB Branco Tela 6,1” 12MP iOS</t>
  </si>
  <si>
    <t>PsyTech</t>
  </si>
  <si>
    <t>Sistema gerencial</t>
  </si>
  <si>
    <t>Valor de cada modelo</t>
  </si>
  <si>
    <t>Quantos comprado</t>
  </si>
  <si>
    <t xml:space="preserve"> modelo celulares</t>
  </si>
  <si>
    <t>mês:Janeiro</t>
  </si>
  <si>
    <t>total gasto por modelo na compra</t>
  </si>
  <si>
    <t>vendido</t>
  </si>
  <si>
    <t>Lucro</t>
  </si>
  <si>
    <t>estoque</t>
  </si>
  <si>
    <t>Total de revenda</t>
  </si>
  <si>
    <t>lucro total</t>
  </si>
  <si>
    <t>valor medio do frete para o cliente</t>
  </si>
  <si>
    <t xml:space="preserve">Gasto com frete por aparelho ate a empresa </t>
  </si>
  <si>
    <t>mês:Fevereiro</t>
  </si>
  <si>
    <t>mês:Março</t>
  </si>
  <si>
    <t>mês:Abril</t>
  </si>
  <si>
    <t>mês:maio</t>
  </si>
  <si>
    <t>mês:Junho</t>
  </si>
  <si>
    <t>mês:Julho</t>
  </si>
  <si>
    <t>mês:Agosto</t>
  </si>
  <si>
    <t>mês:Setembro</t>
  </si>
  <si>
    <t>mês:Outubro</t>
  </si>
  <si>
    <t>Quantos comprado por modelo</t>
  </si>
  <si>
    <t xml:space="preserve"> Modelo celulares para venda</t>
  </si>
  <si>
    <t>Total gasto por modelo na compra</t>
  </si>
  <si>
    <t>Vendido</t>
  </si>
  <si>
    <t>Valor medio do frete para o cliente</t>
  </si>
  <si>
    <t>Estoque</t>
  </si>
  <si>
    <t xml:space="preserve">Gasto com frete medio por aparelho ate a empresa </t>
  </si>
  <si>
    <t>Valor total vendido de cada modelo</t>
  </si>
  <si>
    <t xml:space="preserve">lucro total mês </t>
  </si>
  <si>
    <t>mês</t>
  </si>
  <si>
    <t>Valor de lucro do mês</t>
  </si>
  <si>
    <t>Custo gerais</t>
  </si>
  <si>
    <t>Valor</t>
  </si>
  <si>
    <t>valor de imposto</t>
  </si>
  <si>
    <t>Valor com imposto</t>
  </si>
  <si>
    <t>Valor sem imposto</t>
  </si>
  <si>
    <t>6,4 a 13%</t>
  </si>
  <si>
    <t>635520 a 1290900</t>
  </si>
  <si>
    <t>VALOR DA FRANQUIA PARA ATUAÇÃO NAS REGIÕES DO BRASIL</t>
  </si>
  <si>
    <t>REGIÃO</t>
  </si>
  <si>
    <t xml:space="preserve">VALOR </t>
  </si>
  <si>
    <t>SUL/SUDESTE</t>
  </si>
  <si>
    <t>NORDESTE</t>
  </si>
  <si>
    <t>NORTE/C.OESTE</t>
  </si>
  <si>
    <t>Franquia</t>
  </si>
  <si>
    <t>CUSTO ARMAZÉM</t>
  </si>
  <si>
    <t>1 LOTE = 5000 CELULARES</t>
  </si>
  <si>
    <t>CAPACIDADE ARMAZÉM Nº LOTES</t>
  </si>
  <si>
    <t xml:space="preserve">AQUISIÇÃO </t>
  </si>
  <si>
    <t>MANUTENÇÃO MENSAL</t>
  </si>
  <si>
    <t>CUSTO EQUIPES FUNCIONÁRIOS</t>
  </si>
  <si>
    <t>1 EQUIPE = 10 FUNCIONÁRIOS</t>
  </si>
  <si>
    <t>CONTRATAÇÃO</t>
  </si>
  <si>
    <t>TREINAMENTO</t>
  </si>
  <si>
    <t>SALÁRIO MENSAL</t>
  </si>
  <si>
    <t>LOGÍSTICA</t>
  </si>
  <si>
    <t>COMERCIAL</t>
  </si>
  <si>
    <t>INFRAESTRUTURA</t>
  </si>
  <si>
    <t>1 EQUIPE LOGÍSTICA MOVIMENTA 10 LOTES</t>
  </si>
  <si>
    <t>1 EQUIPE COMERCIAL VENDE 5 LOTES</t>
  </si>
  <si>
    <t>1 EQUIPE INFRAESTRUTURA INSTALA E MANTÉM 5 ERBs/MÊS</t>
  </si>
  <si>
    <t>VALOR DOS PACOTES DE SERVIÇO</t>
  </si>
  <si>
    <t>MODELO CELULAR</t>
  </si>
  <si>
    <t>VALOR</t>
  </si>
  <si>
    <t>IMPORTADO + CARO</t>
  </si>
  <si>
    <t>NACIONAL + CARO</t>
  </si>
  <si>
    <t>IMPORTADO + BARATO</t>
  </si>
  <si>
    <t>NACIONAL + BARATO</t>
  </si>
  <si>
    <t>POSTO DE ATENDIMENTO (PA)</t>
  </si>
  <si>
    <t>1 PA = 10 ATENDENTES</t>
  </si>
  <si>
    <t>NÍVEL DE SERVIÇO PAs</t>
  </si>
  <si>
    <t>NÍVEL DE OCUPAÇÃO</t>
  </si>
  <si>
    <t>NÍVEL 5</t>
  </si>
  <si>
    <t>&lt; 49%</t>
  </si>
  <si>
    <t>CUSTO MÊS 1 PA</t>
  </si>
  <si>
    <t>NÍVEL 4</t>
  </si>
  <si>
    <t>ENTRE 50 E 64%</t>
  </si>
  <si>
    <t>1 PA ATENDE 27.000 CLIENTES</t>
  </si>
  <si>
    <t>NÍVEL 3</t>
  </si>
  <si>
    <t>ENTRE 65 E 74%</t>
  </si>
  <si>
    <t>NÍVEL 2</t>
  </si>
  <si>
    <t>ENTRE 75 A 89%</t>
  </si>
  <si>
    <t>NÍVEL DE SERVIÇO GERAL É A MÉDIA GERAL ENTRE OS DOIS NÍVEIS DE SERVIÇO</t>
  </si>
  <si>
    <t>NÍVEL 1</t>
  </si>
  <si>
    <t>&gt; 90%</t>
  </si>
  <si>
    <t>ERB (ESTAÇÃO RÁDIO BASE)</t>
  </si>
  <si>
    <t>CUSTO DE INSTALAÇÃO 1 ERB</t>
  </si>
  <si>
    <t>NÍVEL DE SERVIÇO ERBs</t>
  </si>
  <si>
    <t>EXCELENTE</t>
  </si>
  <si>
    <t>&lt; 50%</t>
  </si>
  <si>
    <t>BOM</t>
  </si>
  <si>
    <t>QTDE DE CLIENTES SUPORTADOS POR UMA ERB POR REGIÃO</t>
  </si>
  <si>
    <t>ENTRE 50,01 E 60%</t>
  </si>
  <si>
    <t>REGULAR</t>
  </si>
  <si>
    <t>QTD CELULARES</t>
  </si>
  <si>
    <t>ENTRE 60,01 E 75%</t>
  </si>
  <si>
    <t>RUIM</t>
  </si>
  <si>
    <t>SUL / SUDESTE</t>
  </si>
  <si>
    <t>ENTRE 75,01 A 85%</t>
  </si>
  <si>
    <t>PÉSSIMO</t>
  </si>
  <si>
    <t>&gt; 85,01%</t>
  </si>
  <si>
    <t>CENTRO-OESTE / NORTE</t>
  </si>
  <si>
    <t>Porto Alegre</t>
  </si>
  <si>
    <t>Florianopolis</t>
  </si>
  <si>
    <t>Curitiba</t>
  </si>
  <si>
    <t>Joinville</t>
  </si>
  <si>
    <t>Londrina</t>
  </si>
  <si>
    <t>Caxias do sul</t>
  </si>
  <si>
    <t>São Paulo</t>
  </si>
  <si>
    <t>Rio de janeiro</t>
  </si>
  <si>
    <t>Belo horizonte</t>
  </si>
  <si>
    <t>Vitoria</t>
  </si>
  <si>
    <t>Campinas</t>
  </si>
  <si>
    <t>Duque de caxias</t>
  </si>
  <si>
    <t>Itajuba</t>
  </si>
  <si>
    <t>São josé dos campos</t>
  </si>
  <si>
    <t>Sorocaba</t>
  </si>
  <si>
    <t>Vila velha</t>
  </si>
  <si>
    <t>Uberlândia</t>
  </si>
  <si>
    <t>Juiz de Fora</t>
  </si>
  <si>
    <t xml:space="preserve"> São Luís</t>
  </si>
  <si>
    <t xml:space="preserve"> Teresina</t>
  </si>
  <si>
    <t>Fortaleza</t>
  </si>
  <si>
    <t>Recife</t>
  </si>
  <si>
    <t>Natal</t>
  </si>
  <si>
    <t>Salvador</t>
  </si>
  <si>
    <t xml:space="preserve">Maceio </t>
  </si>
  <si>
    <t>Manaus</t>
  </si>
  <si>
    <t>Belem</t>
  </si>
  <si>
    <t xml:space="preserve">Ananindeua </t>
  </si>
  <si>
    <t>Brasilia</t>
  </si>
  <si>
    <t>Campo grande</t>
  </si>
  <si>
    <t>Goiania</t>
  </si>
  <si>
    <t>Cuiaba</t>
  </si>
  <si>
    <t>Aparecida de Goiânia</t>
  </si>
  <si>
    <t>Sinop</t>
  </si>
  <si>
    <t>investimento inicial</t>
  </si>
  <si>
    <t>Produto</t>
  </si>
  <si>
    <t>ARMAZEM</t>
  </si>
  <si>
    <t>REGIAO</t>
  </si>
  <si>
    <t>AQUISIÇÃO</t>
  </si>
  <si>
    <t>MENSAL</t>
  </si>
  <si>
    <t>SUL</t>
  </si>
  <si>
    <t>SULDESTE</t>
  </si>
  <si>
    <t>NORTE/CENTRO OESTE</t>
  </si>
  <si>
    <t xml:space="preserve">Total INICIAL </t>
  </si>
  <si>
    <t>FRANQUIA</t>
  </si>
  <si>
    <t xml:space="preserve">QUANTIDADE DE EQUIPE </t>
  </si>
  <si>
    <t>mês:Novembro</t>
  </si>
  <si>
    <t>mês:Dezembro</t>
  </si>
  <si>
    <t>PACOTES DE SERVIÇO</t>
  </si>
  <si>
    <t>total investimento inicial</t>
  </si>
  <si>
    <t>Canos</t>
  </si>
  <si>
    <t>Cascavel</t>
  </si>
  <si>
    <t>São Gonçalo</t>
  </si>
  <si>
    <t>Riberão Preto</t>
  </si>
  <si>
    <t>Porto velho</t>
  </si>
  <si>
    <t>Sul/sudeste</t>
  </si>
  <si>
    <t>NORTE/centro oeste</t>
  </si>
  <si>
    <t xml:space="preserve">Valor de vendas </t>
  </si>
  <si>
    <t>Centro-oeste/norte</t>
  </si>
  <si>
    <t>NORTE/Centro-oeste</t>
  </si>
  <si>
    <t xml:space="preserve">vendas nas regioes/ janeiro </t>
  </si>
  <si>
    <t>Valor dos produtos em janeiro</t>
  </si>
  <si>
    <t>Valor dos produtos em Fevereiro</t>
  </si>
  <si>
    <t>vendas nas regioes/ fevereiro</t>
  </si>
  <si>
    <t>Valor dos produtos em março</t>
  </si>
  <si>
    <t>vendas nas regioes/ março</t>
  </si>
  <si>
    <t>Valor dos produtos em Abril</t>
  </si>
  <si>
    <t>vendas nas regioes/Abril</t>
  </si>
  <si>
    <t>Valor dos produtos em Maio</t>
  </si>
  <si>
    <t>vendas nas regioes/maio</t>
  </si>
  <si>
    <t>Valor dos produtos em Junho</t>
  </si>
  <si>
    <t>vendas nas regioes/junho</t>
  </si>
  <si>
    <t>Valor dos produtos em Julho</t>
  </si>
  <si>
    <t>vendas nas regioes/Julho</t>
  </si>
  <si>
    <t>Valor dos produtos em Agosto</t>
  </si>
  <si>
    <t>vendas nas regioes/Agosto</t>
  </si>
  <si>
    <t>Valor dos produtos em setembro</t>
  </si>
  <si>
    <t>vendas nas regioes em setembro</t>
  </si>
  <si>
    <t>Valor dos produtos em outubro</t>
  </si>
  <si>
    <t>vendas nas regioes em outubro</t>
  </si>
  <si>
    <t>Valor dos produtos em novembro</t>
  </si>
  <si>
    <t>vendas nas regioes em novembro</t>
  </si>
  <si>
    <t>Valor dos produtos em dezembro</t>
  </si>
  <si>
    <t>vendas nas regioes dezembro</t>
  </si>
  <si>
    <t>emprestimo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</si>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</sst>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R$&quot;\ #,##0;[Red]\-&quot;R$&quot;\ #,##0"/>
    <numFmt numFmtId="165" formatCode="&quot;R$&quot;\ #,##0.00;[Red]\-&quot;R$&quot;\ #,##0.00"/>
    <numFmt numFmtId="166" formatCode="_-&quot;R$&quot;\ * #,##0.00_-;\-&quot;R$&quot;\ * #,##0.00_-;_-&quot;R$&quot;\ * &quot;-&quot;??_-;_-@_-"/>
    <numFmt numFmtId="167" formatCode="0.0%"/>
    <numFmt numFmtId="168" formatCode="_-[$R$-416]\ * #,##0.00_-;\-[$R$-416]\ * #,##0.00_-;_-[$R$-416]\ * \-??_-;_-@_-"/>
    <numFmt numFmtId="169" formatCode="_-[$R$-416]\ * #,##0.00_-;\-[$R$-416]\ * #,##0.00_-;_-[$R$-416]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Segoe UI"/>
      <family val="2"/>
      <charset val="1"/>
    </font>
    <font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87182226020086"/>
        <bgColor rgb="FFFFD966"/>
      </patternFill>
    </fill>
    <fill>
      <patternFill patternType="solid">
        <fgColor theme="5" tint="0.59987182226020086"/>
        <bgColor rgb="FFFFE699"/>
      </patternFill>
    </fill>
    <fill>
      <patternFill patternType="solid">
        <fgColor theme="6" tint="0.39988402966399123"/>
        <bgColor rgb="FFBDD7EE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4" tint="0.59987182226020086"/>
        <bgColor rgb="FFC9C9C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rgb="FFFFD96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rgb="FFBDD7EE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7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0" fillId="2" borderId="0" xfId="0" applyFill="1"/>
    <xf numFmtId="166" fontId="0" fillId="2" borderId="0" xfId="1" applyFont="1" applyFill="1"/>
    <xf numFmtId="10" fontId="5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1" applyFont="1" applyFill="1"/>
    <xf numFmtId="10" fontId="2" fillId="0" borderId="0" xfId="2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1" fontId="6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2" fillId="0" borderId="0" xfId="0" applyFont="1" applyAlignment="1">
      <alignment horizontal="left"/>
    </xf>
    <xf numFmtId="9" fontId="0" fillId="2" borderId="0" xfId="2" applyFont="1" applyFill="1"/>
    <xf numFmtId="167" fontId="0" fillId="2" borderId="0" xfId="2" applyNumberFormat="1" applyFont="1" applyFill="1"/>
    <xf numFmtId="167" fontId="0" fillId="2" borderId="0" xfId="0" applyNumberFormat="1" applyFill="1"/>
    <xf numFmtId="0" fontId="0" fillId="2" borderId="0" xfId="0" applyFill="1" applyAlignment="1">
      <alignment horizontal="center"/>
    </xf>
    <xf numFmtId="3" fontId="0" fillId="2" borderId="0" xfId="2" applyNumberFormat="1" applyFont="1" applyFill="1" applyAlignment="1">
      <alignment horizontal="center"/>
    </xf>
    <xf numFmtId="0" fontId="0" fillId="3" borderId="0" xfId="0" applyFill="1"/>
    <xf numFmtId="167" fontId="0" fillId="0" borderId="0" xfId="0" applyNumberFormat="1"/>
    <xf numFmtId="0" fontId="7" fillId="0" borderId="0" xfId="3" applyFill="1" applyAlignment="1"/>
    <xf numFmtId="0" fontId="7" fillId="2" borderId="0" xfId="3" applyFill="1" applyAlignment="1"/>
    <xf numFmtId="3" fontId="0" fillId="2" borderId="0" xfId="0" applyNumberFormat="1" applyFill="1" applyAlignment="1">
      <alignment horizontal="center"/>
    </xf>
    <xf numFmtId="167" fontId="0" fillId="2" borderId="0" xfId="2" applyNumberFormat="1" applyFont="1" applyFill="1" applyAlignment="1">
      <alignment horizontal="center"/>
    </xf>
    <xf numFmtId="9" fontId="0" fillId="2" borderId="0" xfId="2" applyFont="1" applyFill="1" applyAlignment="1">
      <alignment horizontal="center"/>
    </xf>
    <xf numFmtId="167" fontId="0" fillId="2" borderId="0" xfId="0" applyNumberForma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66" fontId="0" fillId="0" borderId="1" xfId="1" applyFont="1" applyBorder="1" applyAlignment="1">
      <alignment horizontal="center"/>
    </xf>
    <xf numFmtId="166" fontId="0" fillId="0" borderId="1" xfId="1" applyFont="1" applyBorder="1" applyAlignment="1">
      <alignment horizontal="center" vertical="center"/>
    </xf>
    <xf numFmtId="0" fontId="0" fillId="0" borderId="5" xfId="0" applyBorder="1"/>
    <xf numFmtId="166" fontId="0" fillId="0" borderId="1" xfId="0" applyNumberFormat="1" applyBorder="1"/>
    <xf numFmtId="166" fontId="0" fillId="0" borderId="1" xfId="1" applyFont="1" applyBorder="1" applyAlignment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166" fontId="0" fillId="0" borderId="0" xfId="0" applyNumberFormat="1"/>
    <xf numFmtId="166" fontId="0" fillId="0" borderId="0" xfId="1" applyFont="1" applyBorder="1" applyAlignment="1"/>
    <xf numFmtId="166" fontId="0" fillId="0" borderId="0" xfId="1" applyFont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indent="1"/>
    </xf>
    <xf numFmtId="168" fontId="0" fillId="4" borderId="12" xfId="0" applyNumberForma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indent="1"/>
    </xf>
    <xf numFmtId="168" fontId="0" fillId="4" borderId="11" xfId="0" applyNumberForma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indent="1"/>
    </xf>
    <xf numFmtId="0" fontId="0" fillId="5" borderId="1" xfId="0" applyFill="1" applyBorder="1"/>
    <xf numFmtId="0" fontId="1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6" fontId="0" fillId="5" borderId="1" xfId="1" applyFont="1" applyFill="1" applyBorder="1" applyAlignment="1" applyProtection="1">
      <alignment horizontal="center" vertical="center"/>
    </xf>
    <xf numFmtId="0" fontId="10" fillId="6" borderId="1" xfId="0" applyFont="1" applyFill="1" applyBorder="1" applyAlignment="1">
      <alignment horizontal="left" vertical="center" indent="1"/>
    </xf>
    <xf numFmtId="0" fontId="0" fillId="6" borderId="1" xfId="0" applyFill="1" applyBorder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8"/>
    </xf>
    <xf numFmtId="166" fontId="0" fillId="6" borderId="1" xfId="1" applyFont="1" applyFill="1" applyBorder="1" applyAlignment="1" applyProtection="1">
      <alignment horizontal="center" vertical="center"/>
    </xf>
    <xf numFmtId="0" fontId="10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0" xfId="0" applyFill="1"/>
    <xf numFmtId="0" fontId="0" fillId="7" borderId="12" xfId="0" applyFill="1" applyBorder="1"/>
    <xf numFmtId="0" fontId="10" fillId="7" borderId="12" xfId="0" applyFont="1" applyFill="1" applyBorder="1" applyAlignment="1">
      <alignment horizontal="center" vertical="center"/>
    </xf>
    <xf numFmtId="166" fontId="0" fillId="7" borderId="12" xfId="1" applyFont="1" applyFill="1" applyBorder="1" applyAlignment="1" applyProtection="1"/>
    <xf numFmtId="166" fontId="0" fillId="7" borderId="11" xfId="1" applyFont="1" applyFill="1" applyBorder="1" applyAlignment="1" applyProtection="1"/>
    <xf numFmtId="0" fontId="0" fillId="8" borderId="4" xfId="0" applyFill="1" applyBorder="1" applyAlignment="1">
      <alignment horizontal="left" indent="1"/>
    </xf>
    <xf numFmtId="0" fontId="0" fillId="8" borderId="0" xfId="0" applyFill="1"/>
    <xf numFmtId="0" fontId="10" fillId="8" borderId="0" xfId="0" applyFont="1" applyFill="1" applyAlignment="1">
      <alignment horizontal="center" vertical="center"/>
    </xf>
    <xf numFmtId="0" fontId="0" fillId="8" borderId="12" xfId="0" applyFill="1" applyBorder="1"/>
    <xf numFmtId="0" fontId="0" fillId="8" borderId="0" xfId="0" applyFill="1" applyAlignment="1">
      <alignment horizontal="center" vertical="center"/>
    </xf>
    <xf numFmtId="166" fontId="0" fillId="8" borderId="0" xfId="1" applyFont="1" applyFill="1" applyBorder="1" applyAlignment="1" applyProtection="1"/>
    <xf numFmtId="0" fontId="0" fillId="8" borderId="4" xfId="0" applyFill="1" applyBorder="1"/>
    <xf numFmtId="0" fontId="10" fillId="8" borderId="4" xfId="0" applyFont="1" applyFill="1" applyBorder="1" applyAlignment="1">
      <alignment horizontal="left" indent="1"/>
    </xf>
    <xf numFmtId="0" fontId="0" fillId="8" borderId="0" xfId="0" applyFill="1" applyAlignment="1">
      <alignment horizontal="center"/>
    </xf>
    <xf numFmtId="0" fontId="10" fillId="8" borderId="0" xfId="0" applyFont="1" applyFill="1"/>
    <xf numFmtId="0" fontId="10" fillId="8" borderId="4" xfId="0" applyFont="1" applyFill="1" applyBorder="1" applyAlignment="1">
      <alignment horizontal="center" vertical="center"/>
    </xf>
    <xf numFmtId="3" fontId="0" fillId="8" borderId="0" xfId="0" applyNumberFormat="1" applyFill="1" applyAlignment="1">
      <alignment horizontal="center" vertical="center"/>
    </xf>
    <xf numFmtId="0" fontId="0" fillId="8" borderId="10" xfId="0" applyFill="1" applyBorder="1"/>
    <xf numFmtId="0" fontId="0" fillId="8" borderId="13" xfId="0" applyFill="1" applyBorder="1"/>
    <xf numFmtId="0" fontId="0" fillId="8" borderId="11" xfId="0" applyFill="1" applyBorder="1"/>
    <xf numFmtId="0" fontId="0" fillId="9" borderId="1" xfId="0" applyFill="1" applyBorder="1"/>
    <xf numFmtId="0" fontId="0" fillId="12" borderId="1" xfId="0" applyFill="1" applyBorder="1" applyAlignment="1">
      <alignment horizontal="left" vertical="center" indent="1"/>
    </xf>
    <xf numFmtId="0" fontId="0" fillId="12" borderId="1" xfId="0" applyFill="1" applyBorder="1" applyAlignment="1">
      <alignment vertical="center"/>
    </xf>
    <xf numFmtId="166" fontId="0" fillId="0" borderId="1" xfId="0" applyNumberFormat="1" applyBorder="1" applyAlignment="1">
      <alignment horizontal="center"/>
    </xf>
    <xf numFmtId="166" fontId="0" fillId="13" borderId="1" xfId="1" applyFont="1" applyFill="1" applyBorder="1"/>
    <xf numFmtId="166" fontId="0" fillId="9" borderId="1" xfId="1" applyFont="1" applyFill="1" applyBorder="1"/>
    <xf numFmtId="166" fontId="0" fillId="0" borderId="0" xfId="1" applyFont="1"/>
    <xf numFmtId="0" fontId="0" fillId="11" borderId="0" xfId="0" applyFill="1"/>
    <xf numFmtId="166" fontId="0" fillId="11" borderId="0" xfId="0" applyNumberFormat="1" applyFill="1"/>
    <xf numFmtId="166" fontId="0" fillId="14" borderId="1" xfId="1" applyFont="1" applyFill="1" applyBorder="1" applyAlignment="1" applyProtection="1">
      <alignment horizontal="center" vertical="center"/>
    </xf>
    <xf numFmtId="166" fontId="0" fillId="0" borderId="5" xfId="0" applyNumberFormat="1" applyBorder="1"/>
    <xf numFmtId="0" fontId="10" fillId="6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/>
    <xf numFmtId="0" fontId="10" fillId="15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13" borderId="1" xfId="0" applyFill="1" applyBorder="1"/>
    <xf numFmtId="0" fontId="9" fillId="17" borderId="1" xfId="0" applyFont="1" applyFill="1" applyBorder="1"/>
    <xf numFmtId="166" fontId="9" fillId="17" borderId="1" xfId="1" applyFont="1" applyFill="1" applyBorder="1"/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168" fontId="0" fillId="0" borderId="0" xfId="0" applyNumberFormat="1"/>
    <xf numFmtId="0" fontId="2" fillId="0" borderId="0" xfId="0" applyFont="1" applyAlignment="1">
      <alignment horizontal="left"/>
    </xf>
    <xf numFmtId="0" fontId="7" fillId="0" borderId="0" xfId="3" applyFill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0" fontId="0" fillId="0" borderId="6" xfId="0" applyBorder="1" applyAlignment="1">
      <alignment horizontal="center"/>
    </xf>
    <xf numFmtId="166" fontId="0" fillId="0" borderId="1" xfId="1" applyFont="1" applyBorder="1" applyAlignment="1"/>
    <xf numFmtId="166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1" xfId="1" applyFont="1" applyBorder="1" applyAlignment="1">
      <alignment horizontal="center"/>
    </xf>
    <xf numFmtId="166" fontId="0" fillId="0" borderId="1" xfId="1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0" xfId="0" applyFont="1" applyAlignment="1">
      <alignment horizontal="center"/>
    </xf>
    <xf numFmtId="166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6" fontId="0" fillId="3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0" fillId="0" borderId="0" xfId="1" applyFont="1" applyBorder="1" applyAlignment="1">
      <alignment horizontal="center"/>
    </xf>
    <xf numFmtId="166" fontId="0" fillId="0" borderId="0" xfId="1" applyFont="1" applyAlignment="1">
      <alignment horizontal="center"/>
    </xf>
    <xf numFmtId="16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6" fontId="0" fillId="3" borderId="1" xfId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6" fontId="0" fillId="0" borderId="7" xfId="1" applyFont="1" applyBorder="1" applyAlignment="1">
      <alignment horizontal="center"/>
    </xf>
    <xf numFmtId="166" fontId="0" fillId="0" borderId="8" xfId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5" xfId="1" applyFont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169" fontId="0" fillId="0" borderId="1" xfId="1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9" borderId="2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9" fillId="10" borderId="0" xfId="0" applyFont="1" applyFill="1" applyAlignment="1">
      <alignment horizontal="center"/>
    </xf>
    <xf numFmtId="0" fontId="10" fillId="4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6" fontId="0" fillId="0" borderId="2" xfId="1" applyFont="1" applyBorder="1" applyAlignment="1">
      <alignment horizontal="center" vertical="center"/>
    </xf>
    <xf numFmtId="166" fontId="0" fillId="0" borderId="3" xfId="1" applyFont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4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18" Type="http://schemas.openxmlformats.org/officeDocument/2006/relationships/customXml" Target="../customXml/item2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pivotCacheDefinition" Target="pivotCache/pivotCacheDefinition1.xml" /><Relationship Id="rId1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10" Type="http://schemas.openxmlformats.org/officeDocument/2006/relationships/worksheet" Target="worksheets/sheet10.xml" /><Relationship Id="rId19" Type="http://schemas.openxmlformats.org/officeDocument/2006/relationships/customXml" Target="../customXml/item3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ERRO</a:t>
            </a:r>
            <a:r>
              <a:rPr lang="pt-BR" baseline="0"/>
              <a:t> E ACERTO POR QUESTÃO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DADOS!$Q$2</c:f>
              <c:strCache>
                <c:ptCount val="1"/>
                <c:pt idx="0">
                  <c:v>QTD CERTO 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0B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DADOS!$Q$3:$Q$27</c:f>
              <c:numCache>
                <c:formatCode>General</c:formatCode>
                <c:ptCount val="25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1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5</c:v>
                </c:pt>
                <c:pt idx="21">
                  <c:v>2</c:v>
                </c:pt>
                <c:pt idx="22">
                  <c:v>4</c:v>
                </c:pt>
                <c:pt idx="23">
                  <c:v>1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F-4639-AB95-C1684629996E}"/>
            </c:ext>
          </c:extLst>
        </c:ser>
        <c:ser>
          <c:idx val="1"/>
          <c:order val="1"/>
          <c:tx>
            <c:strRef>
              <c:f>DADOS!$R$2</c:f>
              <c:strCache>
                <c:ptCount val="1"/>
                <c:pt idx="0">
                  <c:v>QTD ERRADO 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DADOS!$R$3:$R$27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6</c:v>
                </c:pt>
                <c:pt idx="14">
                  <c:v>3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  <c:pt idx="21">
                  <c:v>5</c:v>
                </c:pt>
                <c:pt idx="22">
                  <c:v>3</c:v>
                </c:pt>
                <c:pt idx="23">
                  <c:v>6</c:v>
                </c:pt>
                <c:pt idx="2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9F-4639-AB95-C168462999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169408"/>
        <c:axId val="163170944"/>
      </c:barChart>
      <c:catAx>
        <c:axId val="16316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170944"/>
        <c:crosses val="autoZero"/>
        <c:auto val="1"/>
        <c:lblAlgn val="ctr"/>
        <c:lblOffset val="100"/>
        <c:noMultiLvlLbl val="0"/>
      </c:catAx>
      <c:valAx>
        <c:axId val="163170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6316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gerencial .xlsx]GRÁFICO!Tabela dinâmica2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GRÁFICO!$A$9:$A$21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15</c:v>
                </c:pt>
                <c:pt idx="9">
                  <c:v>20</c:v>
                </c:pt>
                <c:pt idx="10">
                  <c:v>21</c:v>
                </c:pt>
                <c:pt idx="11">
                  <c:v>23</c:v>
                </c:pt>
              </c:strCache>
            </c:strRef>
          </c:cat>
          <c:val>
            <c:numRef>
              <c:f>GRÁFICO!$B$9:$B$21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5-42D7-B1B1-9736CEB137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913088"/>
        <c:axId val="163931264"/>
      </c:barChart>
      <c:catAx>
        <c:axId val="1639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931264"/>
        <c:crosses val="autoZero"/>
        <c:auto val="1"/>
        <c:lblAlgn val="ctr"/>
        <c:lblOffset val="100"/>
        <c:noMultiLvlLbl val="0"/>
      </c:catAx>
      <c:valAx>
        <c:axId val="1639312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6391308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91" footer="0.31496062000000091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27</xdr:row>
      <xdr:rowOff>91440</xdr:rowOff>
    </xdr:from>
    <xdr:to>
      <xdr:col>14</xdr:col>
      <xdr:colOff>434340</xdr:colOff>
      <xdr:row>48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151D78-BC31-CA29-26CE-FA0B696F2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17</xdr:col>
      <xdr:colOff>15240</xdr:colOff>
      <xdr:row>72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5201A06-1F45-49C4-85EF-3C7B5F25D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Users/david/AppData/Local/Microsoft/Windows/INetCache/IE/O1QHJHLW/Pesquisa_Inicial_-_Proj_Integr_I__2024_2_2_1_planilha_gasto_1%5b1%5d.xlsx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Borsoi da Costa Lima" refreshedDate="45556.656746064815" createdVersion="8" refreshedVersion="8" minRefreshableVersion="3" recordCount="25" xr:uid="{00000000-000A-0000-FFFF-FFFF00000000}">
  <cacheSource type="worksheet">
    <worksheetSource ref="A2:J27" sheet=".xlsx].xlsx]Planilha1 (2)" r:id="rId2"/>
  </cacheSource>
  <cacheFields count="10">
    <cacheField name="QUESTÃO" numFmtId="0">
      <sharedItems containsSemiMixedTypes="0" containsString="0" containsNumber="1" containsInteger="1" minValue="1" maxValue="25" count="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</sharedItems>
    </cacheField>
    <cacheField name="QTD CERTO TOTAL" numFmtId="0">
      <sharedItems containsSemiMixedTypes="0" containsString="0" containsNumber="1" containsInteger="1" minValue="0" maxValue="7"/>
    </cacheField>
    <cacheField name="QTD ERRADO TOTAL" numFmtId="0">
      <sharedItems containsSemiMixedTypes="0" containsString="0" containsNumber="1" containsInteger="1" minValue="0" maxValue="7"/>
    </cacheField>
    <cacheField name="GRUPO" numFmtId="0">
      <sharedItems containsSemiMixedTypes="0" containsString="0" containsNumber="1" containsInteger="1" minValue="0" maxValue="1"/>
    </cacheField>
    <cacheField name="BRUNA" numFmtId="0">
      <sharedItems containsSemiMixedTypes="0" containsString="0" containsNumber="1" containsInteger="1" minValue="0" maxValue="1" count="2">
        <n v="1"/>
        <n v="0"/>
      </sharedItems>
    </cacheField>
    <cacheField name="DAVID" numFmtId="0">
      <sharedItems containsSemiMixedTypes="0" containsString="0" containsNumber="1" containsInteger="1" minValue="0" maxValue="1" count="2">
        <n v="1"/>
        <n v="0"/>
      </sharedItems>
    </cacheField>
    <cacheField name="LUCAS" numFmtId="0">
      <sharedItems containsSemiMixedTypes="0" containsString="0" containsNumber="1" containsInteger="1" minValue="0" maxValue="1" count="2">
        <n v="1"/>
        <n v="0"/>
      </sharedItems>
    </cacheField>
    <cacheField name="LEONARDO" numFmtId="0">
      <sharedItems containsSemiMixedTypes="0" containsString="0" containsNumber="1" containsInteger="1" minValue="0" maxValue="1" count="2">
        <n v="1"/>
        <n v="0"/>
      </sharedItems>
    </cacheField>
    <cacheField name="PEDRO" numFmtId="0">
      <sharedItems containsSemiMixedTypes="0" containsString="0" containsNumber="1" containsInteger="1" minValue="0" maxValue="1" count="2">
        <n v="1"/>
        <n v="0"/>
      </sharedItems>
    </cacheField>
    <cacheField name="VINICIUS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n v="7"/>
    <n v="0"/>
    <n v="1"/>
    <x v="0"/>
    <x v="0"/>
    <x v="0"/>
    <x v="0"/>
    <x v="0"/>
    <x v="0"/>
  </r>
  <r>
    <x v="1"/>
    <n v="5"/>
    <n v="2"/>
    <n v="1"/>
    <x v="1"/>
    <x v="0"/>
    <x v="0"/>
    <x v="0"/>
    <x v="0"/>
    <x v="1"/>
  </r>
  <r>
    <x v="2"/>
    <n v="5"/>
    <n v="2"/>
    <n v="1"/>
    <x v="0"/>
    <x v="1"/>
    <x v="0"/>
    <x v="0"/>
    <x v="1"/>
    <x v="0"/>
  </r>
  <r>
    <x v="3"/>
    <n v="1"/>
    <n v="6"/>
    <n v="0"/>
    <x v="1"/>
    <x v="0"/>
    <x v="1"/>
    <x v="1"/>
    <x v="1"/>
    <x v="1"/>
  </r>
  <r>
    <x v="4"/>
    <n v="5"/>
    <n v="2"/>
    <n v="1"/>
    <x v="1"/>
    <x v="0"/>
    <x v="1"/>
    <x v="0"/>
    <x v="0"/>
    <x v="0"/>
  </r>
  <r>
    <x v="5"/>
    <n v="2"/>
    <n v="5"/>
    <n v="1"/>
    <x v="1"/>
    <x v="0"/>
    <x v="1"/>
    <x v="1"/>
    <x v="1"/>
    <x v="1"/>
  </r>
  <r>
    <x v="6"/>
    <n v="6"/>
    <n v="1"/>
    <n v="1"/>
    <x v="0"/>
    <x v="0"/>
    <x v="0"/>
    <x v="0"/>
    <x v="0"/>
    <x v="1"/>
  </r>
  <r>
    <x v="7"/>
    <n v="2"/>
    <n v="5"/>
    <n v="0"/>
    <x v="0"/>
    <x v="0"/>
    <x v="1"/>
    <x v="1"/>
    <x v="1"/>
    <x v="1"/>
  </r>
  <r>
    <x v="8"/>
    <n v="3"/>
    <n v="4"/>
    <n v="1"/>
    <x v="1"/>
    <x v="0"/>
    <x v="1"/>
    <x v="1"/>
    <x v="1"/>
    <x v="0"/>
  </r>
  <r>
    <x v="9"/>
    <n v="2"/>
    <n v="5"/>
    <n v="1"/>
    <x v="1"/>
    <x v="1"/>
    <x v="1"/>
    <x v="1"/>
    <x v="0"/>
    <x v="1"/>
  </r>
  <r>
    <x v="10"/>
    <n v="4"/>
    <n v="3"/>
    <n v="1"/>
    <x v="0"/>
    <x v="1"/>
    <x v="0"/>
    <x v="0"/>
    <x v="1"/>
    <x v="1"/>
  </r>
  <r>
    <x v="11"/>
    <n v="5"/>
    <n v="2"/>
    <n v="0"/>
    <x v="0"/>
    <x v="0"/>
    <x v="0"/>
    <x v="0"/>
    <x v="0"/>
    <x v="1"/>
  </r>
  <r>
    <x v="12"/>
    <n v="5"/>
    <n v="2"/>
    <n v="1"/>
    <x v="0"/>
    <x v="0"/>
    <x v="0"/>
    <x v="0"/>
    <x v="1"/>
    <x v="1"/>
  </r>
  <r>
    <x v="13"/>
    <n v="1"/>
    <n v="6"/>
    <n v="0"/>
    <x v="1"/>
    <x v="1"/>
    <x v="1"/>
    <x v="1"/>
    <x v="0"/>
    <x v="1"/>
  </r>
  <r>
    <x v="14"/>
    <n v="4"/>
    <n v="3"/>
    <n v="1"/>
    <x v="1"/>
    <x v="1"/>
    <x v="0"/>
    <x v="0"/>
    <x v="0"/>
    <x v="1"/>
  </r>
  <r>
    <x v="15"/>
    <n v="0"/>
    <n v="7"/>
    <n v="0"/>
    <x v="1"/>
    <x v="1"/>
    <x v="1"/>
    <x v="1"/>
    <x v="1"/>
    <x v="1"/>
  </r>
  <r>
    <x v="16"/>
    <n v="1"/>
    <n v="6"/>
    <n v="1"/>
    <x v="1"/>
    <x v="1"/>
    <x v="1"/>
    <x v="1"/>
    <x v="1"/>
    <x v="1"/>
  </r>
  <r>
    <x v="17"/>
    <n v="2"/>
    <n v="5"/>
    <n v="1"/>
    <x v="1"/>
    <x v="1"/>
    <x v="1"/>
    <x v="1"/>
    <x v="0"/>
    <x v="1"/>
  </r>
  <r>
    <x v="18"/>
    <n v="2"/>
    <n v="5"/>
    <n v="0"/>
    <x v="0"/>
    <x v="1"/>
    <x v="0"/>
    <x v="1"/>
    <x v="1"/>
    <x v="1"/>
  </r>
  <r>
    <x v="19"/>
    <n v="6"/>
    <n v="1"/>
    <n v="1"/>
    <x v="1"/>
    <x v="0"/>
    <x v="0"/>
    <x v="0"/>
    <x v="0"/>
    <x v="0"/>
  </r>
  <r>
    <x v="20"/>
    <n v="5"/>
    <n v="2"/>
    <n v="1"/>
    <x v="0"/>
    <x v="1"/>
    <x v="0"/>
    <x v="0"/>
    <x v="0"/>
    <x v="1"/>
  </r>
  <r>
    <x v="21"/>
    <n v="2"/>
    <n v="5"/>
    <n v="1"/>
    <x v="1"/>
    <x v="1"/>
    <x v="1"/>
    <x v="1"/>
    <x v="1"/>
    <x v="0"/>
  </r>
  <r>
    <x v="22"/>
    <n v="4"/>
    <n v="3"/>
    <n v="1"/>
    <x v="0"/>
    <x v="1"/>
    <x v="1"/>
    <x v="0"/>
    <x v="0"/>
    <x v="1"/>
  </r>
  <r>
    <x v="23"/>
    <n v="1"/>
    <n v="6"/>
    <n v="1"/>
    <x v="1"/>
    <x v="1"/>
    <x v="1"/>
    <x v="1"/>
    <x v="1"/>
    <x v="1"/>
  </r>
  <r>
    <x v="24"/>
    <n v="3"/>
    <n v="4"/>
    <n v="1"/>
    <x v="1"/>
    <x v="0"/>
    <x v="1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8:B21" firstHeaderRow="1" firstDataRow="1" firstDataCol="1" rowPageCount="6" colPageCount="1"/>
  <pivotFields count="10"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showAll="0"/>
    <pivotField dataField="1" showAll="0"/>
    <pivotField axis="axisPage" multipleItemSelectionAllowed="1" showAll="0">
      <items count="3">
        <item x="1"/>
        <item x="0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axis="axisPage" multipleItemSelectionAllowed="1" showAll="0">
      <items count="3">
        <item x="1"/>
        <item x="0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4"/>
    </i>
    <i>
      <x v="6"/>
    </i>
    <i>
      <x v="10"/>
    </i>
    <i>
      <x v="11"/>
    </i>
    <i>
      <x v="12"/>
    </i>
    <i>
      <x v="14"/>
    </i>
    <i>
      <x v="19"/>
    </i>
    <i>
      <x v="20"/>
    </i>
    <i>
      <x v="22"/>
    </i>
    <i t="grand">
      <x/>
    </i>
  </rowItems>
  <colItems count="1">
    <i/>
  </colItems>
  <pageFields count="6">
    <pageField fld="4" hier="-1"/>
    <pageField fld="5" hier="-1"/>
    <pageField fld="9" hier="-1"/>
    <pageField fld="6" hier="-1"/>
    <pageField fld="8" hier="-1"/>
    <pageField fld="7" hier="-1"/>
  </pageFields>
  <dataFields count="1">
    <dataField name="Soma de GRUPO" fld="3" baseField="0" baseItem="0"/>
  </dataFields>
  <chartFormats count="2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ommercebrasil.com.br/artigos/analise-detalhada-do-mercado-de-smartphones-e-maiores-vendas-de-2023" TargetMode="External" /><Relationship Id="rId2" Type="http://schemas.openxmlformats.org/officeDocument/2006/relationships/hyperlink" Target="https://www.oficinadanet.com.br/smartphones/40556-celulares-mais-caros-brasil" TargetMode="External" /><Relationship Id="rId1" Type="http://schemas.openxmlformats.org/officeDocument/2006/relationships/hyperlink" Target="https://tecnologia.ig.com.br/2023-09-13/iphone-15-pro-max-celular-mais-caro-brasil-veja-top-5.html.ampstories" TargetMode="External" /><Relationship Id="rId6" Type="http://schemas.openxmlformats.org/officeDocument/2006/relationships/printerSettings" Target="../printerSettings/printerSettings1.bin" /><Relationship Id="rId5" Type="http://schemas.openxmlformats.org/officeDocument/2006/relationships/hyperlink" Target="https://www.magazineluiza.com.br/iphone-12-apple-64gb-branco-tela-61-12mp-ios/p/231147400/te/ip12/" TargetMode="External" /><Relationship Id="rId4" Type="http://schemas.openxmlformats.org/officeDocument/2006/relationships/hyperlink" Target="https://valor.globo.com/publicacoes/especiais/telecomunicacoes/noticia/2024/05/28/venda-de-celular-tem-leve-alta-apos-3-anos-de-queda.ghtml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 /><Relationship Id="rId1" Type="http://schemas.openxmlformats.org/officeDocument/2006/relationships/vmlDrawing" Target="../drawings/vmlDrawing2.v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B23" sqref="B23"/>
    </sheetView>
  </sheetViews>
  <sheetFormatPr defaultRowHeight="15" x14ac:dyDescent="0.2"/>
  <cols>
    <col min="2" max="2" width="27.7109375" customWidth="1"/>
    <col min="3" max="3" width="47.08203125" customWidth="1"/>
    <col min="4" max="4" width="18.6953125" customWidth="1"/>
    <col min="9" max="9" width="38.60546875" customWidth="1"/>
    <col min="10" max="10" width="43.31640625" customWidth="1"/>
    <col min="11" max="11" width="41.4296875" customWidth="1"/>
    <col min="12" max="12" width="32.5546875" customWidth="1"/>
  </cols>
  <sheetData>
    <row r="1" spans="1:12" x14ac:dyDescent="0.2">
      <c r="B1" s="3" t="s">
        <v>0</v>
      </c>
    </row>
    <row r="2" spans="1:12" x14ac:dyDescent="0.2">
      <c r="B2" s="3"/>
    </row>
    <row r="3" spans="1:12" x14ac:dyDescent="0.2">
      <c r="A3" s="2">
        <v>1</v>
      </c>
      <c r="B3" s="3" t="s">
        <v>1</v>
      </c>
    </row>
    <row r="4" spans="1:12" x14ac:dyDescent="0.2">
      <c r="A4" s="2"/>
      <c r="B4" s="21" t="s">
        <v>2</v>
      </c>
      <c r="C4" t="s">
        <v>3</v>
      </c>
    </row>
    <row r="5" spans="1:12" x14ac:dyDescent="0.2">
      <c r="A5" s="2"/>
      <c r="B5" s="11" t="s">
        <v>4</v>
      </c>
      <c r="C5" s="25" t="s">
        <v>5</v>
      </c>
    </row>
    <row r="6" spans="1:12" x14ac:dyDescent="0.2">
      <c r="C6" s="25"/>
    </row>
    <row r="7" spans="1:12" x14ac:dyDescent="0.2">
      <c r="A7" s="2">
        <v>2</v>
      </c>
      <c r="B7" s="3" t="s">
        <v>6</v>
      </c>
    </row>
    <row r="8" spans="1:12" x14ac:dyDescent="0.2">
      <c r="B8" s="2"/>
      <c r="C8" s="2"/>
      <c r="D8" s="2"/>
      <c r="E8" s="2"/>
    </row>
    <row r="9" spans="1:12" ht="15" customHeight="1" x14ac:dyDescent="0.2">
      <c r="A9" s="2"/>
      <c r="B9" s="1" t="s">
        <v>7</v>
      </c>
      <c r="C9" s="2" t="s">
        <v>8</v>
      </c>
      <c r="D9" s="2" t="s">
        <v>9</v>
      </c>
      <c r="E9" s="16" t="s">
        <v>10</v>
      </c>
    </row>
    <row r="10" spans="1:12" x14ac:dyDescent="0.2">
      <c r="B10" s="2">
        <v>1</v>
      </c>
      <c r="C10" s="6" t="s">
        <v>11</v>
      </c>
      <c r="D10" s="7">
        <v>13999</v>
      </c>
      <c r="E10" s="106" t="s">
        <v>12</v>
      </c>
      <c r="F10" s="106"/>
      <c r="G10" s="106"/>
      <c r="H10" s="3" t="s">
        <v>13</v>
      </c>
      <c r="I10" s="107" t="s">
        <v>14</v>
      </c>
      <c r="J10" s="107"/>
      <c r="K10" s="107"/>
      <c r="L10" s="107"/>
    </row>
    <row r="11" spans="1:12" ht="15" customHeight="1" x14ac:dyDescent="0.2">
      <c r="B11" s="1">
        <v>2</v>
      </c>
      <c r="C11" s="6" t="s">
        <v>15</v>
      </c>
      <c r="D11" s="7">
        <v>15799</v>
      </c>
      <c r="E11" s="106" t="s">
        <v>16</v>
      </c>
      <c r="F11" s="106"/>
      <c r="G11" s="106"/>
      <c r="H11" s="3" t="s">
        <v>13</v>
      </c>
      <c r="I11" s="107" t="s">
        <v>17</v>
      </c>
      <c r="J11" s="107"/>
      <c r="K11" s="107"/>
      <c r="L11" s="107"/>
    </row>
    <row r="12" spans="1:12" ht="16.5" x14ac:dyDescent="0.2">
      <c r="B12" s="1">
        <v>3</v>
      </c>
      <c r="C12" s="6" t="s">
        <v>96</v>
      </c>
      <c r="D12" s="7">
        <v>2799</v>
      </c>
      <c r="E12" s="106" t="s">
        <v>18</v>
      </c>
      <c r="F12" s="106"/>
      <c r="G12" s="106"/>
      <c r="H12" s="3" t="s">
        <v>13</v>
      </c>
      <c r="I12" s="107" t="s">
        <v>95</v>
      </c>
      <c r="J12" s="107"/>
      <c r="K12" s="107"/>
      <c r="L12" s="107"/>
    </row>
    <row r="13" spans="1:12" ht="16.5" x14ac:dyDescent="0.2">
      <c r="B13" s="1">
        <v>4</v>
      </c>
      <c r="C13" s="6" t="s">
        <v>93</v>
      </c>
      <c r="D13" s="7">
        <v>459</v>
      </c>
      <c r="E13" s="106" t="s">
        <v>19</v>
      </c>
      <c r="F13" s="106"/>
      <c r="G13" s="106"/>
      <c r="H13" s="3" t="s">
        <v>13</v>
      </c>
      <c r="I13" s="107" t="s">
        <v>94</v>
      </c>
      <c r="J13" s="107"/>
      <c r="K13" s="107"/>
      <c r="L13" s="107"/>
    </row>
    <row r="14" spans="1:12" ht="16.5" x14ac:dyDescent="0.2">
      <c r="B14" s="1"/>
      <c r="D14" s="10"/>
      <c r="E14" s="3"/>
    </row>
    <row r="15" spans="1:12" x14ac:dyDescent="0.2">
      <c r="B15" t="s">
        <v>20</v>
      </c>
    </row>
    <row r="17" spans="1:11" x14ac:dyDescent="0.2">
      <c r="A17" s="2">
        <v>3</v>
      </c>
      <c r="B17" s="3" t="s">
        <v>21</v>
      </c>
    </row>
    <row r="18" spans="1:11" x14ac:dyDescent="0.2">
      <c r="C18" t="s">
        <v>22</v>
      </c>
      <c r="D18" t="s">
        <v>23</v>
      </c>
      <c r="E18" s="9" t="s">
        <v>24</v>
      </c>
      <c r="F18" s="9" t="s">
        <v>25</v>
      </c>
      <c r="G18" s="9" t="s">
        <v>26</v>
      </c>
      <c r="H18" s="9" t="s">
        <v>27</v>
      </c>
      <c r="I18" s="9" t="s">
        <v>28</v>
      </c>
    </row>
    <row r="19" spans="1:11" x14ac:dyDescent="0.2">
      <c r="B19" t="s">
        <v>29</v>
      </c>
      <c r="C19" s="20" t="s">
        <v>30</v>
      </c>
      <c r="E19" s="18">
        <v>0.04</v>
      </c>
      <c r="F19" s="18">
        <v>0.15</v>
      </c>
      <c r="G19" s="18">
        <v>0.45</v>
      </c>
      <c r="H19" s="18">
        <v>0.25</v>
      </c>
      <c r="I19" s="27">
        <v>0.2</v>
      </c>
      <c r="J19" s="23"/>
    </row>
    <row r="20" spans="1:11" x14ac:dyDescent="0.2">
      <c r="C20" s="9"/>
      <c r="I20" s="9"/>
    </row>
    <row r="21" spans="1:11" x14ac:dyDescent="0.2">
      <c r="B21" t="s">
        <v>31</v>
      </c>
      <c r="C21" s="26">
        <v>84847187</v>
      </c>
      <c r="E21" s="17">
        <v>0.05</v>
      </c>
      <c r="F21" s="17">
        <v>0.2</v>
      </c>
      <c r="G21" s="17">
        <v>0.45</v>
      </c>
      <c r="H21" s="17">
        <v>0.25</v>
      </c>
      <c r="I21" s="28">
        <v>0.15</v>
      </c>
    </row>
    <row r="22" spans="1:11" x14ac:dyDescent="0.2">
      <c r="C22" s="9"/>
      <c r="I22" s="9"/>
    </row>
    <row r="23" spans="1:11" x14ac:dyDescent="0.2">
      <c r="B23" t="s">
        <v>32</v>
      </c>
      <c r="C23" s="20" t="s">
        <v>33</v>
      </c>
      <c r="E23" s="19">
        <v>0.02</v>
      </c>
      <c r="F23" s="19">
        <v>0.08</v>
      </c>
      <c r="G23" s="19">
        <v>0.4</v>
      </c>
      <c r="H23" s="19">
        <v>0.35</v>
      </c>
      <c r="I23" s="29">
        <v>0.25</v>
      </c>
      <c r="J23" s="23"/>
    </row>
    <row r="24" spans="1:11" x14ac:dyDescent="0.2">
      <c r="C24" s="9"/>
      <c r="I24" s="9"/>
    </row>
    <row r="25" spans="1:11" x14ac:dyDescent="0.2">
      <c r="B25" t="s">
        <v>34</v>
      </c>
      <c r="C25" s="26">
        <v>16287809</v>
      </c>
      <c r="E25" s="18">
        <v>0.03</v>
      </c>
      <c r="F25" s="18">
        <v>0.15</v>
      </c>
      <c r="G25" s="18">
        <v>0.45</v>
      </c>
      <c r="H25" s="18">
        <v>0.25</v>
      </c>
      <c r="I25" s="27">
        <v>0.2</v>
      </c>
      <c r="J25" s="23"/>
    </row>
    <row r="26" spans="1:11" x14ac:dyDescent="0.2">
      <c r="C26" s="9"/>
      <c r="I26" s="9"/>
    </row>
    <row r="27" spans="1:11" x14ac:dyDescent="0.2">
      <c r="B27" t="s">
        <v>35</v>
      </c>
      <c r="C27" s="26">
        <v>17349619</v>
      </c>
      <c r="E27" s="19">
        <v>0.02</v>
      </c>
      <c r="F27" s="19">
        <v>0.1</v>
      </c>
      <c r="G27" s="19">
        <v>0.4</v>
      </c>
      <c r="H27" s="19">
        <v>0.35</v>
      </c>
      <c r="I27" s="29">
        <v>0.25</v>
      </c>
    </row>
    <row r="28" spans="1:11" x14ac:dyDescent="0.2">
      <c r="E28" s="22"/>
      <c r="F28" s="22"/>
      <c r="G28" s="22"/>
      <c r="H28" s="22"/>
      <c r="I28" s="22"/>
      <c r="J28" s="22"/>
      <c r="K28" s="22"/>
    </row>
    <row r="29" spans="1:11" x14ac:dyDescent="0.2">
      <c r="B29" s="3" t="s">
        <v>4</v>
      </c>
      <c r="C29" s="6" t="s">
        <v>36</v>
      </c>
    </row>
    <row r="30" spans="1:11" x14ac:dyDescent="0.2">
      <c r="B30" s="3"/>
      <c r="C30" s="6"/>
      <c r="D30" s="24"/>
      <c r="E30" s="24"/>
      <c r="F30" s="24"/>
      <c r="G30" s="24"/>
      <c r="H30" s="24"/>
      <c r="I30" s="24"/>
      <c r="J30" s="24"/>
      <c r="K30" s="24"/>
    </row>
    <row r="32" spans="1:11" x14ac:dyDescent="0.2">
      <c r="B32" t="s">
        <v>37</v>
      </c>
    </row>
    <row r="34" spans="1:4" x14ac:dyDescent="0.2">
      <c r="A34" s="2">
        <v>4</v>
      </c>
      <c r="B34" s="3" t="s">
        <v>38</v>
      </c>
      <c r="C34" t="s">
        <v>39</v>
      </c>
    </row>
    <row r="35" spans="1:4" x14ac:dyDescent="0.2">
      <c r="A35" s="2"/>
      <c r="C35" t="s">
        <v>40</v>
      </c>
    </row>
    <row r="36" spans="1:4" x14ac:dyDescent="0.2">
      <c r="B36" s="4" t="s">
        <v>41</v>
      </c>
      <c r="C36" s="4" t="s">
        <v>42</v>
      </c>
      <c r="D36" s="9" t="s">
        <v>43</v>
      </c>
    </row>
    <row r="37" spans="1:4" x14ac:dyDescent="0.2">
      <c r="B37" s="4"/>
      <c r="C37" s="4"/>
    </row>
    <row r="38" spans="1:4" x14ac:dyDescent="0.2">
      <c r="B38" s="4" t="s">
        <v>44</v>
      </c>
      <c r="C38" s="8">
        <f>D38/D51</f>
        <v>9.3655589123867067E-2</v>
      </c>
      <c r="D38" s="14">
        <v>930000</v>
      </c>
    </row>
    <row r="39" spans="1:4" x14ac:dyDescent="0.2">
      <c r="B39" s="4" t="s">
        <v>45</v>
      </c>
      <c r="C39" s="8">
        <f>D39/D51</f>
        <v>8.0563947633434038E-2</v>
      </c>
      <c r="D39" s="14">
        <v>800000</v>
      </c>
    </row>
    <row r="40" spans="1:4" x14ac:dyDescent="0.2">
      <c r="B40" s="4" t="s">
        <v>46</v>
      </c>
      <c r="C40" s="8">
        <f>D40/D51</f>
        <v>8.559919436052367E-2</v>
      </c>
      <c r="D40" s="14">
        <v>850000</v>
      </c>
    </row>
    <row r="41" spans="1:4" x14ac:dyDescent="0.2">
      <c r="B41" s="4" t="s">
        <v>47</v>
      </c>
      <c r="C41" s="8">
        <f>D41/D51</f>
        <v>8.0563947633434038E-2</v>
      </c>
      <c r="D41" s="14">
        <v>800000</v>
      </c>
    </row>
    <row r="42" spans="1:4" x14ac:dyDescent="0.2">
      <c r="B42" s="4" t="s">
        <v>48</v>
      </c>
      <c r="C42" s="8">
        <f>D42/D51</f>
        <v>9.0634441087613288E-2</v>
      </c>
      <c r="D42" s="14">
        <v>900000</v>
      </c>
    </row>
    <row r="43" spans="1:4" x14ac:dyDescent="0.2">
      <c r="B43" s="4" t="s">
        <v>49</v>
      </c>
      <c r="C43" s="8">
        <f>D43/D51</f>
        <v>8.4592145015105744E-2</v>
      </c>
      <c r="D43" s="14">
        <v>840000</v>
      </c>
    </row>
    <row r="44" spans="1:4" x14ac:dyDescent="0.2">
      <c r="B44" s="4" t="s">
        <v>50</v>
      </c>
      <c r="C44" s="8">
        <f>D44/D51</f>
        <v>8.0563947633434038E-2</v>
      </c>
      <c r="D44" s="14">
        <v>800000</v>
      </c>
    </row>
    <row r="45" spans="1:4" x14ac:dyDescent="0.2">
      <c r="B45" s="4" t="s">
        <v>51</v>
      </c>
      <c r="C45" s="8">
        <f>D45/D51</f>
        <v>8.0563947633434038E-2</v>
      </c>
      <c r="D45" s="14">
        <v>800000</v>
      </c>
    </row>
    <row r="46" spans="1:4" x14ac:dyDescent="0.2">
      <c r="B46" s="4" t="s">
        <v>52</v>
      </c>
      <c r="C46" s="8">
        <f>D46/D51</f>
        <v>7.452165156092648E-2</v>
      </c>
      <c r="D46" s="14">
        <v>740000</v>
      </c>
    </row>
    <row r="47" spans="1:4" x14ac:dyDescent="0.2">
      <c r="B47" s="4" t="s">
        <v>53</v>
      </c>
      <c r="C47" s="8">
        <f>D47/D51</f>
        <v>6.0422960725075532E-2</v>
      </c>
      <c r="D47" s="14">
        <v>600000</v>
      </c>
    </row>
    <row r="48" spans="1:4" x14ac:dyDescent="0.2">
      <c r="B48" s="4" t="s">
        <v>54</v>
      </c>
      <c r="C48" s="8">
        <f>D48/D51</f>
        <v>0.10574018126888217</v>
      </c>
      <c r="D48" s="14">
        <v>1050000</v>
      </c>
    </row>
    <row r="49" spans="1:4" x14ac:dyDescent="0.2">
      <c r="B49" s="4" t="s">
        <v>55</v>
      </c>
      <c r="C49" s="8">
        <f>D49/D51</f>
        <v>8.2578046324269891E-2</v>
      </c>
      <c r="D49" s="14">
        <v>820000</v>
      </c>
    </row>
    <row r="51" spans="1:4" x14ac:dyDescent="0.2">
      <c r="B51" s="4" t="s">
        <v>56</v>
      </c>
      <c r="C51" s="5">
        <f>SUM(C38:C49)</f>
        <v>1</v>
      </c>
      <c r="D51" s="13">
        <f>SUM(D38:D49)</f>
        <v>9930000</v>
      </c>
    </row>
    <row r="53" spans="1:4" x14ac:dyDescent="0.2">
      <c r="B53" s="12" t="s">
        <v>4</v>
      </c>
      <c r="C53" s="25" t="s">
        <v>57</v>
      </c>
    </row>
    <row r="54" spans="1:4" x14ac:dyDescent="0.2">
      <c r="B54" s="12"/>
      <c r="C54" s="25"/>
    </row>
    <row r="55" spans="1:4" x14ac:dyDescent="0.2">
      <c r="B55" s="12"/>
      <c r="C55" s="25"/>
    </row>
    <row r="56" spans="1:4" x14ac:dyDescent="0.2">
      <c r="B56" s="12"/>
      <c r="C56" s="25"/>
    </row>
    <row r="58" spans="1:4" x14ac:dyDescent="0.2">
      <c r="B58" t="s">
        <v>58</v>
      </c>
    </row>
    <row r="59" spans="1:4" x14ac:dyDescent="0.2">
      <c r="B59" t="s">
        <v>59</v>
      </c>
    </row>
    <row r="61" spans="1:4" x14ac:dyDescent="0.2">
      <c r="A61" s="2">
        <v>5</v>
      </c>
      <c r="B61" s="3" t="s">
        <v>60</v>
      </c>
    </row>
    <row r="63" spans="1:4" x14ac:dyDescent="0.2">
      <c r="B63" t="s">
        <v>61</v>
      </c>
    </row>
    <row r="64" spans="1:4" x14ac:dyDescent="0.2">
      <c r="B64" t="s">
        <v>62</v>
      </c>
    </row>
    <row r="65" spans="2:3" x14ac:dyDescent="0.2">
      <c r="B65" s="20" t="s">
        <v>97</v>
      </c>
      <c r="C65" t="s">
        <v>63</v>
      </c>
    </row>
    <row r="67" spans="2:3" x14ac:dyDescent="0.2">
      <c r="B67" s="15" t="s">
        <v>136</v>
      </c>
      <c r="C67" t="s">
        <v>64</v>
      </c>
    </row>
    <row r="68" spans="2:3" x14ac:dyDescent="0.2">
      <c r="B68" s="15" t="s">
        <v>137</v>
      </c>
    </row>
    <row r="70" spans="2:3" x14ac:dyDescent="0.2">
      <c r="B70" t="s">
        <v>65</v>
      </c>
    </row>
  </sheetData>
  <mergeCells count="8">
    <mergeCell ref="E10:G10"/>
    <mergeCell ref="E11:G11"/>
    <mergeCell ref="E12:G12"/>
    <mergeCell ref="E13:G13"/>
    <mergeCell ref="I10:L10"/>
    <mergeCell ref="I11:L11"/>
    <mergeCell ref="I12:L12"/>
    <mergeCell ref="I13:L13"/>
  </mergeCells>
  <hyperlinks>
    <hyperlink ref="I10" r:id="rId1" xr:uid="{00000000-0004-0000-0000-000000000000}"/>
    <hyperlink ref="I11" r:id="rId2" location=":~:text=O%20novo%20Galaxy%20Z%20Fold,Qualcomm%20Snapdragon%208%20Gen%202." xr:uid="{00000000-0004-0000-0000-000001000000}"/>
    <hyperlink ref="C53" r:id="rId3" xr:uid="{00000000-0004-0000-0000-000002000000}"/>
    <hyperlink ref="C5" r:id="rId4" xr:uid="{00000000-0004-0000-0000-000003000000}"/>
    <hyperlink ref="I13" display="https://www.magazineluiza.com.br/smartphone-samsung-galaxy-j1-mini-4g-dual-chip-j105-8gb-tela-4-wi-fi-android-5-1-camera-5mp-anatel/p/ad41g3332e/te/galx/?&amp;seller_id=kgtelecom&amp;utm_source=google&amp;utm_medium=cpc&amp;utm_term=76953&amp;utm_campaign=google_eco_per_ven_" xr:uid="{00000000-0004-0000-0000-000004000000}"/>
    <hyperlink ref="I12" r:id="rId5" xr:uid="{00000000-0004-0000-0000-000005000000}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9"/>
  <sheetViews>
    <sheetView tabSelected="1" workbookViewId="0">
      <selection activeCell="M108" sqref="M108:N108"/>
    </sheetView>
  </sheetViews>
  <sheetFormatPr defaultRowHeight="15" x14ac:dyDescent="0.2"/>
  <cols>
    <col min="1" max="1" width="13.98828125" customWidth="1"/>
    <col min="2" max="2" width="26.36328125" customWidth="1"/>
    <col min="4" max="4" width="14.9296875" customWidth="1"/>
    <col min="6" max="6" width="19.90625" customWidth="1"/>
    <col min="7" max="7" width="47.484375" bestFit="1" customWidth="1"/>
    <col min="8" max="8" width="30.40234375" customWidth="1"/>
    <col min="9" max="10" width="13.98828125" customWidth="1"/>
    <col min="13" max="13" width="13.98828125" customWidth="1"/>
    <col min="14" max="15" width="17.890625" customWidth="1"/>
    <col min="16" max="16" width="20.04296875" bestFit="1" customWidth="1"/>
    <col min="17" max="17" width="17.890625" customWidth="1"/>
    <col min="21" max="21" width="24.078125" customWidth="1"/>
    <col min="25" max="25" width="17.75390625" customWidth="1"/>
  </cols>
  <sheetData>
    <row r="1" spans="1:33" x14ac:dyDescent="0.2">
      <c r="A1" s="117" t="s">
        <v>98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</row>
    <row r="2" spans="1:33" x14ac:dyDescent="0.2">
      <c r="A2" s="110" t="s">
        <v>102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</row>
    <row r="3" spans="1:33" x14ac:dyDescent="0.2">
      <c r="A3" s="110" t="s">
        <v>101</v>
      </c>
      <c r="B3" s="110"/>
      <c r="C3" s="110" t="s">
        <v>99</v>
      </c>
      <c r="D3" s="110"/>
      <c r="E3" s="110" t="s">
        <v>100</v>
      </c>
      <c r="F3" s="110"/>
      <c r="G3" s="32" t="s">
        <v>126</v>
      </c>
      <c r="H3" s="32" t="s">
        <v>103</v>
      </c>
      <c r="I3" s="110" t="s">
        <v>104</v>
      </c>
      <c r="J3" s="110"/>
      <c r="K3" s="110" t="s">
        <v>105</v>
      </c>
      <c r="L3" s="110"/>
      <c r="M3" s="110" t="s">
        <v>109</v>
      </c>
      <c r="N3" s="110"/>
      <c r="O3" s="32" t="s">
        <v>135</v>
      </c>
      <c r="P3" s="32" t="s">
        <v>250</v>
      </c>
      <c r="Q3" s="32" t="s">
        <v>133</v>
      </c>
      <c r="R3" s="110" t="s">
        <v>134</v>
      </c>
      <c r="S3" s="110"/>
      <c r="T3" s="108" t="s">
        <v>127</v>
      </c>
      <c r="U3" s="109"/>
      <c r="V3" s="110" t="s">
        <v>106</v>
      </c>
      <c r="W3" s="110"/>
    </row>
    <row r="4" spans="1:33" x14ac:dyDescent="0.2">
      <c r="A4" s="137" t="s">
        <v>11</v>
      </c>
      <c r="B4" s="138"/>
      <c r="C4" s="127">
        <v>8569.31</v>
      </c>
      <c r="D4" s="127"/>
      <c r="E4" s="128">
        <v>9858</v>
      </c>
      <c r="F4" s="128"/>
      <c r="G4" s="34">
        <v>16.23</v>
      </c>
      <c r="H4" s="33">
        <f>(C4*E4)+G4</f>
        <v>84476274.209999993</v>
      </c>
      <c r="I4" s="128">
        <v>9858</v>
      </c>
      <c r="J4" s="128"/>
      <c r="K4" s="118">
        <f>C4*0.07</f>
        <v>599.85170000000005</v>
      </c>
      <c r="L4" s="118"/>
      <c r="M4" s="119">
        <v>0</v>
      </c>
      <c r="N4" s="119"/>
      <c r="O4" s="34">
        <f>M4+K4+C4</f>
        <v>9169.1616999999987</v>
      </c>
      <c r="P4" s="34">
        <v>219.9</v>
      </c>
      <c r="Q4" s="34">
        <f>O4*40%</f>
        <v>3667.6646799999999</v>
      </c>
      <c r="R4" s="119">
        <f>Q4+O4+(P4*12)</f>
        <v>15475.626379999998</v>
      </c>
      <c r="S4" s="119"/>
      <c r="T4" s="114">
        <f t="shared" ref="T4:T7" si="0">I4*R4</f>
        <v>152558724.85403997</v>
      </c>
      <c r="U4" s="109"/>
      <c r="V4" s="110">
        <f t="shared" ref="V4:V7" si="1">E4-I4</f>
        <v>0</v>
      </c>
      <c r="W4" s="110"/>
    </row>
    <row r="5" spans="1:33" x14ac:dyDescent="0.2">
      <c r="A5" s="137" t="s">
        <v>15</v>
      </c>
      <c r="B5" s="138"/>
      <c r="C5" s="127">
        <v>7000</v>
      </c>
      <c r="D5" s="127"/>
      <c r="E5" s="128">
        <v>8267</v>
      </c>
      <c r="F5" s="128"/>
      <c r="G5" s="34">
        <v>16.23</v>
      </c>
      <c r="H5" s="33">
        <f t="shared" ref="H5:H7" si="2">(C5*E5)+G5</f>
        <v>57869016.229999997</v>
      </c>
      <c r="I5" s="128">
        <v>8267</v>
      </c>
      <c r="J5" s="128"/>
      <c r="K5" s="118">
        <f t="shared" ref="K5:K7" si="3">C5*0.07</f>
        <v>490.00000000000006</v>
      </c>
      <c r="L5" s="118"/>
      <c r="M5" s="119">
        <v>0</v>
      </c>
      <c r="N5" s="119"/>
      <c r="O5" s="34">
        <f t="shared" ref="O5:O7" si="4">M5+K5+C5</f>
        <v>7490</v>
      </c>
      <c r="P5" s="34">
        <v>149.9</v>
      </c>
      <c r="Q5" s="34">
        <f>O5*30%</f>
        <v>2247</v>
      </c>
      <c r="R5" s="119">
        <f t="shared" ref="R5:R7" si="5">Q5+O5+(P5*12)</f>
        <v>11535.8</v>
      </c>
      <c r="S5" s="119"/>
      <c r="T5" s="131">
        <f t="shared" si="0"/>
        <v>95366458.599999994</v>
      </c>
      <c r="U5" s="132"/>
      <c r="V5" s="110">
        <f t="shared" si="1"/>
        <v>0</v>
      </c>
      <c r="W5" s="110"/>
    </row>
    <row r="6" spans="1:33" ht="36.75" customHeight="1" x14ac:dyDescent="0.2">
      <c r="A6" s="140" t="s">
        <v>96</v>
      </c>
      <c r="B6" s="141"/>
      <c r="C6" s="136">
        <v>4017.78</v>
      </c>
      <c r="D6" s="136"/>
      <c r="E6" s="128">
        <v>14079</v>
      </c>
      <c r="F6" s="128"/>
      <c r="G6" s="34">
        <v>16.23</v>
      </c>
      <c r="H6" s="33">
        <f t="shared" si="2"/>
        <v>56566340.850000001</v>
      </c>
      <c r="I6" s="128">
        <v>14079</v>
      </c>
      <c r="J6" s="128"/>
      <c r="K6" s="118">
        <f t="shared" si="3"/>
        <v>281.24460000000005</v>
      </c>
      <c r="L6" s="118"/>
      <c r="M6" s="119">
        <v>0</v>
      </c>
      <c r="N6" s="119"/>
      <c r="O6" s="34">
        <f t="shared" si="4"/>
        <v>4299.0246000000006</v>
      </c>
      <c r="P6" s="34">
        <v>99.9</v>
      </c>
      <c r="Q6" s="34">
        <f>O6*40%</f>
        <v>1719.6098400000003</v>
      </c>
      <c r="R6" s="119">
        <f t="shared" si="5"/>
        <v>7217.4344400000009</v>
      </c>
      <c r="S6" s="119"/>
      <c r="T6" s="131">
        <f t="shared" si="0"/>
        <v>101614259.48076001</v>
      </c>
      <c r="U6" s="132"/>
      <c r="V6" s="110">
        <f t="shared" si="1"/>
        <v>0</v>
      </c>
      <c r="W6" s="110"/>
    </row>
    <row r="7" spans="1:33" x14ac:dyDescent="0.2">
      <c r="A7" s="137" t="s">
        <v>93</v>
      </c>
      <c r="B7" s="138"/>
      <c r="C7" s="127">
        <v>459</v>
      </c>
      <c r="D7" s="127"/>
      <c r="E7" s="128">
        <v>14678</v>
      </c>
      <c r="F7" s="128"/>
      <c r="G7" s="34">
        <v>16.23</v>
      </c>
      <c r="H7" s="33">
        <f t="shared" si="2"/>
        <v>6737218.2300000004</v>
      </c>
      <c r="I7" s="128">
        <v>14678</v>
      </c>
      <c r="J7" s="128"/>
      <c r="K7" s="118">
        <f t="shared" si="3"/>
        <v>32.130000000000003</v>
      </c>
      <c r="L7" s="118"/>
      <c r="M7" s="119">
        <v>0</v>
      </c>
      <c r="N7" s="119"/>
      <c r="O7" s="34">
        <f t="shared" si="4"/>
        <v>491.13</v>
      </c>
      <c r="P7" s="34">
        <v>59.9</v>
      </c>
      <c r="Q7" s="34">
        <f>O7*30%</f>
        <v>147.339</v>
      </c>
      <c r="R7" s="119">
        <f t="shared" si="5"/>
        <v>1357.269</v>
      </c>
      <c r="S7" s="119"/>
      <c r="T7" s="131">
        <f t="shared" si="0"/>
        <v>19921994.381999999</v>
      </c>
      <c r="U7" s="132"/>
      <c r="V7" s="110">
        <f t="shared" si="1"/>
        <v>0</v>
      </c>
      <c r="W7" s="110"/>
    </row>
    <row r="8" spans="1:33" x14ac:dyDescent="0.2">
      <c r="A8" s="35"/>
      <c r="B8" s="35"/>
      <c r="C8" s="139"/>
      <c r="D8" s="139"/>
      <c r="E8" s="110">
        <f>SUM(E4:F7)</f>
        <v>46882</v>
      </c>
      <c r="F8" s="110"/>
      <c r="G8" s="36">
        <f>SUM(G4:G7)</f>
        <v>64.92</v>
      </c>
      <c r="H8" s="37">
        <f>SUM(H4:H7)</f>
        <v>205648849.51999998</v>
      </c>
      <c r="I8" s="110">
        <f>SUM(I4:J7)</f>
        <v>46882</v>
      </c>
      <c r="J8" s="110"/>
      <c r="K8" s="110"/>
      <c r="L8" s="110"/>
      <c r="M8" s="110"/>
      <c r="N8" s="110"/>
      <c r="O8" s="32"/>
      <c r="P8" s="32"/>
      <c r="Q8" s="32"/>
      <c r="R8" s="118"/>
      <c r="S8" s="118"/>
      <c r="T8" s="118">
        <f>SUM(T4:U7)</f>
        <v>369461437.3168</v>
      </c>
      <c r="U8" s="118"/>
      <c r="V8" s="110" t="s">
        <v>128</v>
      </c>
      <c r="W8" s="110"/>
      <c r="X8" s="118">
        <f>T8-H8</f>
        <v>163812587.79680002</v>
      </c>
      <c r="Y8" s="118"/>
    </row>
    <row r="9" spans="1:33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33" x14ac:dyDescent="0.2">
      <c r="A10" s="110" t="s">
        <v>111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</row>
    <row r="11" spans="1:33" x14ac:dyDescent="0.2">
      <c r="A11" s="110" t="s">
        <v>121</v>
      </c>
      <c r="B11" s="110"/>
      <c r="C11" s="110" t="s">
        <v>99</v>
      </c>
      <c r="D11" s="110"/>
      <c r="E11" s="110" t="s">
        <v>120</v>
      </c>
      <c r="F11" s="110"/>
      <c r="G11" s="32" t="s">
        <v>126</v>
      </c>
      <c r="H11" s="32" t="s">
        <v>122</v>
      </c>
      <c r="I11" s="110" t="s">
        <v>123</v>
      </c>
      <c r="J11" s="110"/>
      <c r="K11" s="110" t="s">
        <v>105</v>
      </c>
      <c r="L11" s="110"/>
      <c r="M11" s="110" t="s">
        <v>124</v>
      </c>
      <c r="N11" s="110"/>
      <c r="O11" s="32" t="s">
        <v>135</v>
      </c>
      <c r="P11" s="32" t="s">
        <v>250</v>
      </c>
      <c r="Q11" s="32" t="s">
        <v>133</v>
      </c>
      <c r="R11" s="110" t="s">
        <v>134</v>
      </c>
      <c r="S11" s="110"/>
      <c r="T11" s="108" t="s">
        <v>127</v>
      </c>
      <c r="U11" s="109"/>
      <c r="V11" s="110" t="s">
        <v>125</v>
      </c>
      <c r="W11" s="110"/>
    </row>
    <row r="12" spans="1:33" x14ac:dyDescent="0.2">
      <c r="A12" s="137" t="s">
        <v>11</v>
      </c>
      <c r="B12" s="138"/>
      <c r="C12" s="127">
        <v>8569.31</v>
      </c>
      <c r="D12" s="127"/>
      <c r="E12" s="128">
        <v>8513</v>
      </c>
      <c r="F12" s="128"/>
      <c r="G12" s="34">
        <v>15.23</v>
      </c>
      <c r="H12" s="33">
        <f>(C12*E12)+G12</f>
        <v>72950551.260000005</v>
      </c>
      <c r="I12" s="128">
        <v>8513</v>
      </c>
      <c r="J12" s="128"/>
      <c r="K12" s="118">
        <f>C12*0.13</f>
        <v>1114.0102999999999</v>
      </c>
      <c r="L12" s="118"/>
      <c r="M12" s="119">
        <v>0</v>
      </c>
      <c r="N12" s="119"/>
      <c r="O12" s="34">
        <f>M12+K12+C12</f>
        <v>9683.3202999999994</v>
      </c>
      <c r="P12" s="34">
        <v>219.9</v>
      </c>
      <c r="Q12" s="34">
        <f>O12*40%</f>
        <v>3873.3281200000001</v>
      </c>
      <c r="R12" s="119">
        <f>Q12+O12+(P12*11)</f>
        <v>15975.548419999999</v>
      </c>
      <c r="S12" s="119"/>
      <c r="T12" s="114">
        <f t="shared" ref="T12:T15" si="6">I12*R12</f>
        <v>135999843.69946</v>
      </c>
      <c r="U12" s="109"/>
      <c r="V12" s="110">
        <f>E12-I12+V4</f>
        <v>0</v>
      </c>
      <c r="W12" s="110"/>
    </row>
    <row r="13" spans="1:33" x14ac:dyDescent="0.2">
      <c r="A13" s="137" t="s">
        <v>15</v>
      </c>
      <c r="B13" s="138"/>
      <c r="C13" s="127">
        <v>7000</v>
      </c>
      <c r="D13" s="127"/>
      <c r="E13" s="128">
        <v>7232</v>
      </c>
      <c r="F13" s="128"/>
      <c r="G13" s="34">
        <v>15.23</v>
      </c>
      <c r="H13" s="34">
        <f t="shared" ref="H13:H15" si="7">(C13*E13)+G13</f>
        <v>50624015.229999997</v>
      </c>
      <c r="I13" s="128">
        <v>7232</v>
      </c>
      <c r="J13" s="128"/>
      <c r="K13" s="118">
        <f t="shared" ref="K13:K15" si="8">C13*0.13</f>
        <v>910</v>
      </c>
      <c r="L13" s="118"/>
      <c r="M13" s="119">
        <v>0</v>
      </c>
      <c r="N13" s="119"/>
      <c r="O13" s="34">
        <f t="shared" ref="O13:O15" si="9">M13+K13+C13</f>
        <v>7910</v>
      </c>
      <c r="P13" s="34">
        <v>149.9</v>
      </c>
      <c r="Q13" s="34">
        <f>O13*30%</f>
        <v>2373</v>
      </c>
      <c r="R13" s="119">
        <f t="shared" ref="R13:R15" si="10">Q13+O13+(P13*11)</f>
        <v>11931.9</v>
      </c>
      <c r="S13" s="119"/>
      <c r="T13" s="114">
        <f t="shared" si="6"/>
        <v>86291500.799999997</v>
      </c>
      <c r="U13" s="109"/>
      <c r="V13" s="110">
        <f>E13-I13+V5</f>
        <v>0</v>
      </c>
      <c r="W13" s="110"/>
    </row>
    <row r="14" spans="1:33" ht="29.25" customHeight="1" x14ac:dyDescent="0.2">
      <c r="A14" s="140" t="s">
        <v>96</v>
      </c>
      <c r="B14" s="141"/>
      <c r="C14" s="136">
        <v>4017.78</v>
      </c>
      <c r="D14" s="136"/>
      <c r="E14" s="128">
        <v>12868</v>
      </c>
      <c r="F14" s="128"/>
      <c r="G14" s="34">
        <v>15.23</v>
      </c>
      <c r="H14" s="33">
        <f t="shared" si="7"/>
        <v>51700808.269999996</v>
      </c>
      <c r="I14" s="128">
        <v>12868</v>
      </c>
      <c r="J14" s="128"/>
      <c r="K14" s="118">
        <f t="shared" si="8"/>
        <v>522.31140000000005</v>
      </c>
      <c r="L14" s="118"/>
      <c r="M14" s="119">
        <v>0</v>
      </c>
      <c r="N14" s="119"/>
      <c r="O14" s="34">
        <f t="shared" si="9"/>
        <v>4540.0914000000002</v>
      </c>
      <c r="P14" s="34">
        <v>99.9</v>
      </c>
      <c r="Q14" s="34">
        <f>O14*40%</f>
        <v>1816.0365600000002</v>
      </c>
      <c r="R14" s="119">
        <f>Q14+O14+(P14*11)</f>
        <v>7455.0279600000013</v>
      </c>
      <c r="S14" s="119"/>
      <c r="T14" s="114">
        <f t="shared" si="6"/>
        <v>95931299.789280012</v>
      </c>
      <c r="U14" s="109"/>
      <c r="V14" s="110">
        <f>E14-I14+V6</f>
        <v>0</v>
      </c>
      <c r="W14" s="110"/>
    </row>
    <row r="15" spans="1:33" x14ac:dyDescent="0.2">
      <c r="A15" s="137" t="s">
        <v>93</v>
      </c>
      <c r="B15" s="138"/>
      <c r="C15" s="127">
        <v>459</v>
      </c>
      <c r="D15" s="127"/>
      <c r="E15" s="128">
        <v>13638</v>
      </c>
      <c r="F15" s="128"/>
      <c r="G15" s="34">
        <v>15.23</v>
      </c>
      <c r="H15" s="33">
        <f t="shared" si="7"/>
        <v>6259857.2300000004</v>
      </c>
      <c r="I15" s="128">
        <v>13638</v>
      </c>
      <c r="J15" s="128"/>
      <c r="K15" s="118">
        <f t="shared" si="8"/>
        <v>59.67</v>
      </c>
      <c r="L15" s="118"/>
      <c r="M15" s="119">
        <v>0</v>
      </c>
      <c r="N15" s="119"/>
      <c r="O15" s="34">
        <f t="shared" si="9"/>
        <v>518.66999999999996</v>
      </c>
      <c r="P15" s="34">
        <v>59.9</v>
      </c>
      <c r="Q15" s="34">
        <f>O15*30%</f>
        <v>155.60099999999997</v>
      </c>
      <c r="R15" s="119">
        <f t="shared" si="10"/>
        <v>1333.1709999999998</v>
      </c>
      <c r="S15" s="119"/>
      <c r="T15" s="114">
        <f t="shared" si="6"/>
        <v>18181786.097999997</v>
      </c>
      <c r="U15" s="109"/>
      <c r="V15" s="110">
        <f>E15-I15+V7</f>
        <v>0</v>
      </c>
      <c r="W15" s="110"/>
    </row>
    <row r="16" spans="1:33" x14ac:dyDescent="0.2">
      <c r="A16" s="142"/>
      <c r="B16" s="143"/>
      <c r="C16" s="144"/>
      <c r="D16" s="145"/>
      <c r="E16" s="110">
        <f>SUM(E12:F15)</f>
        <v>42251</v>
      </c>
      <c r="F16" s="110"/>
      <c r="G16" s="36">
        <f>SUM(G12:G15)</f>
        <v>60.92</v>
      </c>
      <c r="H16" s="37">
        <f>SUM(H12:H15)</f>
        <v>181535231.98999998</v>
      </c>
      <c r="I16" s="110">
        <f>SUM(I12:J15)</f>
        <v>42251</v>
      </c>
      <c r="J16" s="110"/>
      <c r="K16" s="110"/>
      <c r="L16" s="110"/>
      <c r="M16" s="110"/>
      <c r="N16" s="110"/>
      <c r="O16" s="32"/>
      <c r="P16" s="32"/>
      <c r="Q16" s="32"/>
      <c r="R16" s="118"/>
      <c r="S16" s="118"/>
      <c r="T16" s="114">
        <f>SUM(T12:U15)</f>
        <v>336404430.38673997</v>
      </c>
      <c r="U16" s="109"/>
      <c r="V16" s="110" t="s">
        <v>108</v>
      </c>
      <c r="W16" s="110"/>
      <c r="X16" s="118">
        <f>T16-H16</f>
        <v>154869198.39673999</v>
      </c>
      <c r="Y16" s="118"/>
    </row>
    <row r="17" spans="1:25" x14ac:dyDescent="0.2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</row>
    <row r="18" spans="1:25" x14ac:dyDescent="0.2">
      <c r="A18" s="110" t="s">
        <v>112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</row>
    <row r="19" spans="1:25" x14ac:dyDescent="0.2">
      <c r="A19" s="110" t="s">
        <v>101</v>
      </c>
      <c r="B19" s="110"/>
      <c r="C19" s="110" t="s">
        <v>99</v>
      </c>
      <c r="D19" s="110"/>
      <c r="E19" s="110" t="s">
        <v>100</v>
      </c>
      <c r="F19" s="110"/>
      <c r="G19" s="32" t="s">
        <v>126</v>
      </c>
      <c r="H19" s="32" t="s">
        <v>103</v>
      </c>
      <c r="I19" s="110" t="s">
        <v>104</v>
      </c>
      <c r="J19" s="110"/>
      <c r="K19" s="110" t="s">
        <v>105</v>
      </c>
      <c r="L19" s="110"/>
      <c r="M19" s="110" t="s">
        <v>109</v>
      </c>
      <c r="N19" s="110"/>
      <c r="O19" s="32" t="s">
        <v>135</v>
      </c>
      <c r="P19" s="32" t="s">
        <v>250</v>
      </c>
      <c r="Q19" s="32" t="s">
        <v>133</v>
      </c>
      <c r="R19" s="110" t="s">
        <v>134</v>
      </c>
      <c r="S19" s="110"/>
      <c r="T19" s="108" t="s">
        <v>127</v>
      </c>
      <c r="U19" s="109"/>
      <c r="V19" s="110" t="s">
        <v>106</v>
      </c>
      <c r="W19" s="110"/>
    </row>
    <row r="20" spans="1:25" x14ac:dyDescent="0.2">
      <c r="A20" s="137" t="s">
        <v>11</v>
      </c>
      <c r="B20" s="138"/>
      <c r="C20" s="127">
        <v>8569.31</v>
      </c>
      <c r="D20" s="127"/>
      <c r="E20" s="128">
        <v>8726</v>
      </c>
      <c r="F20" s="128"/>
      <c r="G20" s="34">
        <v>15.23</v>
      </c>
      <c r="H20" s="34">
        <f>(C20*E20)+G20</f>
        <v>74775814.290000007</v>
      </c>
      <c r="I20" s="128">
        <v>8726</v>
      </c>
      <c r="J20" s="128"/>
      <c r="K20" s="119">
        <f>C20*0.13</f>
        <v>1114.0102999999999</v>
      </c>
      <c r="L20" s="119"/>
      <c r="M20" s="119">
        <v>0</v>
      </c>
      <c r="N20" s="119"/>
      <c r="O20" s="34">
        <f>M20+K20+C20</f>
        <v>9683.3202999999994</v>
      </c>
      <c r="P20" s="34">
        <v>219.9</v>
      </c>
      <c r="Q20" s="34">
        <f>O20*40%</f>
        <v>3873.3281200000001</v>
      </c>
      <c r="R20" s="119">
        <f>Q20+O20+(P20*10)</f>
        <v>15755.64842</v>
      </c>
      <c r="S20" s="119"/>
      <c r="T20" s="114">
        <f t="shared" ref="T20:T23" si="11">I20*R20</f>
        <v>137483788.11291999</v>
      </c>
      <c r="U20" s="109"/>
      <c r="V20" s="128">
        <f>E20-I20+V12</f>
        <v>0</v>
      </c>
      <c r="W20" s="128"/>
    </row>
    <row r="21" spans="1:25" x14ac:dyDescent="0.2">
      <c r="A21" s="137" t="s">
        <v>15</v>
      </c>
      <c r="B21" s="138"/>
      <c r="C21" s="127">
        <v>7000</v>
      </c>
      <c r="D21" s="127"/>
      <c r="E21" s="128">
        <v>7408</v>
      </c>
      <c r="F21" s="128"/>
      <c r="G21" s="34">
        <v>15.23</v>
      </c>
      <c r="H21" s="34">
        <f t="shared" ref="H21:H23" si="12">(C21*E21)+G21</f>
        <v>51856015.229999997</v>
      </c>
      <c r="I21" s="128">
        <v>7408</v>
      </c>
      <c r="J21" s="128"/>
      <c r="K21" s="119">
        <f t="shared" ref="K21:K23" si="13">C21*0.13</f>
        <v>910</v>
      </c>
      <c r="L21" s="119"/>
      <c r="M21" s="119">
        <v>0</v>
      </c>
      <c r="N21" s="119"/>
      <c r="O21" s="34">
        <f t="shared" ref="O21:O23" si="14">M21+K21+C21</f>
        <v>7910</v>
      </c>
      <c r="P21" s="34">
        <v>149.9</v>
      </c>
      <c r="Q21" s="34">
        <f>O21*30%</f>
        <v>2373</v>
      </c>
      <c r="R21" s="119">
        <f t="shared" ref="R21:R23" si="15">Q21+O21+(P21*10)</f>
        <v>11782</v>
      </c>
      <c r="S21" s="119"/>
      <c r="T21" s="114">
        <f t="shared" si="11"/>
        <v>87281056</v>
      </c>
      <c r="U21" s="109"/>
      <c r="V21" s="128">
        <f>E21-I21+V13</f>
        <v>0</v>
      </c>
      <c r="W21" s="128"/>
    </row>
    <row r="22" spans="1:25" ht="31.5" customHeight="1" x14ac:dyDescent="0.2">
      <c r="A22" s="140" t="s">
        <v>96</v>
      </c>
      <c r="B22" s="141"/>
      <c r="C22" s="136">
        <v>4017.78</v>
      </c>
      <c r="D22" s="136"/>
      <c r="E22" s="128">
        <v>13290</v>
      </c>
      <c r="F22" s="128"/>
      <c r="G22" s="34">
        <v>15.23</v>
      </c>
      <c r="H22" s="34">
        <f t="shared" si="12"/>
        <v>53396311.43</v>
      </c>
      <c r="I22" s="128">
        <v>13290</v>
      </c>
      <c r="J22" s="128"/>
      <c r="K22" s="119">
        <f t="shared" si="13"/>
        <v>522.31140000000005</v>
      </c>
      <c r="L22" s="119"/>
      <c r="M22" s="119">
        <v>0</v>
      </c>
      <c r="N22" s="119"/>
      <c r="O22" s="34">
        <f t="shared" si="14"/>
        <v>4540.0914000000002</v>
      </c>
      <c r="P22" s="34">
        <v>99.9</v>
      </c>
      <c r="Q22" s="34">
        <f>O22*40%</f>
        <v>1816.0365600000002</v>
      </c>
      <c r="R22" s="119">
        <f t="shared" si="15"/>
        <v>7355.1279600000007</v>
      </c>
      <c r="S22" s="119"/>
      <c r="T22" s="114">
        <f t="shared" si="11"/>
        <v>97749650.588400006</v>
      </c>
      <c r="U22" s="109"/>
      <c r="V22" s="128">
        <f>E22-I22+V14</f>
        <v>0</v>
      </c>
      <c r="W22" s="128"/>
    </row>
    <row r="23" spans="1:25" x14ac:dyDescent="0.2">
      <c r="A23" s="137" t="s">
        <v>93</v>
      </c>
      <c r="B23" s="138"/>
      <c r="C23" s="127">
        <v>459</v>
      </c>
      <c r="D23" s="127"/>
      <c r="E23" s="128">
        <v>13940</v>
      </c>
      <c r="F23" s="128"/>
      <c r="G23" s="34">
        <v>15.23</v>
      </c>
      <c r="H23" s="34">
        <f t="shared" si="12"/>
        <v>6398475.2300000004</v>
      </c>
      <c r="I23" s="128">
        <v>13940</v>
      </c>
      <c r="J23" s="128"/>
      <c r="K23" s="119">
        <f t="shared" si="13"/>
        <v>59.67</v>
      </c>
      <c r="L23" s="119"/>
      <c r="M23" s="119">
        <v>0</v>
      </c>
      <c r="N23" s="119"/>
      <c r="O23" s="34">
        <f t="shared" si="14"/>
        <v>518.66999999999996</v>
      </c>
      <c r="P23" s="34">
        <v>59.9</v>
      </c>
      <c r="Q23" s="34">
        <f>O23*30%</f>
        <v>155.60099999999997</v>
      </c>
      <c r="R23" s="119">
        <f t="shared" si="15"/>
        <v>1273.271</v>
      </c>
      <c r="S23" s="119"/>
      <c r="T23" s="114">
        <f t="shared" si="11"/>
        <v>17749397.739999998</v>
      </c>
      <c r="U23" s="109"/>
      <c r="V23" s="128">
        <f>E23-I23+V15</f>
        <v>0</v>
      </c>
      <c r="W23" s="128"/>
    </row>
    <row r="24" spans="1:25" x14ac:dyDescent="0.2">
      <c r="E24" s="117">
        <f>SUM(E20:F23)</f>
        <v>43364</v>
      </c>
      <c r="F24" s="117"/>
      <c r="G24" s="40">
        <f>SUM(G20:G23)</f>
        <v>60.92</v>
      </c>
      <c r="H24" s="41">
        <f>SUM(H20:H23)</f>
        <v>186426616.18000001</v>
      </c>
      <c r="I24" s="117">
        <f>SUM(I20:J23)</f>
        <v>43364</v>
      </c>
      <c r="J24" s="117"/>
      <c r="K24" s="117" t="s">
        <v>107</v>
      </c>
      <c r="L24" s="117"/>
      <c r="M24" s="117"/>
      <c r="N24" s="117"/>
      <c r="O24" s="9"/>
      <c r="P24" s="9"/>
      <c r="Q24" s="9"/>
      <c r="R24" s="130">
        <f>SUM(R20:S23)</f>
        <v>36166.047379999996</v>
      </c>
      <c r="S24" s="130"/>
      <c r="T24" s="129">
        <f>SUM(T20:U23)</f>
        <v>340263892.44132</v>
      </c>
      <c r="U24" s="129"/>
      <c r="V24" s="117" t="s">
        <v>108</v>
      </c>
      <c r="W24" s="117"/>
      <c r="X24" s="130">
        <f>T24-H24</f>
        <v>153837276.26131999</v>
      </c>
      <c r="Y24" s="130"/>
    </row>
    <row r="26" spans="1:25" x14ac:dyDescent="0.2">
      <c r="A26" s="124" t="s">
        <v>113</v>
      </c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</row>
    <row r="27" spans="1:25" x14ac:dyDescent="0.2">
      <c r="A27" s="110" t="s">
        <v>101</v>
      </c>
      <c r="B27" s="110"/>
      <c r="C27" s="110" t="s">
        <v>99</v>
      </c>
      <c r="D27" s="110"/>
      <c r="E27" s="110" t="s">
        <v>100</v>
      </c>
      <c r="F27" s="110"/>
      <c r="G27" s="32" t="s">
        <v>126</v>
      </c>
      <c r="H27" s="32" t="s">
        <v>103</v>
      </c>
      <c r="I27" s="110" t="s">
        <v>104</v>
      </c>
      <c r="J27" s="110"/>
      <c r="K27" s="110" t="s">
        <v>105</v>
      </c>
      <c r="L27" s="110"/>
      <c r="M27" s="110" t="s">
        <v>109</v>
      </c>
      <c r="N27" s="110"/>
      <c r="O27" s="32" t="s">
        <v>135</v>
      </c>
      <c r="P27" s="32" t="s">
        <v>250</v>
      </c>
      <c r="Q27" s="32" t="s">
        <v>133</v>
      </c>
      <c r="R27" s="110" t="s">
        <v>134</v>
      </c>
      <c r="S27" s="110"/>
      <c r="T27" s="108" t="s">
        <v>127</v>
      </c>
      <c r="U27" s="109"/>
      <c r="V27" s="110" t="s">
        <v>106</v>
      </c>
      <c r="W27" s="110"/>
    </row>
    <row r="28" spans="1:25" x14ac:dyDescent="0.2">
      <c r="A28" s="137" t="s">
        <v>11</v>
      </c>
      <c r="B28" s="138"/>
      <c r="C28" s="127">
        <v>8569.31</v>
      </c>
      <c r="D28" s="127"/>
      <c r="E28" s="110">
        <v>8513</v>
      </c>
      <c r="F28" s="110"/>
      <c r="G28" s="34">
        <v>15.23</v>
      </c>
      <c r="H28" s="33">
        <f>(C28*E28)+G28</f>
        <v>72950551.260000005</v>
      </c>
      <c r="I28" s="110">
        <v>8513</v>
      </c>
      <c r="J28" s="110"/>
      <c r="K28" s="118">
        <f>C28*0.07</f>
        <v>599.85170000000005</v>
      </c>
      <c r="L28" s="118"/>
      <c r="M28" s="119">
        <v>0</v>
      </c>
      <c r="N28" s="119"/>
      <c r="O28" s="34">
        <f>M28+K28+C28</f>
        <v>9169.1616999999987</v>
      </c>
      <c r="P28" s="34">
        <v>219.9</v>
      </c>
      <c r="Q28" s="34">
        <f>O28*40%</f>
        <v>3667.6646799999999</v>
      </c>
      <c r="R28" s="119">
        <f>Q28+O28+(P28*9)</f>
        <v>14815.926379999999</v>
      </c>
      <c r="S28" s="119"/>
      <c r="T28" s="114">
        <f t="shared" ref="T28:T31" si="16">I28*R28</f>
        <v>126127981.27293999</v>
      </c>
      <c r="U28" s="109"/>
      <c r="V28" s="128">
        <f>E28-I28+V20</f>
        <v>0</v>
      </c>
      <c r="W28" s="128"/>
    </row>
    <row r="29" spans="1:25" x14ac:dyDescent="0.2">
      <c r="A29" s="137" t="s">
        <v>15</v>
      </c>
      <c r="B29" s="138"/>
      <c r="C29" s="127">
        <v>7000</v>
      </c>
      <c r="D29" s="127"/>
      <c r="E29" s="110">
        <v>7232</v>
      </c>
      <c r="F29" s="110"/>
      <c r="G29" s="34">
        <v>15.23</v>
      </c>
      <c r="H29" s="33">
        <f t="shared" ref="H29:H31" si="17">(C29*E29)+G29</f>
        <v>50624015.229999997</v>
      </c>
      <c r="I29" s="110">
        <v>7232</v>
      </c>
      <c r="J29" s="110"/>
      <c r="K29" s="118">
        <f t="shared" ref="K29:K31" si="18">C29*0.07</f>
        <v>490.00000000000006</v>
      </c>
      <c r="L29" s="118"/>
      <c r="M29" s="119">
        <v>0</v>
      </c>
      <c r="N29" s="119"/>
      <c r="O29" s="34">
        <f t="shared" ref="O29:O31" si="19">M29+K29+C29</f>
        <v>7490</v>
      </c>
      <c r="P29" s="34">
        <v>149.9</v>
      </c>
      <c r="Q29" s="34">
        <f>O29*30%</f>
        <v>2247</v>
      </c>
      <c r="R29" s="119">
        <f t="shared" ref="R29:R31" si="20">Q29+O29+(P29*9)</f>
        <v>11086.1</v>
      </c>
      <c r="S29" s="119"/>
      <c r="T29" s="114">
        <f t="shared" si="16"/>
        <v>80174675.200000003</v>
      </c>
      <c r="U29" s="109"/>
      <c r="V29" s="128">
        <f>E29-I29+V21</f>
        <v>0</v>
      </c>
      <c r="W29" s="128"/>
    </row>
    <row r="30" spans="1:25" ht="28.5" customHeight="1" x14ac:dyDescent="0.2">
      <c r="A30" s="140" t="s">
        <v>96</v>
      </c>
      <c r="B30" s="141"/>
      <c r="C30" s="136">
        <v>4017.78</v>
      </c>
      <c r="D30" s="136"/>
      <c r="E30" s="110">
        <v>12858</v>
      </c>
      <c r="F30" s="110"/>
      <c r="G30" s="34">
        <v>15.23</v>
      </c>
      <c r="H30" s="33">
        <f t="shared" si="17"/>
        <v>51660630.469999999</v>
      </c>
      <c r="I30" s="110">
        <v>12858</v>
      </c>
      <c r="J30" s="110"/>
      <c r="K30" s="118">
        <f t="shared" si="18"/>
        <v>281.24460000000005</v>
      </c>
      <c r="L30" s="118"/>
      <c r="M30" s="119">
        <v>0</v>
      </c>
      <c r="N30" s="119"/>
      <c r="O30" s="34">
        <f t="shared" si="19"/>
        <v>4299.0246000000006</v>
      </c>
      <c r="P30" s="34">
        <v>99.9</v>
      </c>
      <c r="Q30" s="34">
        <f>O30*40%</f>
        <v>1719.6098400000003</v>
      </c>
      <c r="R30" s="119">
        <f t="shared" si="20"/>
        <v>6917.7344400000011</v>
      </c>
      <c r="S30" s="119"/>
      <c r="T30" s="114">
        <f t="shared" si="16"/>
        <v>88948229.429520011</v>
      </c>
      <c r="U30" s="109"/>
      <c r="V30" s="128">
        <f>E30-I30+V22</f>
        <v>0</v>
      </c>
      <c r="W30" s="128"/>
    </row>
    <row r="31" spans="1:25" ht="30" customHeight="1" x14ac:dyDescent="0.2">
      <c r="A31" s="137" t="s">
        <v>93</v>
      </c>
      <c r="B31" s="138"/>
      <c r="C31" s="127">
        <v>459</v>
      </c>
      <c r="D31" s="127"/>
      <c r="E31" s="110">
        <v>13598</v>
      </c>
      <c r="F31" s="110"/>
      <c r="G31" s="34">
        <v>15.23</v>
      </c>
      <c r="H31" s="33">
        <f t="shared" si="17"/>
        <v>6241497.2300000004</v>
      </c>
      <c r="I31" s="110">
        <v>13598</v>
      </c>
      <c r="J31" s="110"/>
      <c r="K31" s="118">
        <f t="shared" si="18"/>
        <v>32.130000000000003</v>
      </c>
      <c r="L31" s="118"/>
      <c r="M31" s="119">
        <v>0</v>
      </c>
      <c r="N31" s="119"/>
      <c r="O31" s="34">
        <f t="shared" si="19"/>
        <v>491.13</v>
      </c>
      <c r="P31" s="34">
        <v>59.9</v>
      </c>
      <c r="Q31" s="34">
        <f>O31*30%</f>
        <v>147.339</v>
      </c>
      <c r="R31" s="119">
        <f t="shared" si="20"/>
        <v>1177.569</v>
      </c>
      <c r="S31" s="119"/>
      <c r="T31" s="114">
        <f t="shared" si="16"/>
        <v>16012583.262</v>
      </c>
      <c r="U31" s="109"/>
      <c r="V31" s="128">
        <f>E31-I31+V23</f>
        <v>0</v>
      </c>
      <c r="W31" s="128"/>
    </row>
    <row r="32" spans="1:25" x14ac:dyDescent="0.2">
      <c r="E32" s="117">
        <f>SUM(E28:F31)</f>
        <v>42201</v>
      </c>
      <c r="F32" s="117"/>
      <c r="G32" s="40">
        <f>SUM(G28:G31)</f>
        <v>60.92</v>
      </c>
      <c r="H32" s="41">
        <f>SUM(H28:H31)</f>
        <v>181476694.19</v>
      </c>
      <c r="I32" s="117">
        <f>SUM(I28:J31)</f>
        <v>42201</v>
      </c>
      <c r="J32" s="117"/>
      <c r="K32" s="117" t="s">
        <v>107</v>
      </c>
      <c r="L32" s="117"/>
      <c r="M32" s="117"/>
      <c r="N32" s="117"/>
      <c r="O32" s="9"/>
      <c r="P32" s="9"/>
      <c r="Q32" s="9"/>
      <c r="R32" s="130"/>
      <c r="S32" s="130"/>
      <c r="T32" s="129">
        <f>SUM(T28:U31)</f>
        <v>311263469.16446</v>
      </c>
      <c r="U32" s="129"/>
      <c r="V32" s="117" t="s">
        <v>108</v>
      </c>
      <c r="W32" s="117"/>
      <c r="X32" s="130">
        <f>T32-H32</f>
        <v>129786774.97446001</v>
      </c>
      <c r="Y32" s="130"/>
    </row>
    <row r="34" spans="1:25" x14ac:dyDescent="0.2">
      <c r="A34" s="124" t="s">
        <v>114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</row>
    <row r="35" spans="1:25" x14ac:dyDescent="0.2">
      <c r="A35" s="110" t="s">
        <v>101</v>
      </c>
      <c r="B35" s="110"/>
      <c r="C35" s="110" t="s">
        <v>99</v>
      </c>
      <c r="D35" s="110"/>
      <c r="E35" s="110" t="s">
        <v>100</v>
      </c>
      <c r="F35" s="110"/>
      <c r="G35" s="32" t="s">
        <v>126</v>
      </c>
      <c r="H35" s="32" t="s">
        <v>103</v>
      </c>
      <c r="I35" s="110" t="s">
        <v>104</v>
      </c>
      <c r="J35" s="110"/>
      <c r="K35" s="110" t="s">
        <v>105</v>
      </c>
      <c r="L35" s="110"/>
      <c r="M35" s="110" t="s">
        <v>109</v>
      </c>
      <c r="N35" s="110"/>
      <c r="O35" s="32" t="s">
        <v>135</v>
      </c>
      <c r="P35" s="32" t="s">
        <v>250</v>
      </c>
      <c r="Q35" s="32" t="s">
        <v>133</v>
      </c>
      <c r="R35" s="110" t="s">
        <v>134</v>
      </c>
      <c r="S35" s="110"/>
      <c r="T35" s="108" t="s">
        <v>127</v>
      </c>
      <c r="U35" s="109"/>
      <c r="V35" s="110" t="s">
        <v>106</v>
      </c>
      <c r="W35" s="110"/>
    </row>
    <row r="36" spans="1:25" x14ac:dyDescent="0.2">
      <c r="A36" s="125" t="s">
        <v>11</v>
      </c>
      <c r="B36" s="126"/>
      <c r="C36" s="127">
        <v>8569.31</v>
      </c>
      <c r="D36" s="127"/>
      <c r="E36" s="110">
        <v>8872</v>
      </c>
      <c r="F36" s="110"/>
      <c r="G36" s="34">
        <v>15.23</v>
      </c>
      <c r="H36" s="33">
        <f>(C36*E36)+G36</f>
        <v>76026933.549999997</v>
      </c>
      <c r="I36" s="110">
        <v>8872</v>
      </c>
      <c r="J36" s="110"/>
      <c r="K36" s="118">
        <f>C36*0.07</f>
        <v>599.85170000000005</v>
      </c>
      <c r="L36" s="118"/>
      <c r="M36" s="118">
        <v>0</v>
      </c>
      <c r="N36" s="118"/>
      <c r="O36" s="34">
        <f>M36+K36+C36</f>
        <v>9169.1616999999987</v>
      </c>
      <c r="P36" s="34">
        <v>219.9</v>
      </c>
      <c r="Q36" s="34">
        <f>O36*40%</f>
        <v>3667.6646799999999</v>
      </c>
      <c r="R36" s="119">
        <f>Q36+O36+(P36*8)</f>
        <v>14596.026379999999</v>
      </c>
      <c r="S36" s="119"/>
      <c r="T36" s="114">
        <f t="shared" ref="T36:T39" si="21">I36*R36</f>
        <v>129495946.04335999</v>
      </c>
      <c r="U36" s="109"/>
      <c r="V36" s="128">
        <f>E36-I36+V28</f>
        <v>0</v>
      </c>
      <c r="W36" s="128"/>
    </row>
    <row r="37" spans="1:25" ht="33.75" customHeight="1" x14ac:dyDescent="0.2">
      <c r="A37" s="125" t="s">
        <v>15</v>
      </c>
      <c r="B37" s="126"/>
      <c r="C37" s="127">
        <v>7000</v>
      </c>
      <c r="D37" s="127"/>
      <c r="E37" s="110">
        <v>7519</v>
      </c>
      <c r="F37" s="110"/>
      <c r="G37" s="34">
        <v>15.23</v>
      </c>
      <c r="H37" s="33">
        <f t="shared" ref="H37:H39" si="22">(C37*E37)+G37</f>
        <v>52633015.229999997</v>
      </c>
      <c r="I37" s="110">
        <v>7519</v>
      </c>
      <c r="J37" s="110"/>
      <c r="K37" s="118">
        <f t="shared" ref="K37:K39" si="23">C37*0.07</f>
        <v>490.00000000000006</v>
      </c>
      <c r="L37" s="118"/>
      <c r="M37" s="118">
        <v>0</v>
      </c>
      <c r="N37" s="118"/>
      <c r="O37" s="34">
        <f t="shared" ref="O37:O39" si="24">M37+K37+C37</f>
        <v>7490</v>
      </c>
      <c r="P37" s="34">
        <v>149.9</v>
      </c>
      <c r="Q37" s="34">
        <f>O37*30%</f>
        <v>2247</v>
      </c>
      <c r="R37" s="119">
        <f t="shared" ref="R37:R39" si="25">Q37+O37+(P37*8)</f>
        <v>10936.2</v>
      </c>
      <c r="S37" s="119"/>
      <c r="T37" s="114">
        <f t="shared" si="21"/>
        <v>82229287.800000012</v>
      </c>
      <c r="U37" s="109"/>
      <c r="V37" s="128">
        <f>E37-I37+V29</f>
        <v>0</v>
      </c>
      <c r="W37" s="128"/>
    </row>
    <row r="38" spans="1:25" ht="37.5" customHeight="1" x14ac:dyDescent="0.2">
      <c r="A38" s="134" t="s">
        <v>96</v>
      </c>
      <c r="B38" s="135"/>
      <c r="C38" s="136">
        <v>4017.78</v>
      </c>
      <c r="D38" s="136"/>
      <c r="E38" s="110">
        <v>13917</v>
      </c>
      <c r="F38" s="110"/>
      <c r="G38" s="34">
        <v>15.23</v>
      </c>
      <c r="H38" s="33">
        <f t="shared" si="22"/>
        <v>55915459.490000002</v>
      </c>
      <c r="I38" s="110">
        <v>13917</v>
      </c>
      <c r="J38" s="110"/>
      <c r="K38" s="118">
        <f t="shared" si="23"/>
        <v>281.24460000000005</v>
      </c>
      <c r="L38" s="118"/>
      <c r="M38" s="118">
        <v>0</v>
      </c>
      <c r="N38" s="118"/>
      <c r="O38" s="34">
        <f t="shared" si="24"/>
        <v>4299.0246000000006</v>
      </c>
      <c r="P38" s="34">
        <v>99.9</v>
      </c>
      <c r="Q38" s="34">
        <f>O38*40%</f>
        <v>1719.6098400000003</v>
      </c>
      <c r="R38" s="119">
        <f t="shared" si="25"/>
        <v>6817.8344400000005</v>
      </c>
      <c r="S38" s="119"/>
      <c r="T38" s="114">
        <f t="shared" si="21"/>
        <v>94883801.901480004</v>
      </c>
      <c r="U38" s="109"/>
      <c r="V38" s="128">
        <f>E38-I38+V30</f>
        <v>0</v>
      </c>
      <c r="W38" s="128"/>
    </row>
    <row r="39" spans="1:25" ht="29.25" customHeight="1" x14ac:dyDescent="0.2">
      <c r="A39" s="125" t="s">
        <v>93</v>
      </c>
      <c r="B39" s="126"/>
      <c r="C39" s="127">
        <v>459</v>
      </c>
      <c r="D39" s="127"/>
      <c r="E39" s="110">
        <v>14064</v>
      </c>
      <c r="F39" s="110"/>
      <c r="G39" s="34">
        <v>15.23</v>
      </c>
      <c r="H39" s="33">
        <f t="shared" si="22"/>
        <v>6455391.2300000004</v>
      </c>
      <c r="I39" s="110">
        <v>14064</v>
      </c>
      <c r="J39" s="110"/>
      <c r="K39" s="118">
        <f t="shared" si="23"/>
        <v>32.130000000000003</v>
      </c>
      <c r="L39" s="118"/>
      <c r="M39" s="118">
        <v>0</v>
      </c>
      <c r="N39" s="118"/>
      <c r="O39" s="34">
        <f t="shared" si="24"/>
        <v>491.13</v>
      </c>
      <c r="P39" s="34">
        <v>59.9</v>
      </c>
      <c r="Q39" s="34">
        <f>O39*30%</f>
        <v>147.339</v>
      </c>
      <c r="R39" s="119">
        <f t="shared" si="25"/>
        <v>1117.6690000000001</v>
      </c>
      <c r="S39" s="119"/>
      <c r="T39" s="114">
        <f t="shared" si="21"/>
        <v>15718896.816000002</v>
      </c>
      <c r="U39" s="109"/>
      <c r="V39" s="128">
        <f>E39-I39+V31</f>
        <v>0</v>
      </c>
      <c r="W39" s="128"/>
    </row>
    <row r="40" spans="1:25" x14ac:dyDescent="0.2">
      <c r="E40" s="117">
        <f>SUM(E36:F39)</f>
        <v>44372</v>
      </c>
      <c r="F40" s="117"/>
      <c r="G40" s="40">
        <f>SUM(G36:G39)</f>
        <v>60.92</v>
      </c>
      <c r="H40" s="41">
        <f>SUM(H36:H39)</f>
        <v>191030799.5</v>
      </c>
      <c r="I40" s="117">
        <f>SUM(I36:J39)</f>
        <v>44372</v>
      </c>
      <c r="J40" s="117"/>
      <c r="K40" s="117"/>
      <c r="L40" s="117"/>
      <c r="M40" s="117"/>
      <c r="N40" s="117"/>
      <c r="O40" s="9"/>
      <c r="P40" s="9"/>
      <c r="Q40" s="9"/>
      <c r="R40" s="130"/>
      <c r="S40" s="130"/>
      <c r="T40" s="122">
        <f>SUM(T36:U39)</f>
        <v>322327932.56084001</v>
      </c>
      <c r="U40" s="123"/>
      <c r="V40" s="117" t="s">
        <v>108</v>
      </c>
      <c r="W40" s="117"/>
      <c r="X40" s="130">
        <f>T40-H40</f>
        <v>131297133.06084001</v>
      </c>
      <c r="Y40" s="130"/>
    </row>
    <row r="41" spans="1:25" x14ac:dyDescent="0.2">
      <c r="A41" s="124" t="s">
        <v>115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</row>
    <row r="42" spans="1:25" x14ac:dyDescent="0.2">
      <c r="A42" s="110" t="s">
        <v>101</v>
      </c>
      <c r="B42" s="110"/>
      <c r="C42" s="110" t="s">
        <v>99</v>
      </c>
      <c r="D42" s="110"/>
      <c r="E42" s="110" t="s">
        <v>100</v>
      </c>
      <c r="F42" s="110"/>
      <c r="G42" s="32" t="s">
        <v>126</v>
      </c>
      <c r="H42" s="32" t="s">
        <v>103</v>
      </c>
      <c r="I42" s="110" t="s">
        <v>104</v>
      </c>
      <c r="J42" s="110"/>
      <c r="K42" s="110" t="s">
        <v>105</v>
      </c>
      <c r="L42" s="110"/>
      <c r="M42" s="110" t="s">
        <v>109</v>
      </c>
      <c r="N42" s="110"/>
      <c r="O42" s="32" t="s">
        <v>135</v>
      </c>
      <c r="P42" s="32" t="s">
        <v>250</v>
      </c>
      <c r="Q42" s="32" t="s">
        <v>133</v>
      </c>
      <c r="R42" s="110" t="s">
        <v>134</v>
      </c>
      <c r="S42" s="110"/>
      <c r="T42" s="108" t="s">
        <v>127</v>
      </c>
      <c r="U42" s="109"/>
      <c r="V42" s="110" t="s">
        <v>106</v>
      </c>
      <c r="W42" s="110"/>
    </row>
    <row r="43" spans="1:25" x14ac:dyDescent="0.2">
      <c r="A43" s="125" t="s">
        <v>11</v>
      </c>
      <c r="B43" s="126"/>
      <c r="C43" s="127">
        <v>8569.31</v>
      </c>
      <c r="D43" s="127"/>
      <c r="E43" s="110">
        <v>8716</v>
      </c>
      <c r="F43" s="110"/>
      <c r="G43" s="34">
        <v>15.23</v>
      </c>
      <c r="H43" s="33">
        <f>(C43*E43)+G43</f>
        <v>74690121.189999998</v>
      </c>
      <c r="I43" s="110">
        <v>8716</v>
      </c>
      <c r="J43" s="110"/>
      <c r="K43" s="118">
        <f>C43*0.13</f>
        <v>1114.0102999999999</v>
      </c>
      <c r="L43" s="118"/>
      <c r="M43" s="118">
        <v>0</v>
      </c>
      <c r="N43" s="118"/>
      <c r="O43" s="34">
        <f>M43+K43+C43</f>
        <v>9683.3202999999994</v>
      </c>
      <c r="P43" s="34">
        <v>219.9</v>
      </c>
      <c r="Q43" s="34">
        <f>O43*40%</f>
        <v>3873.3281200000001</v>
      </c>
      <c r="R43" s="119">
        <f>Q43+O43+(P43*7)</f>
        <v>15095.948419999999</v>
      </c>
      <c r="S43" s="119"/>
      <c r="T43" s="114">
        <f t="shared" ref="T43:T46" si="26">I43*R43</f>
        <v>131576286.42871998</v>
      </c>
      <c r="U43" s="109"/>
      <c r="V43" s="128">
        <f>E43-I43+V36</f>
        <v>0</v>
      </c>
      <c r="W43" s="128"/>
    </row>
    <row r="44" spans="1:25" ht="28.5" customHeight="1" x14ac:dyDescent="0.2">
      <c r="A44" s="125" t="s">
        <v>15</v>
      </c>
      <c r="B44" s="126"/>
      <c r="C44" s="127">
        <v>7000</v>
      </c>
      <c r="D44" s="127"/>
      <c r="E44" s="110">
        <v>7378</v>
      </c>
      <c r="F44" s="110"/>
      <c r="G44" s="34">
        <v>15.23</v>
      </c>
      <c r="H44" s="33">
        <f t="shared" ref="H44:H46" si="27">(C44*E44)+G44</f>
        <v>51646015.229999997</v>
      </c>
      <c r="I44" s="110">
        <v>7378</v>
      </c>
      <c r="J44" s="110"/>
      <c r="K44" s="118">
        <f t="shared" ref="K44:K46" si="28">C44*0.13</f>
        <v>910</v>
      </c>
      <c r="L44" s="118"/>
      <c r="M44" s="118">
        <v>0</v>
      </c>
      <c r="N44" s="118"/>
      <c r="O44" s="34">
        <f t="shared" ref="O44:O46" si="29">M44+K44+C44</f>
        <v>7910</v>
      </c>
      <c r="P44" s="34">
        <v>149.9</v>
      </c>
      <c r="Q44" s="34">
        <f>O44*30%</f>
        <v>2373</v>
      </c>
      <c r="R44" s="119">
        <f t="shared" ref="R44:R46" si="30">Q44+O44+(P44*7)</f>
        <v>11332.3</v>
      </c>
      <c r="S44" s="119"/>
      <c r="T44" s="114">
        <f t="shared" si="26"/>
        <v>83609709.399999991</v>
      </c>
      <c r="U44" s="109"/>
      <c r="V44" s="128">
        <f>E44-I44+V36</f>
        <v>0</v>
      </c>
      <c r="W44" s="128"/>
    </row>
    <row r="45" spans="1:25" ht="26.25" customHeight="1" x14ac:dyDescent="0.2">
      <c r="A45" s="134" t="s">
        <v>96</v>
      </c>
      <c r="B45" s="135"/>
      <c r="C45" s="136">
        <v>4017.78</v>
      </c>
      <c r="D45" s="136"/>
      <c r="E45" s="110">
        <v>13280</v>
      </c>
      <c r="F45" s="110"/>
      <c r="G45" s="34">
        <v>15.23</v>
      </c>
      <c r="H45" s="33">
        <f t="shared" si="27"/>
        <v>53356133.630000003</v>
      </c>
      <c r="I45" s="110">
        <v>13280</v>
      </c>
      <c r="J45" s="110"/>
      <c r="K45" s="118">
        <f t="shared" si="28"/>
        <v>522.31140000000005</v>
      </c>
      <c r="L45" s="118"/>
      <c r="M45" s="118">
        <v>0</v>
      </c>
      <c r="N45" s="118"/>
      <c r="O45" s="34">
        <f t="shared" si="29"/>
        <v>4540.0914000000002</v>
      </c>
      <c r="P45" s="34">
        <v>99.9</v>
      </c>
      <c r="Q45" s="34">
        <f>O45*40%</f>
        <v>1816.0365600000002</v>
      </c>
      <c r="R45" s="119">
        <f t="shared" si="30"/>
        <v>7055.4279600000009</v>
      </c>
      <c r="S45" s="119"/>
      <c r="T45" s="114">
        <f t="shared" si="26"/>
        <v>93696083.308800012</v>
      </c>
      <c r="U45" s="109"/>
      <c r="V45" s="128">
        <f>E45-I45+V37</f>
        <v>0</v>
      </c>
      <c r="W45" s="128"/>
    </row>
    <row r="46" spans="1:25" ht="26.25" customHeight="1" x14ac:dyDescent="0.2">
      <c r="A46" s="125" t="s">
        <v>93</v>
      </c>
      <c r="B46" s="126"/>
      <c r="C46" s="127">
        <v>459</v>
      </c>
      <c r="D46" s="127"/>
      <c r="E46" s="110">
        <v>13595</v>
      </c>
      <c r="F46" s="110"/>
      <c r="G46" s="34">
        <v>15.23</v>
      </c>
      <c r="H46" s="33">
        <f t="shared" si="27"/>
        <v>6240120.2300000004</v>
      </c>
      <c r="I46" s="110">
        <v>13595</v>
      </c>
      <c r="J46" s="110"/>
      <c r="K46" s="118">
        <f t="shared" si="28"/>
        <v>59.67</v>
      </c>
      <c r="L46" s="118"/>
      <c r="M46" s="118">
        <v>0</v>
      </c>
      <c r="N46" s="118"/>
      <c r="O46" s="34">
        <f t="shared" si="29"/>
        <v>518.66999999999996</v>
      </c>
      <c r="P46" s="34">
        <v>59.9</v>
      </c>
      <c r="Q46" s="34">
        <f>O46*30%</f>
        <v>155.60099999999997</v>
      </c>
      <c r="R46" s="119">
        <f t="shared" si="30"/>
        <v>1093.5709999999999</v>
      </c>
      <c r="S46" s="119"/>
      <c r="T46" s="114">
        <f t="shared" si="26"/>
        <v>14867097.744999999</v>
      </c>
      <c r="U46" s="109"/>
      <c r="V46" s="128">
        <f>E46-I46+V38</f>
        <v>0</v>
      </c>
      <c r="W46" s="128"/>
    </row>
    <row r="47" spans="1:25" x14ac:dyDescent="0.2">
      <c r="E47" s="117">
        <f>SUM(E43:F46)</f>
        <v>42969</v>
      </c>
      <c r="F47" s="117"/>
      <c r="G47" s="40">
        <f>SUM(G43:G46)</f>
        <v>60.92</v>
      </c>
      <c r="H47" s="41">
        <f>SUM(H43:H46)</f>
        <v>185932390.27999997</v>
      </c>
      <c r="I47" s="117">
        <f>SUM(I43:J46)</f>
        <v>42969</v>
      </c>
      <c r="J47" s="117"/>
      <c r="K47" s="117"/>
      <c r="L47" s="117"/>
      <c r="M47" s="117"/>
      <c r="N47" s="117"/>
      <c r="O47" s="9"/>
      <c r="P47" s="9"/>
      <c r="Q47" s="9"/>
      <c r="R47" s="130"/>
      <c r="S47" s="130"/>
      <c r="T47" s="122">
        <f>SUM(T43:U46)</f>
        <v>323749176.88251996</v>
      </c>
      <c r="U47" s="123"/>
      <c r="V47" s="117" t="s">
        <v>108</v>
      </c>
      <c r="W47" s="117"/>
      <c r="X47" s="130">
        <f>T47-H47</f>
        <v>137816786.60251999</v>
      </c>
      <c r="Y47" s="130"/>
    </row>
    <row r="49" spans="1:25" x14ac:dyDescent="0.2">
      <c r="A49" s="124" t="s">
        <v>116</v>
      </c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</row>
    <row r="50" spans="1:25" x14ac:dyDescent="0.2">
      <c r="A50" s="110" t="s">
        <v>101</v>
      </c>
      <c r="B50" s="110"/>
      <c r="C50" s="110" t="s">
        <v>99</v>
      </c>
      <c r="D50" s="110"/>
      <c r="E50" s="110" t="s">
        <v>100</v>
      </c>
      <c r="F50" s="110"/>
      <c r="G50" s="32" t="s">
        <v>110</v>
      </c>
      <c r="H50" s="32" t="s">
        <v>103</v>
      </c>
      <c r="I50" s="110" t="s">
        <v>104</v>
      </c>
      <c r="J50" s="110"/>
      <c r="K50" s="110" t="s">
        <v>105</v>
      </c>
      <c r="L50" s="110"/>
      <c r="M50" s="110" t="s">
        <v>109</v>
      </c>
      <c r="N50" s="110"/>
      <c r="O50" s="32" t="s">
        <v>135</v>
      </c>
      <c r="P50" s="32" t="s">
        <v>250</v>
      </c>
      <c r="Q50" s="32" t="s">
        <v>133</v>
      </c>
      <c r="R50" s="110" t="s">
        <v>134</v>
      </c>
      <c r="S50" s="110"/>
      <c r="T50" s="108" t="s">
        <v>127</v>
      </c>
      <c r="U50" s="109"/>
      <c r="V50" s="110" t="s">
        <v>106</v>
      </c>
      <c r="W50" s="110"/>
    </row>
    <row r="51" spans="1:25" ht="29.25" customHeight="1" x14ac:dyDescent="0.2">
      <c r="A51" s="125" t="s">
        <v>11</v>
      </c>
      <c r="B51" s="126"/>
      <c r="C51" s="127">
        <v>8569.31</v>
      </c>
      <c r="D51" s="127"/>
      <c r="E51" s="110">
        <v>8487</v>
      </c>
      <c r="F51" s="110"/>
      <c r="G51" s="34">
        <v>15.23</v>
      </c>
      <c r="H51" s="33">
        <f>(C51*E51)+G51</f>
        <v>72727749.200000003</v>
      </c>
      <c r="I51" s="110">
        <v>8487</v>
      </c>
      <c r="J51" s="110"/>
      <c r="K51" s="118">
        <f>C51*0.1</f>
        <v>856.93100000000004</v>
      </c>
      <c r="L51" s="118"/>
      <c r="M51" s="118">
        <v>0</v>
      </c>
      <c r="N51" s="118"/>
      <c r="O51" s="34">
        <f>M51+C51+K51</f>
        <v>9426.241</v>
      </c>
      <c r="P51" s="34">
        <v>219.9</v>
      </c>
      <c r="Q51" s="34">
        <f>O51*40%</f>
        <v>3770.4964</v>
      </c>
      <c r="R51" s="119">
        <f>O51+Q51+(P51*7)</f>
        <v>14736.037399999999</v>
      </c>
      <c r="S51" s="119"/>
      <c r="T51" s="114">
        <f t="shared" ref="T51:T54" si="31">I51*R51</f>
        <v>125064749.41379999</v>
      </c>
      <c r="U51" s="109"/>
      <c r="V51" s="110">
        <f>E51-I51+V43</f>
        <v>0</v>
      </c>
      <c r="W51" s="110"/>
    </row>
    <row r="52" spans="1:25" ht="29.25" customHeight="1" x14ac:dyDescent="0.2">
      <c r="A52" s="125" t="s">
        <v>15</v>
      </c>
      <c r="B52" s="126"/>
      <c r="C52" s="127">
        <v>7000</v>
      </c>
      <c r="D52" s="127"/>
      <c r="E52" s="110">
        <v>7207</v>
      </c>
      <c r="F52" s="110"/>
      <c r="G52" s="34">
        <v>15.23</v>
      </c>
      <c r="H52" s="33">
        <f t="shared" ref="H52:H54" si="32">(C52*E52)+G52</f>
        <v>50449015.229999997</v>
      </c>
      <c r="I52" s="110">
        <v>7207</v>
      </c>
      <c r="J52" s="110"/>
      <c r="K52" s="118">
        <f t="shared" ref="K52:K54" si="33">C52*0.1</f>
        <v>700</v>
      </c>
      <c r="L52" s="118"/>
      <c r="M52" s="118">
        <v>0</v>
      </c>
      <c r="N52" s="118"/>
      <c r="O52" s="34">
        <f t="shared" ref="O52:O54" si="34">M52+K52+C52</f>
        <v>7700</v>
      </c>
      <c r="P52" s="34">
        <v>149.9</v>
      </c>
      <c r="Q52" s="34">
        <f>O52*30%</f>
        <v>2310</v>
      </c>
      <c r="R52" s="119">
        <f>O52+Q52+(P52*7)</f>
        <v>11059.3</v>
      </c>
      <c r="S52" s="119"/>
      <c r="T52" s="114">
        <f t="shared" si="31"/>
        <v>79704375.099999994</v>
      </c>
      <c r="U52" s="109"/>
      <c r="V52" s="110">
        <f>E52-I52+V44</f>
        <v>0</v>
      </c>
      <c r="W52" s="110"/>
    </row>
    <row r="53" spans="1:25" ht="29.25" customHeight="1" x14ac:dyDescent="0.2">
      <c r="A53" s="134" t="s">
        <v>96</v>
      </c>
      <c r="B53" s="135"/>
      <c r="C53" s="136">
        <v>4017.78</v>
      </c>
      <c r="D53" s="136"/>
      <c r="E53" s="110">
        <v>12858</v>
      </c>
      <c r="F53" s="110"/>
      <c r="G53" s="34">
        <v>15.23</v>
      </c>
      <c r="H53" s="33">
        <f t="shared" si="32"/>
        <v>51660630.469999999</v>
      </c>
      <c r="I53" s="110">
        <v>12858</v>
      </c>
      <c r="J53" s="110"/>
      <c r="K53" s="118">
        <f t="shared" si="33"/>
        <v>401.77800000000002</v>
      </c>
      <c r="L53" s="118"/>
      <c r="M53" s="118">
        <v>0</v>
      </c>
      <c r="N53" s="118"/>
      <c r="O53" s="34">
        <f t="shared" si="34"/>
        <v>4419.558</v>
      </c>
      <c r="P53" s="34">
        <v>99.9</v>
      </c>
      <c r="Q53" s="34">
        <f>O53*40%</f>
        <v>1767.8232</v>
      </c>
      <c r="R53" s="119">
        <f t="shared" ref="R53:R54" si="35">O53+Q53+(P53*7)</f>
        <v>6886.6812</v>
      </c>
      <c r="S53" s="119"/>
      <c r="T53" s="114">
        <f t="shared" si="31"/>
        <v>88548946.869599998</v>
      </c>
      <c r="U53" s="109"/>
      <c r="V53" s="110">
        <f>E53-I53+V45</f>
        <v>0</v>
      </c>
      <c r="W53" s="110"/>
    </row>
    <row r="54" spans="1:25" ht="29.25" customHeight="1" x14ac:dyDescent="0.2">
      <c r="A54" s="125" t="s">
        <v>93</v>
      </c>
      <c r="B54" s="126"/>
      <c r="C54" s="127">
        <v>459</v>
      </c>
      <c r="D54" s="127"/>
      <c r="E54" s="110">
        <v>13035</v>
      </c>
      <c r="F54" s="110"/>
      <c r="G54" s="34">
        <v>15.23</v>
      </c>
      <c r="H54" s="33">
        <f t="shared" si="32"/>
        <v>5983080.2300000004</v>
      </c>
      <c r="I54" s="110">
        <v>13035</v>
      </c>
      <c r="J54" s="110"/>
      <c r="K54" s="118">
        <f t="shared" si="33"/>
        <v>45.900000000000006</v>
      </c>
      <c r="L54" s="118"/>
      <c r="M54" s="118">
        <v>0</v>
      </c>
      <c r="N54" s="118"/>
      <c r="O54" s="34">
        <f t="shared" si="34"/>
        <v>504.9</v>
      </c>
      <c r="P54" s="34">
        <v>59.9</v>
      </c>
      <c r="Q54" s="34">
        <f>O54*30%</f>
        <v>151.47</v>
      </c>
      <c r="R54" s="119">
        <f t="shared" si="35"/>
        <v>1075.67</v>
      </c>
      <c r="S54" s="119"/>
      <c r="T54" s="114">
        <f t="shared" si="31"/>
        <v>14021358.450000001</v>
      </c>
      <c r="U54" s="109"/>
      <c r="V54" s="110">
        <f>E54-I54+V46</f>
        <v>0</v>
      </c>
      <c r="W54" s="110"/>
    </row>
    <row r="55" spans="1:25" x14ac:dyDescent="0.2">
      <c r="E55" s="117">
        <f>SUM(E51:F54)</f>
        <v>41587</v>
      </c>
      <c r="F55" s="117"/>
      <c r="G55" s="40">
        <f>SUM(G51:G54)</f>
        <v>60.92</v>
      </c>
      <c r="H55" s="41">
        <f>SUM(H51:H54)</f>
        <v>180820475.13</v>
      </c>
      <c r="I55" s="117">
        <f>SUM(I51:J54)</f>
        <v>41587</v>
      </c>
      <c r="J55" s="117"/>
      <c r="K55" s="117"/>
      <c r="L55" s="117"/>
      <c r="M55" s="117"/>
      <c r="N55" s="117"/>
      <c r="O55" s="9"/>
      <c r="P55" s="9"/>
      <c r="Q55" s="9"/>
      <c r="R55" s="130"/>
      <c r="S55" s="130"/>
      <c r="T55" s="129">
        <f>SUM(T51:U54)</f>
        <v>307339429.83339995</v>
      </c>
      <c r="U55" s="129"/>
      <c r="V55" s="117" t="s">
        <v>108</v>
      </c>
      <c r="W55" s="117"/>
      <c r="X55" s="130">
        <f>T55-H55</f>
        <v>126518954.70339996</v>
      </c>
      <c r="Y55" s="130"/>
    </row>
    <row r="57" spans="1:25" x14ac:dyDescent="0.2">
      <c r="A57" s="124" t="s">
        <v>117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</row>
    <row r="58" spans="1:25" x14ac:dyDescent="0.2">
      <c r="A58" s="110" t="s">
        <v>101</v>
      </c>
      <c r="B58" s="110"/>
      <c r="C58" s="110" t="s">
        <v>99</v>
      </c>
      <c r="D58" s="110"/>
      <c r="E58" s="110" t="s">
        <v>100</v>
      </c>
      <c r="F58" s="110"/>
      <c r="G58" s="32" t="s">
        <v>126</v>
      </c>
      <c r="H58" s="32" t="s">
        <v>103</v>
      </c>
      <c r="I58" s="110" t="s">
        <v>104</v>
      </c>
      <c r="J58" s="110"/>
      <c r="K58" s="110" t="s">
        <v>105</v>
      </c>
      <c r="L58" s="110"/>
      <c r="M58" s="110" t="s">
        <v>109</v>
      </c>
      <c r="N58" s="110"/>
      <c r="O58" s="32" t="s">
        <v>135</v>
      </c>
      <c r="P58" s="32" t="s">
        <v>250</v>
      </c>
      <c r="Q58" s="32" t="s">
        <v>133</v>
      </c>
      <c r="R58" s="110" t="s">
        <v>134</v>
      </c>
      <c r="S58" s="110"/>
      <c r="T58" s="108" t="s">
        <v>127</v>
      </c>
      <c r="U58" s="109"/>
      <c r="V58" s="110" t="s">
        <v>106</v>
      </c>
      <c r="W58" s="110"/>
    </row>
    <row r="59" spans="1:25" ht="28.5" customHeight="1" x14ac:dyDescent="0.2">
      <c r="A59" s="125" t="s">
        <v>11</v>
      </c>
      <c r="B59" s="126"/>
      <c r="C59" s="127">
        <v>8569.31</v>
      </c>
      <c r="D59" s="127"/>
      <c r="E59" s="110">
        <v>8487</v>
      </c>
      <c r="F59" s="110"/>
      <c r="G59" s="34">
        <v>15.23</v>
      </c>
      <c r="H59" s="33">
        <f>(C59*E59)+G59</f>
        <v>72727749.200000003</v>
      </c>
      <c r="I59" s="110">
        <v>8487</v>
      </c>
      <c r="J59" s="110"/>
      <c r="K59" s="118">
        <f>C59*0.1</f>
        <v>856.93100000000004</v>
      </c>
      <c r="L59" s="118"/>
      <c r="M59" s="118">
        <v>0</v>
      </c>
      <c r="N59" s="118"/>
      <c r="O59" s="34">
        <f>M59+K59+C59</f>
        <v>9426.241</v>
      </c>
      <c r="P59" s="34">
        <v>219.9</v>
      </c>
      <c r="Q59" s="34">
        <f>O59*40%</f>
        <v>3770.4964</v>
      </c>
      <c r="R59" s="119">
        <f>Q59+O59+(P59*5)</f>
        <v>14296.2374</v>
      </c>
      <c r="S59" s="119"/>
      <c r="T59" s="114">
        <f t="shared" ref="T59:T62" si="36">I59*R59</f>
        <v>121332166.81380001</v>
      </c>
      <c r="U59" s="109"/>
      <c r="V59" s="110">
        <f>E59-I59+V51</f>
        <v>0</v>
      </c>
      <c r="W59" s="110"/>
    </row>
    <row r="60" spans="1:25" ht="28.5" customHeight="1" x14ac:dyDescent="0.2">
      <c r="A60" s="125" t="s">
        <v>15</v>
      </c>
      <c r="B60" s="126"/>
      <c r="C60" s="127">
        <v>7000</v>
      </c>
      <c r="D60" s="127"/>
      <c r="E60" s="110">
        <v>7207</v>
      </c>
      <c r="F60" s="110"/>
      <c r="G60" s="34">
        <v>15.23</v>
      </c>
      <c r="H60" s="33">
        <f t="shared" ref="H60:H62" si="37">(C60*E60)+G60</f>
        <v>50449015.229999997</v>
      </c>
      <c r="I60" s="110">
        <v>7207</v>
      </c>
      <c r="J60" s="110"/>
      <c r="K60" s="118">
        <f t="shared" ref="K60:K61" si="38">C60*0.1</f>
        <v>700</v>
      </c>
      <c r="L60" s="118"/>
      <c r="M60" s="118">
        <v>0</v>
      </c>
      <c r="N60" s="118"/>
      <c r="O60" s="34">
        <f t="shared" ref="O60:O62" si="39">M60+K60+C60</f>
        <v>7700</v>
      </c>
      <c r="P60" s="34">
        <v>149.9</v>
      </c>
      <c r="Q60" s="34">
        <f>O60*30%</f>
        <v>2310</v>
      </c>
      <c r="R60" s="119">
        <f t="shared" ref="R60:R62" si="40">Q60+O60+(P60*5)</f>
        <v>10759.5</v>
      </c>
      <c r="S60" s="119"/>
      <c r="T60" s="114">
        <f t="shared" si="36"/>
        <v>77543716.5</v>
      </c>
      <c r="U60" s="109"/>
      <c r="V60" s="110">
        <f>E60-I60+V52</f>
        <v>0</v>
      </c>
      <c r="W60" s="110"/>
    </row>
    <row r="61" spans="1:25" x14ac:dyDescent="0.2">
      <c r="A61" s="134" t="s">
        <v>96</v>
      </c>
      <c r="B61" s="135"/>
      <c r="C61" s="136">
        <v>4017.78</v>
      </c>
      <c r="D61" s="136"/>
      <c r="E61" s="110">
        <v>12858</v>
      </c>
      <c r="F61" s="110"/>
      <c r="G61" s="34">
        <v>15.23</v>
      </c>
      <c r="H61" s="33">
        <f t="shared" si="37"/>
        <v>51660630.469999999</v>
      </c>
      <c r="I61" s="110">
        <v>12858</v>
      </c>
      <c r="J61" s="110"/>
      <c r="K61" s="118">
        <f t="shared" si="38"/>
        <v>401.77800000000002</v>
      </c>
      <c r="L61" s="118"/>
      <c r="M61" s="118">
        <v>0</v>
      </c>
      <c r="N61" s="118"/>
      <c r="O61" s="34">
        <f t="shared" si="39"/>
        <v>4419.558</v>
      </c>
      <c r="P61" s="34">
        <v>59.9</v>
      </c>
      <c r="Q61" s="34">
        <f>O61*40%</f>
        <v>1767.8232</v>
      </c>
      <c r="R61" s="119">
        <f t="shared" si="40"/>
        <v>6486.8811999999998</v>
      </c>
      <c r="S61" s="119"/>
      <c r="T61" s="114">
        <f t="shared" si="36"/>
        <v>83408318.469599992</v>
      </c>
      <c r="U61" s="109"/>
      <c r="V61" s="110">
        <f>E61-I61+V53</f>
        <v>0</v>
      </c>
      <c r="W61" s="110"/>
    </row>
    <row r="62" spans="1:25" ht="28.5" customHeight="1" x14ac:dyDescent="0.2">
      <c r="A62" s="125" t="s">
        <v>93</v>
      </c>
      <c r="B62" s="126"/>
      <c r="C62" s="127">
        <v>459</v>
      </c>
      <c r="D62" s="127"/>
      <c r="E62" s="110">
        <v>13035</v>
      </c>
      <c r="F62" s="110"/>
      <c r="G62" s="34">
        <v>15.23</v>
      </c>
      <c r="H62" s="33">
        <f t="shared" si="37"/>
        <v>5983080.2300000004</v>
      </c>
      <c r="I62" s="110">
        <v>13035</v>
      </c>
      <c r="J62" s="110"/>
      <c r="K62" s="118">
        <f>C62*0.1</f>
        <v>45.900000000000006</v>
      </c>
      <c r="L62" s="118"/>
      <c r="M62" s="118">
        <v>0</v>
      </c>
      <c r="N62" s="118"/>
      <c r="O62" s="34">
        <f t="shared" si="39"/>
        <v>504.9</v>
      </c>
      <c r="P62" s="34">
        <v>59.9</v>
      </c>
      <c r="Q62" s="34">
        <f>O62*30%</f>
        <v>151.47</v>
      </c>
      <c r="R62" s="119">
        <f t="shared" si="40"/>
        <v>955.87</v>
      </c>
      <c r="S62" s="119"/>
      <c r="T62" s="114">
        <f t="shared" si="36"/>
        <v>12459765.449999999</v>
      </c>
      <c r="U62" s="109"/>
      <c r="V62" s="110">
        <f>E62-I62+V54</f>
        <v>0</v>
      </c>
      <c r="W62" s="110"/>
    </row>
    <row r="63" spans="1:25" x14ac:dyDescent="0.2">
      <c r="E63" s="117">
        <f>SUM(E59:F62)</f>
        <v>41587</v>
      </c>
      <c r="F63" s="117"/>
      <c r="G63" s="40">
        <f>SUM(G59:G62)</f>
        <v>60.92</v>
      </c>
      <c r="H63" s="41">
        <f>SUM(H59:H62)</f>
        <v>180820475.13</v>
      </c>
      <c r="I63" s="117">
        <f>SUM(I59:J62)</f>
        <v>41587</v>
      </c>
      <c r="J63" s="117"/>
      <c r="K63" s="117"/>
      <c r="L63" s="117"/>
      <c r="M63" s="117"/>
      <c r="N63" s="117"/>
      <c r="O63" s="9"/>
      <c r="P63" s="9"/>
      <c r="Q63" s="9"/>
      <c r="R63" s="130"/>
      <c r="S63" s="130"/>
      <c r="T63" s="122">
        <f>SUM(T59:U62)</f>
        <v>294743967.23339999</v>
      </c>
      <c r="U63" s="123"/>
      <c r="V63" s="117" t="s">
        <v>108</v>
      </c>
      <c r="W63" s="117"/>
      <c r="X63" s="130">
        <f>T63-H63</f>
        <v>113923492.10339999</v>
      </c>
      <c r="Y63" s="130"/>
    </row>
    <row r="65" spans="1:25" x14ac:dyDescent="0.2">
      <c r="A65" s="124" t="s">
        <v>118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</row>
    <row r="66" spans="1:25" x14ac:dyDescent="0.2">
      <c r="A66" s="110" t="s">
        <v>101</v>
      </c>
      <c r="B66" s="110"/>
      <c r="C66" s="110" t="s">
        <v>99</v>
      </c>
      <c r="D66" s="110"/>
      <c r="E66" s="110" t="s">
        <v>100</v>
      </c>
      <c r="F66" s="110"/>
      <c r="G66" s="32" t="s">
        <v>126</v>
      </c>
      <c r="H66" s="32" t="s">
        <v>103</v>
      </c>
      <c r="I66" s="110" t="s">
        <v>104</v>
      </c>
      <c r="J66" s="110"/>
      <c r="K66" s="110" t="s">
        <v>105</v>
      </c>
      <c r="L66" s="110"/>
      <c r="M66" s="110" t="s">
        <v>109</v>
      </c>
      <c r="N66" s="110"/>
      <c r="O66" s="32" t="s">
        <v>135</v>
      </c>
      <c r="P66" s="32" t="s">
        <v>250</v>
      </c>
      <c r="Q66" s="32" t="s">
        <v>133</v>
      </c>
      <c r="R66" s="110" t="s">
        <v>134</v>
      </c>
      <c r="S66" s="110"/>
      <c r="T66" s="108" t="s">
        <v>127</v>
      </c>
      <c r="U66" s="109"/>
      <c r="V66" s="110" t="s">
        <v>106</v>
      </c>
      <c r="W66" s="110"/>
    </row>
    <row r="67" spans="1:25" x14ac:dyDescent="0.2">
      <c r="A67" s="125" t="s">
        <v>11</v>
      </c>
      <c r="B67" s="126"/>
      <c r="C67" s="127">
        <v>8569.31</v>
      </c>
      <c r="D67" s="127"/>
      <c r="E67" s="110">
        <v>8065</v>
      </c>
      <c r="F67" s="110"/>
      <c r="G67" s="34">
        <v>15.23</v>
      </c>
      <c r="H67" s="33">
        <f>(C67*E67)+G67</f>
        <v>69111500.379999995</v>
      </c>
      <c r="I67" s="110">
        <v>8065</v>
      </c>
      <c r="J67" s="110"/>
      <c r="K67" s="118">
        <f>C67*0.09</f>
        <v>771.23789999999997</v>
      </c>
      <c r="L67" s="118"/>
      <c r="M67" s="118">
        <v>0</v>
      </c>
      <c r="N67" s="118"/>
      <c r="O67" s="34">
        <f>M67+K67+C67</f>
        <v>9340.5478999999996</v>
      </c>
      <c r="P67" s="34">
        <v>219.9</v>
      </c>
      <c r="Q67" s="34">
        <f>O67*40%</f>
        <v>3736.2191600000001</v>
      </c>
      <c r="R67" s="119">
        <f>Q67+O67+(P67*4)</f>
        <v>13956.36706</v>
      </c>
      <c r="S67" s="119"/>
      <c r="T67" s="114">
        <f t="shared" ref="T67:T70" si="41">I67*R67</f>
        <v>112558100.3389</v>
      </c>
      <c r="U67" s="109"/>
      <c r="V67" s="110">
        <f>E67-I67+V59</f>
        <v>0</v>
      </c>
      <c r="W67" s="110"/>
    </row>
    <row r="68" spans="1:25" ht="51" customHeight="1" x14ac:dyDescent="0.2">
      <c r="A68" s="125" t="s">
        <v>15</v>
      </c>
      <c r="B68" s="126"/>
      <c r="C68" s="127">
        <v>7000</v>
      </c>
      <c r="D68" s="127"/>
      <c r="E68" s="110">
        <v>6793</v>
      </c>
      <c r="F68" s="110"/>
      <c r="G68" s="34">
        <v>15.23</v>
      </c>
      <c r="H68" s="33">
        <f t="shared" ref="H68:H70" si="42">(C68*E68)+G68</f>
        <v>47551015.229999997</v>
      </c>
      <c r="I68" s="110">
        <v>6793</v>
      </c>
      <c r="J68" s="110"/>
      <c r="K68" s="118">
        <f t="shared" ref="K68:K70" si="43">C68*0.09</f>
        <v>630</v>
      </c>
      <c r="L68" s="118"/>
      <c r="M68" s="118">
        <v>0</v>
      </c>
      <c r="N68" s="118"/>
      <c r="O68" s="34">
        <f t="shared" ref="O68:O70" si="44">M68+K68+C68</f>
        <v>7630</v>
      </c>
      <c r="P68" s="34">
        <v>149.9</v>
      </c>
      <c r="Q68" s="34">
        <f>O68*30%</f>
        <v>2289</v>
      </c>
      <c r="R68" s="119">
        <f t="shared" ref="R68:R70" si="45">Q68+O68+(P68*4)</f>
        <v>10518.6</v>
      </c>
      <c r="S68" s="119"/>
      <c r="T68" s="114">
        <f t="shared" si="41"/>
        <v>71452849.799999997</v>
      </c>
      <c r="U68" s="109"/>
      <c r="V68" s="110">
        <f>E68-I68+V60</f>
        <v>0</v>
      </c>
      <c r="W68" s="110"/>
    </row>
    <row r="69" spans="1:25" ht="51" customHeight="1" x14ac:dyDescent="0.2">
      <c r="A69" s="134" t="s">
        <v>96</v>
      </c>
      <c r="B69" s="135"/>
      <c r="C69" s="136">
        <v>4017.78</v>
      </c>
      <c r="D69" s="136"/>
      <c r="E69" s="110">
        <v>12120</v>
      </c>
      <c r="F69" s="110"/>
      <c r="G69" s="34">
        <v>15.23</v>
      </c>
      <c r="H69" s="33">
        <f t="shared" si="42"/>
        <v>48695508.829999998</v>
      </c>
      <c r="I69" s="110">
        <v>12120</v>
      </c>
      <c r="J69" s="110"/>
      <c r="K69" s="118">
        <f t="shared" si="43"/>
        <v>361.60020000000003</v>
      </c>
      <c r="L69" s="118"/>
      <c r="M69" s="118">
        <v>0</v>
      </c>
      <c r="N69" s="118"/>
      <c r="O69" s="34">
        <f t="shared" si="44"/>
        <v>4379.3802000000005</v>
      </c>
      <c r="P69" s="34">
        <v>59.9</v>
      </c>
      <c r="Q69" s="34">
        <f>O69*40%</f>
        <v>1751.7520800000002</v>
      </c>
      <c r="R69" s="119">
        <f t="shared" si="45"/>
        <v>6370.7322800000011</v>
      </c>
      <c r="S69" s="119"/>
      <c r="T69" s="114">
        <f t="shared" si="41"/>
        <v>77213275.23360002</v>
      </c>
      <c r="U69" s="109"/>
      <c r="V69" s="110">
        <f>E69-I69+V61</f>
        <v>0</v>
      </c>
      <c r="W69" s="110"/>
    </row>
    <row r="70" spans="1:25" ht="51" customHeight="1" x14ac:dyDescent="0.2">
      <c r="A70" s="125" t="s">
        <v>93</v>
      </c>
      <c r="B70" s="126"/>
      <c r="C70" s="127">
        <v>459</v>
      </c>
      <c r="D70" s="127"/>
      <c r="E70" s="110">
        <v>12313</v>
      </c>
      <c r="F70" s="110"/>
      <c r="G70" s="34">
        <v>15.23</v>
      </c>
      <c r="H70" s="33">
        <f t="shared" si="42"/>
        <v>5651682.2300000004</v>
      </c>
      <c r="I70" s="110">
        <v>12313</v>
      </c>
      <c r="J70" s="110"/>
      <c r="K70" s="118">
        <f t="shared" si="43"/>
        <v>41.309999999999995</v>
      </c>
      <c r="L70" s="118"/>
      <c r="M70" s="118">
        <v>0</v>
      </c>
      <c r="N70" s="118"/>
      <c r="O70" s="34">
        <f t="shared" si="44"/>
        <v>500.31</v>
      </c>
      <c r="P70" s="34">
        <v>59.9</v>
      </c>
      <c r="Q70" s="34">
        <f>O70*30%</f>
        <v>150.09299999999999</v>
      </c>
      <c r="R70" s="119">
        <f t="shared" si="45"/>
        <v>890.00300000000004</v>
      </c>
      <c r="S70" s="119"/>
      <c r="T70" s="114">
        <f t="shared" si="41"/>
        <v>10958606.939000001</v>
      </c>
      <c r="U70" s="109"/>
      <c r="V70" s="110">
        <f>E70-I70+V62</f>
        <v>0</v>
      </c>
      <c r="W70" s="110"/>
    </row>
    <row r="71" spans="1:25" x14ac:dyDescent="0.2">
      <c r="E71" s="117">
        <f>SUM(E67:F70)</f>
        <v>39291</v>
      </c>
      <c r="F71" s="117"/>
      <c r="G71" s="40">
        <f>SUM(G67:G70)</f>
        <v>60.92</v>
      </c>
      <c r="H71" s="41">
        <f>SUM(H67:H70)</f>
        <v>171009706.66999999</v>
      </c>
      <c r="I71" s="117">
        <f>SUM(I67:J70)</f>
        <v>39291</v>
      </c>
      <c r="J71" s="117"/>
      <c r="K71" s="117"/>
      <c r="L71" s="117"/>
      <c r="R71" s="130"/>
      <c r="S71" s="130"/>
      <c r="T71" s="111">
        <f>SUM(T67:U70)</f>
        <v>272182832.31150001</v>
      </c>
      <c r="U71" s="111"/>
      <c r="V71" s="117" t="s">
        <v>108</v>
      </c>
      <c r="W71" s="117"/>
      <c r="X71" s="130">
        <f>T71-H71</f>
        <v>101173125.64150003</v>
      </c>
      <c r="Y71" s="130"/>
    </row>
    <row r="73" spans="1:25" ht="18.75" x14ac:dyDescent="0.25">
      <c r="A73" s="120" t="s">
        <v>119</v>
      </c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</row>
    <row r="74" spans="1:25" x14ac:dyDescent="0.2">
      <c r="A74" s="110" t="s">
        <v>101</v>
      </c>
      <c r="B74" s="110"/>
      <c r="C74" s="110" t="s">
        <v>99</v>
      </c>
      <c r="D74" s="110"/>
      <c r="E74" s="110" t="s">
        <v>100</v>
      </c>
      <c r="F74" s="110"/>
      <c r="G74" s="32" t="s">
        <v>126</v>
      </c>
      <c r="H74" s="32" t="s">
        <v>103</v>
      </c>
      <c r="I74" s="110" t="s">
        <v>104</v>
      </c>
      <c r="J74" s="110"/>
      <c r="K74" s="110" t="s">
        <v>105</v>
      </c>
      <c r="L74" s="110"/>
      <c r="M74" s="110" t="s">
        <v>109</v>
      </c>
      <c r="N74" s="110"/>
      <c r="O74" s="32" t="s">
        <v>135</v>
      </c>
      <c r="P74" s="32" t="s">
        <v>250</v>
      </c>
      <c r="Q74" s="32" t="s">
        <v>133</v>
      </c>
      <c r="R74" s="110" t="s">
        <v>134</v>
      </c>
      <c r="S74" s="110"/>
      <c r="T74" s="108" t="s">
        <v>127</v>
      </c>
      <c r="U74" s="109"/>
      <c r="V74" s="110" t="s">
        <v>106</v>
      </c>
      <c r="W74" s="110"/>
    </row>
    <row r="75" spans="1:25" x14ac:dyDescent="0.2">
      <c r="A75" s="125" t="s">
        <v>11</v>
      </c>
      <c r="B75" s="126"/>
      <c r="C75" s="127">
        <v>8569.31</v>
      </c>
      <c r="D75" s="127"/>
      <c r="E75" s="110">
        <v>7072</v>
      </c>
      <c r="F75" s="110"/>
      <c r="G75" s="34">
        <v>15.23</v>
      </c>
      <c r="H75" s="33">
        <f>(C75*E75)+G75</f>
        <v>60602175.54999999</v>
      </c>
      <c r="I75" s="110">
        <v>7072</v>
      </c>
      <c r="J75" s="110"/>
      <c r="K75" s="118">
        <f>C75*0.09</f>
        <v>771.23789999999997</v>
      </c>
      <c r="L75" s="118"/>
      <c r="M75" s="118">
        <v>0</v>
      </c>
      <c r="N75" s="118"/>
      <c r="O75" s="34">
        <f>M75+K75+C75</f>
        <v>9340.5478999999996</v>
      </c>
      <c r="P75" s="34">
        <v>219.9</v>
      </c>
      <c r="Q75" s="34">
        <f>O75*40%</f>
        <v>3736.2191600000001</v>
      </c>
      <c r="R75" s="119">
        <f>Q75+O75+(P75*3)</f>
        <v>13736.467060000001</v>
      </c>
      <c r="S75" s="119"/>
      <c r="T75" s="114">
        <f t="shared" ref="T75" si="46">I75*R75</f>
        <v>97144295.04832001</v>
      </c>
      <c r="U75" s="109"/>
      <c r="V75" s="110">
        <f>E75-I75+V67</f>
        <v>0</v>
      </c>
      <c r="W75" s="110"/>
    </row>
    <row r="76" spans="1:25" x14ac:dyDescent="0.2">
      <c r="A76" s="125" t="s">
        <v>15</v>
      </c>
      <c r="B76" s="126"/>
      <c r="C76" s="127">
        <v>7000</v>
      </c>
      <c r="D76" s="127"/>
      <c r="E76" s="110">
        <v>6010</v>
      </c>
      <c r="F76" s="110"/>
      <c r="G76" s="34">
        <v>15.23</v>
      </c>
      <c r="H76" s="33">
        <f t="shared" ref="H76:H78" si="47">(C76*E76)+G76</f>
        <v>42070015.229999997</v>
      </c>
      <c r="I76" s="110">
        <v>6010</v>
      </c>
      <c r="J76" s="110"/>
      <c r="K76" s="118">
        <f t="shared" ref="K76:K78" si="48">C76*0.09</f>
        <v>630</v>
      </c>
      <c r="L76" s="118"/>
      <c r="M76" s="118">
        <v>0</v>
      </c>
      <c r="N76" s="118"/>
      <c r="O76" s="34">
        <f t="shared" ref="O76:O78" si="49">M76+K76+C76</f>
        <v>7630</v>
      </c>
      <c r="P76" s="34">
        <v>149.9</v>
      </c>
      <c r="Q76" s="34">
        <f>O76*30%</f>
        <v>2289</v>
      </c>
      <c r="R76" s="119">
        <f t="shared" ref="R76:R78" si="50">Q76+O76+(P76*3)</f>
        <v>10368.700000000001</v>
      </c>
      <c r="S76" s="119"/>
      <c r="T76" s="114">
        <f t="shared" ref="T76:T78" si="51">I76*R76</f>
        <v>62315887.000000007</v>
      </c>
      <c r="U76" s="109"/>
      <c r="V76" s="110">
        <f t="shared" ref="V76:V78" si="52">E76-I76+V68</f>
        <v>0</v>
      </c>
      <c r="W76" s="110"/>
    </row>
    <row r="77" spans="1:25" x14ac:dyDescent="0.2">
      <c r="A77" s="134" t="s">
        <v>96</v>
      </c>
      <c r="B77" s="135"/>
      <c r="C77" s="136">
        <v>4017.78</v>
      </c>
      <c r="D77" s="136"/>
      <c r="E77" s="110">
        <v>11460</v>
      </c>
      <c r="F77" s="110"/>
      <c r="G77" s="34">
        <v>15.23</v>
      </c>
      <c r="H77" s="33">
        <f t="shared" si="47"/>
        <v>46043774.030000001</v>
      </c>
      <c r="I77" s="110">
        <v>11460</v>
      </c>
      <c r="J77" s="110"/>
      <c r="K77" s="118">
        <f t="shared" si="48"/>
        <v>361.60020000000003</v>
      </c>
      <c r="L77" s="118"/>
      <c r="M77" s="118">
        <v>0</v>
      </c>
      <c r="N77" s="118"/>
      <c r="O77" s="34">
        <f t="shared" si="49"/>
        <v>4379.3802000000005</v>
      </c>
      <c r="P77" s="34">
        <v>59.9</v>
      </c>
      <c r="Q77" s="34">
        <f>O77*40%</f>
        <v>1751.7520800000002</v>
      </c>
      <c r="R77" s="119">
        <f t="shared" si="50"/>
        <v>6310.8322800000005</v>
      </c>
      <c r="S77" s="119"/>
      <c r="T77" s="114">
        <f t="shared" si="51"/>
        <v>72322137.928800002</v>
      </c>
      <c r="U77" s="109"/>
      <c r="V77" s="110">
        <f t="shared" si="52"/>
        <v>0</v>
      </c>
      <c r="W77" s="110"/>
    </row>
    <row r="78" spans="1:25" x14ac:dyDescent="0.2">
      <c r="A78" s="125" t="s">
        <v>93</v>
      </c>
      <c r="B78" s="126"/>
      <c r="C78" s="127">
        <v>459</v>
      </c>
      <c r="D78" s="127"/>
      <c r="E78" s="110">
        <v>11755</v>
      </c>
      <c r="F78" s="110"/>
      <c r="G78" s="34">
        <v>15.23</v>
      </c>
      <c r="H78" s="33">
        <f t="shared" si="47"/>
        <v>5395560.2300000004</v>
      </c>
      <c r="I78" s="110">
        <v>11755</v>
      </c>
      <c r="J78" s="110"/>
      <c r="K78" s="118">
        <f t="shared" si="48"/>
        <v>41.309999999999995</v>
      </c>
      <c r="L78" s="118"/>
      <c r="M78" s="118">
        <v>0</v>
      </c>
      <c r="N78" s="118"/>
      <c r="O78" s="34">
        <f t="shared" si="49"/>
        <v>500.31</v>
      </c>
      <c r="P78" s="34">
        <v>59.9</v>
      </c>
      <c r="Q78" s="34">
        <f>O78*30%</f>
        <v>150.09299999999999</v>
      </c>
      <c r="R78" s="119">
        <f t="shared" si="50"/>
        <v>830.10300000000007</v>
      </c>
      <c r="S78" s="119"/>
      <c r="T78" s="114">
        <f t="shared" si="51"/>
        <v>9757860.7650000006</v>
      </c>
      <c r="U78" s="109"/>
      <c r="V78" s="110">
        <f t="shared" si="52"/>
        <v>0</v>
      </c>
      <c r="W78" s="110"/>
    </row>
    <row r="79" spans="1:25" x14ac:dyDescent="0.2">
      <c r="E79" s="117">
        <f>SUM(E75:F78)</f>
        <v>36297</v>
      </c>
      <c r="F79" s="117"/>
      <c r="G79" s="40">
        <f>SUM(G75:G78)</f>
        <v>60.92</v>
      </c>
      <c r="H79" s="41">
        <f>SUM(K75:K78)</f>
        <v>1804.1481000000001</v>
      </c>
      <c r="I79" s="117">
        <f>SUM(I75:J78)</f>
        <v>36297</v>
      </c>
      <c r="J79" s="117"/>
      <c r="K79" s="117" t="s">
        <v>107</v>
      </c>
      <c r="L79" s="117"/>
      <c r="M79" s="117"/>
      <c r="N79" s="117"/>
      <c r="O79" s="9"/>
      <c r="P79" s="9"/>
      <c r="Q79" s="9"/>
      <c r="R79" s="130">
        <f>SUM(R75:S78)</f>
        <v>31246.102340000001</v>
      </c>
      <c r="S79" s="130"/>
      <c r="T79" s="147">
        <f>SUM(T75:U78)</f>
        <v>241540180.74212003</v>
      </c>
      <c r="U79" s="147"/>
      <c r="V79" s="117" t="s">
        <v>108</v>
      </c>
      <c r="W79" s="117"/>
      <c r="X79" s="130">
        <f>T79-H79</f>
        <v>241538376.59402004</v>
      </c>
      <c r="Y79" s="130"/>
    </row>
    <row r="80" spans="1:25" ht="18.75" x14ac:dyDescent="0.25">
      <c r="A80" s="120" t="s">
        <v>248</v>
      </c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42"/>
      <c r="Y80" s="42"/>
    </row>
    <row r="81" spans="1:25" x14ac:dyDescent="0.2">
      <c r="A81" s="110" t="s">
        <v>101</v>
      </c>
      <c r="B81" s="110"/>
      <c r="C81" s="110" t="s">
        <v>99</v>
      </c>
      <c r="D81" s="110"/>
      <c r="E81" s="110" t="s">
        <v>100</v>
      </c>
      <c r="F81" s="110"/>
      <c r="G81" s="32" t="s">
        <v>126</v>
      </c>
      <c r="H81" s="32" t="s">
        <v>103</v>
      </c>
      <c r="I81" s="110" t="s">
        <v>104</v>
      </c>
      <c r="J81" s="110"/>
      <c r="K81" s="110" t="s">
        <v>105</v>
      </c>
      <c r="L81" s="110"/>
      <c r="M81" s="110" t="s">
        <v>109</v>
      </c>
      <c r="N81" s="110"/>
      <c r="O81" s="32" t="s">
        <v>135</v>
      </c>
      <c r="P81" s="32" t="s">
        <v>250</v>
      </c>
      <c r="Q81" s="32" t="s">
        <v>133</v>
      </c>
      <c r="R81" s="110" t="s">
        <v>134</v>
      </c>
      <c r="S81" s="110"/>
      <c r="T81" s="108" t="s">
        <v>127</v>
      </c>
      <c r="U81" s="109"/>
      <c r="V81" s="110" t="s">
        <v>106</v>
      </c>
      <c r="W81" s="110"/>
      <c r="X81" s="42"/>
      <c r="Y81" s="42"/>
    </row>
    <row r="82" spans="1:25" ht="30" customHeight="1" x14ac:dyDescent="0.2">
      <c r="A82" s="125" t="s">
        <v>11</v>
      </c>
      <c r="B82" s="126"/>
      <c r="C82" s="127">
        <v>8569.31</v>
      </c>
      <c r="D82" s="127"/>
      <c r="E82" s="110">
        <v>10039</v>
      </c>
      <c r="F82" s="110"/>
      <c r="G82" s="34">
        <v>15.23</v>
      </c>
      <c r="H82" s="33">
        <f>(C82*E82)+G82</f>
        <v>86027318.319999993</v>
      </c>
      <c r="I82" s="110">
        <v>10039</v>
      </c>
      <c r="J82" s="110"/>
      <c r="K82" s="118">
        <f>C82*0.07</f>
        <v>599.85170000000005</v>
      </c>
      <c r="L82" s="118"/>
      <c r="M82" s="118">
        <v>0</v>
      </c>
      <c r="N82" s="118"/>
      <c r="O82" s="34">
        <f>M82+K82+C82</f>
        <v>9169.1616999999987</v>
      </c>
      <c r="P82" s="34">
        <v>219.9</v>
      </c>
      <c r="Q82" s="34">
        <f>O82*40%</f>
        <v>3667.6646799999999</v>
      </c>
      <c r="R82" s="119">
        <f>Q82+O82+(P82*2)</f>
        <v>13276.626379999998</v>
      </c>
      <c r="S82" s="119"/>
      <c r="T82" s="114">
        <f t="shared" ref="T82" si="53">I82*R82</f>
        <v>133284052.22881998</v>
      </c>
      <c r="U82" s="109"/>
      <c r="V82" s="110">
        <f>I82-E82+V75</f>
        <v>0</v>
      </c>
      <c r="W82" s="110"/>
      <c r="X82" s="42"/>
      <c r="Y82" s="42"/>
    </row>
    <row r="83" spans="1:25" ht="30" customHeight="1" x14ac:dyDescent="0.2">
      <c r="A83" s="125" t="s">
        <v>15</v>
      </c>
      <c r="B83" s="126"/>
      <c r="C83" s="127">
        <v>7000</v>
      </c>
      <c r="D83" s="127"/>
      <c r="E83" s="110">
        <v>8536</v>
      </c>
      <c r="F83" s="110"/>
      <c r="G83" s="34">
        <v>15.23</v>
      </c>
      <c r="H83" s="33">
        <f t="shared" ref="H83:H85" si="54">(C83*E83)+G83</f>
        <v>59752015.229999997</v>
      </c>
      <c r="I83" s="110">
        <v>8536</v>
      </c>
      <c r="J83" s="110"/>
      <c r="K83" s="118">
        <f t="shared" ref="K83:K85" si="55">C83*0.07</f>
        <v>490.00000000000006</v>
      </c>
      <c r="L83" s="118"/>
      <c r="M83" s="118">
        <v>0</v>
      </c>
      <c r="N83" s="118"/>
      <c r="O83" s="34">
        <f t="shared" ref="O83:O85" si="56">M83+K83+C83</f>
        <v>7490</v>
      </c>
      <c r="P83" s="34">
        <v>149.9</v>
      </c>
      <c r="Q83" s="34">
        <f>O83*30%</f>
        <v>2247</v>
      </c>
      <c r="R83" s="119">
        <f>Q83+O83+(P83*2)</f>
        <v>10036.799999999999</v>
      </c>
      <c r="S83" s="119"/>
      <c r="T83" s="114">
        <f t="shared" ref="T83:T85" si="57">I83*R83</f>
        <v>85674124.799999997</v>
      </c>
      <c r="U83" s="109"/>
      <c r="V83" s="110">
        <f t="shared" ref="V83:V85" si="58">E83-I83+V75</f>
        <v>0</v>
      </c>
      <c r="W83" s="110"/>
      <c r="X83" s="42"/>
      <c r="Y83" s="42"/>
    </row>
    <row r="84" spans="1:25" ht="30" customHeight="1" x14ac:dyDescent="0.2">
      <c r="A84" s="134" t="s">
        <v>96</v>
      </c>
      <c r="B84" s="135"/>
      <c r="C84" s="136">
        <v>4017.78</v>
      </c>
      <c r="D84" s="136"/>
      <c r="E84" s="110">
        <v>14360</v>
      </c>
      <c r="F84" s="110"/>
      <c r="G84" s="34">
        <v>15.23</v>
      </c>
      <c r="H84" s="33">
        <f t="shared" si="54"/>
        <v>57695336.030000001</v>
      </c>
      <c r="I84" s="110">
        <v>14360</v>
      </c>
      <c r="J84" s="110"/>
      <c r="K84" s="118">
        <f t="shared" si="55"/>
        <v>281.24460000000005</v>
      </c>
      <c r="L84" s="118"/>
      <c r="M84" s="118">
        <v>0</v>
      </c>
      <c r="N84" s="118"/>
      <c r="O84" s="34">
        <f t="shared" si="56"/>
        <v>4299.0246000000006</v>
      </c>
      <c r="P84" s="34">
        <v>59.9</v>
      </c>
      <c r="Q84" s="34">
        <f>O84*40%</f>
        <v>1719.6098400000003</v>
      </c>
      <c r="R84" s="119">
        <f>Q84+O84+(P84*2)</f>
        <v>6138.4344400000009</v>
      </c>
      <c r="S84" s="119"/>
      <c r="T84" s="114">
        <f t="shared" si="57"/>
        <v>88147918.55840002</v>
      </c>
      <c r="U84" s="109"/>
      <c r="V84" s="110">
        <f t="shared" si="58"/>
        <v>0</v>
      </c>
      <c r="W84" s="110"/>
      <c r="X84" s="42"/>
      <c r="Y84" s="42"/>
    </row>
    <row r="85" spans="1:25" ht="30" customHeight="1" x14ac:dyDescent="0.2">
      <c r="A85" s="125" t="s">
        <v>93</v>
      </c>
      <c r="B85" s="126"/>
      <c r="C85" s="127">
        <v>459</v>
      </c>
      <c r="D85" s="127"/>
      <c r="E85" s="110">
        <v>13537</v>
      </c>
      <c r="F85" s="110"/>
      <c r="G85" s="34">
        <v>15.23</v>
      </c>
      <c r="H85" s="33">
        <f t="shared" si="54"/>
        <v>6213498.2300000004</v>
      </c>
      <c r="I85" s="110">
        <v>13537</v>
      </c>
      <c r="J85" s="110"/>
      <c r="K85" s="118">
        <f t="shared" si="55"/>
        <v>32.130000000000003</v>
      </c>
      <c r="L85" s="118"/>
      <c r="M85" s="118">
        <v>0</v>
      </c>
      <c r="N85" s="118"/>
      <c r="O85" s="34">
        <f t="shared" si="56"/>
        <v>491.13</v>
      </c>
      <c r="P85" s="34">
        <v>59.9</v>
      </c>
      <c r="Q85" s="34">
        <f>O85*30%</f>
        <v>147.339</v>
      </c>
      <c r="R85" s="119">
        <f>Q85+O85+(P85*2)</f>
        <v>758.26900000000001</v>
      </c>
      <c r="S85" s="119"/>
      <c r="T85" s="114">
        <f t="shared" si="57"/>
        <v>10264687.453</v>
      </c>
      <c r="U85" s="109"/>
      <c r="V85" s="110">
        <f t="shared" si="58"/>
        <v>0</v>
      </c>
      <c r="W85" s="110"/>
      <c r="X85" s="42"/>
      <c r="Y85" s="42"/>
    </row>
    <row r="86" spans="1:25" ht="15" customHeight="1" x14ac:dyDescent="0.2">
      <c r="A86" s="94"/>
      <c r="B86" s="94"/>
      <c r="E86" s="117"/>
      <c r="F86" s="117"/>
      <c r="G86" s="40"/>
      <c r="H86" s="41">
        <f>SUM(H82:H85)</f>
        <v>209688167.80999997</v>
      </c>
      <c r="I86" s="117"/>
      <c r="J86" s="117"/>
      <c r="K86" s="9"/>
      <c r="L86" s="9"/>
      <c r="M86" s="9"/>
      <c r="N86" s="9"/>
      <c r="O86" s="9"/>
      <c r="P86" s="9"/>
      <c r="Q86" s="9"/>
      <c r="R86" s="130"/>
      <c r="S86" s="130"/>
      <c r="T86" s="130">
        <f>SUM(T82:U85)</f>
        <v>317370783.04022002</v>
      </c>
      <c r="U86" s="130"/>
      <c r="V86" s="117"/>
      <c r="W86" s="117"/>
      <c r="X86" s="130">
        <f>T86-H86</f>
        <v>107682615.23022005</v>
      </c>
      <c r="Y86" s="130"/>
    </row>
    <row r="87" spans="1:25" ht="18.75" x14ac:dyDescent="0.25">
      <c r="A87" s="120" t="s">
        <v>249</v>
      </c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42"/>
      <c r="Y87" s="42"/>
    </row>
    <row r="88" spans="1:25" x14ac:dyDescent="0.2">
      <c r="A88" s="110" t="s">
        <v>101</v>
      </c>
      <c r="B88" s="110"/>
      <c r="C88" s="110" t="s">
        <v>99</v>
      </c>
      <c r="D88" s="110"/>
      <c r="E88" s="110" t="s">
        <v>100</v>
      </c>
      <c r="F88" s="110"/>
      <c r="G88" s="32" t="s">
        <v>126</v>
      </c>
      <c r="H88" s="32" t="s">
        <v>103</v>
      </c>
      <c r="I88" s="110" t="s">
        <v>104</v>
      </c>
      <c r="J88" s="110"/>
      <c r="K88" s="110" t="s">
        <v>105</v>
      </c>
      <c r="L88" s="110"/>
      <c r="M88" s="110" t="s">
        <v>109</v>
      </c>
      <c r="N88" s="110"/>
      <c r="O88" s="32" t="s">
        <v>135</v>
      </c>
      <c r="P88" s="32" t="s">
        <v>250</v>
      </c>
      <c r="Q88" s="32" t="s">
        <v>133</v>
      </c>
      <c r="R88" s="110" t="s">
        <v>134</v>
      </c>
      <c r="S88" s="110"/>
      <c r="T88" s="108" t="s">
        <v>127</v>
      </c>
      <c r="U88" s="109"/>
      <c r="V88" s="110" t="s">
        <v>106</v>
      </c>
      <c r="W88" s="110"/>
      <c r="X88" s="42"/>
      <c r="Y88" s="42"/>
    </row>
    <row r="89" spans="1:25" ht="29.25" customHeight="1" x14ac:dyDescent="0.2">
      <c r="A89" s="125" t="s">
        <v>11</v>
      </c>
      <c r="B89" s="126"/>
      <c r="C89" s="127">
        <v>8569.31</v>
      </c>
      <c r="D89" s="127"/>
      <c r="E89" s="110">
        <v>8907</v>
      </c>
      <c r="F89" s="110"/>
      <c r="G89" s="34">
        <v>15.23</v>
      </c>
      <c r="H89" s="33">
        <f>(C89*E89)+G89</f>
        <v>76326859.400000006</v>
      </c>
      <c r="I89" s="110">
        <v>8907</v>
      </c>
      <c r="J89" s="110"/>
      <c r="K89" s="118">
        <f>C89*0.07</f>
        <v>599.85170000000005</v>
      </c>
      <c r="L89" s="118"/>
      <c r="M89" s="118">
        <v>0</v>
      </c>
      <c r="N89" s="118"/>
      <c r="O89" s="34">
        <f>M89+K89+C89</f>
        <v>9169.1616999999987</v>
      </c>
      <c r="P89" s="34">
        <v>219.9</v>
      </c>
      <c r="Q89" s="34">
        <f>O89*40%</f>
        <v>3667.6646799999999</v>
      </c>
      <c r="R89" s="119">
        <f>Q89+O89+(P89*1)</f>
        <v>13056.726379999998</v>
      </c>
      <c r="S89" s="119"/>
      <c r="T89" s="114">
        <f t="shared" ref="T89" si="59">I89*R89</f>
        <v>116296261.86665998</v>
      </c>
      <c r="U89" s="109"/>
      <c r="V89" s="110">
        <f>I89-E89+V82</f>
        <v>0</v>
      </c>
      <c r="W89" s="110"/>
      <c r="X89" s="42"/>
      <c r="Y89" s="42"/>
    </row>
    <row r="90" spans="1:25" ht="29.25" customHeight="1" x14ac:dyDescent="0.2">
      <c r="A90" s="125" t="s">
        <v>15</v>
      </c>
      <c r="B90" s="126"/>
      <c r="C90" s="127">
        <v>7000</v>
      </c>
      <c r="D90" s="127"/>
      <c r="E90" s="110">
        <v>7530</v>
      </c>
      <c r="F90" s="110"/>
      <c r="G90" s="34">
        <v>15.23</v>
      </c>
      <c r="H90" s="33">
        <f t="shared" ref="H90:H92" si="60">(C90*E90)+G90</f>
        <v>52710015.229999997</v>
      </c>
      <c r="I90" s="110">
        <v>7530</v>
      </c>
      <c r="J90" s="110"/>
      <c r="K90" s="118">
        <f t="shared" ref="K90:K92" si="61">C90*0.07</f>
        <v>490.00000000000006</v>
      </c>
      <c r="L90" s="118"/>
      <c r="M90" s="118">
        <v>0</v>
      </c>
      <c r="N90" s="118"/>
      <c r="O90" s="34">
        <f t="shared" ref="O90:O92" si="62">M90+K90+C90</f>
        <v>7490</v>
      </c>
      <c r="P90" s="34">
        <v>149.9</v>
      </c>
      <c r="Q90" s="34">
        <f>O90*30%</f>
        <v>2247</v>
      </c>
      <c r="R90" s="119">
        <f t="shared" ref="R90:R92" si="63">Q90+O90+(P90*1)</f>
        <v>9886.9</v>
      </c>
      <c r="S90" s="119"/>
      <c r="T90" s="114">
        <f t="shared" ref="T90:T92" si="64">I90*R90</f>
        <v>74448357</v>
      </c>
      <c r="U90" s="109"/>
      <c r="V90" s="110">
        <f t="shared" ref="V90:V92" si="65">E90-I90+V82</f>
        <v>0</v>
      </c>
      <c r="W90" s="110"/>
      <c r="X90" s="42"/>
      <c r="Y90" s="42"/>
    </row>
    <row r="91" spans="1:25" ht="29.25" customHeight="1" x14ac:dyDescent="0.2">
      <c r="A91" s="134" t="s">
        <v>96</v>
      </c>
      <c r="B91" s="135"/>
      <c r="C91" s="136">
        <v>4017.78</v>
      </c>
      <c r="D91" s="136"/>
      <c r="E91" s="110">
        <v>13743</v>
      </c>
      <c r="F91" s="110"/>
      <c r="G91" s="34">
        <v>15.23</v>
      </c>
      <c r="H91" s="33">
        <f t="shared" si="60"/>
        <v>55216365.769999996</v>
      </c>
      <c r="I91" s="110">
        <v>13743</v>
      </c>
      <c r="J91" s="110"/>
      <c r="K91" s="118">
        <f t="shared" si="61"/>
        <v>281.24460000000005</v>
      </c>
      <c r="L91" s="118"/>
      <c r="M91" s="118">
        <v>0</v>
      </c>
      <c r="N91" s="118"/>
      <c r="O91" s="34">
        <f t="shared" si="62"/>
        <v>4299.0246000000006</v>
      </c>
      <c r="P91" s="34">
        <v>59.9</v>
      </c>
      <c r="Q91" s="34">
        <f>O91*40%</f>
        <v>1719.6098400000003</v>
      </c>
      <c r="R91" s="119">
        <f t="shared" si="63"/>
        <v>6078.5344400000004</v>
      </c>
      <c r="S91" s="119"/>
      <c r="T91" s="114">
        <f t="shared" si="64"/>
        <v>83537298.808920011</v>
      </c>
      <c r="U91" s="109"/>
      <c r="V91" s="110">
        <f t="shared" si="65"/>
        <v>0</v>
      </c>
      <c r="W91" s="110"/>
      <c r="X91" s="42"/>
      <c r="Y91" s="42"/>
    </row>
    <row r="92" spans="1:25" ht="29.25" customHeight="1" x14ac:dyDescent="0.2">
      <c r="A92" s="125" t="s">
        <v>93</v>
      </c>
      <c r="B92" s="126"/>
      <c r="C92" s="127">
        <v>459</v>
      </c>
      <c r="D92" s="127"/>
      <c r="E92" s="110">
        <v>12933</v>
      </c>
      <c r="F92" s="110"/>
      <c r="G92" s="34">
        <v>15.23</v>
      </c>
      <c r="H92" s="33">
        <f t="shared" si="60"/>
        <v>5936262.2300000004</v>
      </c>
      <c r="I92" s="110">
        <v>12933</v>
      </c>
      <c r="J92" s="110"/>
      <c r="K92" s="118">
        <f t="shared" si="61"/>
        <v>32.130000000000003</v>
      </c>
      <c r="L92" s="118"/>
      <c r="M92" s="118">
        <v>0</v>
      </c>
      <c r="N92" s="118"/>
      <c r="O92" s="34">
        <f t="shared" si="62"/>
        <v>491.13</v>
      </c>
      <c r="P92" s="34">
        <v>59.9</v>
      </c>
      <c r="Q92" s="34">
        <f>O92*30%</f>
        <v>147.339</v>
      </c>
      <c r="R92" s="119">
        <f t="shared" si="63"/>
        <v>698.36900000000003</v>
      </c>
      <c r="S92" s="119"/>
      <c r="T92" s="114">
        <f t="shared" si="64"/>
        <v>9032006.2770000007</v>
      </c>
      <c r="U92" s="109"/>
      <c r="V92" s="110">
        <f t="shared" si="65"/>
        <v>0</v>
      </c>
      <c r="W92" s="110"/>
      <c r="X92" s="42"/>
      <c r="Y92" s="42"/>
    </row>
    <row r="93" spans="1:25" x14ac:dyDescent="0.2">
      <c r="A93" s="117"/>
      <c r="B93" s="117"/>
      <c r="C93" s="117"/>
      <c r="D93" s="117"/>
      <c r="E93" s="117"/>
      <c r="F93" s="117"/>
      <c r="H93" s="40">
        <f>SUM(H89:H92)</f>
        <v>190189502.62999997</v>
      </c>
      <c r="I93" s="117"/>
      <c r="J93" s="117"/>
      <c r="K93" s="117"/>
      <c r="L93" s="117"/>
      <c r="M93" s="117"/>
      <c r="N93" s="117"/>
      <c r="R93" s="130"/>
      <c r="S93" s="130"/>
      <c r="T93" s="130">
        <f>SUM(T89:U92)</f>
        <v>283313923.95258003</v>
      </c>
      <c r="U93" s="130"/>
      <c r="V93" s="117"/>
      <c r="W93" s="117"/>
      <c r="X93" s="130">
        <f>T93-H93</f>
        <v>93124421.322580069</v>
      </c>
      <c r="Y93" s="130"/>
    </row>
    <row r="94" spans="1:25" x14ac:dyDescent="0.2">
      <c r="A94" s="112" t="s">
        <v>105</v>
      </c>
      <c r="B94" s="112"/>
      <c r="C94" s="112"/>
      <c r="D94" s="112"/>
      <c r="E94" s="115" t="s">
        <v>131</v>
      </c>
      <c r="F94" s="115"/>
      <c r="G94" s="115"/>
      <c r="H94" s="95"/>
      <c r="R94" s="117"/>
      <c r="S94" s="117"/>
      <c r="T94" s="130"/>
      <c r="U94" s="130"/>
      <c r="V94" s="117"/>
      <c r="W94" s="117"/>
    </row>
    <row r="95" spans="1:25" x14ac:dyDescent="0.2">
      <c r="A95" s="110" t="s">
        <v>129</v>
      </c>
      <c r="B95" s="110"/>
      <c r="C95" s="110" t="s">
        <v>130</v>
      </c>
      <c r="D95" s="110"/>
      <c r="E95" s="110" t="s">
        <v>41</v>
      </c>
      <c r="F95" s="110"/>
      <c r="G95" s="32" t="s">
        <v>168</v>
      </c>
      <c r="H95" s="96" t="s">
        <v>154</v>
      </c>
      <c r="I95" s="110" t="s">
        <v>286</v>
      </c>
      <c r="J95" s="110"/>
      <c r="K95" s="110" t="s">
        <v>287</v>
      </c>
      <c r="L95" s="110"/>
      <c r="M95" s="110"/>
      <c r="N95" s="110"/>
      <c r="O95" s="32"/>
      <c r="P95" s="9"/>
      <c r="Q95" s="9"/>
      <c r="R95" s="117"/>
      <c r="S95" s="117"/>
      <c r="T95" s="130"/>
      <c r="U95" s="130"/>
      <c r="V95" s="117"/>
      <c r="W95" s="117"/>
    </row>
    <row r="96" spans="1:25" x14ac:dyDescent="0.2">
      <c r="A96" s="110" t="s">
        <v>44</v>
      </c>
      <c r="B96" s="110"/>
      <c r="C96" s="118">
        <v>163812587.80000001</v>
      </c>
      <c r="D96" s="118"/>
      <c r="E96" s="110" t="s">
        <v>44</v>
      </c>
      <c r="F96" s="110"/>
      <c r="G96" s="97">
        <v>3000000</v>
      </c>
      <c r="H96" s="85">
        <v>6868000</v>
      </c>
      <c r="I96" s="133">
        <f>C116/12</f>
        <v>473313750</v>
      </c>
      <c r="J96" s="110"/>
      <c r="K96" s="116">
        <f>G96+H96+I96</f>
        <v>483181750</v>
      </c>
      <c r="L96" s="110"/>
      <c r="M96" s="116">
        <f>K96-C96</f>
        <v>319369162.19999999</v>
      </c>
      <c r="N96" s="110"/>
      <c r="O96" s="32"/>
      <c r="P96" s="9"/>
      <c r="Q96" s="9"/>
      <c r="R96" s="117"/>
      <c r="S96" s="117"/>
      <c r="T96" s="130"/>
      <c r="U96" s="130"/>
      <c r="V96" s="117"/>
      <c r="W96" s="117"/>
    </row>
    <row r="97" spans="1:23" x14ac:dyDescent="0.2">
      <c r="A97" s="110" t="s">
        <v>45</v>
      </c>
      <c r="B97" s="110"/>
      <c r="C97" s="118">
        <v>154869198.40000001</v>
      </c>
      <c r="D97" s="118"/>
      <c r="E97" s="110" t="s">
        <v>45</v>
      </c>
      <c r="F97" s="110"/>
      <c r="G97" s="97">
        <v>3000000</v>
      </c>
      <c r="H97" s="85">
        <v>6868000</v>
      </c>
      <c r="I97" s="133">
        <f>C116/12</f>
        <v>473313750</v>
      </c>
      <c r="J97" s="110"/>
      <c r="K97" s="116">
        <f t="shared" ref="K97:K108" si="66">G97+H97+I97</f>
        <v>483181750</v>
      </c>
      <c r="L97" s="110"/>
      <c r="M97" s="116">
        <f t="shared" ref="M97:M108" si="67">K97-C97</f>
        <v>328312551.60000002</v>
      </c>
      <c r="N97" s="110"/>
      <c r="O97" s="32"/>
      <c r="P97" s="9"/>
      <c r="Q97" s="9"/>
      <c r="R97" s="117"/>
      <c r="S97" s="117"/>
      <c r="T97" s="130"/>
      <c r="U97" s="130"/>
      <c r="V97" s="117"/>
      <c r="W97" s="117"/>
    </row>
    <row r="98" spans="1:23" x14ac:dyDescent="0.2">
      <c r="A98" s="110" t="s">
        <v>46</v>
      </c>
      <c r="B98" s="110"/>
      <c r="C98" s="118">
        <v>153837267.25999999</v>
      </c>
      <c r="D98" s="118"/>
      <c r="E98" s="110" t="s">
        <v>46</v>
      </c>
      <c r="F98" s="110"/>
      <c r="G98" s="97">
        <v>3000000</v>
      </c>
      <c r="H98" s="85">
        <v>6868000</v>
      </c>
      <c r="I98" s="133">
        <f>C116/12</f>
        <v>473313750</v>
      </c>
      <c r="J98" s="110"/>
      <c r="K98" s="116">
        <f t="shared" si="66"/>
        <v>483181750</v>
      </c>
      <c r="L98" s="110"/>
      <c r="M98" s="116">
        <f t="shared" si="67"/>
        <v>329344482.74000001</v>
      </c>
      <c r="N98" s="110"/>
      <c r="O98" s="32"/>
      <c r="P98" s="9"/>
      <c r="Q98" s="9"/>
      <c r="R98" s="117"/>
      <c r="S98" s="117"/>
      <c r="T98" s="130"/>
      <c r="U98" s="130"/>
      <c r="V98" s="117"/>
      <c r="W98" s="117"/>
    </row>
    <row r="99" spans="1:23" x14ac:dyDescent="0.2">
      <c r="A99" s="110" t="s">
        <v>47</v>
      </c>
      <c r="B99" s="110"/>
      <c r="C99" s="118">
        <v>129786774.97</v>
      </c>
      <c r="D99" s="118"/>
      <c r="E99" s="110" t="s">
        <v>47</v>
      </c>
      <c r="F99" s="110"/>
      <c r="G99" s="97">
        <v>3000000</v>
      </c>
      <c r="H99" s="85">
        <v>6868000</v>
      </c>
      <c r="I99" s="133">
        <f>C116/12</f>
        <v>473313750</v>
      </c>
      <c r="J99" s="110"/>
      <c r="K99" s="116">
        <f t="shared" si="66"/>
        <v>483181750</v>
      </c>
      <c r="L99" s="110"/>
      <c r="M99" s="116">
        <f t="shared" si="67"/>
        <v>353394975.02999997</v>
      </c>
      <c r="N99" s="110"/>
      <c r="O99" s="32"/>
      <c r="P99" s="9"/>
      <c r="Q99" s="9"/>
      <c r="R99" s="117"/>
      <c r="S99" s="117"/>
      <c r="T99" s="130"/>
      <c r="U99" s="130"/>
      <c r="V99" s="117"/>
      <c r="W99" s="117"/>
    </row>
    <row r="100" spans="1:23" x14ac:dyDescent="0.2">
      <c r="A100" s="110" t="s">
        <v>48</v>
      </c>
      <c r="B100" s="110"/>
      <c r="C100" s="118">
        <v>131297133.06</v>
      </c>
      <c r="D100" s="118"/>
      <c r="E100" s="110" t="s">
        <v>48</v>
      </c>
      <c r="F100" s="110"/>
      <c r="G100" s="97">
        <v>3000000</v>
      </c>
      <c r="H100" s="85">
        <v>6868000</v>
      </c>
      <c r="I100" s="133">
        <f>C116/12</f>
        <v>473313750</v>
      </c>
      <c r="J100" s="110"/>
      <c r="K100" s="116">
        <f t="shared" si="66"/>
        <v>483181750</v>
      </c>
      <c r="L100" s="110"/>
      <c r="M100" s="116">
        <f t="shared" si="67"/>
        <v>351884616.94</v>
      </c>
      <c r="N100" s="110"/>
      <c r="O100" s="32"/>
      <c r="P100" s="9"/>
      <c r="Q100" s="9"/>
      <c r="R100" s="117"/>
      <c r="S100" s="117"/>
      <c r="T100" s="130"/>
      <c r="U100" s="130"/>
      <c r="V100" s="117"/>
      <c r="W100" s="117"/>
    </row>
    <row r="101" spans="1:23" x14ac:dyDescent="0.2">
      <c r="A101" s="110" t="s">
        <v>49</v>
      </c>
      <c r="B101" s="110"/>
      <c r="C101" s="118">
        <v>137816786</v>
      </c>
      <c r="D101" s="118"/>
      <c r="E101" s="110" t="s">
        <v>49</v>
      </c>
      <c r="F101" s="110"/>
      <c r="G101" s="97">
        <v>3000000</v>
      </c>
      <c r="H101" s="85">
        <v>6868000</v>
      </c>
      <c r="I101" s="133">
        <f>C116/12</f>
        <v>473313750</v>
      </c>
      <c r="J101" s="110"/>
      <c r="K101" s="116">
        <f t="shared" si="66"/>
        <v>483181750</v>
      </c>
      <c r="L101" s="110"/>
      <c r="M101" s="116">
        <f t="shared" si="67"/>
        <v>345364964</v>
      </c>
      <c r="N101" s="110"/>
      <c r="O101" s="32"/>
      <c r="P101" s="9"/>
      <c r="Q101" s="9"/>
      <c r="R101" s="117"/>
      <c r="S101" s="117"/>
      <c r="T101" s="130"/>
      <c r="U101" s="130"/>
      <c r="V101" s="117"/>
      <c r="W101" s="117"/>
    </row>
    <row r="102" spans="1:23" x14ac:dyDescent="0.2">
      <c r="A102" s="110" t="s">
        <v>50</v>
      </c>
      <c r="B102" s="110"/>
      <c r="C102" s="118">
        <v>126518954.7</v>
      </c>
      <c r="D102" s="118"/>
      <c r="E102" s="110" t="s">
        <v>50</v>
      </c>
      <c r="F102" s="110"/>
      <c r="G102" s="97">
        <v>3000000</v>
      </c>
      <c r="H102" s="85">
        <v>6868000</v>
      </c>
      <c r="I102" s="133">
        <f>C116/12</f>
        <v>473313750</v>
      </c>
      <c r="J102" s="110"/>
      <c r="K102" s="116">
        <f t="shared" si="66"/>
        <v>483181750</v>
      </c>
      <c r="L102" s="110"/>
      <c r="M102" s="116">
        <f t="shared" si="67"/>
        <v>356662795.30000001</v>
      </c>
      <c r="N102" s="110"/>
      <c r="O102" s="32"/>
      <c r="P102" s="9"/>
      <c r="Q102" s="9"/>
      <c r="R102" s="117"/>
      <c r="S102" s="117"/>
      <c r="T102" s="130"/>
      <c r="U102" s="130"/>
      <c r="V102" s="117"/>
      <c r="W102" s="117"/>
    </row>
    <row r="103" spans="1:23" x14ac:dyDescent="0.2">
      <c r="A103" s="110" t="s">
        <v>51</v>
      </c>
      <c r="B103" s="110"/>
      <c r="C103" s="118">
        <v>113923492.09999999</v>
      </c>
      <c r="D103" s="118"/>
      <c r="E103" s="110" t="s">
        <v>51</v>
      </c>
      <c r="F103" s="110"/>
      <c r="G103" s="97">
        <v>3000000</v>
      </c>
      <c r="H103" s="85">
        <v>6868000</v>
      </c>
      <c r="I103" s="133">
        <f>C116/12</f>
        <v>473313750</v>
      </c>
      <c r="J103" s="110"/>
      <c r="K103" s="116">
        <f t="shared" si="66"/>
        <v>483181750</v>
      </c>
      <c r="L103" s="110"/>
      <c r="M103" s="116">
        <f t="shared" si="67"/>
        <v>369258257.89999998</v>
      </c>
      <c r="N103" s="110"/>
      <c r="O103" s="32"/>
      <c r="P103" s="9"/>
      <c r="Q103" s="9"/>
      <c r="R103" s="117"/>
      <c r="S103" s="117"/>
      <c r="T103" s="130"/>
      <c r="U103" s="130"/>
      <c r="V103" s="117"/>
      <c r="W103" s="117"/>
    </row>
    <row r="104" spans="1:23" x14ac:dyDescent="0.2">
      <c r="A104" s="110" t="s">
        <v>52</v>
      </c>
      <c r="B104" s="110"/>
      <c r="C104" s="118">
        <v>101173125.64</v>
      </c>
      <c r="D104" s="118"/>
      <c r="E104" s="110" t="s">
        <v>52</v>
      </c>
      <c r="F104" s="110"/>
      <c r="G104" s="97">
        <v>3000000</v>
      </c>
      <c r="H104" s="85">
        <v>6868000</v>
      </c>
      <c r="I104" s="133">
        <f>C116/12</f>
        <v>473313750</v>
      </c>
      <c r="J104" s="110"/>
      <c r="K104" s="116">
        <f t="shared" si="66"/>
        <v>483181750</v>
      </c>
      <c r="L104" s="110"/>
      <c r="M104" s="116">
        <f t="shared" si="67"/>
        <v>382008624.36000001</v>
      </c>
      <c r="N104" s="110"/>
      <c r="O104" s="32"/>
      <c r="P104" s="9"/>
      <c r="Q104" s="9"/>
      <c r="R104" s="117"/>
      <c r="S104" s="117"/>
      <c r="T104" s="130"/>
      <c r="U104" s="130"/>
      <c r="V104" s="117"/>
      <c r="W104" s="117"/>
    </row>
    <row r="105" spans="1:23" x14ac:dyDescent="0.2">
      <c r="A105" s="110" t="s">
        <v>53</v>
      </c>
      <c r="B105" s="110"/>
      <c r="C105" s="118">
        <v>241538376.59</v>
      </c>
      <c r="D105" s="118"/>
      <c r="E105" s="110" t="s">
        <v>53</v>
      </c>
      <c r="F105" s="110"/>
      <c r="G105" s="97">
        <v>3000000</v>
      </c>
      <c r="H105" s="85">
        <v>6868000</v>
      </c>
      <c r="I105" s="133">
        <f>C116/12</f>
        <v>473313750</v>
      </c>
      <c r="J105" s="110"/>
      <c r="K105" s="116">
        <f t="shared" si="66"/>
        <v>483181750</v>
      </c>
      <c r="L105" s="110"/>
      <c r="M105" s="116">
        <f t="shared" si="67"/>
        <v>241643373.41</v>
      </c>
      <c r="N105" s="110"/>
      <c r="O105" s="32"/>
      <c r="P105" s="9"/>
      <c r="Q105" s="9"/>
      <c r="R105" s="117"/>
      <c r="S105" s="117"/>
      <c r="T105" s="130"/>
      <c r="U105" s="130"/>
      <c r="V105" s="117"/>
      <c r="W105" s="117"/>
    </row>
    <row r="106" spans="1:23" x14ac:dyDescent="0.2">
      <c r="A106" s="110" t="s">
        <v>54</v>
      </c>
      <c r="B106" s="110"/>
      <c r="C106" s="118">
        <v>107682615.23</v>
      </c>
      <c r="D106" s="118"/>
      <c r="E106" s="110" t="s">
        <v>54</v>
      </c>
      <c r="F106" s="110"/>
      <c r="G106" s="97">
        <v>3000000</v>
      </c>
      <c r="H106" s="85">
        <v>6868000</v>
      </c>
      <c r="I106" s="133">
        <f>C116/12</f>
        <v>473313750</v>
      </c>
      <c r="J106" s="110"/>
      <c r="K106" s="116">
        <f t="shared" si="66"/>
        <v>483181750</v>
      </c>
      <c r="L106" s="110"/>
      <c r="M106" s="116">
        <f t="shared" si="67"/>
        <v>375499134.76999998</v>
      </c>
      <c r="N106" s="110"/>
      <c r="O106" s="32"/>
      <c r="P106" s="9"/>
      <c r="Q106" s="9"/>
      <c r="R106" s="117"/>
      <c r="S106" s="117"/>
      <c r="T106" s="130"/>
      <c r="U106" s="130"/>
      <c r="V106" s="117"/>
      <c r="W106" s="117"/>
    </row>
    <row r="107" spans="1:23" x14ac:dyDescent="0.2">
      <c r="A107" s="110" t="s">
        <v>55</v>
      </c>
      <c r="B107" s="110"/>
      <c r="C107" s="118">
        <v>93124421.319999993</v>
      </c>
      <c r="D107" s="118"/>
      <c r="E107" s="110" t="s">
        <v>55</v>
      </c>
      <c r="F107" s="110"/>
      <c r="G107" s="97">
        <v>3000000</v>
      </c>
      <c r="H107" s="85">
        <v>6868000</v>
      </c>
      <c r="I107" s="133">
        <f>C116/12</f>
        <v>473313750</v>
      </c>
      <c r="J107" s="110"/>
      <c r="K107" s="116">
        <f t="shared" si="66"/>
        <v>483181750</v>
      </c>
      <c r="L107" s="110"/>
      <c r="M107" s="116">
        <f t="shared" si="67"/>
        <v>390057328.68000001</v>
      </c>
      <c r="N107" s="110"/>
      <c r="O107" s="32"/>
      <c r="P107" s="9"/>
      <c r="Q107" s="9"/>
      <c r="R107" s="117"/>
      <c r="S107" s="117"/>
      <c r="T107" s="9"/>
      <c r="U107" s="9"/>
      <c r="V107" s="117"/>
      <c r="W107" s="117"/>
    </row>
    <row r="108" spans="1:23" x14ac:dyDescent="0.2">
      <c r="A108" s="110" t="s">
        <v>56</v>
      </c>
      <c r="B108" s="110"/>
      <c r="C108" s="113">
        <f>SUM(C96:D107)</f>
        <v>1655380733.0699999</v>
      </c>
      <c r="D108" s="113"/>
      <c r="E108" s="110" t="s">
        <v>56</v>
      </c>
      <c r="F108" s="110"/>
      <c r="G108" s="39">
        <f>SUM(G96:G107)</f>
        <v>36000000</v>
      </c>
      <c r="H108" s="36">
        <f>SUM(H96:H107)</f>
        <v>82416000</v>
      </c>
      <c r="I108" s="146">
        <f>SUM(I96:J107)</f>
        <v>5679765000</v>
      </c>
      <c r="J108" s="117"/>
      <c r="K108" s="116">
        <f t="shared" si="66"/>
        <v>5798181000</v>
      </c>
      <c r="L108" s="110"/>
      <c r="M108" s="116">
        <f t="shared" si="67"/>
        <v>4142800266.9300003</v>
      </c>
      <c r="N108" s="110"/>
      <c r="O108" s="38"/>
    </row>
    <row r="109" spans="1:23" x14ac:dyDescent="0.2">
      <c r="A109" s="133"/>
      <c r="B109" s="110"/>
      <c r="C109" s="110"/>
      <c r="D109" s="110"/>
      <c r="E109" s="110"/>
      <c r="F109" s="110"/>
      <c r="G109" s="110"/>
      <c r="H109" s="110"/>
      <c r="I109" s="108"/>
      <c r="J109" s="109"/>
      <c r="K109" s="108"/>
      <c r="L109" s="109"/>
      <c r="M109" s="38"/>
      <c r="N109" s="38"/>
      <c r="O109" s="38"/>
    </row>
    <row r="110" spans="1:23" x14ac:dyDescent="0.2">
      <c r="A110" s="110" t="s">
        <v>236</v>
      </c>
      <c r="B110" s="110"/>
      <c r="C110" s="110"/>
      <c r="D110" s="110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spans="1:23" x14ac:dyDescent="0.2">
      <c r="A111" s="117" t="s">
        <v>237</v>
      </c>
      <c r="B111" s="117"/>
      <c r="C111" s="117" t="s">
        <v>132</v>
      </c>
      <c r="D111" s="117"/>
    </row>
    <row r="112" spans="1:23" x14ac:dyDescent="0.2">
      <c r="A112" s="117" t="s">
        <v>246</v>
      </c>
      <c r="B112" s="117"/>
      <c r="C112" s="146">
        <f>Franquia!C5</f>
        <v>330000000</v>
      </c>
      <c r="D112" s="117"/>
    </row>
    <row r="113" spans="1:4" x14ac:dyDescent="0.2">
      <c r="A113" s="117" t="s">
        <v>238</v>
      </c>
      <c r="B113" s="117"/>
      <c r="C113" s="146">
        <f>'CUSTO ARMAZÉM'!D20</f>
        <v>3675000</v>
      </c>
      <c r="D113" s="117"/>
    </row>
    <row r="114" spans="1:4" x14ac:dyDescent="0.2">
      <c r="A114" s="117" t="s">
        <v>153</v>
      </c>
      <c r="B114" s="117"/>
      <c r="C114" s="146">
        <f>'CUSTO EQUIPES FUNCIONÁRIOS			'!D17</f>
        <v>8090000</v>
      </c>
      <c r="D114" s="117"/>
    </row>
    <row r="115" spans="1:4" x14ac:dyDescent="0.2">
      <c r="A115" s="117" t="s">
        <v>185</v>
      </c>
      <c r="B115" s="117"/>
      <c r="C115" s="146">
        <f>'POSTO DE ATENDIMENTO (PA)						'!A20</f>
        <v>5338000000</v>
      </c>
      <c r="D115" s="117"/>
    </row>
    <row r="116" spans="1:4" x14ac:dyDescent="0.2">
      <c r="A116" s="117" t="s">
        <v>251</v>
      </c>
      <c r="B116" s="117"/>
      <c r="C116" s="146">
        <f>SUM(C112:D115)</f>
        <v>5679765000</v>
      </c>
      <c r="D116" s="117"/>
    </row>
    <row r="117" spans="1:4" x14ac:dyDescent="0.2">
      <c r="A117" s="117"/>
      <c r="B117" s="117"/>
      <c r="C117" s="146">
        <f>C116/12</f>
        <v>473313750</v>
      </c>
      <c r="D117" s="117"/>
    </row>
    <row r="118" spans="1:4" x14ac:dyDescent="0.2">
      <c r="A118" s="117"/>
      <c r="B118" s="117"/>
      <c r="C118" s="117"/>
      <c r="D118" s="117"/>
    </row>
    <row r="119" spans="1:4" x14ac:dyDescent="0.2">
      <c r="A119" s="117"/>
      <c r="B119" s="117"/>
      <c r="C119" s="117"/>
      <c r="D119" s="117"/>
    </row>
  </sheetData>
  <mergeCells count="792">
    <mergeCell ref="C83:D83"/>
    <mergeCell ref="C84:D84"/>
    <mergeCell ref="C85:D85"/>
    <mergeCell ref="C89:D89"/>
    <mergeCell ref="T79:U79"/>
    <mergeCell ref="X86:Y86"/>
    <mergeCell ref="X93:Y93"/>
    <mergeCell ref="I108:J108"/>
    <mergeCell ref="I86:J86"/>
    <mergeCell ref="C91:D91"/>
    <mergeCell ref="C92:D92"/>
    <mergeCell ref="A87:W87"/>
    <mergeCell ref="E86:F86"/>
    <mergeCell ref="V94:W94"/>
    <mergeCell ref="R94:S94"/>
    <mergeCell ref="A89:B89"/>
    <mergeCell ref="A90:B90"/>
    <mergeCell ref="A91:B91"/>
    <mergeCell ref="A92:B92"/>
    <mergeCell ref="K108:L108"/>
    <mergeCell ref="M108:N108"/>
    <mergeCell ref="V86:W86"/>
    <mergeCell ref="V81:W81"/>
    <mergeCell ref="V82:W82"/>
    <mergeCell ref="V83:W83"/>
    <mergeCell ref="V84:W84"/>
    <mergeCell ref="V85:W85"/>
    <mergeCell ref="R86:S86"/>
    <mergeCell ref="T81:U81"/>
    <mergeCell ref="T82:U82"/>
    <mergeCell ref="T83:U83"/>
    <mergeCell ref="T84:U84"/>
    <mergeCell ref="T85:U85"/>
    <mergeCell ref="T86:U86"/>
    <mergeCell ref="R81:S81"/>
    <mergeCell ref="R82:S82"/>
    <mergeCell ref="R83:S83"/>
    <mergeCell ref="R84:S84"/>
    <mergeCell ref="R85:S85"/>
    <mergeCell ref="K81:L81"/>
    <mergeCell ref="K82:L82"/>
    <mergeCell ref="K83:L83"/>
    <mergeCell ref="K84:L84"/>
    <mergeCell ref="K85:L85"/>
    <mergeCell ref="A80:W80"/>
    <mergeCell ref="I81:J81"/>
    <mergeCell ref="I82:J82"/>
    <mergeCell ref="I83:J83"/>
    <mergeCell ref="I84:J84"/>
    <mergeCell ref="I85:J85"/>
    <mergeCell ref="M81:N81"/>
    <mergeCell ref="M82:N82"/>
    <mergeCell ref="M83:N83"/>
    <mergeCell ref="M84:N84"/>
    <mergeCell ref="M85:N85"/>
    <mergeCell ref="E81:F81"/>
    <mergeCell ref="E82:F82"/>
    <mergeCell ref="E83:F83"/>
    <mergeCell ref="E84:F84"/>
    <mergeCell ref="E85:F85"/>
    <mergeCell ref="A81:B81"/>
    <mergeCell ref="A82:B82"/>
    <mergeCell ref="A83:B83"/>
    <mergeCell ref="A84:B84"/>
    <mergeCell ref="A85:B85"/>
    <mergeCell ref="C81:D81"/>
    <mergeCell ref="C82:D82"/>
    <mergeCell ref="I93:J93"/>
    <mergeCell ref="K93:L93"/>
    <mergeCell ref="I99:J99"/>
    <mergeCell ref="K99:L99"/>
    <mergeCell ref="M99:N99"/>
    <mergeCell ref="K88:L88"/>
    <mergeCell ref="I89:J89"/>
    <mergeCell ref="K89:L89"/>
    <mergeCell ref="I90:J90"/>
    <mergeCell ref="K90:L90"/>
    <mergeCell ref="I91:J91"/>
    <mergeCell ref="K91:L91"/>
    <mergeCell ref="I92:J92"/>
    <mergeCell ref="K92:L92"/>
    <mergeCell ref="A88:B88"/>
    <mergeCell ref="E88:F88"/>
    <mergeCell ref="E89:F89"/>
    <mergeCell ref="E90:F90"/>
    <mergeCell ref="E91:F91"/>
    <mergeCell ref="E92:F92"/>
    <mergeCell ref="R99:S99"/>
    <mergeCell ref="I98:J98"/>
    <mergeCell ref="K98:L98"/>
    <mergeCell ref="M96:N96"/>
    <mergeCell ref="R96:S96"/>
    <mergeCell ref="I97:J97"/>
    <mergeCell ref="K97:L97"/>
    <mergeCell ref="M97:N97"/>
    <mergeCell ref="R97:S97"/>
    <mergeCell ref="I96:J96"/>
    <mergeCell ref="K96:L96"/>
    <mergeCell ref="V98:W98"/>
    <mergeCell ref="V99:W99"/>
    <mergeCell ref="V96:W96"/>
    <mergeCell ref="V97:W97"/>
    <mergeCell ref="T94:U94"/>
    <mergeCell ref="T95:U95"/>
    <mergeCell ref="T96:U96"/>
    <mergeCell ref="T97:U97"/>
    <mergeCell ref="T98:U98"/>
    <mergeCell ref="T99:U99"/>
    <mergeCell ref="T88:U88"/>
    <mergeCell ref="V88:W88"/>
    <mergeCell ref="T89:U89"/>
    <mergeCell ref="T90:U90"/>
    <mergeCell ref="T91:U91"/>
    <mergeCell ref="T92:U92"/>
    <mergeCell ref="T93:U93"/>
    <mergeCell ref="R88:S88"/>
    <mergeCell ref="R89:S89"/>
    <mergeCell ref="R90:S90"/>
    <mergeCell ref="R91:S91"/>
    <mergeCell ref="R92:S92"/>
    <mergeCell ref="R93:S93"/>
    <mergeCell ref="V89:W89"/>
    <mergeCell ref="V90:W90"/>
    <mergeCell ref="V91:W91"/>
    <mergeCell ref="V92:W92"/>
    <mergeCell ref="V93:W93"/>
    <mergeCell ref="E93:F93"/>
    <mergeCell ref="A109:H109"/>
    <mergeCell ref="E103:F103"/>
    <mergeCell ref="C99:D99"/>
    <mergeCell ref="A95:B95"/>
    <mergeCell ref="A98:B98"/>
    <mergeCell ref="C98:D98"/>
    <mergeCell ref="A97:B97"/>
    <mergeCell ref="C97:D97"/>
    <mergeCell ref="A96:B96"/>
    <mergeCell ref="C96:D96"/>
    <mergeCell ref="A103:B103"/>
    <mergeCell ref="C103:D103"/>
    <mergeCell ref="C119:D119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C112:D112"/>
    <mergeCell ref="C113:D113"/>
    <mergeCell ref="C114:D114"/>
    <mergeCell ref="C115:D115"/>
    <mergeCell ref="C116:D116"/>
    <mergeCell ref="C117:D117"/>
    <mergeCell ref="R42:S42"/>
    <mergeCell ref="R43:S43"/>
    <mergeCell ref="E45:F45"/>
    <mergeCell ref="I45:J45"/>
    <mergeCell ref="K45:L45"/>
    <mergeCell ref="A46:B46"/>
    <mergeCell ref="C46:D46"/>
    <mergeCell ref="M43:N43"/>
    <mergeCell ref="C118:D118"/>
    <mergeCell ref="C88:D88"/>
    <mergeCell ref="A110:D110"/>
    <mergeCell ref="C90:D90"/>
    <mergeCell ref="C95:D95"/>
    <mergeCell ref="A99:B99"/>
    <mergeCell ref="A111:B111"/>
    <mergeCell ref="C111:D111"/>
    <mergeCell ref="A93:B93"/>
    <mergeCell ref="C93:D93"/>
    <mergeCell ref="E99:F99"/>
    <mergeCell ref="E98:F98"/>
    <mergeCell ref="E97:F97"/>
    <mergeCell ref="E96:F96"/>
    <mergeCell ref="E107:F107"/>
    <mergeCell ref="E108:F108"/>
    <mergeCell ref="A43:B43"/>
    <mergeCell ref="A44:B44"/>
    <mergeCell ref="A45:B45"/>
    <mergeCell ref="C43:D43"/>
    <mergeCell ref="C44:D44"/>
    <mergeCell ref="C45:D45"/>
    <mergeCell ref="A38:B38"/>
    <mergeCell ref="C38:D38"/>
    <mergeCell ref="I42:J42"/>
    <mergeCell ref="A20:B20"/>
    <mergeCell ref="A21:B21"/>
    <mergeCell ref="C20:D20"/>
    <mergeCell ref="C21:D21"/>
    <mergeCell ref="M23:N23"/>
    <mergeCell ref="R23:S23"/>
    <mergeCell ref="A30:B30"/>
    <mergeCell ref="C30:D30"/>
    <mergeCell ref="M30:N30"/>
    <mergeCell ref="R30:S30"/>
    <mergeCell ref="M28:N28"/>
    <mergeCell ref="R28:S28"/>
    <mergeCell ref="C28:D28"/>
    <mergeCell ref="C29:D29"/>
    <mergeCell ref="E27:F27"/>
    <mergeCell ref="I27:J27"/>
    <mergeCell ref="K27:L27"/>
    <mergeCell ref="M27:N27"/>
    <mergeCell ref="R27:S27"/>
    <mergeCell ref="X63:Y63"/>
    <mergeCell ref="E71:F71"/>
    <mergeCell ref="I71:J71"/>
    <mergeCell ref="R71:S71"/>
    <mergeCell ref="V71:W71"/>
    <mergeCell ref="X71:Y71"/>
    <mergeCell ref="A17:Y17"/>
    <mergeCell ref="X32:Y32"/>
    <mergeCell ref="E40:F40"/>
    <mergeCell ref="I40:J40"/>
    <mergeCell ref="K40:N40"/>
    <mergeCell ref="R40:S40"/>
    <mergeCell ref="V40:W40"/>
    <mergeCell ref="X40:Y40"/>
    <mergeCell ref="E47:F47"/>
    <mergeCell ref="I47:J47"/>
    <mergeCell ref="K47:N47"/>
    <mergeCell ref="R47:S47"/>
    <mergeCell ref="V47:W47"/>
    <mergeCell ref="X47:Y47"/>
    <mergeCell ref="E55:F55"/>
    <mergeCell ref="I55:J55"/>
    <mergeCell ref="K55:N55"/>
    <mergeCell ref="R55:S55"/>
    <mergeCell ref="X55:Y55"/>
    <mergeCell ref="M19:N19"/>
    <mergeCell ref="R19:S19"/>
    <mergeCell ref="V19:W19"/>
    <mergeCell ref="A23:B23"/>
    <mergeCell ref="C23:D23"/>
    <mergeCell ref="E23:F23"/>
    <mergeCell ref="X16:Y16"/>
    <mergeCell ref="E24:F24"/>
    <mergeCell ref="I24:J24"/>
    <mergeCell ref="K24:N24"/>
    <mergeCell ref="R24:S24"/>
    <mergeCell ref="V24:W24"/>
    <mergeCell ref="X24:Y24"/>
    <mergeCell ref="A22:B22"/>
    <mergeCell ref="C22:D22"/>
    <mergeCell ref="M22:N22"/>
    <mergeCell ref="R22:S22"/>
    <mergeCell ref="V22:W22"/>
    <mergeCell ref="A28:B28"/>
    <mergeCell ref="A29:B29"/>
    <mergeCell ref="I23:J23"/>
    <mergeCell ref="K23:L23"/>
    <mergeCell ref="A37:B37"/>
    <mergeCell ref="A18:W18"/>
    <mergeCell ref="A19:B19"/>
    <mergeCell ref="C19:D19"/>
    <mergeCell ref="E19:F19"/>
    <mergeCell ref="I19:J19"/>
    <mergeCell ref="K19:L19"/>
    <mergeCell ref="E13:F13"/>
    <mergeCell ref="V13:W13"/>
    <mergeCell ref="E12:F12"/>
    <mergeCell ref="I12:J12"/>
    <mergeCell ref="K12:L12"/>
    <mergeCell ref="E16:F16"/>
    <mergeCell ref="I16:J16"/>
    <mergeCell ref="K16:N16"/>
    <mergeCell ref="R16:S16"/>
    <mergeCell ref="V16:W16"/>
    <mergeCell ref="A16:B16"/>
    <mergeCell ref="C16:D16"/>
    <mergeCell ref="A15:B15"/>
    <mergeCell ref="A14:B14"/>
    <mergeCell ref="A13:B13"/>
    <mergeCell ref="C12:D12"/>
    <mergeCell ref="A12:B12"/>
    <mergeCell ref="I13:J13"/>
    <mergeCell ref="I6:J6"/>
    <mergeCell ref="I7:J7"/>
    <mergeCell ref="E3:F3"/>
    <mergeCell ref="E4:F4"/>
    <mergeCell ref="E5:F5"/>
    <mergeCell ref="E6:F6"/>
    <mergeCell ref="E7:F7"/>
    <mergeCell ref="M12:N12"/>
    <mergeCell ref="R12:S12"/>
    <mergeCell ref="A1:AG1"/>
    <mergeCell ref="K3:L3"/>
    <mergeCell ref="K4:L4"/>
    <mergeCell ref="K5:L5"/>
    <mergeCell ref="K6:L6"/>
    <mergeCell ref="K7:L7"/>
    <mergeCell ref="A3:B3"/>
    <mergeCell ref="A4:B4"/>
    <mergeCell ref="A5:B5"/>
    <mergeCell ref="A6:B6"/>
    <mergeCell ref="A7:B7"/>
    <mergeCell ref="C3:D3"/>
    <mergeCell ref="C4:D4"/>
    <mergeCell ref="C5:D5"/>
    <mergeCell ref="C6:D6"/>
    <mergeCell ref="C7:D7"/>
    <mergeCell ref="R5:S5"/>
    <mergeCell ref="R6:S6"/>
    <mergeCell ref="R7:S7"/>
    <mergeCell ref="M3:N3"/>
    <mergeCell ref="M4:N4"/>
    <mergeCell ref="M5:N5"/>
    <mergeCell ref="M6:N6"/>
    <mergeCell ref="M7:N7"/>
    <mergeCell ref="A2:W2"/>
    <mergeCell ref="I8:J8"/>
    <mergeCell ref="A10:W10"/>
    <mergeCell ref="A11:B11"/>
    <mergeCell ref="C11:D11"/>
    <mergeCell ref="E11:F11"/>
    <mergeCell ref="I11:J11"/>
    <mergeCell ref="K11:L11"/>
    <mergeCell ref="M11:N11"/>
    <mergeCell ref="R11:S11"/>
    <mergeCell ref="V11:W11"/>
    <mergeCell ref="K8:N8"/>
    <mergeCell ref="R8:S8"/>
    <mergeCell ref="V8:W8"/>
    <mergeCell ref="V3:W3"/>
    <mergeCell ref="V4:W4"/>
    <mergeCell ref="V5:W5"/>
    <mergeCell ref="V6:W6"/>
    <mergeCell ref="V7:W7"/>
    <mergeCell ref="R3:S3"/>
    <mergeCell ref="R4:S4"/>
    <mergeCell ref="I3:J3"/>
    <mergeCell ref="I4:J4"/>
    <mergeCell ref="I5:J5"/>
    <mergeCell ref="X8:Y8"/>
    <mergeCell ref="E8:F8"/>
    <mergeCell ref="C8:D8"/>
    <mergeCell ref="M14:N14"/>
    <mergeCell ref="R14:S14"/>
    <mergeCell ref="V14:W14"/>
    <mergeCell ref="E15:F15"/>
    <mergeCell ref="I15:J15"/>
    <mergeCell ref="V15:W15"/>
    <mergeCell ref="E14:F14"/>
    <mergeCell ref="I14:J14"/>
    <mergeCell ref="K14:L14"/>
    <mergeCell ref="V12:W12"/>
    <mergeCell ref="K13:L13"/>
    <mergeCell ref="M13:N13"/>
    <mergeCell ref="R13:S13"/>
    <mergeCell ref="K15:L15"/>
    <mergeCell ref="M15:N15"/>
    <mergeCell ref="R15:S15"/>
    <mergeCell ref="C15:D15"/>
    <mergeCell ref="C14:D14"/>
    <mergeCell ref="C13:D13"/>
    <mergeCell ref="V23:W23"/>
    <mergeCell ref="E22:F22"/>
    <mergeCell ref="I22:J22"/>
    <mergeCell ref="K22:L22"/>
    <mergeCell ref="M20:N20"/>
    <mergeCell ref="R20:S20"/>
    <mergeCell ref="V20:W20"/>
    <mergeCell ref="E21:F21"/>
    <mergeCell ref="I21:J21"/>
    <mergeCell ref="K21:L21"/>
    <mergeCell ref="M21:N21"/>
    <mergeCell ref="R21:S21"/>
    <mergeCell ref="V21:W21"/>
    <mergeCell ref="E20:F20"/>
    <mergeCell ref="I20:J20"/>
    <mergeCell ref="K20:L20"/>
    <mergeCell ref="T20:U20"/>
    <mergeCell ref="T21:U21"/>
    <mergeCell ref="T22:U22"/>
    <mergeCell ref="T23:U23"/>
    <mergeCell ref="A31:B31"/>
    <mergeCell ref="C31:D31"/>
    <mergeCell ref="E31:F31"/>
    <mergeCell ref="I31:J31"/>
    <mergeCell ref="K31:L31"/>
    <mergeCell ref="M31:N31"/>
    <mergeCell ref="R31:S31"/>
    <mergeCell ref="V31:W31"/>
    <mergeCell ref="E30:F30"/>
    <mergeCell ref="I30:J30"/>
    <mergeCell ref="K30:L30"/>
    <mergeCell ref="V43:W43"/>
    <mergeCell ref="E44:F44"/>
    <mergeCell ref="I44:J44"/>
    <mergeCell ref="K44:L44"/>
    <mergeCell ref="M44:N44"/>
    <mergeCell ref="R44:S44"/>
    <mergeCell ref="V44:W44"/>
    <mergeCell ref="E43:F43"/>
    <mergeCell ref="I43:J43"/>
    <mergeCell ref="K43:L43"/>
    <mergeCell ref="E36:F36"/>
    <mergeCell ref="I36:J36"/>
    <mergeCell ref="K36:L36"/>
    <mergeCell ref="A41:W41"/>
    <mergeCell ref="A42:B42"/>
    <mergeCell ref="C42:D42"/>
    <mergeCell ref="E42:F42"/>
    <mergeCell ref="C37:D37"/>
    <mergeCell ref="V38:W38"/>
    <mergeCell ref="A39:B39"/>
    <mergeCell ref="C39:D39"/>
    <mergeCell ref="E39:F39"/>
    <mergeCell ref="I39:J39"/>
    <mergeCell ref="K39:L39"/>
    <mergeCell ref="M39:N39"/>
    <mergeCell ref="R39:S39"/>
    <mergeCell ref="V39:W39"/>
    <mergeCell ref="E38:F38"/>
    <mergeCell ref="T36:U36"/>
    <mergeCell ref="T37:U37"/>
    <mergeCell ref="T38:U38"/>
    <mergeCell ref="R38:S38"/>
    <mergeCell ref="K42:L42"/>
    <mergeCell ref="M42:N42"/>
    <mergeCell ref="V50:W50"/>
    <mergeCell ref="T50:U50"/>
    <mergeCell ref="A50:B50"/>
    <mergeCell ref="C50:D50"/>
    <mergeCell ref="E50:F50"/>
    <mergeCell ref="I50:J50"/>
    <mergeCell ref="K50:L50"/>
    <mergeCell ref="V53:W53"/>
    <mergeCell ref="M51:N51"/>
    <mergeCell ref="R51:S51"/>
    <mergeCell ref="V51:W51"/>
    <mergeCell ref="E52:F52"/>
    <mergeCell ref="I52:J52"/>
    <mergeCell ref="K52:L52"/>
    <mergeCell ref="M52:N52"/>
    <mergeCell ref="R52:S52"/>
    <mergeCell ref="C52:D52"/>
    <mergeCell ref="C53:D53"/>
    <mergeCell ref="A52:B52"/>
    <mergeCell ref="A51:B51"/>
    <mergeCell ref="C51:D51"/>
    <mergeCell ref="M50:N50"/>
    <mergeCell ref="R50:S50"/>
    <mergeCell ref="A57:W57"/>
    <mergeCell ref="A58:B58"/>
    <mergeCell ref="C58:D58"/>
    <mergeCell ref="E58:F58"/>
    <mergeCell ref="I58:J58"/>
    <mergeCell ref="A53:B53"/>
    <mergeCell ref="E53:F53"/>
    <mergeCell ref="I53:J53"/>
    <mergeCell ref="K53:L53"/>
    <mergeCell ref="M53:N53"/>
    <mergeCell ref="R53:S53"/>
    <mergeCell ref="T53:U53"/>
    <mergeCell ref="T54:U54"/>
    <mergeCell ref="A54:B54"/>
    <mergeCell ref="C54:D54"/>
    <mergeCell ref="E54:F54"/>
    <mergeCell ref="I54:J54"/>
    <mergeCell ref="K54:L54"/>
    <mergeCell ref="M54:N54"/>
    <mergeCell ref="R54:S54"/>
    <mergeCell ref="V54:W54"/>
    <mergeCell ref="V55:W55"/>
    <mergeCell ref="T55:U55"/>
    <mergeCell ref="K58:L58"/>
    <mergeCell ref="A62:B62"/>
    <mergeCell ref="C62:D62"/>
    <mergeCell ref="E62:F62"/>
    <mergeCell ref="I62:J62"/>
    <mergeCell ref="K62:L62"/>
    <mergeCell ref="M62:N62"/>
    <mergeCell ref="R62:S62"/>
    <mergeCell ref="V62:W62"/>
    <mergeCell ref="E61:F61"/>
    <mergeCell ref="I61:J61"/>
    <mergeCell ref="K61:L61"/>
    <mergeCell ref="T62:U62"/>
    <mergeCell ref="A61:B61"/>
    <mergeCell ref="C61:D61"/>
    <mergeCell ref="M61:N61"/>
    <mergeCell ref="R61:S61"/>
    <mergeCell ref="V61:W61"/>
    <mergeCell ref="T61:U61"/>
    <mergeCell ref="E63:F63"/>
    <mergeCell ref="I63:J63"/>
    <mergeCell ref="K63:N63"/>
    <mergeCell ref="R63:S63"/>
    <mergeCell ref="V63:W63"/>
    <mergeCell ref="A68:B68"/>
    <mergeCell ref="C68:D68"/>
    <mergeCell ref="A67:B67"/>
    <mergeCell ref="C67:D67"/>
    <mergeCell ref="M67:N67"/>
    <mergeCell ref="R67:S67"/>
    <mergeCell ref="V67:W67"/>
    <mergeCell ref="E68:F68"/>
    <mergeCell ref="I68:J68"/>
    <mergeCell ref="K68:L68"/>
    <mergeCell ref="M68:N68"/>
    <mergeCell ref="R68:S68"/>
    <mergeCell ref="V68:W68"/>
    <mergeCell ref="E67:F67"/>
    <mergeCell ref="I67:J67"/>
    <mergeCell ref="K67:L67"/>
    <mergeCell ref="K70:L70"/>
    <mergeCell ref="M70:N70"/>
    <mergeCell ref="R70:S70"/>
    <mergeCell ref="V70:W70"/>
    <mergeCell ref="E69:F69"/>
    <mergeCell ref="I69:J69"/>
    <mergeCell ref="K69:L69"/>
    <mergeCell ref="A69:B69"/>
    <mergeCell ref="C69:D69"/>
    <mergeCell ref="M69:N69"/>
    <mergeCell ref="E70:F70"/>
    <mergeCell ref="I70:J70"/>
    <mergeCell ref="A76:B76"/>
    <mergeCell ref="C76:D76"/>
    <mergeCell ref="A75:B75"/>
    <mergeCell ref="C75:D75"/>
    <mergeCell ref="A78:B78"/>
    <mergeCell ref="C78:D78"/>
    <mergeCell ref="A77:B77"/>
    <mergeCell ref="C77:D77"/>
    <mergeCell ref="V77:W77"/>
    <mergeCell ref="E78:F78"/>
    <mergeCell ref="I78:J78"/>
    <mergeCell ref="K78:L78"/>
    <mergeCell ref="M78:N78"/>
    <mergeCell ref="R78:S78"/>
    <mergeCell ref="V78:W78"/>
    <mergeCell ref="E77:F77"/>
    <mergeCell ref="I77:J77"/>
    <mergeCell ref="K77:L77"/>
    <mergeCell ref="M75:N75"/>
    <mergeCell ref="R75:S75"/>
    <mergeCell ref="V75:W75"/>
    <mergeCell ref="E76:F76"/>
    <mergeCell ref="I76:J76"/>
    <mergeCell ref="K76:L76"/>
    <mergeCell ref="M76:N76"/>
    <mergeCell ref="R76:S76"/>
    <mergeCell ref="V76:W76"/>
    <mergeCell ref="E75:F75"/>
    <mergeCell ref="I75:J75"/>
    <mergeCell ref="K75:L75"/>
    <mergeCell ref="E95:F95"/>
    <mergeCell ref="I95:J95"/>
    <mergeCell ref="K95:L95"/>
    <mergeCell ref="M95:N95"/>
    <mergeCell ref="R95:S95"/>
    <mergeCell ref="V95:W95"/>
    <mergeCell ref="E79:F79"/>
    <mergeCell ref="I79:J79"/>
    <mergeCell ref="K79:N79"/>
    <mergeCell ref="R79:S79"/>
    <mergeCell ref="V79:W79"/>
    <mergeCell ref="M88:N88"/>
    <mergeCell ref="M89:N89"/>
    <mergeCell ref="M90:N90"/>
    <mergeCell ref="M91:N91"/>
    <mergeCell ref="M92:N92"/>
    <mergeCell ref="M93:N93"/>
    <mergeCell ref="I88:J88"/>
    <mergeCell ref="I103:J103"/>
    <mergeCell ref="K103:L103"/>
    <mergeCell ref="M103:N103"/>
    <mergeCell ref="R103:S103"/>
    <mergeCell ref="V103:W103"/>
    <mergeCell ref="A102:B102"/>
    <mergeCell ref="C102:D102"/>
    <mergeCell ref="E102:F102"/>
    <mergeCell ref="I102:J102"/>
    <mergeCell ref="K102:L102"/>
    <mergeCell ref="T102:U102"/>
    <mergeCell ref="T103:U103"/>
    <mergeCell ref="V102:W102"/>
    <mergeCell ref="M100:N100"/>
    <mergeCell ref="R100:S100"/>
    <mergeCell ref="V100:W100"/>
    <mergeCell ref="A101:B101"/>
    <mergeCell ref="C101:D101"/>
    <mergeCell ref="E101:F101"/>
    <mergeCell ref="I101:J101"/>
    <mergeCell ref="K101:L101"/>
    <mergeCell ref="M101:N101"/>
    <mergeCell ref="R101:S101"/>
    <mergeCell ref="V101:W101"/>
    <mergeCell ref="A100:B100"/>
    <mergeCell ref="C100:D100"/>
    <mergeCell ref="E100:F100"/>
    <mergeCell ref="I100:J100"/>
    <mergeCell ref="K100:L100"/>
    <mergeCell ref="T100:U100"/>
    <mergeCell ref="T101:U101"/>
    <mergeCell ref="M104:N104"/>
    <mergeCell ref="R104:S104"/>
    <mergeCell ref="V104:W104"/>
    <mergeCell ref="A105:B105"/>
    <mergeCell ref="C105:D105"/>
    <mergeCell ref="E105:F105"/>
    <mergeCell ref="I105:J105"/>
    <mergeCell ref="K105:L105"/>
    <mergeCell ref="M105:N105"/>
    <mergeCell ref="R105:S105"/>
    <mergeCell ref="V105:W105"/>
    <mergeCell ref="A104:B104"/>
    <mergeCell ref="C104:D104"/>
    <mergeCell ref="E104:F104"/>
    <mergeCell ref="I104:J104"/>
    <mergeCell ref="K104:L104"/>
    <mergeCell ref="T104:U104"/>
    <mergeCell ref="T105:U105"/>
    <mergeCell ref="I107:J107"/>
    <mergeCell ref="K107:L107"/>
    <mergeCell ref="M107:N107"/>
    <mergeCell ref="R107:S107"/>
    <mergeCell ref="V107:W107"/>
    <mergeCell ref="A106:B106"/>
    <mergeCell ref="C106:D106"/>
    <mergeCell ref="E106:F106"/>
    <mergeCell ref="I106:J106"/>
    <mergeCell ref="K106:L106"/>
    <mergeCell ref="A107:B107"/>
    <mergeCell ref="C107:D107"/>
    <mergeCell ref="T106:U106"/>
    <mergeCell ref="V106:W106"/>
    <mergeCell ref="X79:Y79"/>
    <mergeCell ref="K71:L71"/>
    <mergeCell ref="T3:U3"/>
    <mergeCell ref="T4:U4"/>
    <mergeCell ref="T5:U5"/>
    <mergeCell ref="T6:U6"/>
    <mergeCell ref="T7:U7"/>
    <mergeCell ref="T8:U8"/>
    <mergeCell ref="T11:U11"/>
    <mergeCell ref="T12:U12"/>
    <mergeCell ref="T13:U13"/>
    <mergeCell ref="T14:U14"/>
    <mergeCell ref="T15:U15"/>
    <mergeCell ref="T16:U16"/>
    <mergeCell ref="T19:U19"/>
    <mergeCell ref="T24:U24"/>
    <mergeCell ref="T27:U27"/>
    <mergeCell ref="T28:U28"/>
    <mergeCell ref="T29:U29"/>
    <mergeCell ref="T30:U30"/>
    <mergeCell ref="T31:U31"/>
    <mergeCell ref="A26:W26"/>
    <mergeCell ref="A27:B27"/>
    <mergeCell ref="C27:D27"/>
    <mergeCell ref="V27:W27"/>
    <mergeCell ref="T32:U32"/>
    <mergeCell ref="T35:U35"/>
    <mergeCell ref="E32:F32"/>
    <mergeCell ref="I32:J32"/>
    <mergeCell ref="K32:N32"/>
    <mergeCell ref="R32:S32"/>
    <mergeCell ref="V32:W32"/>
    <mergeCell ref="V28:W28"/>
    <mergeCell ref="E29:F29"/>
    <mergeCell ref="I29:J29"/>
    <mergeCell ref="K29:L29"/>
    <mergeCell ref="M29:N29"/>
    <mergeCell ref="R29:S29"/>
    <mergeCell ref="V29:W29"/>
    <mergeCell ref="E28:F28"/>
    <mergeCell ref="I28:J28"/>
    <mergeCell ref="K28:L28"/>
    <mergeCell ref="V30:W30"/>
    <mergeCell ref="T39:U39"/>
    <mergeCell ref="A34:W34"/>
    <mergeCell ref="A35:B35"/>
    <mergeCell ref="C35:D35"/>
    <mergeCell ref="E35:F35"/>
    <mergeCell ref="I35:J35"/>
    <mergeCell ref="K35:L35"/>
    <mergeCell ref="M35:N35"/>
    <mergeCell ref="R35:S35"/>
    <mergeCell ref="V35:W35"/>
    <mergeCell ref="I38:J38"/>
    <mergeCell ref="K38:L38"/>
    <mergeCell ref="M36:N36"/>
    <mergeCell ref="R36:S36"/>
    <mergeCell ref="V36:W36"/>
    <mergeCell ref="E37:F37"/>
    <mergeCell ref="I37:J37"/>
    <mergeCell ref="K37:L37"/>
    <mergeCell ref="C36:D36"/>
    <mergeCell ref="A36:B36"/>
    <mergeCell ref="M38:N38"/>
    <mergeCell ref="M37:N37"/>
    <mergeCell ref="R37:S37"/>
    <mergeCell ref="V37:W37"/>
    <mergeCell ref="T40:U40"/>
    <mergeCell ref="T42:U42"/>
    <mergeCell ref="T43:U43"/>
    <mergeCell ref="T44:U44"/>
    <mergeCell ref="T45:U45"/>
    <mergeCell ref="T46:U46"/>
    <mergeCell ref="T47:U47"/>
    <mergeCell ref="T51:U51"/>
    <mergeCell ref="T52:U52"/>
    <mergeCell ref="A49:W49"/>
    <mergeCell ref="V52:W52"/>
    <mergeCell ref="E51:F51"/>
    <mergeCell ref="I51:J51"/>
    <mergeCell ref="K51:L51"/>
    <mergeCell ref="V42:W42"/>
    <mergeCell ref="M45:N45"/>
    <mergeCell ref="R45:S45"/>
    <mergeCell ref="V45:W45"/>
    <mergeCell ref="E46:F46"/>
    <mergeCell ref="I46:J46"/>
    <mergeCell ref="K46:L46"/>
    <mergeCell ref="M46:N46"/>
    <mergeCell ref="R46:S46"/>
    <mergeCell ref="V46:W46"/>
    <mergeCell ref="M58:N58"/>
    <mergeCell ref="R58:S58"/>
    <mergeCell ref="V58:W58"/>
    <mergeCell ref="A60:B60"/>
    <mergeCell ref="C60:D60"/>
    <mergeCell ref="A59:B59"/>
    <mergeCell ref="C59:D59"/>
    <mergeCell ref="M59:N59"/>
    <mergeCell ref="R59:S59"/>
    <mergeCell ref="V59:W59"/>
    <mergeCell ref="E60:F60"/>
    <mergeCell ref="I60:J60"/>
    <mergeCell ref="K60:L60"/>
    <mergeCell ref="M60:N60"/>
    <mergeCell ref="R60:S60"/>
    <mergeCell ref="V60:W60"/>
    <mergeCell ref="E59:F59"/>
    <mergeCell ref="I59:J59"/>
    <mergeCell ref="K59:L59"/>
    <mergeCell ref="T58:U58"/>
    <mergeCell ref="T59:U59"/>
    <mergeCell ref="T60:U60"/>
    <mergeCell ref="A74:B74"/>
    <mergeCell ref="C74:D74"/>
    <mergeCell ref="E74:F74"/>
    <mergeCell ref="I74:J74"/>
    <mergeCell ref="K74:L74"/>
    <mergeCell ref="T63:U63"/>
    <mergeCell ref="T66:U66"/>
    <mergeCell ref="T67:U67"/>
    <mergeCell ref="T68:U68"/>
    <mergeCell ref="T69:U69"/>
    <mergeCell ref="T70:U70"/>
    <mergeCell ref="A65:W65"/>
    <mergeCell ref="A66:B66"/>
    <mergeCell ref="C66:D66"/>
    <mergeCell ref="E66:F66"/>
    <mergeCell ref="I66:J66"/>
    <mergeCell ref="K66:L66"/>
    <mergeCell ref="M66:N66"/>
    <mergeCell ref="R66:S66"/>
    <mergeCell ref="V66:W66"/>
    <mergeCell ref="R69:S69"/>
    <mergeCell ref="V69:W69"/>
    <mergeCell ref="A70:B70"/>
    <mergeCell ref="C70:D70"/>
    <mergeCell ref="I109:J109"/>
    <mergeCell ref="K109:L109"/>
    <mergeCell ref="M74:N74"/>
    <mergeCell ref="R74:S74"/>
    <mergeCell ref="V74:W74"/>
    <mergeCell ref="T71:U71"/>
    <mergeCell ref="A94:D94"/>
    <mergeCell ref="A108:B108"/>
    <mergeCell ref="C108:D108"/>
    <mergeCell ref="T74:U74"/>
    <mergeCell ref="T75:U75"/>
    <mergeCell ref="T76:U76"/>
    <mergeCell ref="T77:U77"/>
    <mergeCell ref="T78:U78"/>
    <mergeCell ref="E94:G94"/>
    <mergeCell ref="M106:N106"/>
    <mergeCell ref="R106:S106"/>
    <mergeCell ref="M102:N102"/>
    <mergeCell ref="R102:S102"/>
    <mergeCell ref="M98:N98"/>
    <mergeCell ref="R98:S98"/>
    <mergeCell ref="M77:N77"/>
    <mergeCell ref="R77:S77"/>
    <mergeCell ref="A73:W73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Q5:Q6 Q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0"/>
  <sheetViews>
    <sheetView topLeftCell="A138" workbookViewId="0">
      <selection activeCell="A158" sqref="A158:Q158"/>
    </sheetView>
  </sheetViews>
  <sheetFormatPr defaultRowHeight="15" x14ac:dyDescent="0.2"/>
  <cols>
    <col min="2" max="2" width="23.67578125" customWidth="1"/>
    <col min="21" max="21" width="11.97265625" bestFit="1" customWidth="1"/>
  </cols>
  <sheetData>
    <row r="1" spans="1:17" x14ac:dyDescent="0.2">
      <c r="A1" s="117" t="s">
        <v>259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</row>
    <row r="2" spans="1:17" x14ac:dyDescent="0.2">
      <c r="A2" s="117" t="s">
        <v>263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</row>
    <row r="3" spans="1:17" x14ac:dyDescent="0.2">
      <c r="A3" s="148" t="s">
        <v>101</v>
      </c>
      <c r="B3" s="148"/>
      <c r="C3" s="148" t="s">
        <v>257</v>
      </c>
      <c r="D3" s="148"/>
      <c r="E3" s="148"/>
      <c r="F3" s="148" t="s">
        <v>142</v>
      </c>
      <c r="G3" s="148"/>
      <c r="H3" s="148"/>
      <c r="I3" s="148" t="s">
        <v>142</v>
      </c>
      <c r="J3" s="148"/>
      <c r="K3" s="148"/>
      <c r="L3" s="148" t="s">
        <v>261</v>
      </c>
      <c r="M3" s="148"/>
      <c r="N3" s="148"/>
      <c r="O3" s="148" t="s">
        <v>260</v>
      </c>
      <c r="P3" s="148"/>
      <c r="Q3" s="148"/>
    </row>
    <row r="4" spans="1:17" x14ac:dyDescent="0.2">
      <c r="A4" s="137" t="s">
        <v>11</v>
      </c>
      <c r="B4" s="138"/>
      <c r="C4" s="133"/>
      <c r="D4" s="110"/>
      <c r="E4" s="110"/>
      <c r="F4" s="114">
        <f>C4+I4</f>
        <v>452.5874</v>
      </c>
      <c r="G4" s="150"/>
      <c r="H4" s="109"/>
      <c r="I4" s="133">
        <f>22629.37*0.02</f>
        <v>452.5874</v>
      </c>
      <c r="J4" s="110"/>
      <c r="K4" s="110"/>
      <c r="L4" s="133">
        <f>22629.37*0.03</f>
        <v>678.88109999999995</v>
      </c>
      <c r="M4" s="110"/>
      <c r="N4" s="110"/>
      <c r="O4" s="133">
        <f>L4+C4</f>
        <v>678.88109999999995</v>
      </c>
      <c r="P4" s="110"/>
      <c r="Q4" s="110"/>
    </row>
    <row r="5" spans="1:17" x14ac:dyDescent="0.2">
      <c r="A5" s="137" t="s">
        <v>15</v>
      </c>
      <c r="B5" s="138"/>
      <c r="C5" s="118"/>
      <c r="D5" s="118"/>
      <c r="E5" s="118"/>
      <c r="F5" s="114">
        <f>C5+I5</f>
        <v>454.98540000000003</v>
      </c>
      <c r="G5" s="150"/>
      <c r="H5" s="109"/>
      <c r="I5" s="118">
        <f>22749.27*0.02</f>
        <v>454.98540000000003</v>
      </c>
      <c r="J5" s="118"/>
      <c r="K5" s="118"/>
      <c r="L5" s="118">
        <f>22749.27*0.03</f>
        <v>682.47810000000004</v>
      </c>
      <c r="M5" s="118"/>
      <c r="N5" s="118"/>
      <c r="O5" s="133">
        <f t="shared" ref="O5:O7" si="0">L5+C5</f>
        <v>682.47810000000004</v>
      </c>
      <c r="P5" s="110"/>
      <c r="Q5" s="110"/>
    </row>
    <row r="6" spans="1:17" ht="27" customHeight="1" x14ac:dyDescent="0.2">
      <c r="A6" s="140" t="s">
        <v>96</v>
      </c>
      <c r="B6" s="141"/>
      <c r="C6" s="118"/>
      <c r="D6" s="118"/>
      <c r="E6" s="118"/>
      <c r="F6" s="114">
        <f>C6+I6</f>
        <v>103.93540000000002</v>
      </c>
      <c r="G6" s="150"/>
      <c r="H6" s="109"/>
      <c r="I6" s="118">
        <f>5196.77*0.02</f>
        <v>103.93540000000002</v>
      </c>
      <c r="J6" s="118"/>
      <c r="K6" s="118"/>
      <c r="L6" s="118">
        <f>5196.77*0.03</f>
        <v>155.90309999999999</v>
      </c>
      <c r="M6" s="118"/>
      <c r="N6" s="118"/>
      <c r="O6" s="133">
        <f t="shared" si="0"/>
        <v>155.90309999999999</v>
      </c>
      <c r="P6" s="110"/>
      <c r="Q6" s="110"/>
    </row>
    <row r="7" spans="1:17" x14ac:dyDescent="0.2">
      <c r="A7" s="137" t="s">
        <v>93</v>
      </c>
      <c r="B7" s="138"/>
      <c r="C7" s="118"/>
      <c r="D7" s="118"/>
      <c r="E7" s="118"/>
      <c r="F7" s="114">
        <f>C7+I7</f>
        <v>26.569400000000002</v>
      </c>
      <c r="G7" s="150"/>
      <c r="H7" s="109"/>
      <c r="I7" s="118">
        <f>1328.47*0.02</f>
        <v>26.569400000000002</v>
      </c>
      <c r="J7" s="118"/>
      <c r="K7" s="118"/>
      <c r="L7" s="118">
        <f>1328.47*0.03</f>
        <v>39.854100000000003</v>
      </c>
      <c r="M7" s="118"/>
      <c r="N7" s="118"/>
      <c r="O7" s="133">
        <f t="shared" si="0"/>
        <v>39.854100000000003</v>
      </c>
      <c r="P7" s="110"/>
      <c r="Q7" s="110"/>
    </row>
    <row r="8" spans="1:17" x14ac:dyDescent="0.2">
      <c r="A8" s="151" t="s">
        <v>262</v>
      </c>
      <c r="B8" s="152"/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3"/>
    </row>
    <row r="9" spans="1:17" x14ac:dyDescent="0.2">
      <c r="A9" s="148" t="s">
        <v>101</v>
      </c>
      <c r="B9" s="148"/>
      <c r="C9" s="148" t="s">
        <v>257</v>
      </c>
      <c r="D9" s="148"/>
      <c r="E9" s="148"/>
      <c r="F9" s="148" t="s">
        <v>142</v>
      </c>
      <c r="G9" s="148"/>
      <c r="H9" s="148"/>
      <c r="I9" s="148" t="s">
        <v>261</v>
      </c>
      <c r="J9" s="148"/>
      <c r="K9" s="148"/>
      <c r="L9" s="110"/>
      <c r="M9" s="110"/>
      <c r="N9" s="110"/>
      <c r="O9" s="110"/>
      <c r="P9" s="110"/>
      <c r="Q9" s="110"/>
    </row>
    <row r="10" spans="1:17" x14ac:dyDescent="0.2">
      <c r="A10" s="137" t="s">
        <v>11</v>
      </c>
      <c r="B10" s="138"/>
      <c r="C10" s="110">
        <v>6850</v>
      </c>
      <c r="D10" s="110"/>
      <c r="E10" s="110"/>
      <c r="F10" s="110">
        <v>960</v>
      </c>
      <c r="G10" s="110"/>
      <c r="H10" s="110"/>
      <c r="I10" s="110">
        <v>1848</v>
      </c>
      <c r="J10" s="110"/>
      <c r="K10" s="110"/>
      <c r="L10" s="110">
        <f>C10+F10+I10</f>
        <v>9658</v>
      </c>
      <c r="M10" s="110"/>
      <c r="N10" s="110"/>
      <c r="O10" s="110"/>
      <c r="P10" s="110"/>
      <c r="Q10" s="110"/>
    </row>
    <row r="11" spans="1:17" x14ac:dyDescent="0.2">
      <c r="A11" s="137" t="s">
        <v>15</v>
      </c>
      <c r="B11" s="138"/>
      <c r="C11" s="110">
        <v>5880</v>
      </c>
      <c r="D11" s="110"/>
      <c r="E11" s="110"/>
      <c r="F11" s="110">
        <v>810</v>
      </c>
      <c r="G11" s="110"/>
      <c r="H11" s="110"/>
      <c r="I11" s="110">
        <v>1577</v>
      </c>
      <c r="J11" s="110"/>
      <c r="K11" s="110"/>
      <c r="L11" s="110">
        <f t="shared" ref="L11:L13" si="1">C11+F11+I11</f>
        <v>8267</v>
      </c>
      <c r="M11" s="110"/>
      <c r="N11" s="110"/>
      <c r="O11" s="110"/>
      <c r="P11" s="110"/>
      <c r="Q11" s="110"/>
    </row>
    <row r="12" spans="1:17" ht="28.5" customHeight="1" x14ac:dyDescent="0.2">
      <c r="A12" s="140" t="s">
        <v>96</v>
      </c>
      <c r="B12" s="141"/>
      <c r="C12" s="110">
        <v>8750</v>
      </c>
      <c r="D12" s="110"/>
      <c r="E12" s="110"/>
      <c r="F12" s="110">
        <v>1650</v>
      </c>
      <c r="G12" s="110"/>
      <c r="H12" s="110"/>
      <c r="I12" s="110">
        <v>3679</v>
      </c>
      <c r="J12" s="110"/>
      <c r="K12" s="110"/>
      <c r="L12" s="110">
        <f t="shared" si="1"/>
        <v>14079</v>
      </c>
      <c r="M12" s="110"/>
      <c r="N12" s="110"/>
      <c r="O12" s="110"/>
      <c r="P12" s="110"/>
      <c r="Q12" s="110"/>
    </row>
    <row r="13" spans="1:17" x14ac:dyDescent="0.2">
      <c r="A13" s="137" t="s">
        <v>93</v>
      </c>
      <c r="B13" s="138"/>
      <c r="C13" s="110">
        <v>7260</v>
      </c>
      <c r="D13" s="110"/>
      <c r="E13" s="110"/>
      <c r="F13" s="110">
        <v>3900</v>
      </c>
      <c r="G13" s="110"/>
      <c r="H13" s="110"/>
      <c r="I13" s="110">
        <v>3518</v>
      </c>
      <c r="J13" s="110"/>
      <c r="K13" s="110"/>
      <c r="L13" s="110">
        <f t="shared" si="1"/>
        <v>14678</v>
      </c>
      <c r="M13" s="110"/>
      <c r="N13" s="110"/>
      <c r="O13" s="110"/>
      <c r="P13" s="110"/>
      <c r="Q13" s="110"/>
    </row>
    <row r="14" spans="1:17" x14ac:dyDescent="0.2">
      <c r="A14" s="101"/>
      <c r="B14" s="104"/>
      <c r="C14" s="150">
        <f>SUM(C10:E13)</f>
        <v>28740</v>
      </c>
      <c r="D14" s="150"/>
      <c r="E14" s="150"/>
      <c r="F14" s="150">
        <f>SUM(F10:H13)</f>
        <v>7320</v>
      </c>
      <c r="G14" s="150"/>
      <c r="H14" s="150"/>
      <c r="I14" s="150">
        <f>SUM(I10:K13)</f>
        <v>10622</v>
      </c>
      <c r="J14" s="150"/>
      <c r="K14" s="150"/>
      <c r="L14" s="150">
        <f>SUM(C14:K14)</f>
        <v>46682</v>
      </c>
      <c r="M14" s="150"/>
      <c r="N14" s="150"/>
      <c r="O14" s="103"/>
      <c r="P14" s="103"/>
      <c r="Q14" s="102"/>
    </row>
    <row r="15" spans="1:17" x14ac:dyDescent="0.2">
      <c r="A15" s="108" t="s">
        <v>264</v>
      </c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09"/>
    </row>
    <row r="16" spans="1:17" x14ac:dyDescent="0.2">
      <c r="A16" s="148" t="s">
        <v>101</v>
      </c>
      <c r="B16" s="148"/>
      <c r="C16" s="148" t="s">
        <v>257</v>
      </c>
      <c r="D16" s="148"/>
      <c r="E16" s="148"/>
      <c r="F16" s="148" t="s">
        <v>142</v>
      </c>
      <c r="G16" s="148"/>
      <c r="H16" s="148"/>
      <c r="I16" s="148" t="s">
        <v>142</v>
      </c>
      <c r="J16" s="148"/>
      <c r="K16" s="148"/>
      <c r="L16" s="148" t="s">
        <v>261</v>
      </c>
      <c r="M16" s="148"/>
      <c r="N16" s="148"/>
      <c r="O16" s="148" t="s">
        <v>260</v>
      </c>
      <c r="P16" s="148"/>
      <c r="Q16" s="148"/>
    </row>
    <row r="17" spans="1:17" x14ac:dyDescent="0.2">
      <c r="A17" s="137" t="s">
        <v>11</v>
      </c>
      <c r="B17" s="138"/>
      <c r="C17" s="149">
        <v>23585.39</v>
      </c>
      <c r="D17" s="149"/>
      <c r="E17" s="149"/>
      <c r="F17" s="114">
        <f>C17+I17</f>
        <v>24037.9774</v>
      </c>
      <c r="G17" s="150"/>
      <c r="H17" s="109"/>
      <c r="I17" s="133">
        <f>22629.37*0.02</f>
        <v>452.5874</v>
      </c>
      <c r="J17" s="110"/>
      <c r="K17" s="110"/>
      <c r="L17" s="133">
        <f>22629.37*0.03</f>
        <v>678.88109999999995</v>
      </c>
      <c r="M17" s="110"/>
      <c r="N17" s="110"/>
      <c r="O17" s="133">
        <f>L17+C17</f>
        <v>24264.271099999998</v>
      </c>
      <c r="P17" s="110"/>
      <c r="Q17" s="110"/>
    </row>
    <row r="18" spans="1:17" x14ac:dyDescent="0.2">
      <c r="A18" s="137" t="s">
        <v>15</v>
      </c>
      <c r="B18" s="138"/>
      <c r="C18" s="149">
        <v>23830.7</v>
      </c>
      <c r="D18" s="149"/>
      <c r="E18" s="149"/>
      <c r="F18" s="114">
        <f>C18+I18</f>
        <v>24285.685400000002</v>
      </c>
      <c r="G18" s="150"/>
      <c r="H18" s="109"/>
      <c r="I18" s="118">
        <f>22749.27*0.02</f>
        <v>454.98540000000003</v>
      </c>
      <c r="J18" s="118"/>
      <c r="K18" s="118"/>
      <c r="L18" s="118">
        <f>22749.27*0.03</f>
        <v>682.47810000000004</v>
      </c>
      <c r="M18" s="118"/>
      <c r="N18" s="118"/>
      <c r="O18" s="133">
        <f t="shared" ref="O18:O20" si="2">L18+C18</f>
        <v>24513.178100000001</v>
      </c>
      <c r="P18" s="110"/>
      <c r="Q18" s="110"/>
    </row>
    <row r="19" spans="1:17" ht="29.25" customHeight="1" x14ac:dyDescent="0.2">
      <c r="A19" s="140" t="s">
        <v>96</v>
      </c>
      <c r="B19" s="141"/>
      <c r="C19" s="149">
        <v>5330.99</v>
      </c>
      <c r="D19" s="149"/>
      <c r="E19" s="149"/>
      <c r="F19" s="114">
        <f>C19+I19</f>
        <v>5434.9254000000001</v>
      </c>
      <c r="G19" s="150"/>
      <c r="H19" s="109"/>
      <c r="I19" s="118">
        <f>5196.77*0.02</f>
        <v>103.93540000000002</v>
      </c>
      <c r="J19" s="118"/>
      <c r="K19" s="118"/>
      <c r="L19" s="118">
        <f>5196.77*0.03</f>
        <v>155.90309999999999</v>
      </c>
      <c r="M19" s="118"/>
      <c r="N19" s="118"/>
      <c r="O19" s="133">
        <f t="shared" si="2"/>
        <v>5486.8930999999993</v>
      </c>
      <c r="P19" s="110"/>
      <c r="Q19" s="110"/>
    </row>
    <row r="20" spans="1:17" x14ac:dyDescent="0.2">
      <c r="A20" s="137" t="s">
        <v>93</v>
      </c>
      <c r="B20" s="138"/>
      <c r="C20" s="149">
        <v>1303.24</v>
      </c>
      <c r="D20" s="149"/>
      <c r="E20" s="149"/>
      <c r="F20" s="114">
        <f>C20+I20</f>
        <v>1329.8094000000001</v>
      </c>
      <c r="G20" s="150"/>
      <c r="H20" s="109"/>
      <c r="I20" s="118">
        <f>1328.47*0.02</f>
        <v>26.569400000000002</v>
      </c>
      <c r="J20" s="118"/>
      <c r="K20" s="118"/>
      <c r="L20" s="118">
        <f>1328.47*0.03</f>
        <v>39.854100000000003</v>
      </c>
      <c r="M20" s="118"/>
      <c r="N20" s="118"/>
      <c r="O20" s="133">
        <f t="shared" si="2"/>
        <v>1343.0941</v>
      </c>
      <c r="P20" s="110"/>
      <c r="Q20" s="110"/>
    </row>
    <row r="21" spans="1:17" x14ac:dyDescent="0.2">
      <c r="A21" s="151" t="s">
        <v>265</v>
      </c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3"/>
    </row>
    <row r="22" spans="1:17" x14ac:dyDescent="0.2">
      <c r="A22" s="148" t="s">
        <v>101</v>
      </c>
      <c r="B22" s="148"/>
      <c r="C22" s="148" t="s">
        <v>257</v>
      </c>
      <c r="D22" s="148"/>
      <c r="E22" s="148"/>
      <c r="F22" s="148" t="s">
        <v>142</v>
      </c>
      <c r="G22" s="148"/>
      <c r="H22" s="148"/>
      <c r="I22" s="148" t="s">
        <v>261</v>
      </c>
      <c r="J22" s="148"/>
      <c r="K22" s="148"/>
      <c r="L22" s="110"/>
      <c r="M22" s="110"/>
      <c r="N22" s="110"/>
      <c r="O22" s="110"/>
      <c r="P22" s="110"/>
      <c r="Q22" s="110"/>
    </row>
    <row r="23" spans="1:17" x14ac:dyDescent="0.2">
      <c r="A23" s="137" t="s">
        <v>11</v>
      </c>
      <c r="B23" s="138"/>
      <c r="C23" s="110">
        <v>6030</v>
      </c>
      <c r="D23" s="110"/>
      <c r="E23" s="110"/>
      <c r="F23" s="110">
        <v>870</v>
      </c>
      <c r="G23" s="110"/>
      <c r="H23" s="110"/>
      <c r="I23" s="110">
        <v>1613</v>
      </c>
      <c r="J23" s="110"/>
      <c r="K23" s="110"/>
      <c r="L23" s="110">
        <f>SUM(C23:K23)</f>
        <v>8513</v>
      </c>
      <c r="M23" s="110"/>
      <c r="N23" s="110"/>
      <c r="O23" s="110"/>
      <c r="P23" s="110"/>
      <c r="Q23" s="110"/>
    </row>
    <row r="24" spans="1:17" x14ac:dyDescent="0.2">
      <c r="A24" s="137" t="s">
        <v>15</v>
      </c>
      <c r="B24" s="138"/>
      <c r="C24" s="110">
        <v>5130</v>
      </c>
      <c r="D24" s="110"/>
      <c r="E24" s="110"/>
      <c r="F24" s="110">
        <v>730</v>
      </c>
      <c r="G24" s="110"/>
      <c r="H24" s="110"/>
      <c r="I24" s="110">
        <v>1372</v>
      </c>
      <c r="J24" s="110"/>
      <c r="K24" s="110"/>
      <c r="L24" s="110">
        <f>SUM(C24:K24)</f>
        <v>7232</v>
      </c>
      <c r="M24" s="110"/>
      <c r="N24" s="110"/>
      <c r="O24" s="110"/>
      <c r="P24" s="110"/>
      <c r="Q24" s="110"/>
    </row>
    <row r="25" spans="1:17" x14ac:dyDescent="0.2">
      <c r="A25" s="140" t="s">
        <v>96</v>
      </c>
      <c r="B25" s="141"/>
      <c r="C25" s="110">
        <v>7980</v>
      </c>
      <c r="D25" s="110"/>
      <c r="E25" s="110"/>
      <c r="F25" s="110">
        <v>1500</v>
      </c>
      <c r="G25" s="110"/>
      <c r="H25" s="110"/>
      <c r="I25" s="110">
        <v>3388</v>
      </c>
      <c r="J25" s="110"/>
      <c r="K25" s="110"/>
      <c r="L25" s="110">
        <f>SUM(C25:K25)</f>
        <v>12868</v>
      </c>
      <c r="M25" s="110"/>
      <c r="N25" s="110"/>
      <c r="O25" s="110"/>
      <c r="P25" s="110"/>
      <c r="Q25" s="110"/>
    </row>
    <row r="26" spans="1:17" x14ac:dyDescent="0.2">
      <c r="A26" s="137" t="s">
        <v>93</v>
      </c>
      <c r="B26" s="138"/>
      <c r="C26" s="110">
        <v>6730</v>
      </c>
      <c r="D26" s="110"/>
      <c r="E26" s="110"/>
      <c r="F26" s="110">
        <v>3560</v>
      </c>
      <c r="G26" s="110"/>
      <c r="H26" s="110"/>
      <c r="I26" s="110">
        <v>3348</v>
      </c>
      <c r="J26" s="110"/>
      <c r="K26" s="110"/>
      <c r="L26" s="110">
        <f>SUM(C26:K26)</f>
        <v>13638</v>
      </c>
      <c r="M26" s="110"/>
      <c r="N26" s="110"/>
      <c r="O26" s="110"/>
      <c r="P26" s="110"/>
      <c r="Q26" s="110"/>
    </row>
    <row r="27" spans="1:17" x14ac:dyDescent="0.2">
      <c r="A27" s="101"/>
      <c r="B27" s="104"/>
      <c r="C27" s="150">
        <f>SUM(C23:E26)</f>
        <v>25870</v>
      </c>
      <c r="D27" s="150"/>
      <c r="E27" s="150"/>
      <c r="F27" s="150">
        <f>SUM(F23:H26)</f>
        <v>6660</v>
      </c>
      <c r="G27" s="150"/>
      <c r="H27" s="150"/>
      <c r="I27" s="150">
        <f>SUM(I23:K26)</f>
        <v>9721</v>
      </c>
      <c r="J27" s="150"/>
      <c r="K27" s="150"/>
      <c r="L27" s="150">
        <f>SUM(C27:K27)</f>
        <v>42251</v>
      </c>
      <c r="M27" s="150"/>
      <c r="N27" s="150"/>
      <c r="O27" s="103"/>
      <c r="P27" s="103"/>
      <c r="Q27" s="102"/>
    </row>
    <row r="28" spans="1:17" x14ac:dyDescent="0.2">
      <c r="A28" s="108" t="s">
        <v>266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09"/>
    </row>
    <row r="29" spans="1:17" x14ac:dyDescent="0.2">
      <c r="A29" s="148" t="s">
        <v>101</v>
      </c>
      <c r="B29" s="148"/>
      <c r="C29" s="148" t="s">
        <v>257</v>
      </c>
      <c r="D29" s="148"/>
      <c r="E29" s="148"/>
      <c r="F29" s="148" t="s">
        <v>142</v>
      </c>
      <c r="G29" s="148"/>
      <c r="H29" s="148"/>
      <c r="I29" s="148" t="s">
        <v>142</v>
      </c>
      <c r="J29" s="148"/>
      <c r="K29" s="148"/>
      <c r="L29" s="148" t="s">
        <v>261</v>
      </c>
      <c r="M29" s="148"/>
      <c r="N29" s="148"/>
      <c r="O29" s="148" t="s">
        <v>260</v>
      </c>
      <c r="P29" s="148"/>
      <c r="Q29" s="148"/>
    </row>
    <row r="30" spans="1:17" x14ac:dyDescent="0.2">
      <c r="A30" s="137" t="s">
        <v>11</v>
      </c>
      <c r="B30" s="138"/>
      <c r="C30" s="118">
        <v>23365.49</v>
      </c>
      <c r="D30" s="118"/>
      <c r="E30" s="118"/>
      <c r="F30" s="114">
        <f>C30+I30</f>
        <v>23818.077400000002</v>
      </c>
      <c r="G30" s="150"/>
      <c r="H30" s="109"/>
      <c r="I30" s="133">
        <f>22629.37*0.02</f>
        <v>452.5874</v>
      </c>
      <c r="J30" s="110"/>
      <c r="K30" s="110"/>
      <c r="L30" s="133">
        <f>22629.37*0.03</f>
        <v>678.88109999999995</v>
      </c>
      <c r="M30" s="110"/>
      <c r="N30" s="110"/>
      <c r="O30" s="133">
        <f>L30+C30</f>
        <v>24044.3711</v>
      </c>
      <c r="P30" s="110"/>
      <c r="Q30" s="110"/>
    </row>
    <row r="31" spans="1:17" x14ac:dyDescent="0.2">
      <c r="A31" s="137" t="s">
        <v>15</v>
      </c>
      <c r="B31" s="138"/>
      <c r="C31" s="118">
        <v>23680.799999999999</v>
      </c>
      <c r="D31" s="118"/>
      <c r="E31" s="118"/>
      <c r="F31" s="114">
        <f>C31+I31</f>
        <v>24135.785400000001</v>
      </c>
      <c r="G31" s="150"/>
      <c r="H31" s="109"/>
      <c r="I31" s="118">
        <f>22749.27*0.02</f>
        <v>454.98540000000003</v>
      </c>
      <c r="J31" s="118"/>
      <c r="K31" s="118"/>
      <c r="L31" s="118">
        <f>22749.27*0.03</f>
        <v>682.47810000000004</v>
      </c>
      <c r="M31" s="118"/>
      <c r="N31" s="118"/>
      <c r="O31" s="133">
        <f t="shared" ref="O31:O33" si="3">L31+C31</f>
        <v>24363.2781</v>
      </c>
      <c r="P31" s="110"/>
      <c r="Q31" s="110"/>
    </row>
    <row r="32" spans="1:17" x14ac:dyDescent="0.2">
      <c r="A32" s="140" t="s">
        <v>96</v>
      </c>
      <c r="B32" s="141"/>
      <c r="C32" s="118">
        <v>5231.09</v>
      </c>
      <c r="D32" s="118"/>
      <c r="E32" s="118"/>
      <c r="F32" s="114">
        <f>C32+I32</f>
        <v>5335.0254000000004</v>
      </c>
      <c r="G32" s="150"/>
      <c r="H32" s="109"/>
      <c r="I32" s="118">
        <f>5196.77*0.02</f>
        <v>103.93540000000002</v>
      </c>
      <c r="J32" s="118"/>
      <c r="K32" s="118"/>
      <c r="L32" s="118">
        <f>5196.77*0.03</f>
        <v>155.90309999999999</v>
      </c>
      <c r="M32" s="118"/>
      <c r="N32" s="118"/>
      <c r="O32" s="133">
        <f t="shared" si="3"/>
        <v>5386.9930999999997</v>
      </c>
      <c r="P32" s="110"/>
      <c r="Q32" s="110"/>
    </row>
    <row r="33" spans="1:17" x14ac:dyDescent="0.2">
      <c r="A33" s="137" t="s">
        <v>93</v>
      </c>
      <c r="B33" s="138"/>
      <c r="C33" s="118">
        <v>1243.44</v>
      </c>
      <c r="D33" s="118"/>
      <c r="E33" s="118"/>
      <c r="F33" s="114">
        <f>C33+I33</f>
        <v>1270.0094000000001</v>
      </c>
      <c r="G33" s="150"/>
      <c r="H33" s="109"/>
      <c r="I33" s="118">
        <f>1328.47*0.02</f>
        <v>26.569400000000002</v>
      </c>
      <c r="J33" s="118"/>
      <c r="K33" s="118"/>
      <c r="L33" s="118">
        <f>1328.47*0.03</f>
        <v>39.854100000000003</v>
      </c>
      <c r="M33" s="118"/>
      <c r="N33" s="118"/>
      <c r="O33" s="133">
        <f t="shared" si="3"/>
        <v>1283.2941000000001</v>
      </c>
      <c r="P33" s="110"/>
      <c r="Q33" s="110"/>
    </row>
    <row r="34" spans="1:17" x14ac:dyDescent="0.2">
      <c r="A34" s="151" t="s">
        <v>267</v>
      </c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3"/>
    </row>
    <row r="35" spans="1:17" x14ac:dyDescent="0.2">
      <c r="A35" s="148" t="s">
        <v>101</v>
      </c>
      <c r="B35" s="148"/>
      <c r="C35" s="148" t="s">
        <v>257</v>
      </c>
      <c r="D35" s="148"/>
      <c r="E35" s="148"/>
      <c r="F35" s="148" t="s">
        <v>142</v>
      </c>
      <c r="G35" s="148"/>
      <c r="H35" s="148"/>
      <c r="I35" s="148" t="s">
        <v>261</v>
      </c>
      <c r="J35" s="148"/>
      <c r="K35" s="148"/>
      <c r="L35" s="110"/>
      <c r="M35" s="110"/>
      <c r="N35" s="110"/>
      <c r="O35" s="110"/>
      <c r="P35" s="110"/>
      <c r="Q35" s="110"/>
    </row>
    <row r="36" spans="1:17" x14ac:dyDescent="0.2">
      <c r="A36" s="137" t="s">
        <v>11</v>
      </c>
      <c r="B36" s="138"/>
      <c r="C36" s="110">
        <v>6180</v>
      </c>
      <c r="D36" s="110"/>
      <c r="E36" s="110"/>
      <c r="F36" s="110">
        <v>900</v>
      </c>
      <c r="G36" s="110"/>
      <c r="H36" s="110"/>
      <c r="I36" s="110">
        <v>1646</v>
      </c>
      <c r="J36" s="110"/>
      <c r="K36" s="110"/>
      <c r="L36" s="110">
        <f>SUM(C36:K36)</f>
        <v>8726</v>
      </c>
      <c r="M36" s="110"/>
      <c r="N36" s="110"/>
      <c r="O36" s="110"/>
      <c r="P36" s="110"/>
      <c r="Q36" s="110"/>
    </row>
    <row r="37" spans="1:17" x14ac:dyDescent="0.2">
      <c r="A37" s="137" t="s">
        <v>15</v>
      </c>
      <c r="B37" s="138"/>
      <c r="C37" s="110">
        <v>5250</v>
      </c>
      <c r="D37" s="110"/>
      <c r="E37" s="110"/>
      <c r="F37" s="110">
        <v>760</v>
      </c>
      <c r="G37" s="110"/>
      <c r="H37" s="110"/>
      <c r="I37" s="110">
        <v>1398</v>
      </c>
      <c r="J37" s="110"/>
      <c r="K37" s="110"/>
      <c r="L37" s="110">
        <f>SUM(C37:K37)</f>
        <v>7408</v>
      </c>
      <c r="M37" s="110"/>
      <c r="N37" s="110"/>
      <c r="O37" s="110"/>
      <c r="P37" s="110"/>
      <c r="Q37" s="110"/>
    </row>
    <row r="38" spans="1:17" x14ac:dyDescent="0.2">
      <c r="A38" s="140" t="s">
        <v>96</v>
      </c>
      <c r="B38" s="141"/>
      <c r="C38" s="110">
        <v>8220</v>
      </c>
      <c r="D38" s="110"/>
      <c r="E38" s="110"/>
      <c r="F38" s="110">
        <v>1580</v>
      </c>
      <c r="G38" s="110"/>
      <c r="H38" s="110"/>
      <c r="I38" s="110">
        <v>3490</v>
      </c>
      <c r="J38" s="110"/>
      <c r="K38" s="110"/>
      <c r="L38" s="110">
        <f>SUM(C38:K38)</f>
        <v>13290</v>
      </c>
      <c r="M38" s="110"/>
      <c r="N38" s="110"/>
      <c r="O38" s="110"/>
      <c r="P38" s="110"/>
      <c r="Q38" s="110"/>
    </row>
    <row r="39" spans="1:17" x14ac:dyDescent="0.2">
      <c r="A39" s="137" t="s">
        <v>93</v>
      </c>
      <c r="B39" s="138"/>
      <c r="C39" s="110">
        <v>6790</v>
      </c>
      <c r="D39" s="110"/>
      <c r="E39" s="110"/>
      <c r="F39" s="110">
        <v>3710</v>
      </c>
      <c r="G39" s="110"/>
      <c r="H39" s="110"/>
      <c r="I39" s="110">
        <v>3440</v>
      </c>
      <c r="J39" s="110"/>
      <c r="K39" s="110"/>
      <c r="L39" s="110">
        <f>SUM(C39:K39)</f>
        <v>13940</v>
      </c>
      <c r="M39" s="110"/>
      <c r="N39" s="110"/>
      <c r="O39" s="110"/>
      <c r="P39" s="110"/>
      <c r="Q39" s="110"/>
    </row>
    <row r="40" spans="1:17" x14ac:dyDescent="0.2">
      <c r="A40" s="101"/>
      <c r="B40" s="104"/>
      <c r="C40" s="150">
        <f>SUM(C36:E39)</f>
        <v>26440</v>
      </c>
      <c r="D40" s="150"/>
      <c r="E40" s="150"/>
      <c r="F40" s="150">
        <f>SUM(F36:H39)</f>
        <v>6950</v>
      </c>
      <c r="G40" s="150"/>
      <c r="H40" s="150"/>
      <c r="I40" s="150">
        <f>SUM(I36:K39)</f>
        <v>9974</v>
      </c>
      <c r="J40" s="150"/>
      <c r="K40" s="150"/>
      <c r="L40" s="150">
        <f>SUM(C40:K40)</f>
        <v>43364</v>
      </c>
      <c r="M40" s="150"/>
      <c r="N40" s="150"/>
      <c r="O40" s="103"/>
      <c r="P40" s="103"/>
      <c r="Q40" s="102"/>
    </row>
    <row r="41" spans="1:17" x14ac:dyDescent="0.2">
      <c r="A41" s="108" t="s">
        <v>268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09"/>
    </row>
    <row r="42" spans="1:17" x14ac:dyDescent="0.2">
      <c r="A42" s="148" t="s">
        <v>101</v>
      </c>
      <c r="B42" s="148"/>
      <c r="C42" s="148" t="s">
        <v>257</v>
      </c>
      <c r="D42" s="148"/>
      <c r="E42" s="148"/>
      <c r="F42" s="148" t="s">
        <v>142</v>
      </c>
      <c r="G42" s="148"/>
      <c r="H42" s="148"/>
      <c r="I42" s="148" t="s">
        <v>142</v>
      </c>
      <c r="J42" s="148"/>
      <c r="K42" s="148"/>
      <c r="L42" s="148" t="s">
        <v>261</v>
      </c>
      <c r="M42" s="148"/>
      <c r="N42" s="148"/>
      <c r="O42" s="148" t="s">
        <v>260</v>
      </c>
      <c r="P42" s="148"/>
      <c r="Q42" s="148"/>
    </row>
    <row r="43" spans="1:17" x14ac:dyDescent="0.2">
      <c r="A43" s="137" t="s">
        <v>11</v>
      </c>
      <c r="B43" s="138"/>
      <c r="C43" s="118">
        <v>21969.97</v>
      </c>
      <c r="D43" s="118"/>
      <c r="E43" s="118"/>
      <c r="F43" s="114">
        <f>C43+I43</f>
        <v>22422.557400000002</v>
      </c>
      <c r="G43" s="150"/>
      <c r="H43" s="109"/>
      <c r="I43" s="133">
        <f>22629.37*0.02</f>
        <v>452.5874</v>
      </c>
      <c r="J43" s="110"/>
      <c r="K43" s="110"/>
      <c r="L43" s="133">
        <f>22629.37*0.03</f>
        <v>678.88109999999995</v>
      </c>
      <c r="M43" s="110"/>
      <c r="N43" s="110"/>
      <c r="O43" s="133">
        <f>L43+C43</f>
        <v>22648.8511</v>
      </c>
      <c r="P43" s="110"/>
      <c r="Q43" s="110"/>
    </row>
    <row r="44" spans="1:17" x14ac:dyDescent="0.2">
      <c r="A44" s="137" t="s">
        <v>15</v>
      </c>
      <c r="B44" s="138"/>
      <c r="C44" s="118">
        <v>22298.57</v>
      </c>
      <c r="D44" s="118"/>
      <c r="E44" s="118"/>
      <c r="F44" s="114">
        <f>C44+I44</f>
        <v>22753.555400000001</v>
      </c>
      <c r="G44" s="150"/>
      <c r="H44" s="109"/>
      <c r="I44" s="118">
        <f>22749.27*0.02</f>
        <v>454.98540000000003</v>
      </c>
      <c r="J44" s="118"/>
      <c r="K44" s="118"/>
      <c r="L44" s="118">
        <f>22749.27*0.03</f>
        <v>682.47810000000004</v>
      </c>
      <c r="M44" s="118"/>
      <c r="N44" s="118"/>
      <c r="O44" s="133">
        <f t="shared" ref="O44:O46" si="4">L44+C44</f>
        <v>22981.0481</v>
      </c>
      <c r="P44" s="110"/>
      <c r="Q44" s="110"/>
    </row>
    <row r="45" spans="1:17" x14ac:dyDescent="0.2">
      <c r="A45" s="140" t="s">
        <v>96</v>
      </c>
      <c r="B45" s="141"/>
      <c r="C45" s="118">
        <v>4896.07</v>
      </c>
      <c r="D45" s="118"/>
      <c r="E45" s="118"/>
      <c r="F45" s="114">
        <f>C45+I45</f>
        <v>5000.0054</v>
      </c>
      <c r="G45" s="150"/>
      <c r="H45" s="109"/>
      <c r="I45" s="118">
        <f>5196.77*0.02</f>
        <v>103.93540000000002</v>
      </c>
      <c r="J45" s="118"/>
      <c r="K45" s="118"/>
      <c r="L45" s="118">
        <f>5196.77*0.03</f>
        <v>155.90309999999999</v>
      </c>
      <c r="M45" s="118"/>
      <c r="N45" s="118"/>
      <c r="O45" s="133">
        <f t="shared" si="4"/>
        <v>5051.9730999999992</v>
      </c>
      <c r="P45" s="110"/>
      <c r="Q45" s="110"/>
    </row>
    <row r="46" spans="1:17" x14ac:dyDescent="0.2">
      <c r="A46" s="137" t="s">
        <v>93</v>
      </c>
      <c r="B46" s="138"/>
      <c r="C46" s="118">
        <v>1147.73</v>
      </c>
      <c r="D46" s="118"/>
      <c r="E46" s="118"/>
      <c r="F46" s="114">
        <f>C46+I46</f>
        <v>1174.2994000000001</v>
      </c>
      <c r="G46" s="150"/>
      <c r="H46" s="109"/>
      <c r="I46" s="118">
        <f>1328.47*0.02</f>
        <v>26.569400000000002</v>
      </c>
      <c r="J46" s="118"/>
      <c r="K46" s="118"/>
      <c r="L46" s="118">
        <f>1328.47*0.03</f>
        <v>39.854100000000003</v>
      </c>
      <c r="M46" s="118"/>
      <c r="N46" s="118"/>
      <c r="O46" s="133">
        <f t="shared" si="4"/>
        <v>1187.5841</v>
      </c>
      <c r="P46" s="110"/>
      <c r="Q46" s="110"/>
    </row>
    <row r="47" spans="1:17" x14ac:dyDescent="0.2">
      <c r="A47" s="151" t="s">
        <v>269</v>
      </c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3"/>
    </row>
    <row r="48" spans="1:17" x14ac:dyDescent="0.2">
      <c r="A48" s="148" t="s">
        <v>101</v>
      </c>
      <c r="B48" s="148"/>
      <c r="C48" s="148" t="s">
        <v>257</v>
      </c>
      <c r="D48" s="148"/>
      <c r="E48" s="148"/>
      <c r="F48" s="148" t="s">
        <v>142</v>
      </c>
      <c r="G48" s="148"/>
      <c r="H48" s="148"/>
      <c r="I48" s="148" t="s">
        <v>261</v>
      </c>
      <c r="J48" s="148"/>
      <c r="K48" s="148"/>
      <c r="L48" s="110"/>
      <c r="M48" s="110"/>
      <c r="N48" s="110"/>
      <c r="O48" s="110"/>
      <c r="P48" s="110"/>
      <c r="Q48" s="110"/>
    </row>
    <row r="49" spans="1:17" x14ac:dyDescent="0.2">
      <c r="A49" s="137" t="s">
        <v>11</v>
      </c>
      <c r="B49" s="138"/>
      <c r="C49" s="110">
        <v>6030</v>
      </c>
      <c r="D49" s="110"/>
      <c r="E49" s="110"/>
      <c r="F49" s="110">
        <v>870</v>
      </c>
      <c r="G49" s="110"/>
      <c r="H49" s="110"/>
      <c r="I49" s="110">
        <v>1613</v>
      </c>
      <c r="J49" s="110"/>
      <c r="K49" s="110"/>
      <c r="L49" s="110">
        <f>SUM(C49:K49)</f>
        <v>8513</v>
      </c>
      <c r="M49" s="110"/>
      <c r="N49" s="110"/>
      <c r="O49" s="110"/>
      <c r="P49" s="110"/>
      <c r="Q49" s="110"/>
    </row>
    <row r="50" spans="1:17" ht="15" customHeight="1" x14ac:dyDescent="0.2">
      <c r="A50" s="137" t="s">
        <v>15</v>
      </c>
      <c r="B50" s="138"/>
      <c r="C50" s="110">
        <v>5130</v>
      </c>
      <c r="D50" s="110"/>
      <c r="E50" s="110"/>
      <c r="F50" s="110">
        <v>730</v>
      </c>
      <c r="G50" s="110"/>
      <c r="H50" s="110"/>
      <c r="I50" s="110">
        <v>1372</v>
      </c>
      <c r="J50" s="110"/>
      <c r="K50" s="110"/>
      <c r="L50" s="110">
        <f t="shared" ref="L50:L52" si="5">SUM(C50:K50)</f>
        <v>7232</v>
      </c>
      <c r="M50" s="110"/>
      <c r="N50" s="110"/>
      <c r="O50" s="110"/>
      <c r="P50" s="110"/>
      <c r="Q50" s="110"/>
    </row>
    <row r="51" spans="1:17" x14ac:dyDescent="0.2">
      <c r="A51" s="140" t="s">
        <v>96</v>
      </c>
      <c r="B51" s="141"/>
      <c r="C51" s="110">
        <v>7980</v>
      </c>
      <c r="D51" s="110"/>
      <c r="E51" s="110"/>
      <c r="F51" s="110">
        <v>1490</v>
      </c>
      <c r="G51" s="110"/>
      <c r="H51" s="110"/>
      <c r="I51" s="110">
        <v>3388</v>
      </c>
      <c r="J51" s="110"/>
      <c r="K51" s="110"/>
      <c r="L51" s="110">
        <f t="shared" si="5"/>
        <v>12858</v>
      </c>
      <c r="M51" s="110"/>
      <c r="N51" s="110"/>
      <c r="O51" s="110"/>
      <c r="P51" s="110"/>
      <c r="Q51" s="110"/>
    </row>
    <row r="52" spans="1:17" x14ac:dyDescent="0.2">
      <c r="A52" s="137" t="s">
        <v>93</v>
      </c>
      <c r="B52" s="138"/>
      <c r="C52" s="110">
        <v>6730</v>
      </c>
      <c r="D52" s="110"/>
      <c r="E52" s="110"/>
      <c r="F52" s="110">
        <v>3520</v>
      </c>
      <c r="G52" s="110"/>
      <c r="H52" s="110"/>
      <c r="I52" s="110">
        <v>3348</v>
      </c>
      <c r="J52" s="110"/>
      <c r="K52" s="110"/>
      <c r="L52" s="110">
        <f t="shared" si="5"/>
        <v>13598</v>
      </c>
      <c r="M52" s="110"/>
      <c r="N52" s="110"/>
      <c r="O52" s="110"/>
      <c r="P52" s="110"/>
      <c r="Q52" s="110"/>
    </row>
    <row r="53" spans="1:17" x14ac:dyDescent="0.2">
      <c r="A53" s="101"/>
      <c r="B53" s="104"/>
      <c r="C53" s="150">
        <f>SUM(C49:E52)</f>
        <v>25870</v>
      </c>
      <c r="D53" s="150"/>
      <c r="E53" s="150"/>
      <c r="F53" s="150">
        <f>SUM(F49:H52)</f>
        <v>6610</v>
      </c>
      <c r="G53" s="150"/>
      <c r="H53" s="150"/>
      <c r="I53" s="150">
        <f>SUM(I49:K52)</f>
        <v>9721</v>
      </c>
      <c r="J53" s="150"/>
      <c r="K53" s="150"/>
      <c r="L53" s="150">
        <f>SUM(C53:K53)</f>
        <v>42201</v>
      </c>
      <c r="M53" s="150"/>
      <c r="N53" s="150"/>
      <c r="O53" s="103"/>
      <c r="P53" s="103"/>
      <c r="Q53" s="102"/>
    </row>
    <row r="54" spans="1:17" x14ac:dyDescent="0.2">
      <c r="A54" s="108" t="s">
        <v>270</v>
      </c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09"/>
    </row>
    <row r="55" spans="1:17" x14ac:dyDescent="0.2">
      <c r="A55" s="148" t="s">
        <v>101</v>
      </c>
      <c r="B55" s="148"/>
      <c r="C55" s="148" t="s">
        <v>257</v>
      </c>
      <c r="D55" s="148"/>
      <c r="E55" s="148"/>
      <c r="F55" s="148" t="s">
        <v>142</v>
      </c>
      <c r="G55" s="148"/>
      <c r="H55" s="148"/>
      <c r="I55" s="148" t="s">
        <v>142</v>
      </c>
      <c r="J55" s="148"/>
      <c r="K55" s="148"/>
      <c r="L55" s="148" t="s">
        <v>261</v>
      </c>
      <c r="M55" s="148"/>
      <c r="N55" s="148"/>
      <c r="O55" s="148" t="s">
        <v>260</v>
      </c>
      <c r="P55" s="148"/>
      <c r="Q55" s="148"/>
    </row>
    <row r="56" spans="1:17" x14ac:dyDescent="0.2">
      <c r="A56" s="137" t="s">
        <v>11</v>
      </c>
      <c r="B56" s="138"/>
      <c r="C56" s="118">
        <v>21377.49</v>
      </c>
      <c r="D56" s="118"/>
      <c r="E56" s="118"/>
      <c r="F56" s="114">
        <f>C56+I56</f>
        <v>21830.077400000002</v>
      </c>
      <c r="G56" s="150"/>
      <c r="H56" s="109"/>
      <c r="I56" s="133">
        <f>22629.37*0.02</f>
        <v>452.5874</v>
      </c>
      <c r="J56" s="110"/>
      <c r="K56" s="110"/>
      <c r="L56" s="133">
        <f>22629.37*0.03</f>
        <v>678.88109999999995</v>
      </c>
      <c r="M56" s="110"/>
      <c r="N56" s="110"/>
      <c r="O56" s="133">
        <f>L56+C56</f>
        <v>22056.3711</v>
      </c>
      <c r="P56" s="110"/>
      <c r="Q56" s="110"/>
    </row>
    <row r="57" spans="1:17" x14ac:dyDescent="0.2">
      <c r="A57" s="137" t="s">
        <v>15</v>
      </c>
      <c r="B57" s="138"/>
      <c r="C57" s="118">
        <v>21758.44</v>
      </c>
      <c r="D57" s="118"/>
      <c r="E57" s="118"/>
      <c r="F57" s="114">
        <f>C57+I57</f>
        <v>22213.4254</v>
      </c>
      <c r="G57" s="150"/>
      <c r="H57" s="109"/>
      <c r="I57" s="118">
        <f>22749.27*0.02</f>
        <v>454.98540000000003</v>
      </c>
      <c r="J57" s="118"/>
      <c r="K57" s="118"/>
      <c r="L57" s="118">
        <f>22749.27*0.03</f>
        <v>682.47810000000004</v>
      </c>
      <c r="M57" s="118"/>
      <c r="N57" s="118"/>
      <c r="O57" s="133">
        <f t="shared" ref="O57:O59" si="6">L57+C57</f>
        <v>22440.918099999999</v>
      </c>
      <c r="P57" s="110"/>
      <c r="Q57" s="110"/>
    </row>
    <row r="58" spans="1:17" x14ac:dyDescent="0.2">
      <c r="A58" s="140" t="s">
        <v>96</v>
      </c>
      <c r="B58" s="141"/>
      <c r="C58" s="118">
        <v>4721.72</v>
      </c>
      <c r="D58" s="118"/>
      <c r="E58" s="118"/>
      <c r="F58" s="114">
        <f>C58+I58</f>
        <v>4825.6554000000006</v>
      </c>
      <c r="G58" s="150"/>
      <c r="H58" s="109"/>
      <c r="I58" s="118">
        <f>5196.77*0.02</f>
        <v>103.93540000000002</v>
      </c>
      <c r="J58" s="118"/>
      <c r="K58" s="118"/>
      <c r="L58" s="118">
        <f>5196.77*0.03</f>
        <v>155.90309999999999</v>
      </c>
      <c r="M58" s="118"/>
      <c r="N58" s="118"/>
      <c r="O58" s="133">
        <f t="shared" si="6"/>
        <v>4877.6231000000007</v>
      </c>
      <c r="P58" s="110"/>
      <c r="Q58" s="110"/>
    </row>
    <row r="59" spans="1:17" x14ac:dyDescent="0.2">
      <c r="A59" s="137" t="s">
        <v>93</v>
      </c>
      <c r="B59" s="138"/>
      <c r="C59" s="118">
        <v>1076.5</v>
      </c>
      <c r="D59" s="118"/>
      <c r="E59" s="118"/>
      <c r="F59" s="114">
        <f>C59+I59</f>
        <v>1103.0694000000001</v>
      </c>
      <c r="G59" s="150"/>
      <c r="H59" s="109"/>
      <c r="I59" s="118">
        <f>1328.47*0.02</f>
        <v>26.569400000000002</v>
      </c>
      <c r="J59" s="118"/>
      <c r="K59" s="118"/>
      <c r="L59" s="118">
        <f>1328.47*0.03</f>
        <v>39.854100000000003</v>
      </c>
      <c r="M59" s="118"/>
      <c r="N59" s="118"/>
      <c r="O59" s="133">
        <f t="shared" si="6"/>
        <v>1116.3541</v>
      </c>
      <c r="P59" s="110"/>
      <c r="Q59" s="110"/>
    </row>
    <row r="60" spans="1:17" x14ac:dyDescent="0.2">
      <c r="A60" s="151" t="s">
        <v>271</v>
      </c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3"/>
    </row>
    <row r="61" spans="1:17" x14ac:dyDescent="0.2">
      <c r="A61" s="148" t="s">
        <v>101</v>
      </c>
      <c r="B61" s="148"/>
      <c r="C61" s="148" t="s">
        <v>257</v>
      </c>
      <c r="D61" s="148"/>
      <c r="E61" s="148"/>
      <c r="F61" s="148" t="s">
        <v>142</v>
      </c>
      <c r="G61" s="148"/>
      <c r="H61" s="148"/>
      <c r="I61" s="148" t="s">
        <v>261</v>
      </c>
      <c r="J61" s="148"/>
      <c r="K61" s="148"/>
      <c r="L61" s="110"/>
      <c r="M61" s="110"/>
      <c r="N61" s="110"/>
      <c r="O61" s="110"/>
      <c r="P61" s="110"/>
      <c r="Q61" s="110"/>
    </row>
    <row r="62" spans="1:17" x14ac:dyDescent="0.2">
      <c r="A62" s="137" t="s">
        <v>11</v>
      </c>
      <c r="B62" s="138"/>
      <c r="C62" s="110">
        <v>6260</v>
      </c>
      <c r="D62" s="110"/>
      <c r="E62" s="110"/>
      <c r="F62" s="110">
        <v>915</v>
      </c>
      <c r="G62" s="110"/>
      <c r="H62" s="110"/>
      <c r="I62" s="110">
        <v>1697</v>
      </c>
      <c r="J62" s="110"/>
      <c r="K62" s="110"/>
      <c r="L62" s="110">
        <f>SUM(C62:K62)</f>
        <v>8872</v>
      </c>
      <c r="M62" s="110"/>
      <c r="N62" s="110"/>
      <c r="O62" s="110"/>
      <c r="P62" s="110"/>
      <c r="Q62" s="110"/>
    </row>
    <row r="63" spans="1:17" x14ac:dyDescent="0.2">
      <c r="A63" s="137" t="s">
        <v>15</v>
      </c>
      <c r="B63" s="138"/>
      <c r="C63" s="110">
        <v>5320</v>
      </c>
      <c r="D63" s="110"/>
      <c r="E63" s="110"/>
      <c r="F63" s="110">
        <v>760</v>
      </c>
      <c r="G63" s="110"/>
      <c r="H63" s="110"/>
      <c r="I63" s="110">
        <v>1439</v>
      </c>
      <c r="J63" s="110"/>
      <c r="K63" s="110"/>
      <c r="L63" s="110">
        <f t="shared" ref="L63:L65" si="7">SUM(C63:K63)</f>
        <v>7519</v>
      </c>
      <c r="M63" s="110"/>
      <c r="N63" s="110"/>
      <c r="O63" s="110"/>
      <c r="P63" s="110"/>
      <c r="Q63" s="110"/>
    </row>
    <row r="64" spans="1:17" x14ac:dyDescent="0.2">
      <c r="A64" s="140" t="s">
        <v>96</v>
      </c>
      <c r="B64" s="141"/>
      <c r="C64" s="110">
        <v>8650</v>
      </c>
      <c r="D64" s="110"/>
      <c r="E64" s="110"/>
      <c r="F64" s="110">
        <v>1620</v>
      </c>
      <c r="G64" s="110"/>
      <c r="H64" s="110"/>
      <c r="I64" s="110">
        <v>3647</v>
      </c>
      <c r="J64" s="110"/>
      <c r="K64" s="110"/>
      <c r="L64" s="110">
        <f t="shared" si="7"/>
        <v>13917</v>
      </c>
      <c r="M64" s="110"/>
      <c r="N64" s="110"/>
      <c r="O64" s="110"/>
      <c r="P64" s="110"/>
      <c r="Q64" s="110"/>
    </row>
    <row r="65" spans="1:17" x14ac:dyDescent="0.2">
      <c r="A65" s="137" t="s">
        <v>93</v>
      </c>
      <c r="B65" s="138"/>
      <c r="C65" s="110">
        <v>6870</v>
      </c>
      <c r="D65" s="110"/>
      <c r="E65" s="110"/>
      <c r="F65" s="110">
        <v>3750</v>
      </c>
      <c r="G65" s="110"/>
      <c r="H65" s="110"/>
      <c r="I65" s="110">
        <v>3444</v>
      </c>
      <c r="J65" s="110"/>
      <c r="K65" s="110"/>
      <c r="L65" s="110">
        <f t="shared" si="7"/>
        <v>14064</v>
      </c>
      <c r="M65" s="110"/>
      <c r="N65" s="110"/>
      <c r="O65" s="110"/>
      <c r="P65" s="110"/>
      <c r="Q65" s="110"/>
    </row>
    <row r="66" spans="1:17" x14ac:dyDescent="0.2">
      <c r="A66" s="101"/>
      <c r="B66" s="104"/>
      <c r="C66" s="150">
        <f>SUM(C62:E65)</f>
        <v>27100</v>
      </c>
      <c r="D66" s="150"/>
      <c r="E66" s="150"/>
      <c r="F66" s="150">
        <f>SUM(F62:H65)</f>
        <v>7045</v>
      </c>
      <c r="G66" s="150"/>
      <c r="H66" s="150"/>
      <c r="I66" s="150">
        <f>SUM(I62:K65)</f>
        <v>10227</v>
      </c>
      <c r="J66" s="150"/>
      <c r="K66" s="150"/>
      <c r="L66" s="150">
        <f>SUM(C66:K66)</f>
        <v>44372</v>
      </c>
      <c r="M66" s="150"/>
      <c r="N66" s="150"/>
      <c r="O66" s="103"/>
      <c r="P66" s="103"/>
      <c r="Q66" s="102"/>
    </row>
    <row r="67" spans="1:17" x14ac:dyDescent="0.2">
      <c r="A67" s="108" t="s">
        <v>272</v>
      </c>
      <c r="B67" s="150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09"/>
    </row>
    <row r="68" spans="1:17" x14ac:dyDescent="0.2">
      <c r="A68" s="148" t="s">
        <v>101</v>
      </c>
      <c r="B68" s="148"/>
      <c r="C68" s="148" t="s">
        <v>257</v>
      </c>
      <c r="D68" s="148"/>
      <c r="E68" s="148"/>
      <c r="F68" s="148" t="s">
        <v>142</v>
      </c>
      <c r="G68" s="148"/>
      <c r="H68" s="148"/>
      <c r="I68" s="148" t="s">
        <v>142</v>
      </c>
      <c r="J68" s="148"/>
      <c r="K68" s="148"/>
      <c r="L68" s="148" t="s">
        <v>261</v>
      </c>
      <c r="M68" s="148"/>
      <c r="N68" s="148"/>
      <c r="O68" s="148" t="s">
        <v>260</v>
      </c>
      <c r="P68" s="148"/>
      <c r="Q68" s="148"/>
    </row>
    <row r="69" spans="1:17" x14ac:dyDescent="0.2">
      <c r="A69" s="137" t="s">
        <v>11</v>
      </c>
      <c r="B69" s="138"/>
      <c r="C69" s="118">
        <v>22705.79</v>
      </c>
      <c r="D69" s="118"/>
      <c r="E69" s="118"/>
      <c r="F69" s="114">
        <f>C69+I69</f>
        <v>23158.377400000001</v>
      </c>
      <c r="G69" s="150"/>
      <c r="H69" s="109"/>
      <c r="I69" s="133">
        <f>22629.37*0.02</f>
        <v>452.5874</v>
      </c>
      <c r="J69" s="110"/>
      <c r="K69" s="110"/>
      <c r="L69" s="133">
        <f>22629.37*0.03</f>
        <v>678.88109999999995</v>
      </c>
      <c r="M69" s="110"/>
      <c r="N69" s="110"/>
      <c r="O69" s="133">
        <f>L69+C69</f>
        <v>23384.6711</v>
      </c>
      <c r="P69" s="110"/>
      <c r="Q69" s="110"/>
    </row>
    <row r="70" spans="1:17" x14ac:dyDescent="0.2">
      <c r="A70" s="137" t="s">
        <v>15</v>
      </c>
      <c r="B70" s="138"/>
      <c r="C70" s="118">
        <v>23231.1</v>
      </c>
      <c r="D70" s="118"/>
      <c r="E70" s="118"/>
      <c r="F70" s="114">
        <f>C70+I70</f>
        <v>23686.0854</v>
      </c>
      <c r="G70" s="150"/>
      <c r="H70" s="109"/>
      <c r="I70" s="118">
        <f>22749.27*0.02</f>
        <v>454.98540000000003</v>
      </c>
      <c r="J70" s="118"/>
      <c r="K70" s="118"/>
      <c r="L70" s="118">
        <f>22749.27*0.03</f>
        <v>682.47810000000004</v>
      </c>
      <c r="M70" s="118"/>
      <c r="N70" s="118"/>
      <c r="O70" s="133">
        <f t="shared" ref="O70:O72" si="8">L70+C70</f>
        <v>23913.578099999999</v>
      </c>
      <c r="P70" s="110"/>
      <c r="Q70" s="110"/>
    </row>
    <row r="71" spans="1:17" x14ac:dyDescent="0.2">
      <c r="A71" s="140" t="s">
        <v>96</v>
      </c>
      <c r="B71" s="141"/>
      <c r="C71" s="118">
        <v>4931.3900000000003</v>
      </c>
      <c r="D71" s="118"/>
      <c r="E71" s="118"/>
      <c r="F71" s="114">
        <f>C71+I71</f>
        <v>5035.3254000000006</v>
      </c>
      <c r="G71" s="150"/>
      <c r="H71" s="109"/>
      <c r="I71" s="118">
        <f>5196.77*0.02</f>
        <v>103.93540000000002</v>
      </c>
      <c r="J71" s="118"/>
      <c r="K71" s="118"/>
      <c r="L71" s="118">
        <f>5196.77*0.03</f>
        <v>155.90309999999999</v>
      </c>
      <c r="M71" s="118"/>
      <c r="N71" s="118"/>
      <c r="O71" s="133">
        <f t="shared" si="8"/>
        <v>5087.2931000000008</v>
      </c>
      <c r="P71" s="110"/>
      <c r="Q71" s="110"/>
    </row>
    <row r="72" spans="1:17" x14ac:dyDescent="0.2">
      <c r="A72" s="137" t="s">
        <v>93</v>
      </c>
      <c r="B72" s="138"/>
      <c r="C72" s="118">
        <v>1063.74</v>
      </c>
      <c r="D72" s="118"/>
      <c r="E72" s="118"/>
      <c r="F72" s="114">
        <f>C72+I72</f>
        <v>1090.3094000000001</v>
      </c>
      <c r="G72" s="150"/>
      <c r="H72" s="109"/>
      <c r="I72" s="118">
        <f>1328.47*0.02</f>
        <v>26.569400000000002</v>
      </c>
      <c r="J72" s="118"/>
      <c r="K72" s="118"/>
      <c r="L72" s="118">
        <f>1328.47*0.03</f>
        <v>39.854100000000003</v>
      </c>
      <c r="M72" s="118"/>
      <c r="N72" s="118"/>
      <c r="O72" s="133">
        <f t="shared" si="8"/>
        <v>1103.5941</v>
      </c>
      <c r="P72" s="110"/>
      <c r="Q72" s="110"/>
    </row>
    <row r="73" spans="1:17" x14ac:dyDescent="0.2">
      <c r="A73" s="151" t="s">
        <v>273</v>
      </c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3"/>
    </row>
    <row r="74" spans="1:17" x14ac:dyDescent="0.2">
      <c r="A74" s="148" t="s">
        <v>101</v>
      </c>
      <c r="B74" s="148"/>
      <c r="C74" s="148" t="s">
        <v>257</v>
      </c>
      <c r="D74" s="148"/>
      <c r="E74" s="148"/>
      <c r="F74" s="148" t="s">
        <v>142</v>
      </c>
      <c r="G74" s="148"/>
      <c r="H74" s="148"/>
      <c r="I74" s="148" t="s">
        <v>261</v>
      </c>
      <c r="J74" s="148"/>
      <c r="K74" s="148"/>
      <c r="L74" s="110"/>
      <c r="M74" s="110"/>
      <c r="N74" s="110"/>
      <c r="O74" s="110"/>
      <c r="P74" s="110"/>
      <c r="Q74" s="110"/>
    </row>
    <row r="75" spans="1:17" x14ac:dyDescent="0.2">
      <c r="A75" s="137" t="s">
        <v>11</v>
      </c>
      <c r="B75" s="138"/>
      <c r="C75" s="110">
        <v>6180</v>
      </c>
      <c r="D75" s="110"/>
      <c r="E75" s="110"/>
      <c r="F75" s="110">
        <v>890</v>
      </c>
      <c r="G75" s="110"/>
      <c r="H75" s="110"/>
      <c r="I75" s="110">
        <v>1646</v>
      </c>
      <c r="J75" s="110"/>
      <c r="K75" s="110"/>
      <c r="L75" s="110">
        <f>SUM(C75:K75)</f>
        <v>8716</v>
      </c>
      <c r="M75" s="110"/>
      <c r="N75" s="110"/>
      <c r="O75" s="110"/>
      <c r="P75" s="110"/>
      <c r="Q75" s="110"/>
    </row>
    <row r="76" spans="1:17" x14ac:dyDescent="0.2">
      <c r="A76" s="137" t="s">
        <v>15</v>
      </c>
      <c r="B76" s="138"/>
      <c r="C76" s="110">
        <v>5240</v>
      </c>
      <c r="D76" s="110"/>
      <c r="E76" s="110"/>
      <c r="F76" s="110">
        <v>740</v>
      </c>
      <c r="G76" s="110"/>
      <c r="H76" s="110"/>
      <c r="I76" s="110">
        <v>1398</v>
      </c>
      <c r="J76" s="110"/>
      <c r="K76" s="110"/>
      <c r="L76" s="110">
        <f t="shared" ref="L76:L78" si="9">SUM(C76:K76)</f>
        <v>7378</v>
      </c>
      <c r="M76" s="110"/>
      <c r="N76" s="110"/>
      <c r="O76" s="110"/>
      <c r="P76" s="110"/>
      <c r="Q76" s="110"/>
    </row>
    <row r="77" spans="1:17" x14ac:dyDescent="0.2">
      <c r="A77" s="140" t="s">
        <v>96</v>
      </c>
      <c r="B77" s="141"/>
      <c r="C77" s="110">
        <v>8220</v>
      </c>
      <c r="D77" s="110"/>
      <c r="E77" s="110"/>
      <c r="F77" s="110">
        <v>1570</v>
      </c>
      <c r="G77" s="110"/>
      <c r="H77" s="110"/>
      <c r="I77" s="110">
        <v>3490</v>
      </c>
      <c r="J77" s="110"/>
      <c r="K77" s="110"/>
      <c r="L77" s="110">
        <f t="shared" si="9"/>
        <v>13280</v>
      </c>
      <c r="M77" s="110"/>
      <c r="N77" s="110"/>
      <c r="O77" s="110"/>
      <c r="P77" s="110"/>
      <c r="Q77" s="110"/>
    </row>
    <row r="78" spans="1:17" x14ac:dyDescent="0.2">
      <c r="A78" s="137" t="s">
        <v>93</v>
      </c>
      <c r="B78" s="138"/>
      <c r="C78" s="110">
        <v>6570</v>
      </c>
      <c r="D78" s="110"/>
      <c r="E78" s="110"/>
      <c r="F78" s="110">
        <v>3660</v>
      </c>
      <c r="G78" s="110"/>
      <c r="H78" s="110"/>
      <c r="I78" s="110">
        <v>3365</v>
      </c>
      <c r="J78" s="110"/>
      <c r="K78" s="110"/>
      <c r="L78" s="110">
        <f t="shared" si="9"/>
        <v>13595</v>
      </c>
      <c r="M78" s="110"/>
      <c r="N78" s="110"/>
      <c r="O78" s="110"/>
      <c r="P78" s="110"/>
      <c r="Q78" s="110"/>
    </row>
    <row r="79" spans="1:17" x14ac:dyDescent="0.2">
      <c r="A79" s="101"/>
      <c r="B79" s="104"/>
      <c r="C79" s="150">
        <f>SUM(C75:E78)</f>
        <v>26210</v>
      </c>
      <c r="D79" s="150"/>
      <c r="E79" s="150"/>
      <c r="F79" s="150">
        <f>SUM(F75:H78)</f>
        <v>6860</v>
      </c>
      <c r="G79" s="150"/>
      <c r="H79" s="150"/>
      <c r="I79" s="150">
        <f>SUM(I75:K78)</f>
        <v>9899</v>
      </c>
      <c r="J79" s="150"/>
      <c r="K79" s="150"/>
      <c r="L79" s="150">
        <f>SUM(C79:K79)</f>
        <v>42969</v>
      </c>
      <c r="M79" s="150"/>
      <c r="N79" s="150"/>
      <c r="O79" s="103"/>
      <c r="P79" s="103"/>
      <c r="Q79" s="102"/>
    </row>
    <row r="80" spans="1:17" x14ac:dyDescent="0.2">
      <c r="A80" s="108" t="s">
        <v>274</v>
      </c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09"/>
    </row>
    <row r="81" spans="1:17" x14ac:dyDescent="0.2">
      <c r="A81" s="148" t="s">
        <v>101</v>
      </c>
      <c r="B81" s="148"/>
      <c r="C81" s="148" t="s">
        <v>257</v>
      </c>
      <c r="D81" s="148"/>
      <c r="E81" s="148"/>
      <c r="F81" s="148" t="s">
        <v>142</v>
      </c>
      <c r="G81" s="148"/>
      <c r="H81" s="148"/>
      <c r="I81" s="148" t="s">
        <v>142</v>
      </c>
      <c r="J81" s="148"/>
      <c r="K81" s="148"/>
      <c r="L81" s="148" t="s">
        <v>261</v>
      </c>
      <c r="M81" s="148"/>
      <c r="N81" s="148"/>
      <c r="O81" s="148" t="s">
        <v>260</v>
      </c>
      <c r="P81" s="148"/>
      <c r="Q81" s="148"/>
    </row>
    <row r="82" spans="1:17" x14ac:dyDescent="0.2">
      <c r="A82" s="137" t="s">
        <v>11</v>
      </c>
      <c r="B82" s="138"/>
      <c r="C82" s="118">
        <v>22117.83</v>
      </c>
      <c r="D82" s="118"/>
      <c r="E82" s="118"/>
      <c r="F82" s="114">
        <f>C82+I82</f>
        <v>22570.417400000002</v>
      </c>
      <c r="G82" s="150"/>
      <c r="H82" s="109"/>
      <c r="I82" s="133">
        <f>22629.37*0.02</f>
        <v>452.5874</v>
      </c>
      <c r="J82" s="110"/>
      <c r="K82" s="110"/>
      <c r="L82" s="133">
        <f>22629.37*0.03</f>
        <v>678.88109999999995</v>
      </c>
      <c r="M82" s="110"/>
      <c r="N82" s="110"/>
      <c r="O82" s="133">
        <f>L82+C82</f>
        <v>22796.7111</v>
      </c>
      <c r="P82" s="110"/>
      <c r="Q82" s="110"/>
    </row>
    <row r="83" spans="1:17" x14ac:dyDescent="0.2">
      <c r="A83" s="137" t="s">
        <v>15</v>
      </c>
      <c r="B83" s="138"/>
      <c r="C83" s="118">
        <v>22614.94</v>
      </c>
      <c r="D83" s="118"/>
      <c r="E83" s="118"/>
      <c r="F83" s="114">
        <f>C83+I83</f>
        <v>23069.9254</v>
      </c>
      <c r="G83" s="150"/>
      <c r="H83" s="109"/>
      <c r="I83" s="118">
        <f>22749.27*0.02</f>
        <v>454.98540000000003</v>
      </c>
      <c r="J83" s="118"/>
      <c r="K83" s="118"/>
      <c r="L83" s="118">
        <f>22749.27*0.03</f>
        <v>682.47810000000004</v>
      </c>
      <c r="M83" s="118"/>
      <c r="N83" s="118"/>
      <c r="O83" s="133">
        <f t="shared" ref="O83:O85" si="10">L83+C83</f>
        <v>23297.418099999999</v>
      </c>
      <c r="P83" s="110"/>
      <c r="Q83" s="110"/>
    </row>
    <row r="84" spans="1:17" x14ac:dyDescent="0.2">
      <c r="A84" s="140" t="s">
        <v>96</v>
      </c>
      <c r="B84" s="141"/>
      <c r="C84" s="118">
        <v>4813.83</v>
      </c>
      <c r="D84" s="118"/>
      <c r="E84" s="118"/>
      <c r="F84" s="114">
        <f>C84+I84</f>
        <v>4917.7654000000002</v>
      </c>
      <c r="G84" s="150"/>
      <c r="H84" s="109"/>
      <c r="I84" s="118">
        <f>5196.77*0.02</f>
        <v>103.93540000000002</v>
      </c>
      <c r="J84" s="118"/>
      <c r="K84" s="118"/>
      <c r="L84" s="118">
        <f>5196.77*0.03</f>
        <v>155.90309999999999</v>
      </c>
      <c r="M84" s="118"/>
      <c r="N84" s="118"/>
      <c r="O84" s="133">
        <f t="shared" si="10"/>
        <v>4969.7330999999995</v>
      </c>
      <c r="P84" s="110"/>
      <c r="Q84" s="110"/>
    </row>
    <row r="85" spans="1:17" x14ac:dyDescent="0.2">
      <c r="A85" s="137" t="s">
        <v>93</v>
      </c>
      <c r="B85" s="138"/>
      <c r="C85" s="118">
        <v>1045.8399999999999</v>
      </c>
      <c r="D85" s="118"/>
      <c r="E85" s="118"/>
      <c r="F85" s="114">
        <f>C85+I85</f>
        <v>1072.4094</v>
      </c>
      <c r="G85" s="150"/>
      <c r="H85" s="109"/>
      <c r="I85" s="118">
        <f>1328.47*0.02</f>
        <v>26.569400000000002</v>
      </c>
      <c r="J85" s="118"/>
      <c r="K85" s="118"/>
      <c r="L85" s="118">
        <f>1328.47*0.03</f>
        <v>39.854100000000003</v>
      </c>
      <c r="M85" s="118"/>
      <c r="N85" s="118"/>
      <c r="O85" s="133">
        <f t="shared" si="10"/>
        <v>1085.6940999999999</v>
      </c>
      <c r="P85" s="110"/>
      <c r="Q85" s="110"/>
    </row>
    <row r="86" spans="1:17" x14ac:dyDescent="0.2">
      <c r="A86" s="151" t="s">
        <v>275</v>
      </c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3"/>
    </row>
    <row r="87" spans="1:17" x14ac:dyDescent="0.2">
      <c r="A87" s="148" t="s">
        <v>101</v>
      </c>
      <c r="B87" s="148"/>
      <c r="C87" s="148" t="s">
        <v>257</v>
      </c>
      <c r="D87" s="148"/>
      <c r="E87" s="148"/>
      <c r="F87" s="148" t="s">
        <v>142</v>
      </c>
      <c r="G87" s="148"/>
      <c r="H87" s="148"/>
      <c r="I87" s="148" t="s">
        <v>261</v>
      </c>
      <c r="J87" s="148"/>
      <c r="K87" s="148"/>
      <c r="L87" s="110"/>
      <c r="M87" s="110"/>
      <c r="N87" s="110"/>
      <c r="O87" s="110"/>
      <c r="P87" s="110"/>
      <c r="Q87" s="110"/>
    </row>
    <row r="88" spans="1:17" x14ac:dyDescent="0.2">
      <c r="A88" s="137" t="s">
        <v>11</v>
      </c>
      <c r="B88" s="138"/>
      <c r="C88" s="110">
        <v>6020</v>
      </c>
      <c r="D88" s="110"/>
      <c r="E88" s="110"/>
      <c r="F88" s="110">
        <v>860</v>
      </c>
      <c r="G88" s="110"/>
      <c r="H88" s="110"/>
      <c r="I88" s="110">
        <v>1607</v>
      </c>
      <c r="J88" s="110"/>
      <c r="K88" s="110"/>
      <c r="L88" s="110">
        <f>SUM(C88:K88)</f>
        <v>8487</v>
      </c>
      <c r="M88" s="110"/>
      <c r="N88" s="110"/>
      <c r="O88" s="110"/>
      <c r="P88" s="110"/>
      <c r="Q88" s="110"/>
    </row>
    <row r="89" spans="1:17" x14ac:dyDescent="0.2">
      <c r="A89" s="137" t="s">
        <v>15</v>
      </c>
      <c r="B89" s="138"/>
      <c r="C89" s="110">
        <v>5120</v>
      </c>
      <c r="D89" s="110"/>
      <c r="E89" s="110"/>
      <c r="F89" s="110">
        <v>720</v>
      </c>
      <c r="G89" s="110"/>
      <c r="H89" s="110"/>
      <c r="I89" s="110">
        <v>1367</v>
      </c>
      <c r="J89" s="110"/>
      <c r="K89" s="110"/>
      <c r="L89" s="110">
        <f t="shared" ref="L89:L91" si="11">SUM(C89:K89)</f>
        <v>7207</v>
      </c>
      <c r="M89" s="110"/>
      <c r="N89" s="110"/>
      <c r="O89" s="110"/>
      <c r="P89" s="110"/>
      <c r="Q89" s="110"/>
    </row>
    <row r="90" spans="1:17" x14ac:dyDescent="0.2">
      <c r="A90" s="140" t="s">
        <v>96</v>
      </c>
      <c r="B90" s="141"/>
      <c r="C90" s="110">
        <v>7980</v>
      </c>
      <c r="D90" s="110"/>
      <c r="E90" s="110"/>
      <c r="F90" s="110">
        <v>1490</v>
      </c>
      <c r="G90" s="110"/>
      <c r="H90" s="110"/>
      <c r="I90" s="110">
        <v>3388</v>
      </c>
      <c r="J90" s="110"/>
      <c r="K90" s="110"/>
      <c r="L90" s="110">
        <f t="shared" si="11"/>
        <v>12858</v>
      </c>
      <c r="M90" s="110"/>
      <c r="N90" s="110"/>
      <c r="O90" s="110"/>
      <c r="P90" s="110"/>
      <c r="Q90" s="110"/>
    </row>
    <row r="91" spans="1:17" x14ac:dyDescent="0.2">
      <c r="A91" s="137" t="s">
        <v>93</v>
      </c>
      <c r="B91" s="138"/>
      <c r="C91" s="110">
        <v>6280</v>
      </c>
      <c r="D91" s="110"/>
      <c r="E91" s="110"/>
      <c r="F91" s="110">
        <v>3500</v>
      </c>
      <c r="G91" s="110"/>
      <c r="H91" s="110"/>
      <c r="I91" s="110">
        <v>3255</v>
      </c>
      <c r="J91" s="110"/>
      <c r="K91" s="110"/>
      <c r="L91" s="110">
        <f t="shared" si="11"/>
        <v>13035</v>
      </c>
      <c r="M91" s="110"/>
      <c r="N91" s="110"/>
      <c r="O91" s="110"/>
      <c r="P91" s="110"/>
      <c r="Q91" s="110"/>
    </row>
    <row r="92" spans="1:17" x14ac:dyDescent="0.2">
      <c r="A92" s="101"/>
      <c r="B92" s="104"/>
      <c r="C92" s="150">
        <f>SUM(C88:E91)</f>
        <v>25400</v>
      </c>
      <c r="D92" s="150"/>
      <c r="E92" s="150"/>
      <c r="F92" s="150">
        <f>SUM(F88:H91)</f>
        <v>6570</v>
      </c>
      <c r="G92" s="150"/>
      <c r="H92" s="150"/>
      <c r="I92" s="150">
        <f>SUM(I88:K91)</f>
        <v>9617</v>
      </c>
      <c r="J92" s="150"/>
      <c r="K92" s="150"/>
      <c r="L92" s="150">
        <f>SUM(C92:K92)</f>
        <v>41587</v>
      </c>
      <c r="M92" s="150"/>
      <c r="N92" s="150"/>
      <c r="O92" s="103"/>
      <c r="P92" s="103"/>
      <c r="Q92" s="102"/>
    </row>
    <row r="93" spans="1:17" x14ac:dyDescent="0.2">
      <c r="A93" s="108" t="s">
        <v>276</v>
      </c>
      <c r="B93" s="150"/>
      <c r="C93" s="150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09"/>
    </row>
    <row r="94" spans="1:17" x14ac:dyDescent="0.2">
      <c r="A94" s="148" t="s">
        <v>101</v>
      </c>
      <c r="B94" s="148"/>
      <c r="C94" s="148" t="s">
        <v>257</v>
      </c>
      <c r="D94" s="148"/>
      <c r="E94" s="148"/>
      <c r="F94" s="148" t="s">
        <v>142</v>
      </c>
      <c r="G94" s="148"/>
      <c r="H94" s="148"/>
      <c r="I94" s="148" t="s">
        <v>142</v>
      </c>
      <c r="J94" s="148"/>
      <c r="K94" s="148"/>
      <c r="L94" s="148" t="s">
        <v>261</v>
      </c>
      <c r="M94" s="148"/>
      <c r="N94" s="148"/>
      <c r="O94" s="148" t="s">
        <v>260</v>
      </c>
      <c r="P94" s="148"/>
      <c r="Q94" s="148"/>
    </row>
    <row r="95" spans="1:17" x14ac:dyDescent="0.2">
      <c r="A95" s="137" t="s">
        <v>11</v>
      </c>
      <c r="B95" s="138"/>
      <c r="C95" s="118">
        <v>21678.03</v>
      </c>
      <c r="D95" s="118"/>
      <c r="E95" s="118"/>
      <c r="F95" s="114">
        <f>C95+I95</f>
        <v>22130.617399999999</v>
      </c>
      <c r="G95" s="150"/>
      <c r="H95" s="109"/>
      <c r="I95" s="133">
        <f>22629.37*0.02</f>
        <v>452.5874</v>
      </c>
      <c r="J95" s="110"/>
      <c r="K95" s="110"/>
      <c r="L95" s="133">
        <f>22629.37*0.03</f>
        <v>678.88109999999995</v>
      </c>
      <c r="M95" s="110"/>
      <c r="N95" s="110"/>
      <c r="O95" s="133">
        <f>L95+C95</f>
        <v>22356.911099999998</v>
      </c>
      <c r="P95" s="110"/>
      <c r="Q95" s="110"/>
    </row>
    <row r="96" spans="1:17" x14ac:dyDescent="0.2">
      <c r="A96" s="137" t="s">
        <v>15</v>
      </c>
      <c r="B96" s="138"/>
      <c r="C96" s="118">
        <v>22315.14</v>
      </c>
      <c r="D96" s="118"/>
      <c r="E96" s="118"/>
      <c r="F96" s="114">
        <f>C96+I96</f>
        <v>22770.125400000001</v>
      </c>
      <c r="G96" s="150"/>
      <c r="H96" s="109"/>
      <c r="I96" s="118">
        <f>22749.27*0.02</f>
        <v>454.98540000000003</v>
      </c>
      <c r="J96" s="118"/>
      <c r="K96" s="118"/>
      <c r="L96" s="118">
        <f>22749.27*0.03</f>
        <v>682.47810000000004</v>
      </c>
      <c r="M96" s="118"/>
      <c r="N96" s="118"/>
      <c r="O96" s="133">
        <f t="shared" ref="O96:O98" si="12">L96+C96</f>
        <v>22997.6181</v>
      </c>
      <c r="P96" s="110"/>
      <c r="Q96" s="110"/>
    </row>
    <row r="97" spans="1:17" x14ac:dyDescent="0.2">
      <c r="A97" s="140" t="s">
        <v>96</v>
      </c>
      <c r="B97" s="141"/>
      <c r="C97" s="118">
        <v>4414.03</v>
      </c>
      <c r="D97" s="118"/>
      <c r="E97" s="118"/>
      <c r="F97" s="114">
        <f>C97+I97</f>
        <v>4517.9654</v>
      </c>
      <c r="G97" s="150"/>
      <c r="H97" s="109"/>
      <c r="I97" s="118">
        <f>5196.77*0.02</f>
        <v>103.93540000000002</v>
      </c>
      <c r="J97" s="118"/>
      <c r="K97" s="118"/>
      <c r="L97" s="118">
        <f>5196.77*0.03</f>
        <v>155.90309999999999</v>
      </c>
      <c r="M97" s="118"/>
      <c r="N97" s="118"/>
      <c r="O97" s="133">
        <f t="shared" si="12"/>
        <v>4569.9331000000002</v>
      </c>
      <c r="P97" s="110"/>
      <c r="Q97" s="110"/>
    </row>
    <row r="98" spans="1:17" x14ac:dyDescent="0.2">
      <c r="A98" s="137" t="s">
        <v>93</v>
      </c>
      <c r="B98" s="138"/>
      <c r="C98" s="118">
        <v>926.04</v>
      </c>
      <c r="D98" s="118"/>
      <c r="E98" s="118"/>
      <c r="F98" s="114">
        <f>C98+I98</f>
        <v>952.60939999999994</v>
      </c>
      <c r="G98" s="150"/>
      <c r="H98" s="109"/>
      <c r="I98" s="118">
        <f>1328.47*0.02</f>
        <v>26.569400000000002</v>
      </c>
      <c r="J98" s="118"/>
      <c r="K98" s="118"/>
      <c r="L98" s="118">
        <f>1328.47*0.03</f>
        <v>39.854100000000003</v>
      </c>
      <c r="M98" s="118"/>
      <c r="N98" s="118"/>
      <c r="O98" s="133">
        <f t="shared" si="12"/>
        <v>965.89409999999998</v>
      </c>
      <c r="P98" s="110"/>
      <c r="Q98" s="110"/>
    </row>
    <row r="99" spans="1:17" x14ac:dyDescent="0.2">
      <c r="A99" s="151" t="s">
        <v>277</v>
      </c>
      <c r="B99" s="152"/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3"/>
    </row>
    <row r="100" spans="1:17" x14ac:dyDescent="0.2">
      <c r="A100" s="148" t="s">
        <v>101</v>
      </c>
      <c r="B100" s="148"/>
      <c r="C100" s="148" t="s">
        <v>257</v>
      </c>
      <c r="D100" s="148"/>
      <c r="E100" s="148"/>
      <c r="F100" s="148" t="s">
        <v>142</v>
      </c>
      <c r="G100" s="148"/>
      <c r="H100" s="148"/>
      <c r="I100" s="148" t="s">
        <v>261</v>
      </c>
      <c r="J100" s="148"/>
      <c r="K100" s="148"/>
      <c r="L100" s="110"/>
      <c r="M100" s="110"/>
      <c r="N100" s="110"/>
      <c r="O100" s="110"/>
      <c r="P100" s="110"/>
      <c r="Q100" s="110"/>
    </row>
    <row r="101" spans="1:17" x14ac:dyDescent="0.2">
      <c r="A101" s="137" t="s">
        <v>11</v>
      </c>
      <c r="B101" s="138"/>
      <c r="C101" s="110">
        <v>6020</v>
      </c>
      <c r="D101" s="110"/>
      <c r="E101" s="110"/>
      <c r="F101" s="110">
        <v>860</v>
      </c>
      <c r="G101" s="110"/>
      <c r="H101" s="110"/>
      <c r="I101" s="110">
        <v>1607</v>
      </c>
      <c r="J101" s="110"/>
      <c r="K101" s="110"/>
      <c r="L101" s="110">
        <f>SUM(C101:K101)</f>
        <v>8487</v>
      </c>
      <c r="M101" s="110"/>
      <c r="N101" s="110"/>
      <c r="O101" s="110"/>
      <c r="P101" s="110"/>
      <c r="Q101" s="110"/>
    </row>
    <row r="102" spans="1:17" x14ac:dyDescent="0.2">
      <c r="A102" s="137" t="s">
        <v>15</v>
      </c>
      <c r="B102" s="138"/>
      <c r="C102" s="110">
        <v>5120</v>
      </c>
      <c r="D102" s="110"/>
      <c r="E102" s="110"/>
      <c r="F102" s="110">
        <v>720</v>
      </c>
      <c r="G102" s="110"/>
      <c r="H102" s="110"/>
      <c r="I102" s="110">
        <v>1367</v>
      </c>
      <c r="J102" s="110"/>
      <c r="K102" s="110"/>
      <c r="L102" s="110">
        <f t="shared" ref="L102:L104" si="13">SUM(C102:K102)</f>
        <v>7207</v>
      </c>
      <c r="M102" s="110"/>
      <c r="N102" s="110"/>
      <c r="O102" s="110"/>
      <c r="P102" s="110"/>
      <c r="Q102" s="110"/>
    </row>
    <row r="103" spans="1:17" x14ac:dyDescent="0.2">
      <c r="A103" s="140" t="s">
        <v>96</v>
      </c>
      <c r="B103" s="141"/>
      <c r="C103" s="110">
        <v>7980</v>
      </c>
      <c r="D103" s="110"/>
      <c r="E103" s="110"/>
      <c r="F103" s="110">
        <v>1490</v>
      </c>
      <c r="G103" s="110"/>
      <c r="H103" s="110"/>
      <c r="I103" s="110">
        <v>3388</v>
      </c>
      <c r="J103" s="110"/>
      <c r="K103" s="110"/>
      <c r="L103" s="110">
        <f t="shared" si="13"/>
        <v>12858</v>
      </c>
      <c r="M103" s="110"/>
      <c r="N103" s="110"/>
      <c r="O103" s="110"/>
      <c r="P103" s="110"/>
      <c r="Q103" s="110"/>
    </row>
    <row r="104" spans="1:17" x14ac:dyDescent="0.2">
      <c r="A104" s="137" t="s">
        <v>93</v>
      </c>
      <c r="B104" s="138"/>
      <c r="C104" s="110">
        <v>6280</v>
      </c>
      <c r="D104" s="110"/>
      <c r="E104" s="110"/>
      <c r="F104" s="110">
        <v>3500</v>
      </c>
      <c r="G104" s="110"/>
      <c r="H104" s="110"/>
      <c r="I104" s="110">
        <v>3255</v>
      </c>
      <c r="J104" s="110"/>
      <c r="K104" s="110"/>
      <c r="L104" s="110">
        <f t="shared" si="13"/>
        <v>13035</v>
      </c>
      <c r="M104" s="110"/>
      <c r="N104" s="110"/>
      <c r="O104" s="110"/>
      <c r="P104" s="110"/>
      <c r="Q104" s="110"/>
    </row>
    <row r="105" spans="1:17" x14ac:dyDescent="0.2">
      <c r="A105" s="101"/>
      <c r="B105" s="104"/>
      <c r="C105" s="150">
        <f>SUM(C101:E104)</f>
        <v>25400</v>
      </c>
      <c r="D105" s="150"/>
      <c r="E105" s="150"/>
      <c r="F105" s="150">
        <f>SUM(F101:H104)</f>
        <v>6570</v>
      </c>
      <c r="G105" s="150"/>
      <c r="H105" s="150"/>
      <c r="I105" s="150">
        <f>SUM(I101:K104)</f>
        <v>9617</v>
      </c>
      <c r="J105" s="150"/>
      <c r="K105" s="150"/>
      <c r="L105" s="150">
        <f>SUM(C105:K105)</f>
        <v>41587</v>
      </c>
      <c r="M105" s="150"/>
      <c r="N105" s="150"/>
      <c r="O105" s="103"/>
      <c r="P105" s="103"/>
      <c r="Q105" s="102"/>
    </row>
    <row r="106" spans="1:17" x14ac:dyDescent="0.2">
      <c r="A106" s="108" t="s">
        <v>278</v>
      </c>
      <c r="B106" s="150"/>
      <c r="C106" s="150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09"/>
    </row>
    <row r="107" spans="1:17" x14ac:dyDescent="0.2">
      <c r="A107" s="148" t="s">
        <v>101</v>
      </c>
      <c r="B107" s="148"/>
      <c r="C107" s="148" t="s">
        <v>257</v>
      </c>
      <c r="D107" s="148"/>
      <c r="E107" s="148"/>
      <c r="F107" s="148" t="s">
        <v>142</v>
      </c>
      <c r="G107" s="148"/>
      <c r="H107" s="148"/>
      <c r="I107" s="148" t="s">
        <v>142</v>
      </c>
      <c r="J107" s="148"/>
      <c r="K107" s="148"/>
      <c r="L107" s="148" t="s">
        <v>261</v>
      </c>
      <c r="M107" s="148"/>
      <c r="N107" s="148"/>
      <c r="O107" s="148" t="s">
        <v>260</v>
      </c>
      <c r="P107" s="148"/>
      <c r="Q107" s="148"/>
    </row>
    <row r="108" spans="1:17" x14ac:dyDescent="0.2">
      <c r="A108" s="137" t="s">
        <v>11</v>
      </c>
      <c r="B108" s="138"/>
      <c r="C108" s="118">
        <v>21262.14</v>
      </c>
      <c r="D108" s="118"/>
      <c r="E108" s="118"/>
      <c r="F108" s="114">
        <f>C108+I108</f>
        <v>21714.7274</v>
      </c>
      <c r="G108" s="150"/>
      <c r="H108" s="109"/>
      <c r="I108" s="133">
        <f>22629.37*0.02</f>
        <v>452.5874</v>
      </c>
      <c r="J108" s="110"/>
      <c r="K108" s="110"/>
      <c r="L108" s="133">
        <f>22629.37*0.03</f>
        <v>678.88109999999995</v>
      </c>
      <c r="M108" s="110"/>
      <c r="N108" s="110"/>
      <c r="O108" s="133">
        <f>L108+C108</f>
        <v>21941.021099999998</v>
      </c>
      <c r="P108" s="110"/>
      <c r="Q108" s="110"/>
    </row>
    <row r="109" spans="1:17" x14ac:dyDescent="0.2">
      <c r="A109" s="137" t="s">
        <v>15</v>
      </c>
      <c r="B109" s="138"/>
      <c r="C109" s="118">
        <v>21959.84</v>
      </c>
      <c r="D109" s="118"/>
      <c r="E109" s="118"/>
      <c r="F109" s="114">
        <f>C109+I109</f>
        <v>22414.825400000002</v>
      </c>
      <c r="G109" s="150"/>
      <c r="H109" s="109"/>
      <c r="I109" s="118">
        <f>22749.27*0.02</f>
        <v>454.98540000000003</v>
      </c>
      <c r="J109" s="118"/>
      <c r="K109" s="118"/>
      <c r="L109" s="118">
        <f>22749.27*0.03</f>
        <v>682.47810000000004</v>
      </c>
      <c r="M109" s="118"/>
      <c r="N109" s="118"/>
      <c r="O109" s="133">
        <f t="shared" ref="O109:O111" si="14">L109+C109</f>
        <v>22642.3181</v>
      </c>
      <c r="P109" s="110"/>
      <c r="Q109" s="110"/>
    </row>
    <row r="110" spans="1:17" x14ac:dyDescent="0.2">
      <c r="A110" s="140" t="s">
        <v>96</v>
      </c>
      <c r="B110" s="141"/>
      <c r="C110" s="118">
        <v>4314.9399999999996</v>
      </c>
      <c r="D110" s="118"/>
      <c r="E110" s="118"/>
      <c r="F110" s="114">
        <f>C110+I110</f>
        <v>4418.8753999999999</v>
      </c>
      <c r="G110" s="150"/>
      <c r="H110" s="109"/>
      <c r="I110" s="118">
        <f>5196.77*0.02</f>
        <v>103.93540000000002</v>
      </c>
      <c r="J110" s="118"/>
      <c r="K110" s="118"/>
      <c r="L110" s="118">
        <f>5196.77*0.03</f>
        <v>155.90309999999999</v>
      </c>
      <c r="M110" s="118"/>
      <c r="N110" s="118"/>
      <c r="O110" s="133">
        <f t="shared" si="14"/>
        <v>4470.8431</v>
      </c>
      <c r="P110" s="110"/>
      <c r="Q110" s="110"/>
    </row>
    <row r="111" spans="1:17" x14ac:dyDescent="0.2">
      <c r="A111" s="137" t="s">
        <v>93</v>
      </c>
      <c r="B111" s="138"/>
      <c r="C111" s="118">
        <v>860.14</v>
      </c>
      <c r="D111" s="118"/>
      <c r="E111" s="118"/>
      <c r="F111" s="114">
        <f>C111+I111</f>
        <v>886.70939999999996</v>
      </c>
      <c r="G111" s="150"/>
      <c r="H111" s="109"/>
      <c r="I111" s="118">
        <f>1328.47*0.02</f>
        <v>26.569400000000002</v>
      </c>
      <c r="J111" s="118"/>
      <c r="K111" s="118"/>
      <c r="L111" s="118">
        <f>1328.47*0.03</f>
        <v>39.854100000000003</v>
      </c>
      <c r="M111" s="118"/>
      <c r="N111" s="118"/>
      <c r="O111" s="133">
        <f t="shared" si="14"/>
        <v>899.9941</v>
      </c>
      <c r="P111" s="110"/>
      <c r="Q111" s="110"/>
    </row>
    <row r="112" spans="1:17" x14ac:dyDescent="0.2">
      <c r="A112" s="151" t="s">
        <v>279</v>
      </c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  <c r="Q112" s="153"/>
    </row>
    <row r="113" spans="1:17" x14ac:dyDescent="0.2">
      <c r="A113" s="148" t="s">
        <v>101</v>
      </c>
      <c r="B113" s="148"/>
      <c r="C113" s="148" t="s">
        <v>257</v>
      </c>
      <c r="D113" s="148"/>
      <c r="E113" s="148"/>
      <c r="F113" s="148" t="s">
        <v>142</v>
      </c>
      <c r="G113" s="148"/>
      <c r="H113" s="148"/>
      <c r="I113" s="148" t="s">
        <v>261</v>
      </c>
      <c r="J113" s="148"/>
      <c r="K113" s="148"/>
      <c r="L113" s="110"/>
      <c r="M113" s="110"/>
      <c r="N113" s="110"/>
      <c r="O113" s="110"/>
      <c r="P113" s="110"/>
      <c r="Q113" s="110"/>
    </row>
    <row r="114" spans="1:17" x14ac:dyDescent="0.2">
      <c r="A114" s="137" t="s">
        <v>11</v>
      </c>
      <c r="B114" s="138"/>
      <c r="C114" s="110">
        <v>5730</v>
      </c>
      <c r="D114" s="110"/>
      <c r="E114" s="110"/>
      <c r="F114" s="110">
        <v>820</v>
      </c>
      <c r="G114" s="110"/>
      <c r="H114" s="110"/>
      <c r="I114" s="110">
        <v>1515</v>
      </c>
      <c r="J114" s="110"/>
      <c r="K114" s="110"/>
      <c r="L114" s="110">
        <f>SUM(C114:K114)</f>
        <v>8065</v>
      </c>
      <c r="M114" s="110"/>
      <c r="N114" s="110"/>
      <c r="O114" s="110"/>
      <c r="P114" s="110"/>
      <c r="Q114" s="110"/>
    </row>
    <row r="115" spans="1:17" x14ac:dyDescent="0.2">
      <c r="A115" s="137" t="s">
        <v>15</v>
      </c>
      <c r="B115" s="138"/>
      <c r="C115" s="110">
        <v>4840</v>
      </c>
      <c r="D115" s="110"/>
      <c r="E115" s="110"/>
      <c r="F115" s="110">
        <v>670</v>
      </c>
      <c r="G115" s="110"/>
      <c r="H115" s="110"/>
      <c r="I115" s="110">
        <v>1283</v>
      </c>
      <c r="J115" s="110"/>
      <c r="K115" s="110"/>
      <c r="L115" s="110">
        <f t="shared" ref="L115:L117" si="15">SUM(C115:K115)</f>
        <v>6793</v>
      </c>
      <c r="M115" s="110"/>
      <c r="N115" s="110"/>
      <c r="O115" s="110"/>
      <c r="P115" s="110"/>
      <c r="Q115" s="110"/>
    </row>
    <row r="116" spans="1:17" x14ac:dyDescent="0.2">
      <c r="A116" s="140" t="s">
        <v>96</v>
      </c>
      <c r="B116" s="141"/>
      <c r="C116" s="110">
        <v>7530</v>
      </c>
      <c r="D116" s="110"/>
      <c r="E116" s="110"/>
      <c r="F116" s="110">
        <v>1390</v>
      </c>
      <c r="G116" s="110"/>
      <c r="H116" s="110"/>
      <c r="I116" s="110">
        <v>3200</v>
      </c>
      <c r="J116" s="110"/>
      <c r="K116" s="110"/>
      <c r="L116" s="110">
        <f t="shared" si="15"/>
        <v>12120</v>
      </c>
      <c r="M116" s="110"/>
      <c r="N116" s="110"/>
      <c r="O116" s="110"/>
      <c r="P116" s="110"/>
      <c r="Q116" s="110"/>
    </row>
    <row r="117" spans="1:17" x14ac:dyDescent="0.2">
      <c r="A117" s="137" t="s">
        <v>93</v>
      </c>
      <c r="B117" s="138"/>
      <c r="C117" s="110">
        <v>5980</v>
      </c>
      <c r="D117" s="110"/>
      <c r="E117" s="110"/>
      <c r="F117" s="110">
        <v>3240</v>
      </c>
      <c r="G117" s="110"/>
      <c r="H117" s="110"/>
      <c r="I117" s="110">
        <v>3093</v>
      </c>
      <c r="J117" s="110"/>
      <c r="K117" s="110"/>
      <c r="L117" s="110">
        <f t="shared" si="15"/>
        <v>12313</v>
      </c>
      <c r="M117" s="110"/>
      <c r="N117" s="110"/>
      <c r="O117" s="110"/>
      <c r="P117" s="110"/>
      <c r="Q117" s="110"/>
    </row>
    <row r="118" spans="1:17" x14ac:dyDescent="0.2">
      <c r="A118" s="101"/>
      <c r="B118" s="104"/>
      <c r="C118" s="150">
        <f>SUM(C114:E117)</f>
        <v>24080</v>
      </c>
      <c r="D118" s="150"/>
      <c r="E118" s="150"/>
      <c r="F118" s="150">
        <f>SUM(F114:H117)</f>
        <v>6120</v>
      </c>
      <c r="G118" s="150"/>
      <c r="H118" s="150"/>
      <c r="I118" s="150">
        <f>SUM(I114:K117)</f>
        <v>9091</v>
      </c>
      <c r="J118" s="150"/>
      <c r="K118" s="150"/>
      <c r="L118" s="150">
        <f>SUM(C118:K118)</f>
        <v>39291</v>
      </c>
      <c r="M118" s="150"/>
      <c r="N118" s="150"/>
      <c r="O118" s="103"/>
      <c r="P118" s="103"/>
      <c r="Q118" s="102"/>
    </row>
    <row r="119" spans="1:17" x14ac:dyDescent="0.2">
      <c r="A119" s="108" t="s">
        <v>280</v>
      </c>
      <c r="B119" s="150"/>
      <c r="C119" s="150"/>
      <c r="D119" s="150"/>
      <c r="E119" s="150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09"/>
    </row>
    <row r="120" spans="1:17" x14ac:dyDescent="0.2">
      <c r="A120" s="148" t="s">
        <v>101</v>
      </c>
      <c r="B120" s="148"/>
      <c r="C120" s="148" t="s">
        <v>257</v>
      </c>
      <c r="D120" s="148"/>
      <c r="E120" s="148"/>
      <c r="F120" s="148" t="s">
        <v>142</v>
      </c>
      <c r="G120" s="148"/>
      <c r="H120" s="148"/>
      <c r="I120" s="148" t="s">
        <v>142</v>
      </c>
      <c r="J120" s="148"/>
      <c r="K120" s="148"/>
      <c r="L120" s="148" t="s">
        <v>261</v>
      </c>
      <c r="M120" s="148"/>
      <c r="N120" s="148"/>
      <c r="O120" s="148" t="s">
        <v>260</v>
      </c>
      <c r="P120" s="148"/>
      <c r="Q120" s="148"/>
    </row>
    <row r="121" spans="1:17" x14ac:dyDescent="0.2">
      <c r="A121" s="137" t="s">
        <v>11</v>
      </c>
      <c r="B121" s="138"/>
      <c r="C121" s="118">
        <v>21630.2</v>
      </c>
      <c r="D121" s="118"/>
      <c r="E121" s="118"/>
      <c r="F121" s="114">
        <f>C121+I121</f>
        <v>22082.787400000001</v>
      </c>
      <c r="G121" s="150"/>
      <c r="H121" s="109"/>
      <c r="I121" s="133">
        <f>22629.37*0.02</f>
        <v>452.5874</v>
      </c>
      <c r="J121" s="110"/>
      <c r="K121" s="110"/>
      <c r="L121" s="133">
        <f>22629.37*0.03</f>
        <v>678.88109999999995</v>
      </c>
      <c r="M121" s="110"/>
      <c r="N121" s="110"/>
      <c r="O121" s="133">
        <f>L121+C121</f>
        <v>22309.081099999999</v>
      </c>
      <c r="P121" s="110"/>
      <c r="Q121" s="110"/>
    </row>
    <row r="122" spans="1:17" x14ac:dyDescent="0.2">
      <c r="A122" s="137" t="s">
        <v>15</v>
      </c>
      <c r="B122" s="138"/>
      <c r="C122" s="118">
        <v>22462.11</v>
      </c>
      <c r="D122" s="118"/>
      <c r="E122" s="118"/>
      <c r="F122" s="114">
        <f>C122+I122</f>
        <v>22917.095400000002</v>
      </c>
      <c r="G122" s="150"/>
      <c r="H122" s="109"/>
      <c r="I122" s="118">
        <f>22749.27*0.02</f>
        <v>454.98540000000003</v>
      </c>
      <c r="J122" s="118"/>
      <c r="K122" s="118"/>
      <c r="L122" s="118">
        <f>22749.27*0.03</f>
        <v>682.47810000000004</v>
      </c>
      <c r="M122" s="118"/>
      <c r="N122" s="118"/>
      <c r="O122" s="133">
        <f t="shared" ref="O122:O124" si="16">L122+C122</f>
        <v>23144.588100000001</v>
      </c>
      <c r="P122" s="110"/>
      <c r="Q122" s="110"/>
    </row>
    <row r="123" spans="1:17" x14ac:dyDescent="0.2">
      <c r="A123" s="140" t="s">
        <v>96</v>
      </c>
      <c r="B123" s="141"/>
      <c r="C123" s="118">
        <v>4372.6000000000004</v>
      </c>
      <c r="D123" s="118"/>
      <c r="E123" s="118"/>
      <c r="F123" s="114">
        <f>C123+I123</f>
        <v>4476.5354000000007</v>
      </c>
      <c r="G123" s="150"/>
      <c r="H123" s="109"/>
      <c r="I123" s="118">
        <f>5196.77*0.02</f>
        <v>103.93540000000002</v>
      </c>
      <c r="J123" s="118"/>
      <c r="K123" s="118"/>
      <c r="L123" s="118">
        <f>5196.77*0.03</f>
        <v>155.90309999999999</v>
      </c>
      <c r="M123" s="118"/>
      <c r="N123" s="118"/>
      <c r="O123" s="133">
        <f t="shared" si="16"/>
        <v>4528.5030999999999</v>
      </c>
      <c r="P123" s="110"/>
      <c r="Q123" s="110"/>
    </row>
    <row r="124" spans="1:17" x14ac:dyDescent="0.2">
      <c r="A124" s="137" t="s">
        <v>93</v>
      </c>
      <c r="B124" s="138"/>
      <c r="C124" s="118">
        <v>926.04</v>
      </c>
      <c r="D124" s="118"/>
      <c r="E124" s="118"/>
      <c r="F124" s="114">
        <f>C124+I124</f>
        <v>952.60939999999994</v>
      </c>
      <c r="G124" s="150"/>
      <c r="H124" s="109"/>
      <c r="I124" s="118">
        <f>1328.47*0.02</f>
        <v>26.569400000000002</v>
      </c>
      <c r="J124" s="118"/>
      <c r="K124" s="118"/>
      <c r="L124" s="118">
        <f>1328.47*0.03</f>
        <v>39.854100000000003</v>
      </c>
      <c r="M124" s="118"/>
      <c r="N124" s="118"/>
      <c r="O124" s="133">
        <f t="shared" si="16"/>
        <v>965.89409999999998</v>
      </c>
      <c r="P124" s="110"/>
      <c r="Q124" s="110"/>
    </row>
    <row r="125" spans="1:17" x14ac:dyDescent="0.2">
      <c r="A125" s="151" t="s">
        <v>281</v>
      </c>
      <c r="B125" s="152"/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  <c r="Q125" s="153"/>
    </row>
    <row r="126" spans="1:17" x14ac:dyDescent="0.2">
      <c r="A126" s="148" t="s">
        <v>101</v>
      </c>
      <c r="B126" s="148"/>
      <c r="C126" s="148" t="s">
        <v>257</v>
      </c>
      <c r="D126" s="148"/>
      <c r="E126" s="148"/>
      <c r="F126" s="148" t="s">
        <v>142</v>
      </c>
      <c r="G126" s="148"/>
      <c r="H126" s="148"/>
      <c r="I126" s="148" t="s">
        <v>261</v>
      </c>
      <c r="J126" s="148"/>
      <c r="K126" s="148"/>
      <c r="L126" s="110"/>
      <c r="M126" s="110"/>
      <c r="N126" s="110"/>
      <c r="O126" s="110"/>
      <c r="P126" s="110"/>
      <c r="Q126" s="110"/>
    </row>
    <row r="127" spans="1:17" x14ac:dyDescent="0.2">
      <c r="A127" s="137" t="s">
        <v>11</v>
      </c>
      <c r="B127" s="138"/>
      <c r="C127" s="110">
        <v>5020</v>
      </c>
      <c r="D127" s="110"/>
      <c r="E127" s="110"/>
      <c r="F127" s="110">
        <v>740</v>
      </c>
      <c r="G127" s="110"/>
      <c r="H127" s="110"/>
      <c r="I127" s="110">
        <v>1312</v>
      </c>
      <c r="J127" s="110"/>
      <c r="K127" s="110"/>
      <c r="L127" s="110">
        <f>SUM(C127:K127)</f>
        <v>7072</v>
      </c>
      <c r="M127" s="110"/>
      <c r="N127" s="110"/>
      <c r="O127" s="110"/>
      <c r="P127" s="110"/>
      <c r="Q127" s="110"/>
    </row>
    <row r="128" spans="1:17" x14ac:dyDescent="0.2">
      <c r="A128" s="137" t="s">
        <v>15</v>
      </c>
      <c r="B128" s="138"/>
      <c r="C128" s="110">
        <v>4290</v>
      </c>
      <c r="D128" s="110"/>
      <c r="E128" s="110"/>
      <c r="F128" s="110">
        <v>600</v>
      </c>
      <c r="G128" s="110"/>
      <c r="H128" s="110"/>
      <c r="I128" s="110">
        <v>1120</v>
      </c>
      <c r="J128" s="110"/>
      <c r="K128" s="110"/>
      <c r="L128" s="110">
        <f t="shared" ref="L128:L130" si="17">SUM(C128:K128)</f>
        <v>6010</v>
      </c>
      <c r="M128" s="110"/>
      <c r="N128" s="110"/>
      <c r="O128" s="110"/>
      <c r="P128" s="110"/>
      <c r="Q128" s="110"/>
    </row>
    <row r="129" spans="1:17" x14ac:dyDescent="0.2">
      <c r="A129" s="140" t="s">
        <v>96</v>
      </c>
      <c r="B129" s="141"/>
      <c r="C129" s="110">
        <v>7090</v>
      </c>
      <c r="D129" s="110"/>
      <c r="E129" s="110"/>
      <c r="F129" s="110">
        <v>1320</v>
      </c>
      <c r="G129" s="110"/>
      <c r="H129" s="110"/>
      <c r="I129" s="110">
        <v>3050</v>
      </c>
      <c r="J129" s="110"/>
      <c r="K129" s="110"/>
      <c r="L129" s="110">
        <f t="shared" si="17"/>
        <v>11460</v>
      </c>
      <c r="M129" s="110"/>
      <c r="N129" s="110"/>
      <c r="O129" s="110"/>
      <c r="P129" s="110"/>
      <c r="Q129" s="110"/>
    </row>
    <row r="130" spans="1:17" x14ac:dyDescent="0.2">
      <c r="A130" s="137" t="s">
        <v>93</v>
      </c>
      <c r="B130" s="138"/>
      <c r="C130" s="110">
        <v>5720</v>
      </c>
      <c r="D130" s="110"/>
      <c r="E130" s="110"/>
      <c r="F130" s="110">
        <v>3050</v>
      </c>
      <c r="G130" s="110"/>
      <c r="H130" s="110"/>
      <c r="I130" s="110">
        <v>2985</v>
      </c>
      <c r="J130" s="110"/>
      <c r="K130" s="110"/>
      <c r="L130" s="110">
        <f t="shared" si="17"/>
        <v>11755</v>
      </c>
      <c r="M130" s="110"/>
      <c r="N130" s="110"/>
      <c r="O130" s="110"/>
      <c r="P130" s="110"/>
      <c r="Q130" s="110"/>
    </row>
    <row r="131" spans="1:17" x14ac:dyDescent="0.2">
      <c r="A131" s="101"/>
      <c r="B131" s="104"/>
      <c r="C131" s="150">
        <f>SUM(C127:E130)</f>
        <v>22120</v>
      </c>
      <c r="D131" s="150"/>
      <c r="E131" s="150"/>
      <c r="F131" s="150">
        <f>SUM(F127:H130)</f>
        <v>5710</v>
      </c>
      <c r="G131" s="150"/>
      <c r="H131" s="150"/>
      <c r="I131" s="150">
        <f>SUM(I127:K130)</f>
        <v>8467</v>
      </c>
      <c r="J131" s="150"/>
      <c r="K131" s="150"/>
      <c r="L131" s="150">
        <f>SUM(C131:K131)</f>
        <v>36297</v>
      </c>
      <c r="M131" s="150"/>
      <c r="N131" s="150"/>
      <c r="O131" s="103"/>
      <c r="P131" s="103"/>
      <c r="Q131" s="102"/>
    </row>
    <row r="132" spans="1:17" x14ac:dyDescent="0.2">
      <c r="A132" s="108" t="s">
        <v>282</v>
      </c>
      <c r="B132" s="150"/>
      <c r="C132" s="150"/>
      <c r="D132" s="150"/>
      <c r="E132" s="150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09"/>
    </row>
    <row r="133" spans="1:17" x14ac:dyDescent="0.2">
      <c r="A133" s="148" t="s">
        <v>101</v>
      </c>
      <c r="B133" s="148"/>
      <c r="C133" s="148" t="s">
        <v>257</v>
      </c>
      <c r="D133" s="148"/>
      <c r="E133" s="148"/>
      <c r="F133" s="148" t="s">
        <v>142</v>
      </c>
      <c r="G133" s="148"/>
      <c r="H133" s="148"/>
      <c r="I133" s="148" t="s">
        <v>142</v>
      </c>
      <c r="J133" s="148"/>
      <c r="K133" s="148"/>
      <c r="L133" s="148" t="s">
        <v>261</v>
      </c>
      <c r="M133" s="148"/>
      <c r="N133" s="148"/>
      <c r="O133" s="148" t="s">
        <v>260</v>
      </c>
      <c r="P133" s="148"/>
      <c r="Q133" s="148"/>
    </row>
    <row r="134" spans="1:17" x14ac:dyDescent="0.2">
      <c r="A134" s="137" t="s">
        <v>11</v>
      </c>
      <c r="B134" s="138"/>
      <c r="C134" s="118">
        <v>20038.400000000001</v>
      </c>
      <c r="D134" s="118"/>
      <c r="E134" s="118"/>
      <c r="F134" s="114">
        <f>C134+I134</f>
        <v>20490.987400000002</v>
      </c>
      <c r="G134" s="150"/>
      <c r="H134" s="109"/>
      <c r="I134" s="133">
        <f>22629.37*0.02</f>
        <v>452.5874</v>
      </c>
      <c r="J134" s="110"/>
      <c r="K134" s="110"/>
      <c r="L134" s="133">
        <f>22629.37*0.03</f>
        <v>678.88109999999995</v>
      </c>
      <c r="M134" s="110"/>
      <c r="N134" s="110"/>
      <c r="O134" s="133">
        <f>L134+C134</f>
        <v>20717.2811</v>
      </c>
      <c r="P134" s="110"/>
      <c r="Q134" s="110"/>
    </row>
    <row r="135" spans="1:17" x14ac:dyDescent="0.2">
      <c r="A135" s="137" t="s">
        <v>15</v>
      </c>
      <c r="B135" s="138"/>
      <c r="C135" s="118">
        <v>20838.5</v>
      </c>
      <c r="D135" s="118"/>
      <c r="E135" s="118"/>
      <c r="F135" s="114">
        <f>C135+I135</f>
        <v>21293.485400000001</v>
      </c>
      <c r="G135" s="150"/>
      <c r="H135" s="109"/>
      <c r="I135" s="118">
        <f>22749.27*0.02</f>
        <v>454.98540000000003</v>
      </c>
      <c r="J135" s="118"/>
      <c r="K135" s="118"/>
      <c r="L135" s="118">
        <f>22749.27*0.03</f>
        <v>682.47810000000004</v>
      </c>
      <c r="M135" s="118"/>
      <c r="N135" s="118"/>
      <c r="O135" s="133">
        <f t="shared" ref="O135:O137" si="18">L135+C135</f>
        <v>21520.9781</v>
      </c>
      <c r="P135" s="110"/>
      <c r="Q135" s="110"/>
    </row>
    <row r="136" spans="1:17" x14ac:dyDescent="0.2">
      <c r="A136" s="140" t="s">
        <v>96</v>
      </c>
      <c r="B136" s="141"/>
      <c r="C136" s="118">
        <v>4038.4</v>
      </c>
      <c r="D136" s="118"/>
      <c r="E136" s="118"/>
      <c r="F136" s="114">
        <f>C136+I136</f>
        <v>4142.3353999999999</v>
      </c>
      <c r="G136" s="150"/>
      <c r="H136" s="109"/>
      <c r="I136" s="118">
        <f>5196.77*0.02</f>
        <v>103.93540000000002</v>
      </c>
      <c r="J136" s="118"/>
      <c r="K136" s="118"/>
      <c r="L136" s="118">
        <f>5196.77*0.03</f>
        <v>155.90309999999999</v>
      </c>
      <c r="M136" s="118"/>
      <c r="N136" s="118"/>
      <c r="O136" s="133">
        <f t="shared" si="18"/>
        <v>4194.3031000000001</v>
      </c>
      <c r="P136" s="110"/>
      <c r="Q136" s="110"/>
    </row>
    <row r="137" spans="1:17" x14ac:dyDescent="0.2">
      <c r="A137" s="137" t="s">
        <v>93</v>
      </c>
      <c r="B137" s="138"/>
      <c r="C137" s="118">
        <v>716.5</v>
      </c>
      <c r="D137" s="118"/>
      <c r="E137" s="118"/>
      <c r="F137" s="114">
        <f>C137+I137</f>
        <v>743.06939999999997</v>
      </c>
      <c r="G137" s="150"/>
      <c r="H137" s="109"/>
      <c r="I137" s="118">
        <f>1328.47*0.02</f>
        <v>26.569400000000002</v>
      </c>
      <c r="J137" s="118"/>
      <c r="K137" s="118"/>
      <c r="L137" s="118">
        <f>1328.47*0.03</f>
        <v>39.854100000000003</v>
      </c>
      <c r="M137" s="118"/>
      <c r="N137" s="118"/>
      <c r="O137" s="133">
        <f t="shared" si="18"/>
        <v>756.35410000000002</v>
      </c>
      <c r="P137" s="110"/>
      <c r="Q137" s="110"/>
    </row>
    <row r="138" spans="1:17" x14ac:dyDescent="0.2">
      <c r="A138" s="151" t="s">
        <v>283</v>
      </c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3"/>
    </row>
    <row r="139" spans="1:17" x14ac:dyDescent="0.2">
      <c r="A139" s="148" t="s">
        <v>101</v>
      </c>
      <c r="B139" s="148"/>
      <c r="C139" s="148" t="s">
        <v>257</v>
      </c>
      <c r="D139" s="148"/>
      <c r="E139" s="148"/>
      <c r="F139" s="148" t="s">
        <v>142</v>
      </c>
      <c r="G139" s="148"/>
      <c r="H139" s="148"/>
      <c r="I139" s="148" t="s">
        <v>261</v>
      </c>
      <c r="J139" s="148"/>
      <c r="K139" s="148"/>
      <c r="L139" s="110"/>
      <c r="M139" s="110"/>
      <c r="N139" s="110"/>
      <c r="O139" s="110"/>
      <c r="P139" s="110"/>
      <c r="Q139" s="110"/>
    </row>
    <row r="140" spans="1:17" x14ac:dyDescent="0.2">
      <c r="A140" s="137" t="s">
        <v>11</v>
      </c>
      <c r="B140" s="138"/>
      <c r="C140" s="110">
        <v>7120</v>
      </c>
      <c r="D140" s="110"/>
      <c r="E140" s="110"/>
      <c r="F140" s="110">
        <v>980</v>
      </c>
      <c r="G140" s="110"/>
      <c r="H140" s="110"/>
      <c r="I140" s="110">
        <v>1939</v>
      </c>
      <c r="J140" s="110"/>
      <c r="K140" s="110"/>
      <c r="L140" s="110">
        <f>SUM(C140:K140)</f>
        <v>10039</v>
      </c>
      <c r="M140" s="110"/>
      <c r="N140" s="110"/>
      <c r="O140" s="110"/>
      <c r="P140" s="110"/>
      <c r="Q140" s="110"/>
    </row>
    <row r="141" spans="1:17" x14ac:dyDescent="0.2">
      <c r="A141" s="137" t="s">
        <v>15</v>
      </c>
      <c r="B141" s="138"/>
      <c r="C141" s="110">
        <v>6090</v>
      </c>
      <c r="D141" s="110"/>
      <c r="E141" s="110"/>
      <c r="F141" s="110">
        <v>800</v>
      </c>
      <c r="G141" s="110"/>
      <c r="H141" s="110"/>
      <c r="I141" s="110">
        <v>1646</v>
      </c>
      <c r="J141" s="110"/>
      <c r="K141" s="110"/>
      <c r="L141" s="110">
        <f t="shared" ref="L141:L143" si="19">SUM(C141:K141)</f>
        <v>8536</v>
      </c>
      <c r="M141" s="110"/>
      <c r="N141" s="110"/>
      <c r="O141" s="110"/>
      <c r="P141" s="110"/>
      <c r="Q141" s="110"/>
    </row>
    <row r="142" spans="1:17" ht="33.75" customHeight="1" x14ac:dyDescent="0.2">
      <c r="A142" s="140" t="s">
        <v>96</v>
      </c>
      <c r="B142" s="141"/>
      <c r="C142" s="110">
        <v>8920</v>
      </c>
      <c r="D142" s="110"/>
      <c r="E142" s="110"/>
      <c r="F142" s="110">
        <v>1700</v>
      </c>
      <c r="G142" s="110"/>
      <c r="H142" s="110"/>
      <c r="I142" s="110">
        <v>3740</v>
      </c>
      <c r="J142" s="110"/>
      <c r="K142" s="110"/>
      <c r="L142" s="110">
        <f t="shared" si="19"/>
        <v>14360</v>
      </c>
      <c r="M142" s="110"/>
      <c r="N142" s="110"/>
      <c r="O142" s="110"/>
      <c r="P142" s="110"/>
      <c r="Q142" s="110"/>
    </row>
    <row r="143" spans="1:17" x14ac:dyDescent="0.2">
      <c r="A143" s="137" t="s">
        <v>93</v>
      </c>
      <c r="B143" s="138"/>
      <c r="C143" s="110">
        <v>6320</v>
      </c>
      <c r="D143" s="110"/>
      <c r="E143" s="110"/>
      <c r="F143" s="110">
        <v>3920</v>
      </c>
      <c r="G143" s="110"/>
      <c r="H143" s="110"/>
      <c r="I143" s="110">
        <v>3297</v>
      </c>
      <c r="J143" s="110"/>
      <c r="K143" s="110"/>
      <c r="L143" s="110">
        <f t="shared" si="19"/>
        <v>13537</v>
      </c>
      <c r="M143" s="110"/>
      <c r="N143" s="110"/>
      <c r="O143" s="110"/>
      <c r="P143" s="110"/>
      <c r="Q143" s="110"/>
    </row>
    <row r="144" spans="1:17" x14ac:dyDescent="0.2">
      <c r="A144" s="101"/>
      <c r="B144" s="104"/>
      <c r="C144" s="150">
        <f>SUM(C140:E143)</f>
        <v>28450</v>
      </c>
      <c r="D144" s="150"/>
      <c r="E144" s="150"/>
      <c r="F144" s="150">
        <f>SUM(F140:H143)</f>
        <v>7400</v>
      </c>
      <c r="G144" s="150"/>
      <c r="H144" s="150"/>
      <c r="I144" s="150">
        <f>SUM(I140:K143)</f>
        <v>10622</v>
      </c>
      <c r="J144" s="150"/>
      <c r="K144" s="150"/>
      <c r="L144" s="150">
        <f>SUM(C144:K144)</f>
        <v>46472</v>
      </c>
      <c r="M144" s="150"/>
      <c r="N144" s="150"/>
      <c r="O144" s="103"/>
      <c r="P144" s="103"/>
      <c r="Q144" s="102"/>
    </row>
    <row r="145" spans="1:17" x14ac:dyDescent="0.2">
      <c r="A145" s="108" t="s">
        <v>284</v>
      </c>
      <c r="B145" s="150"/>
      <c r="C145" s="150"/>
      <c r="D145" s="150"/>
      <c r="E145" s="150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09"/>
    </row>
    <row r="146" spans="1:17" x14ac:dyDescent="0.2">
      <c r="A146" s="148" t="s">
        <v>101</v>
      </c>
      <c r="B146" s="148"/>
      <c r="C146" s="148" t="s">
        <v>257</v>
      </c>
      <c r="D146" s="148"/>
      <c r="E146" s="148"/>
      <c r="F146" s="148" t="s">
        <v>142</v>
      </c>
      <c r="G146" s="148"/>
      <c r="H146" s="148"/>
      <c r="I146" s="148" t="s">
        <v>142</v>
      </c>
      <c r="J146" s="148"/>
      <c r="K146" s="148"/>
      <c r="L146" s="148" t="s">
        <v>261</v>
      </c>
      <c r="M146" s="148"/>
      <c r="N146" s="148"/>
      <c r="O146" s="148" t="s">
        <v>260</v>
      </c>
      <c r="P146" s="148"/>
      <c r="Q146" s="148"/>
    </row>
    <row r="147" spans="1:17" x14ac:dyDescent="0.2">
      <c r="A147" s="137" t="s">
        <v>11</v>
      </c>
      <c r="B147" s="138"/>
      <c r="C147" s="118">
        <v>19818.900000000001</v>
      </c>
      <c r="D147" s="118"/>
      <c r="E147" s="118"/>
      <c r="F147" s="114">
        <f>C147+I147</f>
        <v>20271.487400000002</v>
      </c>
      <c r="G147" s="150"/>
      <c r="H147" s="109"/>
      <c r="I147" s="133">
        <f>22629.37*0.02</f>
        <v>452.5874</v>
      </c>
      <c r="J147" s="110"/>
      <c r="K147" s="110"/>
      <c r="L147" s="133">
        <f>22629.37*0.03</f>
        <v>678.88109999999995</v>
      </c>
      <c r="M147" s="110"/>
      <c r="N147" s="110"/>
      <c r="O147" s="133">
        <f>L147+C147</f>
        <v>20497.7811</v>
      </c>
      <c r="P147" s="110"/>
      <c r="Q147" s="110"/>
    </row>
    <row r="148" spans="1:17" x14ac:dyDescent="0.2">
      <c r="A148" s="137" t="s">
        <v>15</v>
      </c>
      <c r="B148" s="138"/>
      <c r="C148" s="118">
        <v>20688.599999999999</v>
      </c>
      <c r="D148" s="118"/>
      <c r="E148" s="118"/>
      <c r="F148" s="114">
        <f>C148+I148</f>
        <v>21143.5854</v>
      </c>
      <c r="G148" s="150"/>
      <c r="H148" s="109"/>
      <c r="I148" s="118">
        <f>22749.27*0.02</f>
        <v>454.98540000000003</v>
      </c>
      <c r="J148" s="118"/>
      <c r="K148" s="118"/>
      <c r="L148" s="118">
        <f>22749.27*0.03</f>
        <v>682.47810000000004</v>
      </c>
      <c r="M148" s="118"/>
      <c r="N148" s="118"/>
      <c r="O148" s="133">
        <f t="shared" ref="O148:O150" si="20">L148+C148</f>
        <v>21371.078099999999</v>
      </c>
      <c r="P148" s="110"/>
      <c r="Q148" s="110"/>
    </row>
    <row r="149" spans="1:17" x14ac:dyDescent="0.2">
      <c r="A149" s="140" t="s">
        <v>96</v>
      </c>
      <c r="B149" s="141"/>
      <c r="C149" s="118">
        <v>3978.9</v>
      </c>
      <c r="D149" s="118"/>
      <c r="E149" s="118"/>
      <c r="F149" s="114">
        <f>C149+I149</f>
        <v>4082.8353999999999</v>
      </c>
      <c r="G149" s="150"/>
      <c r="H149" s="109"/>
      <c r="I149" s="118">
        <f>5196.77*0.02</f>
        <v>103.93540000000002</v>
      </c>
      <c r="J149" s="118"/>
      <c r="K149" s="118"/>
      <c r="L149" s="118">
        <f>5196.77*0.03</f>
        <v>155.90309999999999</v>
      </c>
      <c r="M149" s="118"/>
      <c r="N149" s="118"/>
      <c r="O149" s="133">
        <f t="shared" si="20"/>
        <v>4134.8031000000001</v>
      </c>
      <c r="P149" s="110"/>
      <c r="Q149" s="110"/>
    </row>
    <row r="150" spans="1:17" x14ac:dyDescent="0.2">
      <c r="A150" s="137" t="s">
        <v>93</v>
      </c>
      <c r="B150" s="138"/>
      <c r="C150" s="118">
        <v>656.6</v>
      </c>
      <c r="D150" s="118"/>
      <c r="E150" s="118"/>
      <c r="F150" s="114">
        <f>C150+I150</f>
        <v>683.1694</v>
      </c>
      <c r="G150" s="150"/>
      <c r="H150" s="109"/>
      <c r="I150" s="118">
        <f>1328.47*0.02</f>
        <v>26.569400000000002</v>
      </c>
      <c r="J150" s="118"/>
      <c r="K150" s="118"/>
      <c r="L150" s="118">
        <f>1328.47*0.03</f>
        <v>39.854100000000003</v>
      </c>
      <c r="M150" s="118"/>
      <c r="N150" s="118"/>
      <c r="O150" s="133">
        <f t="shared" si="20"/>
        <v>696.45410000000004</v>
      </c>
      <c r="P150" s="110"/>
      <c r="Q150" s="110"/>
    </row>
    <row r="151" spans="1:17" x14ac:dyDescent="0.2">
      <c r="A151" s="151" t="s">
        <v>285</v>
      </c>
      <c r="B151" s="152"/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  <c r="Q151" s="153"/>
    </row>
    <row r="152" spans="1:17" x14ac:dyDescent="0.2">
      <c r="A152" s="148" t="s">
        <v>101</v>
      </c>
      <c r="B152" s="148"/>
      <c r="C152" s="148" t="s">
        <v>257</v>
      </c>
      <c r="D152" s="148"/>
      <c r="E152" s="148"/>
      <c r="F152" s="148" t="s">
        <v>142</v>
      </c>
      <c r="G152" s="148"/>
      <c r="H152" s="148"/>
      <c r="I152" s="148" t="s">
        <v>261</v>
      </c>
      <c r="J152" s="148"/>
      <c r="K152" s="148"/>
      <c r="L152" s="110"/>
      <c r="M152" s="110"/>
      <c r="N152" s="110"/>
      <c r="O152" s="110"/>
      <c r="P152" s="110"/>
      <c r="Q152" s="110"/>
    </row>
    <row r="153" spans="1:17" x14ac:dyDescent="0.2">
      <c r="A153" s="137" t="s">
        <v>11</v>
      </c>
      <c r="B153" s="138"/>
      <c r="C153" s="110">
        <v>6330</v>
      </c>
      <c r="D153" s="110"/>
      <c r="E153" s="110"/>
      <c r="F153" s="110">
        <v>890</v>
      </c>
      <c r="G153" s="110"/>
      <c r="H153" s="110"/>
      <c r="I153" s="110">
        <v>1687</v>
      </c>
      <c r="J153" s="110"/>
      <c r="K153" s="110"/>
      <c r="L153" s="110">
        <f>SUM(C153:K153)</f>
        <v>8907</v>
      </c>
      <c r="M153" s="110"/>
      <c r="N153" s="110"/>
      <c r="O153" s="110"/>
      <c r="P153" s="110"/>
      <c r="Q153" s="110"/>
    </row>
    <row r="154" spans="1:17" x14ac:dyDescent="0.2">
      <c r="A154" s="137" t="s">
        <v>15</v>
      </c>
      <c r="B154" s="138"/>
      <c r="C154" s="110">
        <v>5380</v>
      </c>
      <c r="D154" s="110"/>
      <c r="E154" s="110"/>
      <c r="F154" s="110">
        <v>720</v>
      </c>
      <c r="G154" s="110"/>
      <c r="H154" s="110"/>
      <c r="I154" s="110">
        <v>1430</v>
      </c>
      <c r="J154" s="110"/>
      <c r="K154" s="110"/>
      <c r="L154" s="110">
        <f t="shared" ref="L154:L156" si="21">SUM(C154:K154)</f>
        <v>7530</v>
      </c>
      <c r="M154" s="110"/>
      <c r="N154" s="110"/>
      <c r="O154" s="110"/>
      <c r="P154" s="110"/>
      <c r="Q154" s="110"/>
    </row>
    <row r="155" spans="1:17" x14ac:dyDescent="0.2">
      <c r="A155" s="140" t="s">
        <v>96</v>
      </c>
      <c r="B155" s="141"/>
      <c r="C155" s="110">
        <v>8590</v>
      </c>
      <c r="D155" s="110"/>
      <c r="E155" s="110"/>
      <c r="F155" s="110">
        <v>1570</v>
      </c>
      <c r="G155" s="110"/>
      <c r="H155" s="110"/>
      <c r="I155" s="110">
        <v>3587</v>
      </c>
      <c r="J155" s="110"/>
      <c r="K155" s="110"/>
      <c r="L155" s="110">
        <f t="shared" si="21"/>
        <v>13747</v>
      </c>
      <c r="M155" s="110"/>
      <c r="N155" s="110"/>
      <c r="O155" s="110"/>
      <c r="P155" s="110"/>
      <c r="Q155" s="110"/>
    </row>
    <row r="156" spans="1:17" x14ac:dyDescent="0.2">
      <c r="A156" s="137" t="s">
        <v>93</v>
      </c>
      <c r="B156" s="138"/>
      <c r="C156" s="110">
        <v>6070</v>
      </c>
      <c r="D156" s="110"/>
      <c r="E156" s="110"/>
      <c r="F156" s="110">
        <v>3660</v>
      </c>
      <c r="G156" s="110"/>
      <c r="H156" s="110"/>
      <c r="I156" s="110">
        <v>3203</v>
      </c>
      <c r="J156" s="110"/>
      <c r="K156" s="110"/>
      <c r="L156" s="110">
        <f t="shared" si="21"/>
        <v>12933</v>
      </c>
      <c r="M156" s="110"/>
      <c r="N156" s="110"/>
      <c r="O156" s="110"/>
      <c r="P156" s="110"/>
      <c r="Q156" s="110"/>
    </row>
    <row r="157" spans="1:17" x14ac:dyDescent="0.2">
      <c r="A157" s="101"/>
      <c r="B157" s="104"/>
      <c r="C157" s="150">
        <f>SUM(C153:E156)</f>
        <v>26370</v>
      </c>
      <c r="D157" s="150"/>
      <c r="E157" s="150"/>
      <c r="F157" s="150">
        <f>SUM(F153:H156)</f>
        <v>6840</v>
      </c>
      <c r="G157" s="150"/>
      <c r="H157" s="150"/>
      <c r="I157" s="150">
        <f>SUM(I153:K156)</f>
        <v>9907</v>
      </c>
      <c r="J157" s="150"/>
      <c r="K157" s="150"/>
      <c r="L157" s="150">
        <f>SUM(C157:K157)</f>
        <v>43117</v>
      </c>
      <c r="M157" s="150"/>
      <c r="N157" s="150"/>
      <c r="O157" s="103"/>
      <c r="P157" s="103"/>
      <c r="Q157" s="102"/>
    </row>
    <row r="158" spans="1:17" x14ac:dyDescent="0.2">
      <c r="A158" s="108"/>
      <c r="B158" s="150"/>
      <c r="C158" s="150"/>
      <c r="D158" s="150"/>
      <c r="E158" s="150"/>
      <c r="F158" s="150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09"/>
    </row>
    <row r="159" spans="1:17" x14ac:dyDescent="0.2">
      <c r="A159" s="148"/>
      <c r="B159" s="148"/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</row>
    <row r="160" spans="1:17" x14ac:dyDescent="0.2">
      <c r="A160" s="137"/>
      <c r="B160" s="138"/>
      <c r="C160" s="110"/>
      <c r="D160" s="110"/>
      <c r="E160" s="110"/>
      <c r="F160" s="108"/>
      <c r="G160" s="150"/>
      <c r="H160" s="109"/>
      <c r="I160" s="110"/>
      <c r="J160" s="110"/>
      <c r="K160" s="110"/>
      <c r="L160" s="110"/>
      <c r="M160" s="110"/>
      <c r="N160" s="110"/>
      <c r="O160" s="110"/>
      <c r="P160" s="110"/>
      <c r="Q160" s="110"/>
    </row>
    <row r="161" spans="1:17" x14ac:dyDescent="0.2">
      <c r="A161" s="137"/>
      <c r="B161" s="138"/>
      <c r="C161" s="110"/>
      <c r="D161" s="110"/>
      <c r="E161" s="110"/>
      <c r="F161" s="108"/>
      <c r="G161" s="150"/>
      <c r="H161" s="109"/>
      <c r="I161" s="110"/>
      <c r="J161" s="110"/>
      <c r="K161" s="110"/>
      <c r="L161" s="110"/>
      <c r="M161" s="110"/>
      <c r="N161" s="110"/>
      <c r="O161" s="110"/>
      <c r="P161" s="110"/>
      <c r="Q161" s="110"/>
    </row>
    <row r="162" spans="1:17" x14ac:dyDescent="0.2">
      <c r="A162" s="140"/>
      <c r="B162" s="141"/>
      <c r="C162" s="110"/>
      <c r="D162" s="110"/>
      <c r="E162" s="110"/>
      <c r="F162" s="108"/>
      <c r="G162" s="150"/>
      <c r="H162" s="109"/>
      <c r="I162" s="110"/>
      <c r="J162" s="110"/>
      <c r="K162" s="110"/>
      <c r="L162" s="110"/>
      <c r="M162" s="110"/>
      <c r="N162" s="110"/>
      <c r="O162" s="110"/>
      <c r="P162" s="110"/>
      <c r="Q162" s="110"/>
    </row>
    <row r="163" spans="1:17" x14ac:dyDescent="0.2">
      <c r="A163" s="137"/>
      <c r="B163" s="138"/>
      <c r="C163" s="110"/>
      <c r="D163" s="110"/>
      <c r="E163" s="110"/>
      <c r="F163" s="108"/>
      <c r="G163" s="150"/>
      <c r="H163" s="109"/>
      <c r="I163" s="110"/>
      <c r="J163" s="110"/>
      <c r="K163" s="110"/>
      <c r="L163" s="110"/>
      <c r="M163" s="110"/>
      <c r="N163" s="110"/>
      <c r="O163" s="110"/>
      <c r="P163" s="110"/>
      <c r="Q163" s="110"/>
    </row>
    <row r="164" spans="1:17" x14ac:dyDescent="0.2">
      <c r="A164" s="151"/>
      <c r="B164" s="152"/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  <c r="Q164" s="153"/>
    </row>
    <row r="165" spans="1:17" x14ac:dyDescent="0.2">
      <c r="A165" s="148"/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  <c r="L165" s="110"/>
      <c r="M165" s="110"/>
      <c r="N165" s="110"/>
      <c r="O165" s="110"/>
      <c r="P165" s="110"/>
      <c r="Q165" s="110"/>
    </row>
    <row r="166" spans="1:17" x14ac:dyDescent="0.2">
      <c r="A166" s="137"/>
      <c r="B166" s="138"/>
      <c r="C166" s="110"/>
      <c r="D166" s="110"/>
      <c r="E166" s="110"/>
      <c r="F166" s="108"/>
      <c r="G166" s="150"/>
      <c r="H166" s="109"/>
      <c r="I166" s="110"/>
      <c r="J166" s="110"/>
      <c r="K166" s="110"/>
      <c r="L166" s="110"/>
      <c r="M166" s="110"/>
      <c r="N166" s="110"/>
      <c r="O166" s="110"/>
      <c r="P166" s="110"/>
      <c r="Q166" s="110"/>
    </row>
    <row r="167" spans="1:17" x14ac:dyDescent="0.2">
      <c r="A167" s="137"/>
      <c r="B167" s="138"/>
      <c r="C167" s="110"/>
      <c r="D167" s="110"/>
      <c r="E167" s="110"/>
      <c r="F167" s="108"/>
      <c r="G167" s="150"/>
      <c r="H167" s="109"/>
      <c r="I167" s="110"/>
      <c r="J167" s="110"/>
      <c r="K167" s="110"/>
      <c r="L167" s="110"/>
      <c r="M167" s="110"/>
      <c r="N167" s="110"/>
      <c r="O167" s="110"/>
      <c r="P167" s="110"/>
      <c r="Q167" s="110"/>
    </row>
    <row r="168" spans="1:17" x14ac:dyDescent="0.2">
      <c r="A168" s="140"/>
      <c r="B168" s="141"/>
      <c r="C168" s="110"/>
      <c r="D168" s="110"/>
      <c r="E168" s="110"/>
      <c r="F168" s="108"/>
      <c r="G168" s="150"/>
      <c r="H168" s="109"/>
      <c r="I168" s="110"/>
      <c r="J168" s="110"/>
      <c r="K168" s="110"/>
      <c r="L168" s="110"/>
      <c r="M168" s="110"/>
      <c r="N168" s="110"/>
      <c r="O168" s="110"/>
      <c r="P168" s="110"/>
      <c r="Q168" s="110"/>
    </row>
    <row r="169" spans="1:17" x14ac:dyDescent="0.2">
      <c r="A169" s="137"/>
      <c r="B169" s="138"/>
      <c r="C169" s="110"/>
      <c r="D169" s="110"/>
      <c r="E169" s="110"/>
      <c r="F169" s="108"/>
      <c r="G169" s="150"/>
      <c r="H169" s="109"/>
      <c r="I169" s="110"/>
      <c r="J169" s="110"/>
      <c r="K169" s="110"/>
      <c r="L169" s="110"/>
      <c r="M169" s="110"/>
      <c r="N169" s="110"/>
      <c r="O169" s="110"/>
      <c r="P169" s="110"/>
      <c r="Q169" s="110"/>
    </row>
    <row r="170" spans="1:17" x14ac:dyDescent="0.2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</row>
    <row r="171" spans="1:17" x14ac:dyDescent="0.2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</row>
    <row r="172" spans="1:17" x14ac:dyDescent="0.2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</row>
    <row r="173" spans="1:17" x14ac:dyDescent="0.2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</row>
    <row r="174" spans="1:17" x14ac:dyDescent="0.2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</row>
    <row r="175" spans="1:17" x14ac:dyDescent="0.2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</row>
    <row r="176" spans="1:17" x14ac:dyDescent="0.2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</row>
    <row r="177" spans="1:17" x14ac:dyDescent="0.2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</row>
    <row r="178" spans="1:17" x14ac:dyDescent="0.2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</row>
    <row r="179" spans="1:17" x14ac:dyDescent="0.2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</row>
    <row r="180" spans="1:17" x14ac:dyDescent="0.2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</row>
    <row r="181" spans="1:17" x14ac:dyDescent="0.2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</row>
    <row r="182" spans="1:17" x14ac:dyDescent="0.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</row>
    <row r="183" spans="1:17" x14ac:dyDescent="0.2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</row>
    <row r="184" spans="1:17" x14ac:dyDescent="0.2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</row>
    <row r="185" spans="1:17" x14ac:dyDescent="0.2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</row>
    <row r="186" spans="1:17" x14ac:dyDescent="0.2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</row>
    <row r="187" spans="1:17" x14ac:dyDescent="0.2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</row>
    <row r="188" spans="1:17" x14ac:dyDescent="0.2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</row>
    <row r="189" spans="1:17" x14ac:dyDescent="0.2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</row>
    <row r="190" spans="1:17" x14ac:dyDescent="0.2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</row>
    <row r="191" spans="1:17" x14ac:dyDescent="0.2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</row>
    <row r="192" spans="1:17" x14ac:dyDescent="0.2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</row>
    <row r="193" spans="1:17" x14ac:dyDescent="0.2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</row>
    <row r="194" spans="1:17" x14ac:dyDescent="0.2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</row>
    <row r="195" spans="1:17" x14ac:dyDescent="0.2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</row>
    <row r="196" spans="1:17" x14ac:dyDescent="0.2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</row>
    <row r="197" spans="1:17" x14ac:dyDescent="0.2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</row>
    <row r="198" spans="1:17" x14ac:dyDescent="0.2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</row>
    <row r="199" spans="1:17" x14ac:dyDescent="0.2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</row>
    <row r="200" spans="1:17" x14ac:dyDescent="0.2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</row>
    <row r="201" spans="1:17" x14ac:dyDescent="0.2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</row>
    <row r="202" spans="1:17" x14ac:dyDescent="0.2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</row>
    <row r="203" spans="1:17" x14ac:dyDescent="0.2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</row>
    <row r="204" spans="1:17" x14ac:dyDescent="0.2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</row>
    <row r="205" spans="1:17" x14ac:dyDescent="0.2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</row>
    <row r="206" spans="1:17" x14ac:dyDescent="0.2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</row>
    <row r="207" spans="1:17" x14ac:dyDescent="0.2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</row>
    <row r="208" spans="1:17" x14ac:dyDescent="0.2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</row>
    <row r="209" spans="1:17" x14ac:dyDescent="0.2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</row>
    <row r="210" spans="1:17" x14ac:dyDescent="0.2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</row>
    <row r="211" spans="1:17" x14ac:dyDescent="0.2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</row>
    <row r="212" spans="1:17" x14ac:dyDescent="0.2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</row>
    <row r="213" spans="1:17" x14ac:dyDescent="0.2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</row>
    <row r="214" spans="1:17" x14ac:dyDescent="0.2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</row>
    <row r="215" spans="1:17" x14ac:dyDescent="0.2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</row>
    <row r="216" spans="1:17" x14ac:dyDescent="0.2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</row>
    <row r="217" spans="1:17" x14ac:dyDescent="0.2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</row>
    <row r="218" spans="1:17" x14ac:dyDescent="0.2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</row>
    <row r="219" spans="1:17" x14ac:dyDescent="0.2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</row>
    <row r="220" spans="1:17" x14ac:dyDescent="0.2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</row>
    <row r="221" spans="1:17" x14ac:dyDescent="0.2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</row>
    <row r="222" spans="1:17" x14ac:dyDescent="0.2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</row>
    <row r="223" spans="1:17" x14ac:dyDescent="0.2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</row>
    <row r="224" spans="1:17" x14ac:dyDescent="0.2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</row>
    <row r="225" spans="1:17" x14ac:dyDescent="0.2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</row>
    <row r="226" spans="1:17" x14ac:dyDescent="0.2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</row>
    <row r="227" spans="1:17" x14ac:dyDescent="0.2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</row>
    <row r="228" spans="1:17" x14ac:dyDescent="0.2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</row>
    <row r="229" spans="1:17" x14ac:dyDescent="0.2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</row>
    <row r="230" spans="1:17" x14ac:dyDescent="0.2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</row>
    <row r="231" spans="1:17" x14ac:dyDescent="0.2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</row>
    <row r="232" spans="1:17" x14ac:dyDescent="0.2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</row>
    <row r="233" spans="1:17" x14ac:dyDescent="0.2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</row>
    <row r="234" spans="1:17" x14ac:dyDescent="0.2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</row>
    <row r="235" spans="1:17" x14ac:dyDescent="0.2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</row>
    <row r="236" spans="1:17" x14ac:dyDescent="0.2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</row>
    <row r="237" spans="1:17" x14ac:dyDescent="0.2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</row>
    <row r="238" spans="1:17" x14ac:dyDescent="0.2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</row>
    <row r="239" spans="1:17" x14ac:dyDescent="0.2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</row>
    <row r="240" spans="1:17" x14ac:dyDescent="0.2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</row>
  </sheetData>
  <mergeCells count="1281">
    <mergeCell ref="F144:H144"/>
    <mergeCell ref="I144:K144"/>
    <mergeCell ref="L144:N144"/>
    <mergeCell ref="C157:E157"/>
    <mergeCell ref="F157:H157"/>
    <mergeCell ref="I157:K157"/>
    <mergeCell ref="L157:N157"/>
    <mergeCell ref="F92:H92"/>
    <mergeCell ref="I92:K92"/>
    <mergeCell ref="L92:N92"/>
    <mergeCell ref="C105:E105"/>
    <mergeCell ref="F105:H105"/>
    <mergeCell ref="I105:K105"/>
    <mergeCell ref="L105:N105"/>
    <mergeCell ref="C118:E118"/>
    <mergeCell ref="F118:H118"/>
    <mergeCell ref="I118:K118"/>
    <mergeCell ref="L118:N118"/>
    <mergeCell ref="C131:E131"/>
    <mergeCell ref="F131:H131"/>
    <mergeCell ref="I131:K131"/>
    <mergeCell ref="L131:N131"/>
    <mergeCell ref="L133:N133"/>
    <mergeCell ref="L134:N134"/>
    <mergeCell ref="L135:N135"/>
    <mergeCell ref="L136:N136"/>
    <mergeCell ref="L137:N137"/>
    <mergeCell ref="L139:N139"/>
    <mergeCell ref="L140:N140"/>
    <mergeCell ref="L141:N141"/>
    <mergeCell ref="L123:N123"/>
    <mergeCell ref="L124:N124"/>
    <mergeCell ref="C27:E27"/>
    <mergeCell ref="F27:H27"/>
    <mergeCell ref="I27:K27"/>
    <mergeCell ref="L27:N27"/>
    <mergeCell ref="C40:E40"/>
    <mergeCell ref="F40:H40"/>
    <mergeCell ref="I40:K40"/>
    <mergeCell ref="L40:N40"/>
    <mergeCell ref="C53:E53"/>
    <mergeCell ref="F53:H53"/>
    <mergeCell ref="I53:K53"/>
    <mergeCell ref="L53:N53"/>
    <mergeCell ref="C66:E66"/>
    <mergeCell ref="F66:H66"/>
    <mergeCell ref="I66:K66"/>
    <mergeCell ref="L66:N66"/>
    <mergeCell ref="C79:E79"/>
    <mergeCell ref="F79:H79"/>
    <mergeCell ref="I79:K79"/>
    <mergeCell ref="L79:N79"/>
    <mergeCell ref="C58:E58"/>
    <mergeCell ref="C59:E59"/>
    <mergeCell ref="C61:E61"/>
    <mergeCell ref="C62:E62"/>
    <mergeCell ref="C63:E63"/>
    <mergeCell ref="C45:E45"/>
    <mergeCell ref="C46:E46"/>
    <mergeCell ref="C48:E48"/>
    <mergeCell ref="C49:E49"/>
    <mergeCell ref="C50:E50"/>
    <mergeCell ref="C51:E51"/>
    <mergeCell ref="C52:E52"/>
    <mergeCell ref="O240:Q240"/>
    <mergeCell ref="A15:Q15"/>
    <mergeCell ref="A21:Q21"/>
    <mergeCell ref="O231:Q231"/>
    <mergeCell ref="O232:Q232"/>
    <mergeCell ref="O233:Q233"/>
    <mergeCell ref="O234:Q234"/>
    <mergeCell ref="O235:Q235"/>
    <mergeCell ref="O236:Q236"/>
    <mergeCell ref="O237:Q237"/>
    <mergeCell ref="O238:Q238"/>
    <mergeCell ref="O239:Q239"/>
    <mergeCell ref="O222:Q222"/>
    <mergeCell ref="O223:Q223"/>
    <mergeCell ref="O224:Q224"/>
    <mergeCell ref="O225:Q225"/>
    <mergeCell ref="O226:Q226"/>
    <mergeCell ref="O227:Q227"/>
    <mergeCell ref="O228:Q228"/>
    <mergeCell ref="O229:Q229"/>
    <mergeCell ref="O230:Q230"/>
    <mergeCell ref="O213:Q213"/>
    <mergeCell ref="O214:Q214"/>
    <mergeCell ref="O215:Q215"/>
    <mergeCell ref="O216:Q216"/>
    <mergeCell ref="O217:Q217"/>
    <mergeCell ref="O218:Q218"/>
    <mergeCell ref="O219:Q219"/>
    <mergeCell ref="O220:Q220"/>
    <mergeCell ref="O221:Q221"/>
    <mergeCell ref="O204:Q204"/>
    <mergeCell ref="O205:Q205"/>
    <mergeCell ref="O209:Q209"/>
    <mergeCell ref="O210:Q210"/>
    <mergeCell ref="O211:Q211"/>
    <mergeCell ref="O212:Q212"/>
    <mergeCell ref="O195:Q195"/>
    <mergeCell ref="O196:Q196"/>
    <mergeCell ref="O197:Q197"/>
    <mergeCell ref="O198:Q198"/>
    <mergeCell ref="O199:Q199"/>
    <mergeCell ref="O200:Q200"/>
    <mergeCell ref="O201:Q201"/>
    <mergeCell ref="O202:Q202"/>
    <mergeCell ref="O203:Q203"/>
    <mergeCell ref="O186:Q186"/>
    <mergeCell ref="O187:Q187"/>
    <mergeCell ref="O188:Q188"/>
    <mergeCell ref="O189:Q189"/>
    <mergeCell ref="O190:Q190"/>
    <mergeCell ref="O191:Q191"/>
    <mergeCell ref="O192:Q192"/>
    <mergeCell ref="O193:Q193"/>
    <mergeCell ref="O194:Q194"/>
    <mergeCell ref="O181:Q181"/>
    <mergeCell ref="O182:Q182"/>
    <mergeCell ref="O183:Q183"/>
    <mergeCell ref="O184:Q184"/>
    <mergeCell ref="O185:Q185"/>
    <mergeCell ref="O168:Q168"/>
    <mergeCell ref="O169:Q169"/>
    <mergeCell ref="O170:Q170"/>
    <mergeCell ref="O171:Q171"/>
    <mergeCell ref="O172:Q172"/>
    <mergeCell ref="O173:Q173"/>
    <mergeCell ref="O174:Q174"/>
    <mergeCell ref="O175:Q175"/>
    <mergeCell ref="O176:Q176"/>
    <mergeCell ref="O206:Q206"/>
    <mergeCell ref="O207:Q207"/>
    <mergeCell ref="O208:Q208"/>
    <mergeCell ref="O161:Q161"/>
    <mergeCell ref="O162:Q162"/>
    <mergeCell ref="O163:Q163"/>
    <mergeCell ref="O165:Q165"/>
    <mergeCell ref="O166:Q166"/>
    <mergeCell ref="O167:Q167"/>
    <mergeCell ref="O149:Q149"/>
    <mergeCell ref="O150:Q150"/>
    <mergeCell ref="O152:Q152"/>
    <mergeCell ref="O153:Q153"/>
    <mergeCell ref="O154:Q154"/>
    <mergeCell ref="O155:Q155"/>
    <mergeCell ref="O156:Q156"/>
    <mergeCell ref="O177:Q177"/>
    <mergeCell ref="O178:Q178"/>
    <mergeCell ref="O179:Q179"/>
    <mergeCell ref="O180:Q180"/>
    <mergeCell ref="O139:Q139"/>
    <mergeCell ref="O140:Q140"/>
    <mergeCell ref="O141:Q141"/>
    <mergeCell ref="O142:Q142"/>
    <mergeCell ref="O143:Q143"/>
    <mergeCell ref="O146:Q146"/>
    <mergeCell ref="O147:Q147"/>
    <mergeCell ref="O148:Q148"/>
    <mergeCell ref="O129:Q129"/>
    <mergeCell ref="O130:Q130"/>
    <mergeCell ref="O133:Q133"/>
    <mergeCell ref="O134:Q134"/>
    <mergeCell ref="O135:Q135"/>
    <mergeCell ref="O136:Q136"/>
    <mergeCell ref="O137:Q137"/>
    <mergeCell ref="O159:Q159"/>
    <mergeCell ref="O160:Q160"/>
    <mergeCell ref="O108:Q108"/>
    <mergeCell ref="O109:Q109"/>
    <mergeCell ref="O90:Q90"/>
    <mergeCell ref="O91:Q91"/>
    <mergeCell ref="O94:Q94"/>
    <mergeCell ref="O95:Q95"/>
    <mergeCell ref="O96:Q96"/>
    <mergeCell ref="O97:Q97"/>
    <mergeCell ref="O98:Q98"/>
    <mergeCell ref="O120:Q120"/>
    <mergeCell ref="O121:Q121"/>
    <mergeCell ref="O122:Q122"/>
    <mergeCell ref="O123:Q123"/>
    <mergeCell ref="O124:Q124"/>
    <mergeCell ref="O126:Q126"/>
    <mergeCell ref="O127:Q127"/>
    <mergeCell ref="O128:Q128"/>
    <mergeCell ref="O110:Q110"/>
    <mergeCell ref="O111:Q111"/>
    <mergeCell ref="O113:Q113"/>
    <mergeCell ref="O114:Q114"/>
    <mergeCell ref="O115:Q115"/>
    <mergeCell ref="O116:Q116"/>
    <mergeCell ref="O117:Q117"/>
    <mergeCell ref="O85:Q85"/>
    <mergeCell ref="O87:Q87"/>
    <mergeCell ref="O88:Q88"/>
    <mergeCell ref="O89:Q89"/>
    <mergeCell ref="O71:Q71"/>
    <mergeCell ref="O72:Q72"/>
    <mergeCell ref="O74:Q74"/>
    <mergeCell ref="O75:Q75"/>
    <mergeCell ref="O76:Q76"/>
    <mergeCell ref="O77:Q77"/>
    <mergeCell ref="O78:Q78"/>
    <mergeCell ref="O100:Q100"/>
    <mergeCell ref="O101:Q101"/>
    <mergeCell ref="O102:Q102"/>
    <mergeCell ref="O103:Q103"/>
    <mergeCell ref="O104:Q104"/>
    <mergeCell ref="O107:Q107"/>
    <mergeCell ref="O63:Q63"/>
    <mergeCell ref="O64:Q64"/>
    <mergeCell ref="O65:Q65"/>
    <mergeCell ref="O68:Q68"/>
    <mergeCell ref="O69:Q69"/>
    <mergeCell ref="O70:Q70"/>
    <mergeCell ref="O51:Q51"/>
    <mergeCell ref="O52:Q52"/>
    <mergeCell ref="O55:Q55"/>
    <mergeCell ref="O56:Q56"/>
    <mergeCell ref="O57:Q57"/>
    <mergeCell ref="O58:Q58"/>
    <mergeCell ref="O59:Q59"/>
    <mergeCell ref="O81:Q81"/>
    <mergeCell ref="O82:Q82"/>
    <mergeCell ref="O83:Q83"/>
    <mergeCell ref="O84:Q84"/>
    <mergeCell ref="L201:N201"/>
    <mergeCell ref="O42:Q42"/>
    <mergeCell ref="O43:Q43"/>
    <mergeCell ref="O44:Q44"/>
    <mergeCell ref="O45:Q45"/>
    <mergeCell ref="O46:Q46"/>
    <mergeCell ref="O48:Q48"/>
    <mergeCell ref="O49:Q49"/>
    <mergeCell ref="O50:Q50"/>
    <mergeCell ref="L234:N234"/>
    <mergeCell ref="L235:N235"/>
    <mergeCell ref="L236:N236"/>
    <mergeCell ref="L237:N237"/>
    <mergeCell ref="L238:N238"/>
    <mergeCell ref="L239:N239"/>
    <mergeCell ref="L240:N240"/>
    <mergeCell ref="O23:Q23"/>
    <mergeCell ref="O24:Q24"/>
    <mergeCell ref="O25:Q25"/>
    <mergeCell ref="O26:Q26"/>
    <mergeCell ref="O29:Q29"/>
    <mergeCell ref="O30:Q30"/>
    <mergeCell ref="O31:Q31"/>
    <mergeCell ref="O32:Q32"/>
    <mergeCell ref="O33:Q33"/>
    <mergeCell ref="O35:Q35"/>
    <mergeCell ref="O36:Q36"/>
    <mergeCell ref="O37:Q37"/>
    <mergeCell ref="O38:Q38"/>
    <mergeCell ref="O39:Q39"/>
    <mergeCell ref="O61:Q61"/>
    <mergeCell ref="O62:Q62"/>
    <mergeCell ref="L187:N187"/>
    <mergeCell ref="L188:N188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198:N198"/>
    <mergeCell ref="L199:N199"/>
    <mergeCell ref="L200:N200"/>
    <mergeCell ref="L177:N177"/>
    <mergeCell ref="L178:N178"/>
    <mergeCell ref="L179:N179"/>
    <mergeCell ref="L162:N162"/>
    <mergeCell ref="L163:N163"/>
    <mergeCell ref="L165:N165"/>
    <mergeCell ref="L166:N166"/>
    <mergeCell ref="L167:N167"/>
    <mergeCell ref="L168:N168"/>
    <mergeCell ref="L169:N169"/>
    <mergeCell ref="L170:N170"/>
    <mergeCell ref="L202:N202"/>
    <mergeCell ref="L203:N203"/>
    <mergeCell ref="L204:N204"/>
    <mergeCell ref="L205:N205"/>
    <mergeCell ref="L206:N206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80:N180"/>
    <mergeCell ref="L181:N181"/>
    <mergeCell ref="L182:N182"/>
    <mergeCell ref="L183:N183"/>
    <mergeCell ref="L184:N184"/>
    <mergeCell ref="L185:N185"/>
    <mergeCell ref="L186:N186"/>
    <mergeCell ref="L111:N111"/>
    <mergeCell ref="L159:N159"/>
    <mergeCell ref="L160:N160"/>
    <mergeCell ref="L161:N161"/>
    <mergeCell ref="L142:N142"/>
    <mergeCell ref="L143:N143"/>
    <mergeCell ref="L146:N146"/>
    <mergeCell ref="L147:N147"/>
    <mergeCell ref="L148:N148"/>
    <mergeCell ref="L149:N149"/>
    <mergeCell ref="L150:N150"/>
    <mergeCell ref="L171:N171"/>
    <mergeCell ref="L172:N172"/>
    <mergeCell ref="L173:N173"/>
    <mergeCell ref="L174:N174"/>
    <mergeCell ref="L175:N175"/>
    <mergeCell ref="L176:N176"/>
    <mergeCell ref="L98:N98"/>
    <mergeCell ref="L100:N100"/>
    <mergeCell ref="L101:N101"/>
    <mergeCell ref="L126:N126"/>
    <mergeCell ref="L127:N127"/>
    <mergeCell ref="L128:N128"/>
    <mergeCell ref="L129:N129"/>
    <mergeCell ref="L130:N130"/>
    <mergeCell ref="L152:N152"/>
    <mergeCell ref="L153:N153"/>
    <mergeCell ref="L102:N102"/>
    <mergeCell ref="L84:N84"/>
    <mergeCell ref="L85:N85"/>
    <mergeCell ref="L87:N87"/>
    <mergeCell ref="L88:N88"/>
    <mergeCell ref="L89:N89"/>
    <mergeCell ref="L90:N90"/>
    <mergeCell ref="L91:N91"/>
    <mergeCell ref="L113:N113"/>
    <mergeCell ref="L114:N114"/>
    <mergeCell ref="L115:N115"/>
    <mergeCell ref="L116:N116"/>
    <mergeCell ref="L117:N117"/>
    <mergeCell ref="L120:N120"/>
    <mergeCell ref="L121:N121"/>
    <mergeCell ref="L122:N122"/>
    <mergeCell ref="L103:N103"/>
    <mergeCell ref="L104:N104"/>
    <mergeCell ref="L107:N107"/>
    <mergeCell ref="L108:N108"/>
    <mergeCell ref="L109:N109"/>
    <mergeCell ref="L110:N110"/>
    <mergeCell ref="L50:N50"/>
    <mergeCell ref="L51:N51"/>
    <mergeCell ref="L52:N52"/>
    <mergeCell ref="L81:N81"/>
    <mergeCell ref="L82:N82"/>
    <mergeCell ref="L83:N83"/>
    <mergeCell ref="L64:N64"/>
    <mergeCell ref="L65:N65"/>
    <mergeCell ref="L68:N68"/>
    <mergeCell ref="L69:N69"/>
    <mergeCell ref="L70:N70"/>
    <mergeCell ref="L71:N71"/>
    <mergeCell ref="L72:N72"/>
    <mergeCell ref="L94:N94"/>
    <mergeCell ref="L95:N95"/>
    <mergeCell ref="L96:N96"/>
    <mergeCell ref="L97:N97"/>
    <mergeCell ref="C213:E213"/>
    <mergeCell ref="C214:E214"/>
    <mergeCell ref="C215:E215"/>
    <mergeCell ref="C238:E238"/>
    <mergeCell ref="C239:E239"/>
    <mergeCell ref="C240:E240"/>
    <mergeCell ref="L26:N26"/>
    <mergeCell ref="L29:N29"/>
    <mergeCell ref="L30:N30"/>
    <mergeCell ref="L31:N31"/>
    <mergeCell ref="L32:N32"/>
    <mergeCell ref="L33:N33"/>
    <mergeCell ref="L35:N35"/>
    <mergeCell ref="L36:N36"/>
    <mergeCell ref="L37:N37"/>
    <mergeCell ref="L38:N38"/>
    <mergeCell ref="L39:N39"/>
    <mergeCell ref="L42:N42"/>
    <mergeCell ref="L43:N43"/>
    <mergeCell ref="L44:N44"/>
    <mergeCell ref="L55:N55"/>
    <mergeCell ref="L56:N56"/>
    <mergeCell ref="L57:N57"/>
    <mergeCell ref="L58:N58"/>
    <mergeCell ref="L59:N59"/>
    <mergeCell ref="L61:N61"/>
    <mergeCell ref="L62:N62"/>
    <mergeCell ref="L63:N63"/>
    <mergeCell ref="L45:N45"/>
    <mergeCell ref="L46:N46"/>
    <mergeCell ref="L48:N48"/>
    <mergeCell ref="L49:N49"/>
    <mergeCell ref="C203:E203"/>
    <mergeCell ref="C204:E204"/>
    <mergeCell ref="C205:E205"/>
    <mergeCell ref="C197:E197"/>
    <mergeCell ref="C207:E207"/>
    <mergeCell ref="C208:E208"/>
    <mergeCell ref="C209:E209"/>
    <mergeCell ref="C234:E234"/>
    <mergeCell ref="C235:E235"/>
    <mergeCell ref="C236:E236"/>
    <mergeCell ref="C237:E237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10:E210"/>
    <mergeCell ref="C211:E211"/>
    <mergeCell ref="C212:E212"/>
    <mergeCell ref="C206:E206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98:E198"/>
    <mergeCell ref="C199:E199"/>
    <mergeCell ref="C200:E200"/>
    <mergeCell ref="C201:E201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202:E202"/>
    <mergeCell ref="C162:E162"/>
    <mergeCell ref="C163:E163"/>
    <mergeCell ref="C165:E165"/>
    <mergeCell ref="C166:E166"/>
    <mergeCell ref="C167:E167"/>
    <mergeCell ref="C168:E168"/>
    <mergeCell ref="C169:E169"/>
    <mergeCell ref="C170:E170"/>
    <mergeCell ref="C140:E140"/>
    <mergeCell ref="C141:E141"/>
    <mergeCell ref="C123:E123"/>
    <mergeCell ref="C124:E124"/>
    <mergeCell ref="C126:E126"/>
    <mergeCell ref="C127:E127"/>
    <mergeCell ref="C128:E128"/>
    <mergeCell ref="C129:E129"/>
    <mergeCell ref="C130:E130"/>
    <mergeCell ref="C152:E152"/>
    <mergeCell ref="C153:E153"/>
    <mergeCell ref="C154:E154"/>
    <mergeCell ref="C155:E155"/>
    <mergeCell ref="C156:E156"/>
    <mergeCell ref="C159:E159"/>
    <mergeCell ref="C160:E160"/>
    <mergeCell ref="C161:E161"/>
    <mergeCell ref="C142:E142"/>
    <mergeCell ref="C143:E143"/>
    <mergeCell ref="C146:E146"/>
    <mergeCell ref="C147:E147"/>
    <mergeCell ref="C148:E148"/>
    <mergeCell ref="C149:E149"/>
    <mergeCell ref="C150:E150"/>
    <mergeCell ref="C144:E144"/>
    <mergeCell ref="C117:E117"/>
    <mergeCell ref="C120:E120"/>
    <mergeCell ref="C121:E121"/>
    <mergeCell ref="C122:E122"/>
    <mergeCell ref="C103:E103"/>
    <mergeCell ref="C104:E104"/>
    <mergeCell ref="C107:E107"/>
    <mergeCell ref="C108:E108"/>
    <mergeCell ref="C109:E109"/>
    <mergeCell ref="C110:E110"/>
    <mergeCell ref="C111:E111"/>
    <mergeCell ref="C133:E133"/>
    <mergeCell ref="C134:E134"/>
    <mergeCell ref="C135:E135"/>
    <mergeCell ref="C136:E136"/>
    <mergeCell ref="C137:E137"/>
    <mergeCell ref="C139:E139"/>
    <mergeCell ref="C94:E94"/>
    <mergeCell ref="C95:E95"/>
    <mergeCell ref="C96:E96"/>
    <mergeCell ref="C97:E97"/>
    <mergeCell ref="C98:E98"/>
    <mergeCell ref="C100:E100"/>
    <mergeCell ref="C101:E101"/>
    <mergeCell ref="C102:E102"/>
    <mergeCell ref="C84:E84"/>
    <mergeCell ref="C85:E85"/>
    <mergeCell ref="C87:E87"/>
    <mergeCell ref="C88:E88"/>
    <mergeCell ref="C89:E89"/>
    <mergeCell ref="C90:E90"/>
    <mergeCell ref="C91:E91"/>
    <mergeCell ref="C113:E113"/>
    <mergeCell ref="C114:E114"/>
    <mergeCell ref="C92:E92"/>
    <mergeCell ref="C74:E74"/>
    <mergeCell ref="C75:E75"/>
    <mergeCell ref="C76:E76"/>
    <mergeCell ref="C77:E77"/>
    <mergeCell ref="C78:E78"/>
    <mergeCell ref="C64:E64"/>
    <mergeCell ref="C65:E65"/>
    <mergeCell ref="C68:E68"/>
    <mergeCell ref="C69:E69"/>
    <mergeCell ref="C70:E70"/>
    <mergeCell ref="C71:E71"/>
    <mergeCell ref="C72:E72"/>
    <mergeCell ref="A234:B234"/>
    <mergeCell ref="A235:B235"/>
    <mergeCell ref="A236:B236"/>
    <mergeCell ref="A237:B237"/>
    <mergeCell ref="A238:B238"/>
    <mergeCell ref="A220:B220"/>
    <mergeCell ref="A221:B221"/>
    <mergeCell ref="A222:B222"/>
    <mergeCell ref="A223:B223"/>
    <mergeCell ref="A224:B224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198:B198"/>
    <mergeCell ref="A239:B239"/>
    <mergeCell ref="A240:B240"/>
    <mergeCell ref="C26:E26"/>
    <mergeCell ref="C29:E29"/>
    <mergeCell ref="C30:E30"/>
    <mergeCell ref="C31:E31"/>
    <mergeCell ref="C32:E32"/>
    <mergeCell ref="C33:E33"/>
    <mergeCell ref="C35:E35"/>
    <mergeCell ref="C36:E36"/>
    <mergeCell ref="C37:E37"/>
    <mergeCell ref="C38:E38"/>
    <mergeCell ref="C39:E39"/>
    <mergeCell ref="C42:E42"/>
    <mergeCell ref="C43:E43"/>
    <mergeCell ref="C44:E4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C55:E55"/>
    <mergeCell ref="C56:E56"/>
    <mergeCell ref="C57:E57"/>
    <mergeCell ref="A233:B233"/>
    <mergeCell ref="A216:B216"/>
    <mergeCell ref="A217:B217"/>
    <mergeCell ref="A218:B218"/>
    <mergeCell ref="A219:B219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35:B135"/>
    <mergeCell ref="A136:B136"/>
    <mergeCell ref="A137:B137"/>
    <mergeCell ref="A139:B139"/>
    <mergeCell ref="A140:B140"/>
    <mergeCell ref="A141:B141"/>
    <mergeCell ref="A162:B162"/>
    <mergeCell ref="A163:B163"/>
    <mergeCell ref="A165:B165"/>
    <mergeCell ref="A166:B166"/>
    <mergeCell ref="A167:B167"/>
    <mergeCell ref="A168:B168"/>
    <mergeCell ref="A169:B169"/>
    <mergeCell ref="A170:B170"/>
    <mergeCell ref="A152:B152"/>
    <mergeCell ref="A153:B153"/>
    <mergeCell ref="A154:B154"/>
    <mergeCell ref="A155:B155"/>
    <mergeCell ref="A156:B156"/>
    <mergeCell ref="A159:B159"/>
    <mergeCell ref="A160:B160"/>
    <mergeCell ref="A161:B161"/>
    <mergeCell ref="A103:B103"/>
    <mergeCell ref="A104:B104"/>
    <mergeCell ref="A107:B107"/>
    <mergeCell ref="A108:B108"/>
    <mergeCell ref="A109:B109"/>
    <mergeCell ref="A110:B110"/>
    <mergeCell ref="A111:B111"/>
    <mergeCell ref="A94:B94"/>
    <mergeCell ref="A95:B95"/>
    <mergeCell ref="A96:B96"/>
    <mergeCell ref="A97:B97"/>
    <mergeCell ref="A98:B98"/>
    <mergeCell ref="A100:B100"/>
    <mergeCell ref="A101:B101"/>
    <mergeCell ref="A102:B102"/>
    <mergeCell ref="A123:B123"/>
    <mergeCell ref="A124:B124"/>
    <mergeCell ref="A113:B113"/>
    <mergeCell ref="A114:B114"/>
    <mergeCell ref="A115:B115"/>
    <mergeCell ref="A116:B116"/>
    <mergeCell ref="A117:B117"/>
    <mergeCell ref="A120:B120"/>
    <mergeCell ref="A121:B121"/>
    <mergeCell ref="A122:B122"/>
    <mergeCell ref="A61:B61"/>
    <mergeCell ref="A62:B62"/>
    <mergeCell ref="A63:B63"/>
    <mergeCell ref="A84:B84"/>
    <mergeCell ref="A85:B85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81:B81"/>
    <mergeCell ref="A82:B82"/>
    <mergeCell ref="A83:B83"/>
    <mergeCell ref="A45:B45"/>
    <mergeCell ref="A46:B46"/>
    <mergeCell ref="A48:B48"/>
    <mergeCell ref="A49:B49"/>
    <mergeCell ref="A50:B50"/>
    <mergeCell ref="A51:B51"/>
    <mergeCell ref="A52:B52"/>
    <mergeCell ref="I235:K235"/>
    <mergeCell ref="I236:K236"/>
    <mergeCell ref="I237:K237"/>
    <mergeCell ref="I238:K238"/>
    <mergeCell ref="I239:K239"/>
    <mergeCell ref="I240:K240"/>
    <mergeCell ref="A24:B24"/>
    <mergeCell ref="A26:B26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2:B42"/>
    <mergeCell ref="A43:B43"/>
    <mergeCell ref="A64:B64"/>
    <mergeCell ref="A65:B65"/>
    <mergeCell ref="A68:B68"/>
    <mergeCell ref="A69:B69"/>
    <mergeCell ref="A70:B70"/>
    <mergeCell ref="A44:B44"/>
    <mergeCell ref="I226:K226"/>
    <mergeCell ref="I227:K227"/>
    <mergeCell ref="I228:K228"/>
    <mergeCell ref="I229:K229"/>
    <mergeCell ref="I230:K230"/>
    <mergeCell ref="I231:K231"/>
    <mergeCell ref="I232:K232"/>
    <mergeCell ref="I233:K233"/>
    <mergeCell ref="I234:K234"/>
    <mergeCell ref="I217:K217"/>
    <mergeCell ref="I218:K218"/>
    <mergeCell ref="I219:K219"/>
    <mergeCell ref="I220:K220"/>
    <mergeCell ref="I221:K221"/>
    <mergeCell ref="I222:K222"/>
    <mergeCell ref="I223:K223"/>
    <mergeCell ref="I224:K224"/>
    <mergeCell ref="I225:K225"/>
    <mergeCell ref="I208:K208"/>
    <mergeCell ref="I209:K209"/>
    <mergeCell ref="I210:K210"/>
    <mergeCell ref="I211:K211"/>
    <mergeCell ref="I212:K212"/>
    <mergeCell ref="I213:K213"/>
    <mergeCell ref="I214:K214"/>
    <mergeCell ref="I215:K215"/>
    <mergeCell ref="I216:K216"/>
    <mergeCell ref="I199:K199"/>
    <mergeCell ref="I200:K200"/>
    <mergeCell ref="I201:K201"/>
    <mergeCell ref="I202:K202"/>
    <mergeCell ref="I203:K203"/>
    <mergeCell ref="I204:K204"/>
    <mergeCell ref="I205:K205"/>
    <mergeCell ref="I206:K206"/>
    <mergeCell ref="I207:K207"/>
    <mergeCell ref="I190:K190"/>
    <mergeCell ref="I191:K191"/>
    <mergeCell ref="I192:K192"/>
    <mergeCell ref="I193:K193"/>
    <mergeCell ref="I194:K194"/>
    <mergeCell ref="I195:K195"/>
    <mergeCell ref="I196:K196"/>
    <mergeCell ref="I197:K197"/>
    <mergeCell ref="I198:K198"/>
    <mergeCell ref="I181:K181"/>
    <mergeCell ref="I182:K182"/>
    <mergeCell ref="I183:K183"/>
    <mergeCell ref="I184:K184"/>
    <mergeCell ref="I185:K185"/>
    <mergeCell ref="I186:K186"/>
    <mergeCell ref="I187:K187"/>
    <mergeCell ref="I188:K188"/>
    <mergeCell ref="I189:K189"/>
    <mergeCell ref="I172:K172"/>
    <mergeCell ref="I173:K173"/>
    <mergeCell ref="I174:K174"/>
    <mergeCell ref="I175:K175"/>
    <mergeCell ref="I176:K176"/>
    <mergeCell ref="I177:K177"/>
    <mergeCell ref="I178:K178"/>
    <mergeCell ref="I179:K179"/>
    <mergeCell ref="I180:K180"/>
    <mergeCell ref="I163:K163"/>
    <mergeCell ref="I165:K165"/>
    <mergeCell ref="I166:K166"/>
    <mergeCell ref="I167:K167"/>
    <mergeCell ref="I168:K168"/>
    <mergeCell ref="I169:K169"/>
    <mergeCell ref="I170:K170"/>
    <mergeCell ref="I171:K171"/>
    <mergeCell ref="I110:K110"/>
    <mergeCell ref="I111:K111"/>
    <mergeCell ref="I113:K113"/>
    <mergeCell ref="I134:K134"/>
    <mergeCell ref="I135:K135"/>
    <mergeCell ref="I136:K136"/>
    <mergeCell ref="I137:K137"/>
    <mergeCell ref="I139:K139"/>
    <mergeCell ref="I140:K140"/>
    <mergeCell ref="I141:K141"/>
    <mergeCell ref="I142:K142"/>
    <mergeCell ref="I124:K124"/>
    <mergeCell ref="I126:K126"/>
    <mergeCell ref="I127:K127"/>
    <mergeCell ref="I128:K128"/>
    <mergeCell ref="I129:K129"/>
    <mergeCell ref="I130:K130"/>
    <mergeCell ref="I133:K133"/>
    <mergeCell ref="I51:K51"/>
    <mergeCell ref="I52:K52"/>
    <mergeCell ref="I55:K55"/>
    <mergeCell ref="I75:K75"/>
    <mergeCell ref="I76:K76"/>
    <mergeCell ref="I77:K77"/>
    <mergeCell ref="I78:K78"/>
    <mergeCell ref="I81:K81"/>
    <mergeCell ref="I82:K82"/>
    <mergeCell ref="I83:K83"/>
    <mergeCell ref="I84:K84"/>
    <mergeCell ref="I65:K65"/>
    <mergeCell ref="I68:K68"/>
    <mergeCell ref="I69:K69"/>
    <mergeCell ref="I70:K70"/>
    <mergeCell ref="I71:K71"/>
    <mergeCell ref="I72:K72"/>
    <mergeCell ref="I74:K74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60:H160"/>
    <mergeCell ref="F161:H161"/>
    <mergeCell ref="F162:H162"/>
    <mergeCell ref="F163:H163"/>
    <mergeCell ref="F165:H165"/>
    <mergeCell ref="F166:H166"/>
    <mergeCell ref="F167:H167"/>
    <mergeCell ref="F168:H168"/>
    <mergeCell ref="F150:H150"/>
    <mergeCell ref="F152:H152"/>
    <mergeCell ref="F153:H153"/>
    <mergeCell ref="F154:H154"/>
    <mergeCell ref="F155:H155"/>
    <mergeCell ref="F156:H156"/>
    <mergeCell ref="F159:H159"/>
    <mergeCell ref="A151:Q151"/>
    <mergeCell ref="A158:Q158"/>
    <mergeCell ref="A164:Q164"/>
    <mergeCell ref="I153:K153"/>
    <mergeCell ref="I154:K154"/>
    <mergeCell ref="I155:K155"/>
    <mergeCell ref="I156:K156"/>
    <mergeCell ref="I159:K159"/>
    <mergeCell ref="I160:K160"/>
    <mergeCell ref="I161:K161"/>
    <mergeCell ref="I162:K162"/>
    <mergeCell ref="I150:K150"/>
    <mergeCell ref="I152:K152"/>
    <mergeCell ref="A150:B150"/>
    <mergeCell ref="L154:N154"/>
    <mergeCell ref="L155:N155"/>
    <mergeCell ref="L156:N156"/>
    <mergeCell ref="F140:H140"/>
    <mergeCell ref="F141:H141"/>
    <mergeCell ref="F142:H142"/>
    <mergeCell ref="F143:H143"/>
    <mergeCell ref="F146:H146"/>
    <mergeCell ref="F147:H147"/>
    <mergeCell ref="F148:H148"/>
    <mergeCell ref="F149:H149"/>
    <mergeCell ref="F130:H130"/>
    <mergeCell ref="F133:H133"/>
    <mergeCell ref="F134:H134"/>
    <mergeCell ref="F135:H135"/>
    <mergeCell ref="F136:H136"/>
    <mergeCell ref="F137:H137"/>
    <mergeCell ref="F139:H139"/>
    <mergeCell ref="A132:Q132"/>
    <mergeCell ref="A138:Q138"/>
    <mergeCell ref="A145:Q145"/>
    <mergeCell ref="I143:K143"/>
    <mergeCell ref="I146:K146"/>
    <mergeCell ref="I147:K147"/>
    <mergeCell ref="I148:K148"/>
    <mergeCell ref="I149:K149"/>
    <mergeCell ref="A130:B130"/>
    <mergeCell ref="A142:B142"/>
    <mergeCell ref="A143:B143"/>
    <mergeCell ref="A146:B146"/>
    <mergeCell ref="A147:B147"/>
    <mergeCell ref="A148:B148"/>
    <mergeCell ref="A149:B149"/>
    <mergeCell ref="A133:B133"/>
    <mergeCell ref="A134:B134"/>
    <mergeCell ref="F121:H121"/>
    <mergeCell ref="F122:H122"/>
    <mergeCell ref="F123:H123"/>
    <mergeCell ref="F124:H124"/>
    <mergeCell ref="F126:H126"/>
    <mergeCell ref="F127:H127"/>
    <mergeCell ref="F128:H128"/>
    <mergeCell ref="F129:H129"/>
    <mergeCell ref="F111:H111"/>
    <mergeCell ref="F113:H113"/>
    <mergeCell ref="F114:H114"/>
    <mergeCell ref="F115:H115"/>
    <mergeCell ref="F116:H116"/>
    <mergeCell ref="F117:H117"/>
    <mergeCell ref="F120:H120"/>
    <mergeCell ref="A112:Q112"/>
    <mergeCell ref="A119:Q119"/>
    <mergeCell ref="A125:Q125"/>
    <mergeCell ref="I114:K114"/>
    <mergeCell ref="I115:K115"/>
    <mergeCell ref="I116:K116"/>
    <mergeCell ref="I117:K117"/>
    <mergeCell ref="I120:K120"/>
    <mergeCell ref="I121:K121"/>
    <mergeCell ref="I122:K122"/>
    <mergeCell ref="I123:K123"/>
    <mergeCell ref="A126:B126"/>
    <mergeCell ref="A127:B127"/>
    <mergeCell ref="A128:B128"/>
    <mergeCell ref="A129:B129"/>
    <mergeCell ref="C115:E115"/>
    <mergeCell ref="C116:E116"/>
    <mergeCell ref="F101:H101"/>
    <mergeCell ref="F102:H102"/>
    <mergeCell ref="F103:H103"/>
    <mergeCell ref="F104:H104"/>
    <mergeCell ref="F107:H107"/>
    <mergeCell ref="F108:H108"/>
    <mergeCell ref="F109:H109"/>
    <mergeCell ref="F110:H110"/>
    <mergeCell ref="F91:H91"/>
    <mergeCell ref="F94:H94"/>
    <mergeCell ref="F95:H95"/>
    <mergeCell ref="F96:H96"/>
    <mergeCell ref="F97:H97"/>
    <mergeCell ref="F98:H98"/>
    <mergeCell ref="F100:H100"/>
    <mergeCell ref="A93:Q93"/>
    <mergeCell ref="A99:Q99"/>
    <mergeCell ref="A106:Q106"/>
    <mergeCell ref="I95:K95"/>
    <mergeCell ref="I96:K96"/>
    <mergeCell ref="I97:K97"/>
    <mergeCell ref="I98:K98"/>
    <mergeCell ref="I100:K100"/>
    <mergeCell ref="I101:K101"/>
    <mergeCell ref="I102:K102"/>
    <mergeCell ref="I103:K103"/>
    <mergeCell ref="I91:K91"/>
    <mergeCell ref="I94:K94"/>
    <mergeCell ref="I104:K104"/>
    <mergeCell ref="I107:K107"/>
    <mergeCell ref="I108:K108"/>
    <mergeCell ref="I109:K109"/>
    <mergeCell ref="F82:H82"/>
    <mergeCell ref="F83:H83"/>
    <mergeCell ref="F84:H84"/>
    <mergeCell ref="F85:H85"/>
    <mergeCell ref="F87:H87"/>
    <mergeCell ref="F88:H88"/>
    <mergeCell ref="F89:H89"/>
    <mergeCell ref="F90:H90"/>
    <mergeCell ref="F72:H72"/>
    <mergeCell ref="F74:H74"/>
    <mergeCell ref="F75:H75"/>
    <mergeCell ref="F76:H76"/>
    <mergeCell ref="F77:H77"/>
    <mergeCell ref="F78:H78"/>
    <mergeCell ref="F81:H81"/>
    <mergeCell ref="A73:Q73"/>
    <mergeCell ref="A80:Q80"/>
    <mergeCell ref="A86:Q86"/>
    <mergeCell ref="I85:K85"/>
    <mergeCell ref="I87:K87"/>
    <mergeCell ref="I88:K88"/>
    <mergeCell ref="I89:K89"/>
    <mergeCell ref="I90:K90"/>
    <mergeCell ref="A72:B72"/>
    <mergeCell ref="C81:E81"/>
    <mergeCell ref="C82:E82"/>
    <mergeCell ref="C83:E83"/>
    <mergeCell ref="L74:N74"/>
    <mergeCell ref="L75:N75"/>
    <mergeCell ref="L76:N76"/>
    <mergeCell ref="L77:N77"/>
    <mergeCell ref="L78:N78"/>
    <mergeCell ref="F62:H62"/>
    <mergeCell ref="F63:H63"/>
    <mergeCell ref="F64:H64"/>
    <mergeCell ref="F65:H65"/>
    <mergeCell ref="F68:H68"/>
    <mergeCell ref="F69:H69"/>
    <mergeCell ref="F70:H70"/>
    <mergeCell ref="F71:H71"/>
    <mergeCell ref="F52:H52"/>
    <mergeCell ref="F55:H55"/>
    <mergeCell ref="F56:H56"/>
    <mergeCell ref="F57:H57"/>
    <mergeCell ref="F58:H58"/>
    <mergeCell ref="F59:H59"/>
    <mergeCell ref="F61:H61"/>
    <mergeCell ref="A54:Q54"/>
    <mergeCell ref="A60:Q60"/>
    <mergeCell ref="A67:Q67"/>
    <mergeCell ref="I56:K56"/>
    <mergeCell ref="I57:K57"/>
    <mergeCell ref="I58:K58"/>
    <mergeCell ref="I59:K59"/>
    <mergeCell ref="I61:K61"/>
    <mergeCell ref="I62:K62"/>
    <mergeCell ref="I63:K63"/>
    <mergeCell ref="I64:K64"/>
    <mergeCell ref="A71:B71"/>
    <mergeCell ref="A55:B55"/>
    <mergeCell ref="A56:B56"/>
    <mergeCell ref="A57:B57"/>
    <mergeCell ref="A58:B58"/>
    <mergeCell ref="A59:B59"/>
    <mergeCell ref="F43:H43"/>
    <mergeCell ref="F44:H44"/>
    <mergeCell ref="F45:H45"/>
    <mergeCell ref="F46:H46"/>
    <mergeCell ref="F48:H48"/>
    <mergeCell ref="F49:H49"/>
    <mergeCell ref="F50:H50"/>
    <mergeCell ref="F51:H51"/>
    <mergeCell ref="F33:H33"/>
    <mergeCell ref="F35:H35"/>
    <mergeCell ref="F36:H36"/>
    <mergeCell ref="F37:H37"/>
    <mergeCell ref="F38:H38"/>
    <mergeCell ref="F39:H39"/>
    <mergeCell ref="F42:H42"/>
    <mergeCell ref="A34:Q34"/>
    <mergeCell ref="A41:Q41"/>
    <mergeCell ref="A47:Q47"/>
    <mergeCell ref="I36:K36"/>
    <mergeCell ref="I37:K37"/>
    <mergeCell ref="I38:K38"/>
    <mergeCell ref="I39:K39"/>
    <mergeCell ref="I42:K42"/>
    <mergeCell ref="I43:K43"/>
    <mergeCell ref="I44:K44"/>
    <mergeCell ref="I45:K45"/>
    <mergeCell ref="I33:K33"/>
    <mergeCell ref="I35:K35"/>
    <mergeCell ref="I46:K46"/>
    <mergeCell ref="I48:K48"/>
    <mergeCell ref="I49:K49"/>
    <mergeCell ref="I50:K50"/>
    <mergeCell ref="A12:B12"/>
    <mergeCell ref="A13:B13"/>
    <mergeCell ref="F26:H26"/>
    <mergeCell ref="F29:H29"/>
    <mergeCell ref="F30:H30"/>
    <mergeCell ref="F31:H31"/>
    <mergeCell ref="F32:H32"/>
    <mergeCell ref="A1:Q1"/>
    <mergeCell ref="F9:H9"/>
    <mergeCell ref="F16:H16"/>
    <mergeCell ref="O22:Q22"/>
    <mergeCell ref="O16:Q16"/>
    <mergeCell ref="O17:Q17"/>
    <mergeCell ref="O18:Q18"/>
    <mergeCell ref="O19:Q19"/>
    <mergeCell ref="O20:Q20"/>
    <mergeCell ref="O9:Q9"/>
    <mergeCell ref="O10:Q10"/>
    <mergeCell ref="O11:Q11"/>
    <mergeCell ref="O12:Q12"/>
    <mergeCell ref="O13:Q13"/>
    <mergeCell ref="A8:Q8"/>
    <mergeCell ref="I26:K26"/>
    <mergeCell ref="I29:K29"/>
    <mergeCell ref="I30:K30"/>
    <mergeCell ref="I31:K31"/>
    <mergeCell ref="I32:K32"/>
    <mergeCell ref="A28:Q28"/>
    <mergeCell ref="C14:E14"/>
    <mergeCell ref="F14:H14"/>
    <mergeCell ref="I14:K14"/>
    <mergeCell ref="L14:N14"/>
    <mergeCell ref="L25:N25"/>
    <mergeCell ref="L19:N19"/>
    <mergeCell ref="L20:N20"/>
    <mergeCell ref="F22:H22"/>
    <mergeCell ref="L9:N9"/>
    <mergeCell ref="L10:N10"/>
    <mergeCell ref="L11:N11"/>
    <mergeCell ref="L12:N12"/>
    <mergeCell ref="L13:N13"/>
    <mergeCell ref="I22:K22"/>
    <mergeCell ref="A2:Q2"/>
    <mergeCell ref="O3:Q3"/>
    <mergeCell ref="O4:Q4"/>
    <mergeCell ref="O5:Q5"/>
    <mergeCell ref="O6:Q6"/>
    <mergeCell ref="O7:Q7"/>
    <mergeCell ref="L16:N16"/>
    <mergeCell ref="L17:N17"/>
    <mergeCell ref="L18:N18"/>
    <mergeCell ref="F3:H3"/>
    <mergeCell ref="F4:H4"/>
    <mergeCell ref="F5:H5"/>
    <mergeCell ref="F6:H6"/>
    <mergeCell ref="F7:H7"/>
    <mergeCell ref="C16:E16"/>
    <mergeCell ref="C17:E17"/>
    <mergeCell ref="C18:E18"/>
    <mergeCell ref="C9:E9"/>
    <mergeCell ref="C10:E10"/>
    <mergeCell ref="C11:E11"/>
    <mergeCell ref="C12:E12"/>
    <mergeCell ref="C13:E13"/>
    <mergeCell ref="I4:K4"/>
    <mergeCell ref="I5:K5"/>
    <mergeCell ref="I6:K6"/>
    <mergeCell ref="I7:K7"/>
    <mergeCell ref="F17:H17"/>
    <mergeCell ref="F18:H18"/>
    <mergeCell ref="F19:H19"/>
    <mergeCell ref="F20:H20"/>
    <mergeCell ref="F10:H10"/>
    <mergeCell ref="F11:H11"/>
    <mergeCell ref="F12:H12"/>
    <mergeCell ref="F13:H13"/>
    <mergeCell ref="I23:K23"/>
    <mergeCell ref="I24:K24"/>
    <mergeCell ref="I25:K25"/>
    <mergeCell ref="L4:N4"/>
    <mergeCell ref="L5:N5"/>
    <mergeCell ref="L6:N6"/>
    <mergeCell ref="L7:N7"/>
    <mergeCell ref="I16:K16"/>
    <mergeCell ref="I17:K17"/>
    <mergeCell ref="I18:K18"/>
    <mergeCell ref="I19:K19"/>
    <mergeCell ref="I20:K20"/>
    <mergeCell ref="I9:K9"/>
    <mergeCell ref="I10:K10"/>
    <mergeCell ref="I11:K11"/>
    <mergeCell ref="I12:K12"/>
    <mergeCell ref="I13:K13"/>
    <mergeCell ref="L22:N22"/>
    <mergeCell ref="L23:N23"/>
    <mergeCell ref="L24:N24"/>
    <mergeCell ref="A3:B3"/>
    <mergeCell ref="A4:B4"/>
    <mergeCell ref="C22:E22"/>
    <mergeCell ref="C23:E23"/>
    <mergeCell ref="C24:E24"/>
    <mergeCell ref="C25:E25"/>
    <mergeCell ref="C19:E19"/>
    <mergeCell ref="C20:E20"/>
    <mergeCell ref="A5:B5"/>
    <mergeCell ref="A6:B6"/>
    <mergeCell ref="A7:B7"/>
    <mergeCell ref="L3:N3"/>
    <mergeCell ref="A22:B22"/>
    <mergeCell ref="A23:B23"/>
    <mergeCell ref="A25:B25"/>
    <mergeCell ref="C3:E3"/>
    <mergeCell ref="C4:E4"/>
    <mergeCell ref="C5:E5"/>
    <mergeCell ref="C6:E6"/>
    <mergeCell ref="C7:E7"/>
    <mergeCell ref="A16:B16"/>
    <mergeCell ref="A17:B17"/>
    <mergeCell ref="A18:B18"/>
    <mergeCell ref="A19:B19"/>
    <mergeCell ref="A20:B20"/>
    <mergeCell ref="A9:B9"/>
    <mergeCell ref="A10:B10"/>
    <mergeCell ref="A11:B11"/>
    <mergeCell ref="F23:H23"/>
    <mergeCell ref="F24:H24"/>
    <mergeCell ref="F25:H25"/>
    <mergeCell ref="I3:K3"/>
  </mergeCells>
  <pageMargins left="0.511811024" right="0.511811024" top="0.78740157499999996" bottom="0.78740157499999996" header="0.31496062000000002" footer="0.31496062000000002"/>
  <ignoredErrors>
    <ignoredError sqref="L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"/>
  <sheetViews>
    <sheetView workbookViewId="0">
      <selection activeCell="C5" sqref="C5"/>
    </sheetView>
  </sheetViews>
  <sheetFormatPr defaultRowHeight="15" x14ac:dyDescent="0.2"/>
  <cols>
    <col min="1" max="1" width="19.50390625" customWidth="1"/>
    <col min="2" max="2" width="21.7890625" customWidth="1"/>
    <col min="3" max="3" width="23.40625" customWidth="1"/>
  </cols>
  <sheetData>
    <row r="1" spans="1:18" x14ac:dyDescent="0.2">
      <c r="A1" s="158" t="s">
        <v>138</v>
      </c>
      <c r="B1" s="158"/>
    </row>
    <row r="2" spans="1:18" x14ac:dyDescent="0.2">
      <c r="A2" s="158"/>
      <c r="B2" s="158"/>
    </row>
    <row r="3" spans="1:18" x14ac:dyDescent="0.2">
      <c r="A3" s="43" t="s">
        <v>139</v>
      </c>
      <c r="B3" s="44" t="s">
        <v>140</v>
      </c>
    </row>
    <row r="4" spans="1:18" x14ac:dyDescent="0.2">
      <c r="A4" s="45" t="s">
        <v>141</v>
      </c>
      <c r="B4" s="46">
        <v>150000000</v>
      </c>
    </row>
    <row r="5" spans="1:18" x14ac:dyDescent="0.2">
      <c r="A5" s="45" t="s">
        <v>142</v>
      </c>
      <c r="B5" s="46">
        <v>100000000</v>
      </c>
      <c r="C5" s="105">
        <f>SUM(B4:B6)</f>
        <v>330000000</v>
      </c>
    </row>
    <row r="6" spans="1:18" x14ac:dyDescent="0.2">
      <c r="A6" s="47" t="s">
        <v>143</v>
      </c>
      <c r="B6" s="48">
        <v>80000000</v>
      </c>
    </row>
    <row r="7" spans="1:18" x14ac:dyDescent="0.2">
      <c r="A7" s="159" t="s">
        <v>144</v>
      </c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</row>
    <row r="8" spans="1:18" x14ac:dyDescent="0.2">
      <c r="A8" s="160" t="s">
        <v>257</v>
      </c>
      <c r="B8" s="161"/>
      <c r="C8" s="162"/>
    </row>
    <row r="9" spans="1:18" x14ac:dyDescent="0.2">
      <c r="A9" s="83" t="s">
        <v>202</v>
      </c>
      <c r="B9" s="86">
        <v>6521739.1299999999</v>
      </c>
      <c r="C9" s="84"/>
    </row>
    <row r="10" spans="1:18" x14ac:dyDescent="0.2">
      <c r="A10" s="83" t="s">
        <v>203</v>
      </c>
      <c r="B10" s="86">
        <v>6521739.1299999999</v>
      </c>
      <c r="C10" s="84"/>
    </row>
    <row r="11" spans="1:18" x14ac:dyDescent="0.2">
      <c r="A11" s="83" t="s">
        <v>204</v>
      </c>
      <c r="B11" s="86">
        <v>6521739.1299999999</v>
      </c>
      <c r="C11" s="84"/>
    </row>
    <row r="12" spans="1:18" x14ac:dyDescent="0.2">
      <c r="A12" s="83" t="s">
        <v>205</v>
      </c>
      <c r="B12" s="86">
        <v>6521739.1299999999</v>
      </c>
      <c r="C12" s="84"/>
    </row>
    <row r="13" spans="1:18" x14ac:dyDescent="0.2">
      <c r="A13" s="83" t="s">
        <v>206</v>
      </c>
      <c r="B13" s="86">
        <v>6521739.1299999999</v>
      </c>
      <c r="C13" s="84"/>
    </row>
    <row r="14" spans="1:18" x14ac:dyDescent="0.2">
      <c r="A14" s="83" t="s">
        <v>252</v>
      </c>
      <c r="B14" s="86">
        <v>6521739.1299999999</v>
      </c>
      <c r="C14" s="84"/>
    </row>
    <row r="15" spans="1:18" x14ac:dyDescent="0.2">
      <c r="A15" s="83" t="s">
        <v>253</v>
      </c>
      <c r="B15" s="86">
        <v>6521739.1299999999</v>
      </c>
      <c r="C15" s="84"/>
    </row>
    <row r="16" spans="1:18" x14ac:dyDescent="0.2">
      <c r="A16" s="83" t="s">
        <v>207</v>
      </c>
      <c r="B16" s="86">
        <v>6521739.1299999999</v>
      </c>
      <c r="C16" s="84"/>
    </row>
    <row r="17" spans="1:3" x14ac:dyDescent="0.2">
      <c r="A17" s="98" t="s">
        <v>208</v>
      </c>
      <c r="B17" s="86">
        <v>6521739.1299999999</v>
      </c>
      <c r="C17" s="98"/>
    </row>
    <row r="18" spans="1:3" x14ac:dyDescent="0.2">
      <c r="A18" s="98" t="s">
        <v>209</v>
      </c>
      <c r="B18" s="86">
        <v>6521739.1299999999</v>
      </c>
      <c r="C18" s="98"/>
    </row>
    <row r="19" spans="1:3" x14ac:dyDescent="0.2">
      <c r="A19" s="98" t="s">
        <v>210</v>
      </c>
      <c r="B19" s="86">
        <v>6521739.1299999999</v>
      </c>
      <c r="C19" s="98"/>
    </row>
    <row r="20" spans="1:3" x14ac:dyDescent="0.2">
      <c r="A20" s="98" t="s">
        <v>211</v>
      </c>
      <c r="B20" s="86">
        <v>6521739.1299999999</v>
      </c>
      <c r="C20" s="98"/>
    </row>
    <row r="21" spans="1:3" x14ac:dyDescent="0.2">
      <c r="A21" s="98" t="s">
        <v>212</v>
      </c>
      <c r="B21" s="86">
        <v>6521739.1299999999</v>
      </c>
      <c r="C21" s="98"/>
    </row>
    <row r="22" spans="1:3" x14ac:dyDescent="0.2">
      <c r="A22" s="98" t="s">
        <v>213</v>
      </c>
      <c r="B22" s="86">
        <v>6521739.1299999999</v>
      </c>
      <c r="C22" s="98"/>
    </row>
    <row r="23" spans="1:3" x14ac:dyDescent="0.2">
      <c r="A23" s="98" t="s">
        <v>214</v>
      </c>
      <c r="B23" s="86">
        <v>6521739.1299999999</v>
      </c>
      <c r="C23" s="98"/>
    </row>
    <row r="24" spans="1:3" x14ac:dyDescent="0.2">
      <c r="A24" s="98" t="s">
        <v>215</v>
      </c>
      <c r="B24" s="86">
        <v>6521739.1299999999</v>
      </c>
      <c r="C24" s="98"/>
    </row>
    <row r="25" spans="1:3" x14ac:dyDescent="0.2">
      <c r="A25" s="98" t="s">
        <v>216</v>
      </c>
      <c r="B25" s="86">
        <v>6521739.1299999999</v>
      </c>
      <c r="C25" s="98"/>
    </row>
    <row r="26" spans="1:3" x14ac:dyDescent="0.2">
      <c r="A26" s="98" t="s">
        <v>217</v>
      </c>
      <c r="B26" s="86">
        <v>6521739.1299999999</v>
      </c>
      <c r="C26" s="98"/>
    </row>
    <row r="27" spans="1:3" x14ac:dyDescent="0.2">
      <c r="A27" s="98" t="s">
        <v>218</v>
      </c>
      <c r="B27" s="86">
        <v>6521739.1299999999</v>
      </c>
      <c r="C27" s="98"/>
    </row>
    <row r="28" spans="1:3" x14ac:dyDescent="0.2">
      <c r="A28" s="98" t="s">
        <v>254</v>
      </c>
      <c r="B28" s="86">
        <v>6521739.1299999999</v>
      </c>
      <c r="C28" s="98"/>
    </row>
    <row r="29" spans="1:3" x14ac:dyDescent="0.2">
      <c r="A29" s="98" t="s">
        <v>255</v>
      </c>
      <c r="B29" s="86">
        <v>6521739.1299999999</v>
      </c>
      <c r="C29" s="98"/>
    </row>
    <row r="30" spans="1:3" x14ac:dyDescent="0.2">
      <c r="A30" s="98" t="s">
        <v>219</v>
      </c>
      <c r="B30" s="86">
        <v>6521739.1299999999</v>
      </c>
      <c r="C30" s="98"/>
    </row>
    <row r="31" spans="1:3" x14ac:dyDescent="0.2">
      <c r="A31" t="s">
        <v>56</v>
      </c>
      <c r="B31" s="88">
        <f>SUM(B9:B30)</f>
        <v>143478260.85999995</v>
      </c>
    </row>
    <row r="33" spans="1:3" x14ac:dyDescent="0.2">
      <c r="A33" s="154" t="s">
        <v>142</v>
      </c>
      <c r="B33" s="155"/>
      <c r="C33" s="156"/>
    </row>
    <row r="34" spans="1:3" x14ac:dyDescent="0.2">
      <c r="A34" s="82" t="s">
        <v>220</v>
      </c>
      <c r="B34" s="87">
        <v>14285714.279999999</v>
      </c>
      <c r="C34" s="82"/>
    </row>
    <row r="35" spans="1:3" x14ac:dyDescent="0.2">
      <c r="A35" s="82" t="s">
        <v>221</v>
      </c>
      <c r="B35" s="87">
        <v>14285714.279999999</v>
      </c>
      <c r="C35" s="82"/>
    </row>
    <row r="36" spans="1:3" x14ac:dyDescent="0.2">
      <c r="A36" s="82" t="s">
        <v>222</v>
      </c>
      <c r="B36" s="87">
        <v>14285714.279999999</v>
      </c>
      <c r="C36" s="82"/>
    </row>
    <row r="37" spans="1:3" x14ac:dyDescent="0.2">
      <c r="A37" s="82" t="s">
        <v>223</v>
      </c>
      <c r="B37" s="87">
        <v>14285714.279999999</v>
      </c>
      <c r="C37" s="82"/>
    </row>
    <row r="38" spans="1:3" x14ac:dyDescent="0.2">
      <c r="A38" s="82" t="s">
        <v>225</v>
      </c>
      <c r="B38" s="87">
        <v>14285714.279999999</v>
      </c>
      <c r="C38" s="82"/>
    </row>
    <row r="39" spans="1:3" x14ac:dyDescent="0.2">
      <c r="A39" s="82" t="s">
        <v>224</v>
      </c>
      <c r="B39" s="87">
        <v>14285714.279999999</v>
      </c>
      <c r="C39" s="82"/>
    </row>
    <row r="40" spans="1:3" x14ac:dyDescent="0.2">
      <c r="A40" s="82" t="s">
        <v>226</v>
      </c>
      <c r="B40" s="87">
        <v>14285714.279999999</v>
      </c>
      <c r="C40" s="82"/>
    </row>
    <row r="41" spans="1:3" x14ac:dyDescent="0.2">
      <c r="A41" t="s">
        <v>56</v>
      </c>
      <c r="B41" s="88">
        <f>SUM(B34:B40)</f>
        <v>99999999.959999993</v>
      </c>
    </row>
    <row r="42" spans="1:3" x14ac:dyDescent="0.2">
      <c r="A42" s="157" t="s">
        <v>258</v>
      </c>
      <c r="B42" s="157"/>
      <c r="C42" s="157"/>
    </row>
    <row r="43" spans="1:3" x14ac:dyDescent="0.2">
      <c r="A43" s="99" t="s">
        <v>227</v>
      </c>
      <c r="B43" s="100">
        <v>8000000</v>
      </c>
      <c r="C43" s="99"/>
    </row>
    <row r="44" spans="1:3" x14ac:dyDescent="0.2">
      <c r="A44" s="99" t="s">
        <v>228</v>
      </c>
      <c r="B44" s="100">
        <v>8000000</v>
      </c>
      <c r="C44" s="99"/>
    </row>
    <row r="45" spans="1:3" x14ac:dyDescent="0.2">
      <c r="A45" s="99" t="s">
        <v>256</v>
      </c>
      <c r="B45" s="100">
        <v>8000000</v>
      </c>
      <c r="C45" s="99"/>
    </row>
    <row r="46" spans="1:3" x14ac:dyDescent="0.2">
      <c r="A46" s="99" t="s">
        <v>229</v>
      </c>
      <c r="B46" s="100">
        <v>8000000</v>
      </c>
      <c r="C46" s="99"/>
    </row>
    <row r="47" spans="1:3" x14ac:dyDescent="0.2">
      <c r="A47" s="99" t="s">
        <v>230</v>
      </c>
      <c r="B47" s="100">
        <v>8000000</v>
      </c>
      <c r="C47" s="99"/>
    </row>
    <row r="48" spans="1:3" x14ac:dyDescent="0.2">
      <c r="A48" s="99" t="s">
        <v>231</v>
      </c>
      <c r="B48" s="100">
        <v>8000000</v>
      </c>
      <c r="C48" s="99"/>
    </row>
    <row r="49" spans="1:3" x14ac:dyDescent="0.2">
      <c r="A49" s="99" t="s">
        <v>232</v>
      </c>
      <c r="B49" s="100">
        <v>8000000</v>
      </c>
      <c r="C49" s="99"/>
    </row>
    <row r="50" spans="1:3" x14ac:dyDescent="0.2">
      <c r="A50" s="99" t="s">
        <v>233</v>
      </c>
      <c r="B50" s="100">
        <v>8000000</v>
      </c>
      <c r="C50" s="99"/>
    </row>
    <row r="51" spans="1:3" x14ac:dyDescent="0.2">
      <c r="A51" s="99" t="s">
        <v>234</v>
      </c>
      <c r="B51" s="100">
        <v>8000000</v>
      </c>
      <c r="C51" s="99"/>
    </row>
    <row r="52" spans="1:3" x14ac:dyDescent="0.2">
      <c r="A52" s="99" t="s">
        <v>235</v>
      </c>
      <c r="B52" s="100">
        <v>8000000</v>
      </c>
      <c r="C52" s="99"/>
    </row>
    <row r="53" spans="1:3" x14ac:dyDescent="0.2">
      <c r="A53" t="s">
        <v>56</v>
      </c>
      <c r="B53" s="88">
        <f>SUM(B43:B52)</f>
        <v>80000000</v>
      </c>
    </row>
    <row r="54" spans="1:3" x14ac:dyDescent="0.2">
      <c r="A54" s="89" t="s">
        <v>245</v>
      </c>
      <c r="B54" s="90">
        <f>B31+B41+B53</f>
        <v>323478260.81999993</v>
      </c>
    </row>
  </sheetData>
  <mergeCells count="5">
    <mergeCell ref="A33:C33"/>
    <mergeCell ref="A42:C42"/>
    <mergeCell ref="A1:B2"/>
    <mergeCell ref="A7:R7"/>
    <mergeCell ref="A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activeCell="C25" sqref="C25"/>
    </sheetView>
  </sheetViews>
  <sheetFormatPr defaultRowHeight="15" x14ac:dyDescent="0.2"/>
  <cols>
    <col min="1" max="1" width="16.8125" customWidth="1"/>
    <col min="2" max="2" width="15.87109375" bestFit="1" customWidth="1"/>
    <col min="3" max="3" width="21.65625" customWidth="1"/>
    <col min="4" max="4" width="18.29296875" customWidth="1"/>
  </cols>
  <sheetData>
    <row r="1" spans="1:14" x14ac:dyDescent="0.2">
      <c r="A1" s="163" t="s">
        <v>145</v>
      </c>
      <c r="B1" s="163"/>
      <c r="C1" s="163"/>
    </row>
    <row r="2" spans="1:14" x14ac:dyDescent="0.2">
      <c r="A2" s="49" t="s">
        <v>146</v>
      </c>
      <c r="B2" s="50"/>
      <c r="C2" s="50"/>
    </row>
    <row r="3" spans="1:14" x14ac:dyDescent="0.2">
      <c r="A3" s="50"/>
      <c r="B3" s="50"/>
      <c r="C3" s="50"/>
    </row>
    <row r="4" spans="1:14" ht="41.25" x14ac:dyDescent="0.2">
      <c r="A4" s="51" t="s">
        <v>147</v>
      </c>
      <c r="B4" s="51" t="s">
        <v>148</v>
      </c>
      <c r="C4" s="51" t="s">
        <v>149</v>
      </c>
    </row>
    <row r="5" spans="1:14" x14ac:dyDescent="0.2">
      <c r="A5" s="52">
        <v>25</v>
      </c>
      <c r="B5" s="53">
        <v>525000</v>
      </c>
      <c r="C5" s="53">
        <v>14437</v>
      </c>
    </row>
    <row r="6" spans="1:14" x14ac:dyDescent="0.2">
      <c r="A6" s="52">
        <v>50</v>
      </c>
      <c r="B6" s="53">
        <v>1050000</v>
      </c>
      <c r="C6" s="53">
        <v>36540</v>
      </c>
    </row>
    <row r="7" spans="1:14" x14ac:dyDescent="0.2">
      <c r="A7" s="52">
        <v>100</v>
      </c>
      <c r="B7" s="53">
        <v>2100000</v>
      </c>
      <c r="C7" s="53">
        <v>95550</v>
      </c>
    </row>
    <row r="8" spans="1:14" x14ac:dyDescent="0.2">
      <c r="A8" s="52">
        <v>150</v>
      </c>
      <c r="B8" s="53">
        <v>3150000</v>
      </c>
      <c r="C8" s="53">
        <v>200812</v>
      </c>
    </row>
    <row r="9" spans="1:14" x14ac:dyDescent="0.2">
      <c r="A9" s="52">
        <v>200</v>
      </c>
      <c r="B9" s="53">
        <v>4200000</v>
      </c>
      <c r="C9" s="53">
        <v>311220</v>
      </c>
    </row>
    <row r="10" spans="1:14" x14ac:dyDescent="0.2">
      <c r="A10" s="52">
        <v>250</v>
      </c>
      <c r="B10" s="53">
        <v>5250000</v>
      </c>
      <c r="C10" s="53">
        <v>406455</v>
      </c>
    </row>
    <row r="11" spans="1:14" x14ac:dyDescent="0.2">
      <c r="A11" s="52">
        <v>300</v>
      </c>
      <c r="B11" s="53">
        <v>6300000</v>
      </c>
      <c r="C11" s="53">
        <v>517954</v>
      </c>
    </row>
    <row r="12" spans="1:14" x14ac:dyDescent="0.2">
      <c r="A12" s="52">
        <v>350</v>
      </c>
      <c r="B12" s="53">
        <v>7350000</v>
      </c>
      <c r="C12" s="53">
        <v>637245</v>
      </c>
    </row>
    <row r="13" spans="1:14" x14ac:dyDescent="0.2">
      <c r="A13" s="52">
        <v>400</v>
      </c>
      <c r="B13" s="53">
        <v>8400000</v>
      </c>
      <c r="C13" s="53">
        <v>778680</v>
      </c>
    </row>
    <row r="14" spans="1:14" x14ac:dyDescent="0.2">
      <c r="A14" s="117" t="s">
        <v>145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</row>
    <row r="15" spans="1:14" x14ac:dyDescent="0.2">
      <c r="A15" s="110" t="s">
        <v>238</v>
      </c>
      <c r="B15" s="110"/>
      <c r="C15" s="38" t="s">
        <v>239</v>
      </c>
      <c r="D15" s="38" t="s">
        <v>240</v>
      </c>
      <c r="E15" s="110" t="s">
        <v>241</v>
      </c>
      <c r="F15" s="110"/>
    </row>
    <row r="16" spans="1:14" x14ac:dyDescent="0.2">
      <c r="A16" s="110">
        <v>25</v>
      </c>
      <c r="B16" s="110"/>
      <c r="C16" s="38" t="s">
        <v>242</v>
      </c>
      <c r="D16" s="91">
        <v>525000</v>
      </c>
      <c r="E16" s="118">
        <v>14437</v>
      </c>
      <c r="F16" s="118"/>
    </row>
    <row r="17" spans="1:6" x14ac:dyDescent="0.2">
      <c r="A17" s="110">
        <v>25</v>
      </c>
      <c r="B17" s="110"/>
      <c r="C17" s="38" t="s">
        <v>142</v>
      </c>
      <c r="D17" s="91">
        <v>525000</v>
      </c>
      <c r="E17" s="118">
        <v>14437</v>
      </c>
      <c r="F17" s="118"/>
    </row>
    <row r="18" spans="1:6" x14ac:dyDescent="0.2">
      <c r="A18" s="110">
        <v>25</v>
      </c>
      <c r="B18" s="110"/>
      <c r="C18" s="38" t="s">
        <v>244</v>
      </c>
      <c r="D18" s="91">
        <v>525000</v>
      </c>
      <c r="E18" s="118">
        <v>14437</v>
      </c>
      <c r="F18" s="118"/>
    </row>
    <row r="19" spans="1:6" x14ac:dyDescent="0.2">
      <c r="A19" s="110">
        <v>100</v>
      </c>
      <c r="B19" s="110"/>
      <c r="C19" s="38" t="s">
        <v>243</v>
      </c>
      <c r="D19" s="91">
        <v>2100000</v>
      </c>
      <c r="E19" s="118">
        <v>95550</v>
      </c>
      <c r="F19" s="118"/>
    </row>
    <row r="20" spans="1:6" x14ac:dyDescent="0.2">
      <c r="A20" s="117">
        <f>SUM(A16:B19)</f>
        <v>175</v>
      </c>
      <c r="B20" s="117"/>
      <c r="D20" s="40">
        <f>SUM(D16:D19)</f>
        <v>3675000</v>
      </c>
      <c r="E20" s="146">
        <f>SUM(E16:F19)</f>
        <v>138861</v>
      </c>
      <c r="F20" s="117"/>
    </row>
    <row r="21" spans="1:6" x14ac:dyDescent="0.2">
      <c r="A21" s="117"/>
      <c r="B21" s="117"/>
      <c r="E21" s="117"/>
      <c r="F21" s="117"/>
    </row>
    <row r="22" spans="1:6" x14ac:dyDescent="0.2">
      <c r="A22" s="117"/>
      <c r="B22" s="117"/>
      <c r="E22" s="117"/>
      <c r="F22" s="117"/>
    </row>
    <row r="23" spans="1:6" x14ac:dyDescent="0.2">
      <c r="A23" s="117"/>
      <c r="B23" s="117"/>
      <c r="E23" s="117"/>
      <c r="F23" s="117"/>
    </row>
    <row r="24" spans="1:6" x14ac:dyDescent="0.2">
      <c r="A24" s="117"/>
      <c r="B24" s="117"/>
      <c r="E24" s="117"/>
      <c r="F24" s="117"/>
    </row>
    <row r="25" spans="1:6" x14ac:dyDescent="0.2">
      <c r="A25" s="117"/>
      <c r="B25" s="117"/>
      <c r="E25" s="117"/>
      <c r="F25" s="117"/>
    </row>
    <row r="26" spans="1:6" x14ac:dyDescent="0.2">
      <c r="A26" s="117"/>
      <c r="B26" s="117"/>
      <c r="E26" s="117"/>
      <c r="F26" s="117"/>
    </row>
  </sheetData>
  <mergeCells count="26">
    <mergeCell ref="E25:F25"/>
    <mergeCell ref="A25:B25"/>
    <mergeCell ref="A26:B26"/>
    <mergeCell ref="E26:F26"/>
    <mergeCell ref="E20:F20"/>
    <mergeCell ref="E21:F21"/>
    <mergeCell ref="E22:F22"/>
    <mergeCell ref="E23:F23"/>
    <mergeCell ref="E24:F24"/>
    <mergeCell ref="A21:B21"/>
    <mergeCell ref="A22:B22"/>
    <mergeCell ref="A23:B23"/>
    <mergeCell ref="A24:B24"/>
    <mergeCell ref="E17:F17"/>
    <mergeCell ref="E18:F18"/>
    <mergeCell ref="E19:F19"/>
    <mergeCell ref="A20:B20"/>
    <mergeCell ref="A16:B16"/>
    <mergeCell ref="A17:B17"/>
    <mergeCell ref="A18:B18"/>
    <mergeCell ref="A19:B19"/>
    <mergeCell ref="A1:C1"/>
    <mergeCell ref="A14:N14"/>
    <mergeCell ref="A15:B15"/>
    <mergeCell ref="E15:F15"/>
    <mergeCell ref="E16:F16"/>
  </mergeCell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>
      <selection activeCell="B22" sqref="B22"/>
    </sheetView>
  </sheetViews>
  <sheetFormatPr defaultRowHeight="15" x14ac:dyDescent="0.2"/>
  <cols>
    <col min="1" max="1" width="57.03515625" bestFit="1" customWidth="1"/>
    <col min="2" max="2" width="23.5390625" customWidth="1"/>
    <col min="3" max="3" width="18.4296875" customWidth="1"/>
    <col min="4" max="4" width="17.62109375" customWidth="1"/>
    <col min="5" max="5" width="10.22265625" customWidth="1"/>
    <col min="6" max="6" width="9.953125" customWidth="1"/>
  </cols>
  <sheetData>
    <row r="1" spans="1:6" x14ac:dyDescent="0.2">
      <c r="A1" s="164" t="s">
        <v>150</v>
      </c>
      <c r="B1" s="164"/>
      <c r="C1" s="164"/>
      <c r="D1" s="164"/>
    </row>
    <row r="2" spans="1:6" x14ac:dyDescent="0.2">
      <c r="A2" s="54" t="s">
        <v>151</v>
      </c>
      <c r="B2" s="55"/>
      <c r="C2" s="55"/>
      <c r="D2" s="55"/>
    </row>
    <row r="3" spans="1:6" x14ac:dyDescent="0.2">
      <c r="A3" s="55"/>
      <c r="B3" s="56" t="s">
        <v>152</v>
      </c>
      <c r="C3" s="56" t="s">
        <v>153</v>
      </c>
      <c r="D3" s="56" t="s">
        <v>154</v>
      </c>
    </row>
    <row r="4" spans="1:6" x14ac:dyDescent="0.2">
      <c r="A4" s="57" t="s">
        <v>155</v>
      </c>
      <c r="B4" s="58">
        <v>15000</v>
      </c>
      <c r="C4" s="58">
        <v>80000</v>
      </c>
      <c r="D4" s="58">
        <v>68500</v>
      </c>
    </row>
    <row r="5" spans="1:6" x14ac:dyDescent="0.2">
      <c r="A5" s="57" t="s">
        <v>156</v>
      </c>
      <c r="B5" s="58">
        <v>16000</v>
      </c>
      <c r="C5" s="58">
        <v>90000</v>
      </c>
      <c r="D5" s="58">
        <v>78500</v>
      </c>
    </row>
    <row r="6" spans="1:6" x14ac:dyDescent="0.2">
      <c r="A6" s="57" t="s">
        <v>157</v>
      </c>
      <c r="B6" s="58">
        <v>19000</v>
      </c>
      <c r="C6" s="58">
        <v>100000</v>
      </c>
      <c r="D6" s="58">
        <v>82500</v>
      </c>
    </row>
    <row r="7" spans="1:6" x14ac:dyDescent="0.2">
      <c r="A7" s="55"/>
      <c r="B7" s="55"/>
      <c r="C7" s="55"/>
      <c r="D7" s="55"/>
    </row>
    <row r="8" spans="1:6" x14ac:dyDescent="0.2">
      <c r="A8" s="54" t="s">
        <v>158</v>
      </c>
      <c r="B8" s="54"/>
      <c r="C8" s="59"/>
      <c r="D8" s="55"/>
    </row>
    <row r="9" spans="1:6" x14ac:dyDescent="0.2">
      <c r="A9" s="54" t="s">
        <v>159</v>
      </c>
      <c r="B9" s="54"/>
      <c r="C9" s="56"/>
      <c r="D9" s="60"/>
    </row>
    <row r="10" spans="1:6" x14ac:dyDescent="0.2">
      <c r="A10" s="54" t="s">
        <v>160</v>
      </c>
      <c r="B10" s="54"/>
      <c r="C10" s="59"/>
      <c r="D10" s="55"/>
    </row>
    <row r="12" spans="1:6" x14ac:dyDescent="0.2">
      <c r="A12" s="165" t="s">
        <v>150</v>
      </c>
      <c r="B12" s="166"/>
      <c r="C12" s="166"/>
      <c r="D12" s="166"/>
      <c r="E12" s="166"/>
      <c r="F12" s="166"/>
    </row>
    <row r="13" spans="1:6" x14ac:dyDescent="0.2">
      <c r="A13" s="93"/>
      <c r="B13" s="93" t="s">
        <v>247</v>
      </c>
      <c r="C13" s="56" t="s">
        <v>152</v>
      </c>
      <c r="D13" s="56" t="s">
        <v>153</v>
      </c>
      <c r="E13" s="164" t="s">
        <v>154</v>
      </c>
      <c r="F13" s="164"/>
    </row>
    <row r="14" spans="1:6" x14ac:dyDescent="0.2">
      <c r="A14" s="57" t="s">
        <v>155</v>
      </c>
      <c r="B14" s="35">
        <f>175/10</f>
        <v>17.5</v>
      </c>
      <c r="C14" s="92">
        <f>B4*18</f>
        <v>270000</v>
      </c>
      <c r="D14" s="92">
        <f>C4*18</f>
        <v>1440000</v>
      </c>
      <c r="E14" s="146">
        <f>D4*18</f>
        <v>1233000</v>
      </c>
      <c r="F14" s="117"/>
    </row>
    <row r="15" spans="1:6" x14ac:dyDescent="0.2">
      <c r="A15" s="57" t="s">
        <v>156</v>
      </c>
      <c r="B15">
        <f>175/5</f>
        <v>35</v>
      </c>
      <c r="C15" s="40">
        <f t="shared" ref="C15:E16" si="0">B5*35</f>
        <v>560000</v>
      </c>
      <c r="D15" s="40">
        <f t="shared" si="0"/>
        <v>3150000</v>
      </c>
      <c r="E15" s="146">
        <f t="shared" si="0"/>
        <v>2747500</v>
      </c>
      <c r="F15" s="117"/>
    </row>
    <row r="16" spans="1:6" x14ac:dyDescent="0.2">
      <c r="A16" s="57" t="s">
        <v>157</v>
      </c>
      <c r="B16">
        <f>175/5</f>
        <v>35</v>
      </c>
      <c r="C16" s="40">
        <f t="shared" si="0"/>
        <v>665000</v>
      </c>
      <c r="D16" s="40">
        <f t="shared" si="0"/>
        <v>3500000</v>
      </c>
      <c r="E16" s="146">
        <f t="shared" si="0"/>
        <v>2887500</v>
      </c>
      <c r="F16" s="117"/>
    </row>
    <row r="17" spans="3:6" x14ac:dyDescent="0.2">
      <c r="C17" s="40">
        <f>SUM(C14:C16)</f>
        <v>1495000</v>
      </c>
      <c r="D17" s="40">
        <f>SUM(D14:D16)</f>
        <v>8090000</v>
      </c>
      <c r="E17" s="146">
        <f>SUM(E14:F16)</f>
        <v>6868000</v>
      </c>
      <c r="F17" s="117"/>
    </row>
  </sheetData>
  <mergeCells count="7">
    <mergeCell ref="E16:F16"/>
    <mergeCell ref="E13:F13"/>
    <mergeCell ref="A12:F12"/>
    <mergeCell ref="E17:F17"/>
    <mergeCell ref="A1:D1"/>
    <mergeCell ref="E14:F14"/>
    <mergeCell ref="E15:F15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>
      <selection activeCell="C10" sqref="C10:D10"/>
    </sheetView>
  </sheetViews>
  <sheetFormatPr defaultRowHeight="15" x14ac:dyDescent="0.2"/>
  <cols>
    <col min="2" max="2" width="27.84375" customWidth="1"/>
    <col min="3" max="3" width="12.9140625" customWidth="1"/>
    <col min="5" max="5" width="10.625" bestFit="1" customWidth="1"/>
  </cols>
  <sheetData>
    <row r="1" spans="1:5" x14ac:dyDescent="0.2">
      <c r="A1" s="167" t="s">
        <v>161</v>
      </c>
      <c r="B1" s="167"/>
      <c r="C1" s="167"/>
    </row>
    <row r="2" spans="1:5" x14ac:dyDescent="0.2">
      <c r="A2" s="61"/>
      <c r="B2" s="62"/>
      <c r="C2" s="63"/>
    </row>
    <row r="3" spans="1:5" x14ac:dyDescent="0.2">
      <c r="A3" s="168" t="s">
        <v>162</v>
      </c>
      <c r="B3" s="168"/>
      <c r="C3" s="64" t="s">
        <v>163</v>
      </c>
    </row>
    <row r="4" spans="1:5" x14ac:dyDescent="0.2">
      <c r="A4" s="169" t="s">
        <v>164</v>
      </c>
      <c r="B4" s="169"/>
      <c r="C4" s="65">
        <v>219.9</v>
      </c>
    </row>
    <row r="5" spans="1:5" x14ac:dyDescent="0.2">
      <c r="A5" s="169" t="s">
        <v>165</v>
      </c>
      <c r="B5" s="169"/>
      <c r="C5" s="65">
        <v>149.9</v>
      </c>
    </row>
    <row r="6" spans="1:5" x14ac:dyDescent="0.2">
      <c r="A6" s="169" t="s">
        <v>166</v>
      </c>
      <c r="B6" s="169"/>
      <c r="C6" s="65">
        <v>99.9</v>
      </c>
    </row>
    <row r="7" spans="1:5" x14ac:dyDescent="0.2">
      <c r="A7" s="170" t="s">
        <v>167</v>
      </c>
      <c r="B7" s="170"/>
      <c r="C7" s="66">
        <v>59.9</v>
      </c>
    </row>
    <row r="9" spans="1:5" x14ac:dyDescent="0.2">
      <c r="A9" s="167"/>
      <c r="B9" s="167"/>
      <c r="C9" s="167"/>
    </row>
    <row r="10" spans="1:5" ht="42" customHeight="1" x14ac:dyDescent="0.2">
      <c r="A10" s="171"/>
      <c r="B10" s="171"/>
      <c r="C10" s="118"/>
      <c r="D10" s="118"/>
      <c r="E10" s="88"/>
    </row>
    <row r="11" spans="1:5" ht="42" customHeight="1" x14ac:dyDescent="0.2">
      <c r="A11" s="142"/>
      <c r="B11" s="143"/>
      <c r="C11" s="172"/>
      <c r="D11" s="173"/>
      <c r="E11" s="88"/>
    </row>
    <row r="12" spans="1:5" ht="42" customHeight="1" x14ac:dyDescent="0.2">
      <c r="A12" s="171"/>
      <c r="B12" s="171"/>
      <c r="C12" s="119"/>
      <c r="D12" s="119"/>
      <c r="E12" s="88"/>
    </row>
    <row r="13" spans="1:5" ht="42" customHeight="1" x14ac:dyDescent="0.2">
      <c r="A13" s="142"/>
      <c r="B13" s="143"/>
      <c r="C13" s="119"/>
      <c r="D13" s="119"/>
      <c r="E13" s="88"/>
    </row>
    <row r="14" spans="1:5" ht="42" customHeight="1" x14ac:dyDescent="0.2">
      <c r="A14" s="142"/>
      <c r="B14" s="143"/>
      <c r="C14" s="119"/>
      <c r="D14" s="119"/>
      <c r="E14" s="88"/>
    </row>
    <row r="15" spans="1:5" ht="42" customHeight="1" x14ac:dyDescent="0.2">
      <c r="A15" s="142"/>
      <c r="B15" s="143"/>
      <c r="C15" s="119"/>
      <c r="D15" s="119"/>
      <c r="E15" s="88"/>
    </row>
    <row r="16" spans="1:5" ht="42" customHeight="1" x14ac:dyDescent="0.2">
      <c r="A16" s="171"/>
      <c r="B16" s="171"/>
      <c r="C16" s="118"/>
      <c r="D16" s="118"/>
      <c r="E16" s="88"/>
    </row>
    <row r="17" spans="1:5" ht="42" customHeight="1" x14ac:dyDescent="0.2">
      <c r="A17" s="142"/>
      <c r="B17" s="143"/>
      <c r="C17" s="172"/>
      <c r="D17" s="173"/>
      <c r="E17" s="88"/>
    </row>
    <row r="18" spans="1:5" ht="42" customHeight="1" x14ac:dyDescent="0.2">
      <c r="A18" s="171"/>
      <c r="B18" s="171"/>
      <c r="C18" s="118"/>
      <c r="D18" s="118"/>
      <c r="E18" s="88"/>
    </row>
    <row r="19" spans="1:5" ht="42" customHeight="1" x14ac:dyDescent="0.2">
      <c r="A19" s="171"/>
      <c r="B19" s="171"/>
      <c r="C19" s="118"/>
      <c r="D19" s="118"/>
      <c r="E19" s="88"/>
    </row>
    <row r="20" spans="1:5" ht="42" customHeight="1" x14ac:dyDescent="0.2">
      <c r="A20" s="171"/>
      <c r="B20" s="171"/>
      <c r="C20" s="118"/>
      <c r="D20" s="118"/>
      <c r="E20" s="88"/>
    </row>
    <row r="21" spans="1:5" ht="42" customHeight="1" x14ac:dyDescent="0.2">
      <c r="A21" s="171"/>
      <c r="B21" s="171"/>
      <c r="C21" s="118"/>
      <c r="D21" s="118"/>
      <c r="E21" s="88"/>
    </row>
    <row r="22" spans="1:5" ht="42" customHeight="1" x14ac:dyDescent="0.2">
      <c r="A22" s="128"/>
      <c r="B22" s="128"/>
      <c r="C22" s="119"/>
      <c r="D22" s="119"/>
      <c r="E22" s="88"/>
    </row>
    <row r="23" spans="1:5" ht="42" customHeight="1" x14ac:dyDescent="0.2">
      <c r="A23" s="142"/>
      <c r="B23" s="143"/>
      <c r="C23" s="172"/>
      <c r="D23" s="173"/>
      <c r="E23" s="88"/>
    </row>
    <row r="24" spans="1:5" ht="42" customHeight="1" x14ac:dyDescent="0.2">
      <c r="A24" s="142"/>
      <c r="B24" s="143"/>
      <c r="C24" s="172"/>
      <c r="D24" s="173"/>
      <c r="E24" s="88"/>
    </row>
    <row r="25" spans="1:5" ht="42" customHeight="1" x14ac:dyDescent="0.2">
      <c r="A25" s="142"/>
      <c r="B25" s="143"/>
      <c r="C25" s="172"/>
      <c r="D25" s="173"/>
      <c r="E25" s="88"/>
    </row>
    <row r="26" spans="1:5" ht="42" customHeight="1" x14ac:dyDescent="0.2">
      <c r="A26" s="142"/>
      <c r="B26" s="143"/>
      <c r="C26" s="119"/>
      <c r="D26" s="119"/>
      <c r="E26" s="88"/>
    </row>
    <row r="27" spans="1:5" ht="42" customHeight="1" x14ac:dyDescent="0.2">
      <c r="A27" s="142"/>
      <c r="B27" s="143"/>
      <c r="C27" s="119"/>
      <c r="D27" s="119"/>
      <c r="E27" s="88"/>
    </row>
  </sheetData>
  <mergeCells count="43">
    <mergeCell ref="C23:D23"/>
    <mergeCell ref="C24:D24"/>
    <mergeCell ref="C25:D25"/>
    <mergeCell ref="C26:D26"/>
    <mergeCell ref="C27:D27"/>
    <mergeCell ref="A25:B25"/>
    <mergeCell ref="A26:B26"/>
    <mergeCell ref="A27:B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9:C9"/>
    <mergeCell ref="A1:C1"/>
    <mergeCell ref="A3:B3"/>
    <mergeCell ref="A4:B4"/>
    <mergeCell ref="A5:B5"/>
    <mergeCell ref="A6:B6"/>
    <mergeCell ref="A7:B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A19" sqref="A19"/>
    </sheetView>
  </sheetViews>
  <sheetFormatPr defaultRowHeight="15" x14ac:dyDescent="0.2"/>
  <cols>
    <col min="1" max="1" width="56.6328125" bestFit="1" customWidth="1"/>
    <col min="2" max="2" width="15.87109375" bestFit="1" customWidth="1"/>
    <col min="4" max="4" width="21.7890625" bestFit="1" customWidth="1"/>
  </cols>
  <sheetData>
    <row r="1" spans="1:8" x14ac:dyDescent="0.2">
      <c r="A1" s="175" t="s">
        <v>168</v>
      </c>
      <c r="B1" s="176"/>
      <c r="C1" s="176"/>
      <c r="D1" s="176"/>
      <c r="E1" s="176"/>
      <c r="F1" s="176"/>
      <c r="G1" s="176"/>
      <c r="H1" s="177"/>
    </row>
    <row r="2" spans="1:8" x14ac:dyDescent="0.2">
      <c r="A2" s="67" t="s">
        <v>169</v>
      </c>
      <c r="B2" s="68"/>
      <c r="C2" s="68"/>
      <c r="D2" s="69" t="s">
        <v>170</v>
      </c>
      <c r="E2" s="69" t="s">
        <v>171</v>
      </c>
      <c r="F2" s="68"/>
      <c r="G2" s="68"/>
      <c r="H2" s="70"/>
    </row>
    <row r="3" spans="1:8" x14ac:dyDescent="0.2">
      <c r="A3" s="67"/>
      <c r="B3" s="68"/>
      <c r="C3" s="68"/>
      <c r="D3" s="71" t="s">
        <v>172</v>
      </c>
      <c r="E3" s="71" t="s">
        <v>173</v>
      </c>
      <c r="F3" s="68"/>
      <c r="G3" s="68"/>
      <c r="H3" s="70"/>
    </row>
    <row r="4" spans="1:8" x14ac:dyDescent="0.2">
      <c r="A4" s="67" t="s">
        <v>174</v>
      </c>
      <c r="B4" s="72">
        <v>150000</v>
      </c>
      <c r="C4" s="68"/>
      <c r="D4" s="71" t="s">
        <v>175</v>
      </c>
      <c r="E4" s="71" t="s">
        <v>176</v>
      </c>
      <c r="F4" s="68"/>
      <c r="G4" s="68"/>
      <c r="H4" s="70"/>
    </row>
    <row r="5" spans="1:8" x14ac:dyDescent="0.2">
      <c r="A5" s="67" t="s">
        <v>177</v>
      </c>
      <c r="B5" s="68"/>
      <c r="C5" s="68"/>
      <c r="D5" s="71" t="s">
        <v>178</v>
      </c>
      <c r="E5" s="71" t="s">
        <v>179</v>
      </c>
      <c r="F5" s="68"/>
      <c r="G5" s="68"/>
      <c r="H5" s="70"/>
    </row>
    <row r="6" spans="1:8" x14ac:dyDescent="0.2">
      <c r="A6" s="73"/>
      <c r="B6" s="68"/>
      <c r="C6" s="68"/>
      <c r="D6" s="71" t="s">
        <v>180</v>
      </c>
      <c r="E6" s="71" t="s">
        <v>181</v>
      </c>
      <c r="F6" s="68"/>
      <c r="G6" s="174" t="s">
        <v>182</v>
      </c>
      <c r="H6" s="174"/>
    </row>
    <row r="7" spans="1:8" x14ac:dyDescent="0.2">
      <c r="A7" s="73"/>
      <c r="B7" s="68"/>
      <c r="C7" s="68"/>
      <c r="D7" s="71" t="s">
        <v>183</v>
      </c>
      <c r="E7" s="71" t="s">
        <v>184</v>
      </c>
      <c r="F7" s="68"/>
      <c r="G7" s="174"/>
      <c r="H7" s="174"/>
    </row>
    <row r="8" spans="1:8" x14ac:dyDescent="0.2">
      <c r="A8" s="74" t="s">
        <v>185</v>
      </c>
      <c r="B8" s="68"/>
      <c r="C8" s="68"/>
      <c r="D8" s="68"/>
      <c r="E8" s="68"/>
      <c r="F8" s="68"/>
      <c r="G8" s="174"/>
      <c r="H8" s="174"/>
    </row>
    <row r="9" spans="1:8" x14ac:dyDescent="0.2">
      <c r="A9" s="67" t="s">
        <v>186</v>
      </c>
      <c r="B9" s="72">
        <v>1256000</v>
      </c>
      <c r="C9" s="68"/>
      <c r="D9" s="69" t="s">
        <v>187</v>
      </c>
      <c r="E9" s="69" t="s">
        <v>171</v>
      </c>
      <c r="F9" s="68"/>
      <c r="G9" s="75">
        <v>5</v>
      </c>
      <c r="H9" s="70" t="s">
        <v>188</v>
      </c>
    </row>
    <row r="10" spans="1:8" x14ac:dyDescent="0.2">
      <c r="A10" s="73"/>
      <c r="B10" s="68"/>
      <c r="C10" s="68"/>
      <c r="D10" s="71" t="s">
        <v>172</v>
      </c>
      <c r="E10" s="71" t="s">
        <v>189</v>
      </c>
      <c r="F10" s="68"/>
      <c r="G10" s="75">
        <v>4</v>
      </c>
      <c r="H10" s="70" t="s">
        <v>190</v>
      </c>
    </row>
    <row r="11" spans="1:8" x14ac:dyDescent="0.2">
      <c r="A11" s="74" t="s">
        <v>191</v>
      </c>
      <c r="B11" s="76"/>
      <c r="C11" s="68"/>
      <c r="D11" s="71" t="s">
        <v>175</v>
      </c>
      <c r="E11" s="71" t="s">
        <v>192</v>
      </c>
      <c r="F11" s="68"/>
      <c r="G11" s="75">
        <v>3</v>
      </c>
      <c r="H11" s="70" t="s">
        <v>193</v>
      </c>
    </row>
    <row r="12" spans="1:8" x14ac:dyDescent="0.2">
      <c r="A12" s="77" t="s">
        <v>139</v>
      </c>
      <c r="B12" s="69" t="s">
        <v>194</v>
      </c>
      <c r="C12" s="68"/>
      <c r="D12" s="71" t="s">
        <v>178</v>
      </c>
      <c r="E12" s="71" t="s">
        <v>195</v>
      </c>
      <c r="F12" s="68"/>
      <c r="G12" s="75">
        <v>2</v>
      </c>
      <c r="H12" s="70" t="s">
        <v>196</v>
      </c>
    </row>
    <row r="13" spans="1:8" x14ac:dyDescent="0.2">
      <c r="A13" s="67" t="s">
        <v>197</v>
      </c>
      <c r="B13" s="78">
        <v>1307</v>
      </c>
      <c r="C13" s="68"/>
      <c r="D13" s="71" t="s">
        <v>180</v>
      </c>
      <c r="E13" s="71" t="s">
        <v>198</v>
      </c>
      <c r="F13" s="68"/>
      <c r="G13" s="75">
        <v>1</v>
      </c>
      <c r="H13" s="70" t="s">
        <v>199</v>
      </c>
    </row>
    <row r="14" spans="1:8" x14ac:dyDescent="0.2">
      <c r="A14" s="67" t="s">
        <v>142</v>
      </c>
      <c r="B14" s="78">
        <v>1727</v>
      </c>
      <c r="C14" s="68"/>
      <c r="D14" s="71" t="s">
        <v>183</v>
      </c>
      <c r="E14" s="71" t="s">
        <v>200</v>
      </c>
      <c r="F14" s="68"/>
      <c r="G14" s="68"/>
      <c r="H14" s="70"/>
    </row>
    <row r="15" spans="1:8" x14ac:dyDescent="0.2">
      <c r="A15" s="67" t="s">
        <v>201</v>
      </c>
      <c r="B15" s="78">
        <v>2346</v>
      </c>
      <c r="C15" s="68"/>
      <c r="D15" s="68"/>
      <c r="E15" s="68"/>
      <c r="F15" s="68"/>
      <c r="G15" s="68"/>
      <c r="H15" s="70"/>
    </row>
    <row r="16" spans="1:8" x14ac:dyDescent="0.2">
      <c r="A16" s="79"/>
      <c r="B16" s="80"/>
      <c r="C16" s="80"/>
      <c r="D16" s="80"/>
      <c r="E16" s="80"/>
      <c r="F16" s="80"/>
      <c r="G16" s="80"/>
      <c r="H16" s="81"/>
    </row>
    <row r="18" spans="1:8" x14ac:dyDescent="0.2">
      <c r="A18" s="175" t="s">
        <v>168</v>
      </c>
      <c r="B18" s="176"/>
      <c r="C18" s="176"/>
      <c r="D18" s="176"/>
      <c r="E18" s="176"/>
      <c r="F18" s="176"/>
      <c r="G18" s="176"/>
      <c r="H18" s="177"/>
    </row>
    <row r="19" spans="1:8" x14ac:dyDescent="0.2">
      <c r="A19" s="40">
        <f>B4*20</f>
        <v>3000000</v>
      </c>
    </row>
    <row r="20" spans="1:8" x14ac:dyDescent="0.2">
      <c r="A20" s="40">
        <f>B9*4250</f>
        <v>5338000000</v>
      </c>
    </row>
  </sheetData>
  <mergeCells count="3">
    <mergeCell ref="G6:H8"/>
    <mergeCell ref="A1:H1"/>
    <mergeCell ref="A18:H18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7"/>
  <sheetViews>
    <sheetView topLeftCell="A28" workbookViewId="0">
      <selection activeCell="A50" sqref="A50"/>
    </sheetView>
  </sheetViews>
  <sheetFormatPr defaultRowHeight="15" x14ac:dyDescent="0.2"/>
  <cols>
    <col min="2" max="2" width="9.28125" bestFit="1" customWidth="1"/>
    <col min="17" max="17" width="16.94921875" bestFit="1" customWidth="1"/>
    <col min="18" max="18" width="11.8359375" bestFit="1" customWidth="1"/>
  </cols>
  <sheetData>
    <row r="1" spans="1:25" x14ac:dyDescent="0.2">
      <c r="A1" s="117" t="s">
        <v>66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pans="1:25" x14ac:dyDescent="0.2">
      <c r="A2" t="s">
        <v>79</v>
      </c>
      <c r="B2" t="s">
        <v>78</v>
      </c>
      <c r="C2" s="117" t="s">
        <v>67</v>
      </c>
      <c r="D2" s="117"/>
      <c r="E2" s="117" t="s">
        <v>68</v>
      </c>
      <c r="F2" s="117"/>
      <c r="G2" s="117" t="s">
        <v>69</v>
      </c>
      <c r="H2" s="117"/>
      <c r="I2" s="117" t="s">
        <v>70</v>
      </c>
      <c r="J2" s="117"/>
      <c r="K2" s="117" t="s">
        <v>71</v>
      </c>
      <c r="L2" s="117"/>
      <c r="M2" s="117" t="s">
        <v>72</v>
      </c>
      <c r="N2" s="117"/>
      <c r="O2" s="117" t="s">
        <v>73</v>
      </c>
      <c r="P2" s="117"/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</row>
    <row r="3" spans="1:25" x14ac:dyDescent="0.2">
      <c r="A3">
        <v>1</v>
      </c>
      <c r="B3" s="9" t="s">
        <v>27</v>
      </c>
      <c r="C3" t="s">
        <v>74</v>
      </c>
      <c r="D3" t="str">
        <f>IF(C3=B3,"CERTO","ERRADO")</f>
        <v>CERTO</v>
      </c>
      <c r="E3" t="s">
        <v>74</v>
      </c>
      <c r="F3" t="str">
        <f>IF(E3=$B3,"CERTO","ERRADO")</f>
        <v>CERTO</v>
      </c>
      <c r="G3" t="s">
        <v>74</v>
      </c>
      <c r="H3" t="str">
        <f>IF(G3=$B3,"CERTO","ERRADO")</f>
        <v>CERTO</v>
      </c>
      <c r="I3" t="s">
        <v>74</v>
      </c>
      <c r="J3" t="str">
        <f>IF(I3=$B3,"CERTO","ERRADO")</f>
        <v>CERTO</v>
      </c>
      <c r="K3" t="s">
        <v>74</v>
      </c>
      <c r="L3" t="str">
        <f>IF(K3=$B3,"CERTO","ERRADO")</f>
        <v>CERTO</v>
      </c>
      <c r="M3" t="s">
        <v>74</v>
      </c>
      <c r="N3" t="str">
        <f>IF(M3=$B3,"CERTO","ERRADO")</f>
        <v>CERTO</v>
      </c>
      <c r="O3" t="s">
        <v>74</v>
      </c>
      <c r="P3" t="str">
        <f>IF(O3=$B3,"CERTO","ERRADO")</f>
        <v>CERTO</v>
      </c>
      <c r="Q3" s="9">
        <f>COUNTIF(D3:P3,"CERTO")</f>
        <v>7</v>
      </c>
      <c r="R3" s="9">
        <f>COUNTIF(D3:P3,"ERRADO")</f>
        <v>0</v>
      </c>
      <c r="S3">
        <f>IF(D3="CERTO",1,0)</f>
        <v>1</v>
      </c>
      <c r="T3">
        <f>IF(F3="CERTO",1,0)</f>
        <v>1</v>
      </c>
      <c r="U3">
        <f>IF(H3="CERTO",1,0)</f>
        <v>1</v>
      </c>
      <c r="V3">
        <f>IF(J3="CERTO",1,0)</f>
        <v>1</v>
      </c>
      <c r="W3">
        <f>IF(L3="CERTO",1,0)</f>
        <v>1</v>
      </c>
      <c r="X3">
        <f>IF(N3="CERTO",1,0)</f>
        <v>1</v>
      </c>
      <c r="Y3">
        <f>IF(P3="CERTO",1,0)</f>
        <v>1</v>
      </c>
    </row>
    <row r="4" spans="1:25" x14ac:dyDescent="0.2">
      <c r="A4">
        <v>2</v>
      </c>
      <c r="B4" s="9" t="s">
        <v>25</v>
      </c>
      <c r="C4" t="s">
        <v>75</v>
      </c>
      <c r="D4" t="str">
        <f t="shared" ref="D4:D27" si="0">IF(C4=B4,"CERTO","ERRADO")</f>
        <v>CERTO</v>
      </c>
      <c r="E4" t="s">
        <v>76</v>
      </c>
      <c r="F4" t="str">
        <f t="shared" ref="F4:H27" si="1">IF(E4=$B4,"CERTO","ERRADO")</f>
        <v>ERRADO</v>
      </c>
      <c r="G4" t="s">
        <v>75</v>
      </c>
      <c r="H4" t="str">
        <f t="shared" si="1"/>
        <v>CERTO</v>
      </c>
      <c r="I4" t="s">
        <v>75</v>
      </c>
      <c r="J4" t="str">
        <f t="shared" ref="J4" si="2">IF(I4=$B4,"CERTO","ERRADO")</f>
        <v>CERTO</v>
      </c>
      <c r="K4" t="s">
        <v>75</v>
      </c>
      <c r="L4" t="str">
        <f t="shared" ref="L4" si="3">IF(K4=$B4,"CERTO","ERRADO")</f>
        <v>CERTO</v>
      </c>
      <c r="M4" t="s">
        <v>75</v>
      </c>
      <c r="N4" t="str">
        <f t="shared" ref="N4" si="4">IF(M4=$B4,"CERTO","ERRADO")</f>
        <v>CERTO</v>
      </c>
      <c r="O4" t="s">
        <v>74</v>
      </c>
      <c r="P4" t="str">
        <f t="shared" ref="P4" si="5">IF(O4=$B4,"CERTO","ERRADO")</f>
        <v>ERRADO</v>
      </c>
      <c r="Q4" s="9">
        <f t="shared" ref="Q4:Q27" si="6">COUNTIF(D4:P4,"CERTO")</f>
        <v>5</v>
      </c>
      <c r="R4" s="9">
        <f t="shared" ref="R4:R27" si="7">COUNTIF(D4:P4,"ERRADO")</f>
        <v>2</v>
      </c>
      <c r="S4">
        <f t="shared" ref="S4:S27" si="8">IF(D4="CERTO",1,0)</f>
        <v>1</v>
      </c>
      <c r="T4">
        <f t="shared" ref="T4:T27" si="9">IF(F4="CERTO",1,0)</f>
        <v>0</v>
      </c>
      <c r="U4">
        <f t="shared" ref="U4:U27" si="10">IF(H4="CERTO",1,0)</f>
        <v>1</v>
      </c>
      <c r="V4">
        <f t="shared" ref="V4:V27" si="11">IF(J4="CERTO",1,0)</f>
        <v>1</v>
      </c>
      <c r="W4">
        <f t="shared" ref="W4:W27" si="12">IF(L4="CERTO",1,0)</f>
        <v>1</v>
      </c>
      <c r="X4">
        <f t="shared" ref="X4:X27" si="13">IF(N4="CERTO",1,0)</f>
        <v>1</v>
      </c>
      <c r="Y4">
        <f t="shared" ref="Y4:Y27" si="14">IF(P4="CERTO",1,0)</f>
        <v>0</v>
      </c>
    </row>
    <row r="5" spans="1:25" x14ac:dyDescent="0.2">
      <c r="A5">
        <v>3</v>
      </c>
      <c r="B5" s="9" t="s">
        <v>26</v>
      </c>
      <c r="C5" t="s">
        <v>76</v>
      </c>
      <c r="D5" t="str">
        <f t="shared" si="0"/>
        <v>CERTO</v>
      </c>
      <c r="E5" t="s">
        <v>76</v>
      </c>
      <c r="F5" t="str">
        <f t="shared" si="1"/>
        <v>CERTO</v>
      </c>
      <c r="G5" t="s">
        <v>75</v>
      </c>
      <c r="H5" t="str">
        <f t="shared" si="1"/>
        <v>ERRADO</v>
      </c>
      <c r="I5" t="s">
        <v>76</v>
      </c>
      <c r="J5" t="str">
        <f t="shared" ref="J5" si="15">IF(I5=$B5,"CERTO","ERRADO")</f>
        <v>CERTO</v>
      </c>
      <c r="K5" t="s">
        <v>76</v>
      </c>
      <c r="L5" t="str">
        <f t="shared" ref="L5" si="16">IF(K5=$B5,"CERTO","ERRADO")</f>
        <v>CERTO</v>
      </c>
      <c r="M5" t="s">
        <v>77</v>
      </c>
      <c r="N5" t="str">
        <f t="shared" ref="N5" si="17">IF(M5=$B5,"CERTO","ERRADO")</f>
        <v>ERRADO</v>
      </c>
      <c r="O5" t="s">
        <v>76</v>
      </c>
      <c r="P5" t="str">
        <f t="shared" ref="P5" si="18">IF(O5=$B5,"CERTO","ERRADO")</f>
        <v>CERTO</v>
      </c>
      <c r="Q5" s="9">
        <f t="shared" si="6"/>
        <v>5</v>
      </c>
      <c r="R5" s="9">
        <f t="shared" si="7"/>
        <v>2</v>
      </c>
      <c r="S5">
        <f t="shared" si="8"/>
        <v>1</v>
      </c>
      <c r="T5">
        <f t="shared" si="9"/>
        <v>1</v>
      </c>
      <c r="U5">
        <f t="shared" si="10"/>
        <v>0</v>
      </c>
      <c r="V5">
        <f t="shared" si="11"/>
        <v>1</v>
      </c>
      <c r="W5">
        <f t="shared" si="12"/>
        <v>1</v>
      </c>
      <c r="X5">
        <f t="shared" si="13"/>
        <v>0</v>
      </c>
      <c r="Y5">
        <f t="shared" si="14"/>
        <v>1</v>
      </c>
    </row>
    <row r="6" spans="1:25" x14ac:dyDescent="0.2">
      <c r="A6">
        <v>4</v>
      </c>
      <c r="B6" s="9" t="s">
        <v>24</v>
      </c>
      <c r="C6" t="s">
        <v>75</v>
      </c>
      <c r="D6" t="str">
        <f t="shared" si="0"/>
        <v>ERRADO</v>
      </c>
      <c r="E6" t="s">
        <v>75</v>
      </c>
      <c r="F6" t="str">
        <f t="shared" si="1"/>
        <v>ERRADO</v>
      </c>
      <c r="G6" t="s">
        <v>77</v>
      </c>
      <c r="H6" t="str">
        <f t="shared" si="1"/>
        <v>CERTO</v>
      </c>
      <c r="I6" t="s">
        <v>75</v>
      </c>
      <c r="J6" t="str">
        <f t="shared" ref="J6" si="19">IF(I6=$B6,"CERTO","ERRADO")</f>
        <v>ERRADO</v>
      </c>
      <c r="K6" t="s">
        <v>75</v>
      </c>
      <c r="L6" t="str">
        <f t="shared" ref="L6" si="20">IF(K6=$B6,"CERTO","ERRADO")</f>
        <v>ERRADO</v>
      </c>
      <c r="M6" t="s">
        <v>75</v>
      </c>
      <c r="N6" t="str">
        <f t="shared" ref="N6" si="21">IF(M6=$B6,"CERTO","ERRADO")</f>
        <v>ERRADO</v>
      </c>
      <c r="O6" t="s">
        <v>76</v>
      </c>
      <c r="P6" t="str">
        <f t="shared" ref="P6" si="22">IF(O6=$B6,"CERTO","ERRADO")</f>
        <v>ERRADO</v>
      </c>
      <c r="Q6" s="9">
        <f t="shared" si="6"/>
        <v>1</v>
      </c>
      <c r="R6" s="9">
        <f t="shared" si="7"/>
        <v>6</v>
      </c>
      <c r="S6">
        <f t="shared" si="8"/>
        <v>0</v>
      </c>
      <c r="T6">
        <f t="shared" si="9"/>
        <v>0</v>
      </c>
      <c r="U6">
        <f t="shared" si="10"/>
        <v>1</v>
      </c>
      <c r="V6">
        <f t="shared" si="11"/>
        <v>0</v>
      </c>
      <c r="W6">
        <f t="shared" si="12"/>
        <v>0</v>
      </c>
      <c r="X6">
        <f t="shared" si="13"/>
        <v>0</v>
      </c>
      <c r="Y6">
        <f t="shared" si="14"/>
        <v>0</v>
      </c>
    </row>
    <row r="7" spans="1:25" x14ac:dyDescent="0.2">
      <c r="A7">
        <v>5</v>
      </c>
      <c r="B7" s="9" t="s">
        <v>27</v>
      </c>
      <c r="C7" t="s">
        <v>74</v>
      </c>
      <c r="D7" t="str">
        <f t="shared" si="0"/>
        <v>CERTO</v>
      </c>
      <c r="E7" t="s">
        <v>75</v>
      </c>
      <c r="F7" t="str">
        <f t="shared" si="1"/>
        <v>ERRADO</v>
      </c>
      <c r="G7" t="s">
        <v>74</v>
      </c>
      <c r="H7" t="str">
        <f t="shared" si="1"/>
        <v>CERTO</v>
      </c>
      <c r="I7" t="s">
        <v>75</v>
      </c>
      <c r="J7" t="str">
        <f t="shared" ref="J7" si="23">IF(I7=$B7,"CERTO","ERRADO")</f>
        <v>ERRADO</v>
      </c>
      <c r="K7" t="s">
        <v>74</v>
      </c>
      <c r="L7" t="str">
        <f t="shared" ref="L7" si="24">IF(K7=$B7,"CERTO","ERRADO")</f>
        <v>CERTO</v>
      </c>
      <c r="M7" t="s">
        <v>74</v>
      </c>
      <c r="N7" t="str">
        <f t="shared" ref="N7" si="25">IF(M7=$B7,"CERTO","ERRADO")</f>
        <v>CERTO</v>
      </c>
      <c r="O7" t="s">
        <v>74</v>
      </c>
      <c r="P7" t="str">
        <f t="shared" ref="P7" si="26">IF(O7=$B7,"CERTO","ERRADO")</f>
        <v>CERTO</v>
      </c>
      <c r="Q7" s="9">
        <f t="shared" si="6"/>
        <v>5</v>
      </c>
      <c r="R7" s="9">
        <f t="shared" si="7"/>
        <v>2</v>
      </c>
      <c r="S7">
        <f t="shared" si="8"/>
        <v>1</v>
      </c>
      <c r="T7">
        <f t="shared" si="9"/>
        <v>0</v>
      </c>
      <c r="U7">
        <f t="shared" si="10"/>
        <v>1</v>
      </c>
      <c r="V7">
        <f t="shared" si="11"/>
        <v>0</v>
      </c>
      <c r="W7">
        <f t="shared" si="12"/>
        <v>1</v>
      </c>
      <c r="X7">
        <f t="shared" si="13"/>
        <v>1</v>
      </c>
      <c r="Y7">
        <f t="shared" si="14"/>
        <v>1</v>
      </c>
    </row>
    <row r="8" spans="1:25" x14ac:dyDescent="0.2">
      <c r="A8">
        <v>6</v>
      </c>
      <c r="B8" s="9" t="s">
        <v>25</v>
      </c>
      <c r="C8" t="s">
        <v>75</v>
      </c>
      <c r="D8" t="str">
        <f t="shared" si="0"/>
        <v>CERTO</v>
      </c>
      <c r="E8" t="s">
        <v>76</v>
      </c>
      <c r="F8" t="str">
        <f t="shared" si="1"/>
        <v>ERRADO</v>
      </c>
      <c r="G8" t="s">
        <v>75</v>
      </c>
      <c r="H8" t="str">
        <f t="shared" si="1"/>
        <v>CERTO</v>
      </c>
      <c r="I8" t="s">
        <v>76</v>
      </c>
      <c r="J8" t="str">
        <f t="shared" ref="J8" si="27">IF(I8=$B8,"CERTO","ERRADO")</f>
        <v>ERRADO</v>
      </c>
      <c r="K8" t="s">
        <v>74</v>
      </c>
      <c r="L8" t="str">
        <f t="shared" ref="L8" si="28">IF(K8=$B8,"CERTO","ERRADO")</f>
        <v>ERRADO</v>
      </c>
      <c r="M8" t="s">
        <v>74</v>
      </c>
      <c r="N8" t="str">
        <f t="shared" ref="N8" si="29">IF(M8=$B8,"CERTO","ERRADO")</f>
        <v>ERRADO</v>
      </c>
      <c r="O8" t="s">
        <v>74</v>
      </c>
      <c r="P8" t="str">
        <f t="shared" ref="P8" si="30">IF(O8=$B8,"CERTO","ERRADO")</f>
        <v>ERRADO</v>
      </c>
      <c r="Q8" s="9">
        <f t="shared" si="6"/>
        <v>2</v>
      </c>
      <c r="R8" s="9">
        <f t="shared" si="7"/>
        <v>5</v>
      </c>
      <c r="S8">
        <f t="shared" si="8"/>
        <v>1</v>
      </c>
      <c r="T8">
        <f t="shared" si="9"/>
        <v>0</v>
      </c>
      <c r="U8">
        <f t="shared" si="10"/>
        <v>1</v>
      </c>
      <c r="V8">
        <f t="shared" si="11"/>
        <v>0</v>
      </c>
      <c r="W8">
        <f t="shared" si="12"/>
        <v>0</v>
      </c>
      <c r="X8">
        <f t="shared" si="13"/>
        <v>0</v>
      </c>
      <c r="Y8">
        <f t="shared" si="14"/>
        <v>0</v>
      </c>
    </row>
    <row r="9" spans="1:25" x14ac:dyDescent="0.2">
      <c r="A9">
        <v>7</v>
      </c>
      <c r="B9" s="9" t="s">
        <v>24</v>
      </c>
      <c r="C9" t="s">
        <v>77</v>
      </c>
      <c r="D9" t="str">
        <f t="shared" si="0"/>
        <v>CERTO</v>
      </c>
      <c r="E9" t="s">
        <v>77</v>
      </c>
      <c r="F9" t="str">
        <f t="shared" si="1"/>
        <v>CERTO</v>
      </c>
      <c r="G9" t="s">
        <v>77</v>
      </c>
      <c r="H9" t="str">
        <f t="shared" si="1"/>
        <v>CERTO</v>
      </c>
      <c r="I9" t="s">
        <v>77</v>
      </c>
      <c r="J9" t="str">
        <f t="shared" ref="J9" si="31">IF(I9=$B9,"CERTO","ERRADO")</f>
        <v>CERTO</v>
      </c>
      <c r="K9" t="s">
        <v>77</v>
      </c>
      <c r="L9" t="str">
        <f t="shared" ref="L9" si="32">IF(K9=$B9,"CERTO","ERRADO")</f>
        <v>CERTO</v>
      </c>
      <c r="M9" t="s">
        <v>77</v>
      </c>
      <c r="N9" t="str">
        <f t="shared" ref="N9" si="33">IF(M9=$B9,"CERTO","ERRADO")</f>
        <v>CERTO</v>
      </c>
      <c r="O9" t="s">
        <v>76</v>
      </c>
      <c r="P9" t="str">
        <f t="shared" ref="P9" si="34">IF(O9=$B9,"CERTO","ERRADO")</f>
        <v>ERRADO</v>
      </c>
      <c r="Q9" s="9">
        <f t="shared" si="6"/>
        <v>6</v>
      </c>
      <c r="R9" s="9">
        <f t="shared" si="7"/>
        <v>1</v>
      </c>
      <c r="S9">
        <f t="shared" si="8"/>
        <v>1</v>
      </c>
      <c r="T9">
        <f t="shared" si="9"/>
        <v>1</v>
      </c>
      <c r="U9">
        <f t="shared" si="10"/>
        <v>1</v>
      </c>
      <c r="V9">
        <f t="shared" si="11"/>
        <v>1</v>
      </c>
      <c r="W9">
        <f t="shared" si="12"/>
        <v>1</v>
      </c>
      <c r="X9">
        <f t="shared" si="13"/>
        <v>1</v>
      </c>
      <c r="Y9">
        <f t="shared" si="14"/>
        <v>0</v>
      </c>
    </row>
    <row r="10" spans="1:25" x14ac:dyDescent="0.2">
      <c r="A10">
        <v>8</v>
      </c>
      <c r="B10" s="9" t="s">
        <v>26</v>
      </c>
      <c r="C10" t="s">
        <v>75</v>
      </c>
      <c r="D10" t="str">
        <f t="shared" si="0"/>
        <v>ERRADO</v>
      </c>
      <c r="E10" t="s">
        <v>76</v>
      </c>
      <c r="F10" t="str">
        <f t="shared" si="1"/>
        <v>CERTO</v>
      </c>
      <c r="G10" t="s">
        <v>76</v>
      </c>
      <c r="H10" t="str">
        <f t="shared" si="1"/>
        <v>CERTO</v>
      </c>
      <c r="I10" t="s">
        <v>75</v>
      </c>
      <c r="J10" t="str">
        <f t="shared" ref="J10" si="35">IF(I10=$B10,"CERTO","ERRADO")</f>
        <v>ERRADO</v>
      </c>
      <c r="K10" t="s">
        <v>75</v>
      </c>
      <c r="L10" t="str">
        <f t="shared" ref="L10" si="36">IF(K10=$B10,"CERTO","ERRADO")</f>
        <v>ERRADO</v>
      </c>
      <c r="M10" t="s">
        <v>75</v>
      </c>
      <c r="N10" t="str">
        <f t="shared" ref="N10" si="37">IF(M10=$B10,"CERTO","ERRADO")</f>
        <v>ERRADO</v>
      </c>
      <c r="O10" t="s">
        <v>74</v>
      </c>
      <c r="P10" t="str">
        <f t="shared" ref="P10" si="38">IF(O10=$B10,"CERTO","ERRADO")</f>
        <v>ERRADO</v>
      </c>
      <c r="Q10" s="9">
        <f t="shared" si="6"/>
        <v>2</v>
      </c>
      <c r="R10" s="9">
        <f t="shared" si="7"/>
        <v>5</v>
      </c>
      <c r="S10">
        <f t="shared" si="8"/>
        <v>0</v>
      </c>
      <c r="T10">
        <f t="shared" si="9"/>
        <v>1</v>
      </c>
      <c r="U10">
        <f t="shared" si="10"/>
        <v>1</v>
      </c>
      <c r="V10">
        <f t="shared" si="11"/>
        <v>0</v>
      </c>
      <c r="W10">
        <f t="shared" si="12"/>
        <v>0</v>
      </c>
      <c r="X10">
        <f t="shared" si="13"/>
        <v>0</v>
      </c>
      <c r="Y10">
        <f t="shared" si="14"/>
        <v>0</v>
      </c>
    </row>
    <row r="11" spans="1:25" x14ac:dyDescent="0.2">
      <c r="A11">
        <v>9</v>
      </c>
      <c r="B11" s="9" t="s">
        <v>27</v>
      </c>
      <c r="C11" t="s">
        <v>74</v>
      </c>
      <c r="D11" t="str">
        <f t="shared" si="0"/>
        <v>CERTO</v>
      </c>
      <c r="E11" t="s">
        <v>75</v>
      </c>
      <c r="F11" t="str">
        <f t="shared" si="1"/>
        <v>ERRADO</v>
      </c>
      <c r="G11" t="s">
        <v>74</v>
      </c>
      <c r="H11" t="str">
        <f t="shared" si="1"/>
        <v>CERTO</v>
      </c>
      <c r="I11" t="s">
        <v>75</v>
      </c>
      <c r="J11" t="str">
        <f t="shared" ref="J11" si="39">IF(I11=$B11,"CERTO","ERRADO")</f>
        <v>ERRADO</v>
      </c>
      <c r="K11" t="s">
        <v>75</v>
      </c>
      <c r="L11" t="str">
        <f t="shared" ref="L11" si="40">IF(K11=$B11,"CERTO","ERRADO")</f>
        <v>ERRADO</v>
      </c>
      <c r="M11" t="s">
        <v>75</v>
      </c>
      <c r="N11" t="str">
        <f t="shared" ref="N11" si="41">IF(M11=$B11,"CERTO","ERRADO")</f>
        <v>ERRADO</v>
      </c>
      <c r="O11" t="s">
        <v>74</v>
      </c>
      <c r="P11" t="str">
        <f t="shared" ref="P11" si="42">IF(O11=$B11,"CERTO","ERRADO")</f>
        <v>CERTO</v>
      </c>
      <c r="Q11" s="9">
        <f t="shared" si="6"/>
        <v>3</v>
      </c>
      <c r="R11" s="9">
        <f t="shared" si="7"/>
        <v>4</v>
      </c>
      <c r="S11">
        <f t="shared" si="8"/>
        <v>1</v>
      </c>
      <c r="T11">
        <f t="shared" si="9"/>
        <v>0</v>
      </c>
      <c r="U11">
        <f t="shared" si="10"/>
        <v>1</v>
      </c>
      <c r="V11">
        <f t="shared" si="11"/>
        <v>0</v>
      </c>
      <c r="W11">
        <f t="shared" si="12"/>
        <v>0</v>
      </c>
      <c r="X11">
        <f t="shared" si="13"/>
        <v>0</v>
      </c>
      <c r="Y11">
        <f t="shared" si="14"/>
        <v>1</v>
      </c>
    </row>
    <row r="12" spans="1:25" x14ac:dyDescent="0.2">
      <c r="A12">
        <v>10</v>
      </c>
      <c r="B12" s="9" t="s">
        <v>25</v>
      </c>
      <c r="C12" t="s">
        <v>75</v>
      </c>
      <c r="D12" t="str">
        <f t="shared" si="0"/>
        <v>CERTO</v>
      </c>
      <c r="E12" t="s">
        <v>77</v>
      </c>
      <c r="F12" t="str">
        <f t="shared" si="1"/>
        <v>ERRADO</v>
      </c>
      <c r="G12" t="s">
        <v>74</v>
      </c>
      <c r="H12" t="str">
        <f t="shared" si="1"/>
        <v>ERRADO</v>
      </c>
      <c r="I12" t="s">
        <v>77</v>
      </c>
      <c r="J12" t="str">
        <f t="shared" ref="J12" si="43">IF(I12=$B12,"CERTO","ERRADO")</f>
        <v>ERRADO</v>
      </c>
      <c r="K12" t="s">
        <v>77</v>
      </c>
      <c r="L12" t="str">
        <f t="shared" ref="L12" si="44">IF(K12=$B12,"CERTO","ERRADO")</f>
        <v>ERRADO</v>
      </c>
      <c r="M12" t="s">
        <v>75</v>
      </c>
      <c r="N12" t="str">
        <f t="shared" ref="N12" si="45">IF(M12=$B12,"CERTO","ERRADO")</f>
        <v>CERTO</v>
      </c>
      <c r="O12" t="s">
        <v>77</v>
      </c>
      <c r="P12" t="str">
        <f t="shared" ref="P12" si="46">IF(O12=$B12,"CERTO","ERRADO")</f>
        <v>ERRADO</v>
      </c>
      <c r="Q12" s="9">
        <f t="shared" si="6"/>
        <v>2</v>
      </c>
      <c r="R12" s="9">
        <f t="shared" si="7"/>
        <v>5</v>
      </c>
      <c r="S12">
        <f t="shared" si="8"/>
        <v>1</v>
      </c>
      <c r="T12">
        <f t="shared" si="9"/>
        <v>0</v>
      </c>
      <c r="U12">
        <f t="shared" si="10"/>
        <v>0</v>
      </c>
      <c r="V12">
        <f t="shared" si="11"/>
        <v>0</v>
      </c>
      <c r="W12">
        <f t="shared" si="12"/>
        <v>0</v>
      </c>
      <c r="X12">
        <f t="shared" si="13"/>
        <v>1</v>
      </c>
      <c r="Y12">
        <f t="shared" si="14"/>
        <v>0</v>
      </c>
    </row>
    <row r="13" spans="1:25" x14ac:dyDescent="0.2">
      <c r="A13">
        <v>11</v>
      </c>
      <c r="B13" s="9" t="s">
        <v>24</v>
      </c>
      <c r="C13" t="s">
        <v>77</v>
      </c>
      <c r="D13" t="str">
        <f t="shared" si="0"/>
        <v>CERTO</v>
      </c>
      <c r="E13" t="s">
        <v>77</v>
      </c>
      <c r="F13" t="str">
        <f t="shared" si="1"/>
        <v>CERTO</v>
      </c>
      <c r="G13" t="s">
        <v>76</v>
      </c>
      <c r="H13" t="str">
        <f t="shared" si="1"/>
        <v>ERRADO</v>
      </c>
      <c r="I13" t="s">
        <v>77</v>
      </c>
      <c r="J13" t="str">
        <f t="shared" ref="J13" si="47">IF(I13=$B13,"CERTO","ERRADO")</f>
        <v>CERTO</v>
      </c>
      <c r="K13" t="s">
        <v>77</v>
      </c>
      <c r="L13" t="str">
        <f t="shared" ref="L13" si="48">IF(K13=$B13,"CERTO","ERRADO")</f>
        <v>CERTO</v>
      </c>
      <c r="M13" t="s">
        <v>76</v>
      </c>
      <c r="N13" t="str">
        <f t="shared" ref="N13" si="49">IF(M13=$B13,"CERTO","ERRADO")</f>
        <v>ERRADO</v>
      </c>
      <c r="O13" t="s">
        <v>75</v>
      </c>
      <c r="P13" t="str">
        <f t="shared" ref="P13" si="50">IF(O13=$B13,"CERTO","ERRADO")</f>
        <v>ERRADO</v>
      </c>
      <c r="Q13" s="9">
        <f t="shared" si="6"/>
        <v>4</v>
      </c>
      <c r="R13" s="9">
        <f t="shared" si="7"/>
        <v>3</v>
      </c>
      <c r="S13">
        <f t="shared" si="8"/>
        <v>1</v>
      </c>
      <c r="T13">
        <f t="shared" si="9"/>
        <v>1</v>
      </c>
      <c r="U13">
        <f t="shared" si="10"/>
        <v>0</v>
      </c>
      <c r="V13">
        <f t="shared" si="11"/>
        <v>1</v>
      </c>
      <c r="W13">
        <f t="shared" si="12"/>
        <v>1</v>
      </c>
      <c r="X13">
        <f t="shared" si="13"/>
        <v>0</v>
      </c>
      <c r="Y13">
        <f t="shared" si="14"/>
        <v>0</v>
      </c>
    </row>
    <row r="14" spans="1:25" x14ac:dyDescent="0.2">
      <c r="A14">
        <v>12</v>
      </c>
      <c r="B14" s="9" t="s">
        <v>25</v>
      </c>
      <c r="C14" t="s">
        <v>77</v>
      </c>
      <c r="D14" t="str">
        <f t="shared" si="0"/>
        <v>ERRADO</v>
      </c>
      <c r="E14" t="s">
        <v>75</v>
      </c>
      <c r="F14" t="str">
        <f t="shared" si="1"/>
        <v>CERTO</v>
      </c>
      <c r="G14" t="s">
        <v>75</v>
      </c>
      <c r="H14" t="str">
        <f t="shared" si="1"/>
        <v>CERTO</v>
      </c>
      <c r="I14" t="s">
        <v>75</v>
      </c>
      <c r="J14" t="str">
        <f t="shared" ref="J14" si="51">IF(I14=$B14,"CERTO","ERRADO")</f>
        <v>CERTO</v>
      </c>
      <c r="K14" t="s">
        <v>75</v>
      </c>
      <c r="L14" t="str">
        <f t="shared" ref="L14" si="52">IF(K14=$B14,"CERTO","ERRADO")</f>
        <v>CERTO</v>
      </c>
      <c r="M14" t="s">
        <v>75</v>
      </c>
      <c r="N14" t="str">
        <f t="shared" ref="N14" si="53">IF(M14=$B14,"CERTO","ERRADO")</f>
        <v>CERTO</v>
      </c>
      <c r="O14" t="s">
        <v>77</v>
      </c>
      <c r="P14" t="str">
        <f t="shared" ref="P14" si="54">IF(O14=$B14,"CERTO","ERRADO")</f>
        <v>ERRADO</v>
      </c>
      <c r="Q14" s="9">
        <f t="shared" si="6"/>
        <v>5</v>
      </c>
      <c r="R14" s="9">
        <f t="shared" si="7"/>
        <v>2</v>
      </c>
      <c r="S14">
        <f t="shared" si="8"/>
        <v>0</v>
      </c>
      <c r="T14">
        <f t="shared" si="9"/>
        <v>1</v>
      </c>
      <c r="U14">
        <f t="shared" si="10"/>
        <v>1</v>
      </c>
      <c r="V14">
        <f t="shared" si="11"/>
        <v>1</v>
      </c>
      <c r="W14">
        <f t="shared" si="12"/>
        <v>1</v>
      </c>
      <c r="X14">
        <f t="shared" si="13"/>
        <v>1</v>
      </c>
      <c r="Y14">
        <f t="shared" si="14"/>
        <v>0</v>
      </c>
    </row>
    <row r="15" spans="1:25" x14ac:dyDescent="0.2">
      <c r="A15">
        <v>13</v>
      </c>
      <c r="B15" s="9" t="s">
        <v>27</v>
      </c>
      <c r="C15" t="s">
        <v>74</v>
      </c>
      <c r="D15" t="str">
        <f t="shared" si="0"/>
        <v>CERTO</v>
      </c>
      <c r="E15" t="s">
        <v>74</v>
      </c>
      <c r="F15" t="str">
        <f t="shared" si="1"/>
        <v>CERTO</v>
      </c>
      <c r="G15" t="s">
        <v>74</v>
      </c>
      <c r="H15" t="str">
        <f t="shared" si="1"/>
        <v>CERTO</v>
      </c>
      <c r="I15" t="s">
        <v>74</v>
      </c>
      <c r="J15" t="str">
        <f t="shared" ref="J15" si="55">IF(I15=$B15,"CERTO","ERRADO")</f>
        <v>CERTO</v>
      </c>
      <c r="K15" t="s">
        <v>74</v>
      </c>
      <c r="L15" t="str">
        <f t="shared" ref="L15" si="56">IF(K15=$B15,"CERTO","ERRADO")</f>
        <v>CERTO</v>
      </c>
      <c r="M15" t="s">
        <v>76</v>
      </c>
      <c r="N15" t="str">
        <f t="shared" ref="N15" si="57">IF(M15=$B15,"CERTO","ERRADO")</f>
        <v>ERRADO</v>
      </c>
      <c r="O15" t="s">
        <v>76</v>
      </c>
      <c r="P15" t="str">
        <f t="shared" ref="P15" si="58">IF(O15=$B15,"CERTO","ERRADO")</f>
        <v>ERRADO</v>
      </c>
      <c r="Q15" s="9">
        <f t="shared" si="6"/>
        <v>5</v>
      </c>
      <c r="R15" s="9">
        <f t="shared" si="7"/>
        <v>2</v>
      </c>
      <c r="S15">
        <f t="shared" si="8"/>
        <v>1</v>
      </c>
      <c r="T15">
        <f t="shared" si="9"/>
        <v>1</v>
      </c>
      <c r="U15">
        <f t="shared" si="10"/>
        <v>1</v>
      </c>
      <c r="V15">
        <f t="shared" si="11"/>
        <v>1</v>
      </c>
      <c r="W15">
        <f t="shared" si="12"/>
        <v>1</v>
      </c>
      <c r="X15">
        <f t="shared" si="13"/>
        <v>0</v>
      </c>
      <c r="Y15">
        <f t="shared" si="14"/>
        <v>0</v>
      </c>
    </row>
    <row r="16" spans="1:25" x14ac:dyDescent="0.2">
      <c r="A16">
        <v>14</v>
      </c>
      <c r="B16" s="9" t="s">
        <v>26</v>
      </c>
      <c r="C16" t="s">
        <v>77</v>
      </c>
      <c r="D16" t="str">
        <f t="shared" si="0"/>
        <v>ERRADO</v>
      </c>
      <c r="E16" t="s">
        <v>75</v>
      </c>
      <c r="F16" t="str">
        <f t="shared" si="1"/>
        <v>ERRADO</v>
      </c>
      <c r="G16" t="s">
        <v>77</v>
      </c>
      <c r="H16" t="str">
        <f t="shared" si="1"/>
        <v>ERRADO</v>
      </c>
      <c r="I16" t="s">
        <v>75</v>
      </c>
      <c r="J16" t="str">
        <f t="shared" ref="J16" si="59">IF(I16=$B16,"CERTO","ERRADO")</f>
        <v>ERRADO</v>
      </c>
      <c r="K16" t="s">
        <v>75</v>
      </c>
      <c r="L16" t="str">
        <f t="shared" ref="L16" si="60">IF(K16=$B16,"CERTO","ERRADO")</f>
        <v>ERRADO</v>
      </c>
      <c r="M16" t="s">
        <v>76</v>
      </c>
      <c r="N16" t="str">
        <f t="shared" ref="N16" si="61">IF(M16=$B16,"CERTO","ERRADO")</f>
        <v>CERTO</v>
      </c>
      <c r="O16" t="s">
        <v>75</v>
      </c>
      <c r="P16" t="str">
        <f t="shared" ref="P16" si="62">IF(O16=$B16,"CERTO","ERRADO")</f>
        <v>ERRADO</v>
      </c>
      <c r="Q16" s="9">
        <f t="shared" si="6"/>
        <v>1</v>
      </c>
      <c r="R16" s="9">
        <f t="shared" si="7"/>
        <v>6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  <c r="W16">
        <f t="shared" si="12"/>
        <v>0</v>
      </c>
      <c r="X16">
        <f t="shared" si="13"/>
        <v>1</v>
      </c>
      <c r="Y16">
        <f t="shared" si="14"/>
        <v>0</v>
      </c>
    </row>
    <row r="17" spans="1:25" x14ac:dyDescent="0.2">
      <c r="A17">
        <v>15</v>
      </c>
      <c r="B17" s="9" t="s">
        <v>24</v>
      </c>
      <c r="C17" t="s">
        <v>77</v>
      </c>
      <c r="D17" t="str">
        <f t="shared" si="0"/>
        <v>CERTO</v>
      </c>
      <c r="E17" t="s">
        <v>74</v>
      </c>
      <c r="F17" t="str">
        <f t="shared" si="1"/>
        <v>ERRADO</v>
      </c>
      <c r="G17" t="s">
        <v>74</v>
      </c>
      <c r="H17" t="str">
        <f t="shared" si="1"/>
        <v>ERRADO</v>
      </c>
      <c r="I17" t="s">
        <v>77</v>
      </c>
      <c r="J17" t="str">
        <f t="shared" ref="J17" si="63">IF(I17=$B17,"CERTO","ERRADO")</f>
        <v>CERTO</v>
      </c>
      <c r="K17" t="s">
        <v>77</v>
      </c>
      <c r="L17" t="str">
        <f t="shared" ref="L17" si="64">IF(K17=$B17,"CERTO","ERRADO")</f>
        <v>CERTO</v>
      </c>
      <c r="M17" t="s">
        <v>77</v>
      </c>
      <c r="N17" t="str">
        <f t="shared" ref="N17" si="65">IF(M17=$B17,"CERTO","ERRADO")</f>
        <v>CERTO</v>
      </c>
      <c r="O17" t="s">
        <v>74</v>
      </c>
      <c r="P17" t="str">
        <f t="shared" ref="P17" si="66">IF(O17=$B17,"CERTO","ERRADO")</f>
        <v>ERRADO</v>
      </c>
      <c r="Q17" s="9">
        <f t="shared" si="6"/>
        <v>4</v>
      </c>
      <c r="R17" s="9">
        <f t="shared" si="7"/>
        <v>3</v>
      </c>
      <c r="S17">
        <f t="shared" si="8"/>
        <v>1</v>
      </c>
      <c r="T17">
        <f t="shared" si="9"/>
        <v>0</v>
      </c>
      <c r="U17">
        <f t="shared" si="10"/>
        <v>0</v>
      </c>
      <c r="V17">
        <f t="shared" si="11"/>
        <v>1</v>
      </c>
      <c r="W17">
        <f t="shared" si="12"/>
        <v>1</v>
      </c>
      <c r="X17">
        <f t="shared" si="13"/>
        <v>1</v>
      </c>
      <c r="Y17">
        <f t="shared" si="14"/>
        <v>0</v>
      </c>
    </row>
    <row r="18" spans="1:25" x14ac:dyDescent="0.2">
      <c r="A18">
        <v>16</v>
      </c>
      <c r="B18" s="9" t="s">
        <v>25</v>
      </c>
      <c r="C18" t="s">
        <v>77</v>
      </c>
      <c r="D18" t="str">
        <f t="shared" si="0"/>
        <v>ERRADO</v>
      </c>
      <c r="E18" t="s">
        <v>76</v>
      </c>
      <c r="F18" t="str">
        <f t="shared" si="1"/>
        <v>ERRADO</v>
      </c>
      <c r="G18" t="s">
        <v>77</v>
      </c>
      <c r="H18" t="str">
        <f t="shared" si="1"/>
        <v>ERRADO</v>
      </c>
      <c r="I18" t="s">
        <v>76</v>
      </c>
      <c r="J18" t="str">
        <f t="shared" ref="J18" si="67">IF(I18=$B18,"CERTO","ERRADO")</f>
        <v>ERRADO</v>
      </c>
      <c r="K18" t="s">
        <v>77</v>
      </c>
      <c r="L18" t="str">
        <f t="shared" ref="L18" si="68">IF(K18=$B18,"CERTO","ERRADO")</f>
        <v>ERRADO</v>
      </c>
      <c r="M18" t="s">
        <v>76</v>
      </c>
      <c r="N18" t="str">
        <f t="shared" ref="N18" si="69">IF(M18=$B18,"CERTO","ERRADO")</f>
        <v>ERRADO</v>
      </c>
      <c r="O18" t="s">
        <v>77</v>
      </c>
      <c r="P18" t="str">
        <f t="shared" ref="P18" si="70">IF(O18=$B18,"CERTO","ERRADO")</f>
        <v>ERRADO</v>
      </c>
      <c r="Q18" s="9">
        <f t="shared" si="6"/>
        <v>0</v>
      </c>
      <c r="R18" s="9">
        <f t="shared" si="7"/>
        <v>7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  <c r="W18">
        <f t="shared" si="12"/>
        <v>0</v>
      </c>
      <c r="X18">
        <f t="shared" si="13"/>
        <v>0</v>
      </c>
      <c r="Y18">
        <f t="shared" si="14"/>
        <v>0</v>
      </c>
    </row>
    <row r="19" spans="1:25" x14ac:dyDescent="0.2">
      <c r="A19">
        <v>17</v>
      </c>
      <c r="B19" s="9" t="s">
        <v>27</v>
      </c>
      <c r="C19" t="s">
        <v>74</v>
      </c>
      <c r="D19" t="str">
        <f t="shared" si="0"/>
        <v>CERTO</v>
      </c>
      <c r="E19" t="s">
        <v>77</v>
      </c>
      <c r="F19" t="str">
        <f t="shared" si="1"/>
        <v>ERRADO</v>
      </c>
      <c r="G19" t="s">
        <v>75</v>
      </c>
      <c r="H19" t="str">
        <f t="shared" si="1"/>
        <v>ERRADO</v>
      </c>
      <c r="I19" t="s">
        <v>77</v>
      </c>
      <c r="J19" t="str">
        <f t="shared" ref="J19" si="71">IF(I19=$B19,"CERTO","ERRADO")</f>
        <v>ERRADO</v>
      </c>
      <c r="K19" t="s">
        <v>77</v>
      </c>
      <c r="L19" t="str">
        <f t="shared" ref="L19" si="72">IF(K19=$B19,"CERTO","ERRADO")</f>
        <v>ERRADO</v>
      </c>
      <c r="M19" t="s">
        <v>75</v>
      </c>
      <c r="N19" t="str">
        <f t="shared" ref="N19" si="73">IF(M19=$B19,"CERTO","ERRADO")</f>
        <v>ERRADO</v>
      </c>
      <c r="O19" t="s">
        <v>76</v>
      </c>
      <c r="P19" t="str">
        <f t="shared" ref="P19" si="74">IF(O19=$B19,"CERTO","ERRADO")</f>
        <v>ERRADO</v>
      </c>
      <c r="Q19" s="9">
        <f t="shared" si="6"/>
        <v>1</v>
      </c>
      <c r="R19" s="9">
        <f t="shared" si="7"/>
        <v>6</v>
      </c>
      <c r="S19">
        <f t="shared" si="8"/>
        <v>1</v>
      </c>
      <c r="T19">
        <f t="shared" si="9"/>
        <v>0</v>
      </c>
      <c r="U19">
        <f t="shared" si="10"/>
        <v>0</v>
      </c>
      <c r="V19">
        <f t="shared" si="11"/>
        <v>0</v>
      </c>
      <c r="W19">
        <f t="shared" si="12"/>
        <v>0</v>
      </c>
      <c r="X19">
        <f t="shared" si="13"/>
        <v>0</v>
      </c>
      <c r="Y19">
        <f t="shared" si="14"/>
        <v>0</v>
      </c>
    </row>
    <row r="20" spans="1:25" x14ac:dyDescent="0.2">
      <c r="A20">
        <v>18</v>
      </c>
      <c r="B20" s="9" t="s">
        <v>24</v>
      </c>
      <c r="C20" t="s">
        <v>77</v>
      </c>
      <c r="D20" t="str">
        <f t="shared" si="0"/>
        <v>CERTO</v>
      </c>
      <c r="E20" t="s">
        <v>74</v>
      </c>
      <c r="F20" t="str">
        <f t="shared" si="1"/>
        <v>ERRADO</v>
      </c>
      <c r="G20" t="s">
        <v>74</v>
      </c>
      <c r="H20" t="str">
        <f t="shared" si="1"/>
        <v>ERRADO</v>
      </c>
      <c r="I20" t="s">
        <v>74</v>
      </c>
      <c r="J20" t="str">
        <f t="shared" ref="J20" si="75">IF(I20=$B20,"CERTO","ERRADO")</f>
        <v>ERRADO</v>
      </c>
      <c r="K20" t="s">
        <v>74</v>
      </c>
      <c r="L20" t="str">
        <f t="shared" ref="L20" si="76">IF(K20=$B20,"CERTO","ERRADO")</f>
        <v>ERRADO</v>
      </c>
      <c r="M20" t="s">
        <v>77</v>
      </c>
      <c r="N20" t="str">
        <f t="shared" ref="N20" si="77">IF(M20=$B20,"CERTO","ERRADO")</f>
        <v>CERTO</v>
      </c>
      <c r="O20" t="s">
        <v>75</v>
      </c>
      <c r="P20" t="str">
        <f t="shared" ref="P20" si="78">IF(O20=$B20,"CERTO","ERRADO")</f>
        <v>ERRADO</v>
      </c>
      <c r="Q20" s="9">
        <f t="shared" si="6"/>
        <v>2</v>
      </c>
      <c r="R20" s="9">
        <f t="shared" si="7"/>
        <v>5</v>
      </c>
      <c r="S20">
        <f t="shared" si="8"/>
        <v>1</v>
      </c>
      <c r="T20">
        <f t="shared" si="9"/>
        <v>0</v>
      </c>
      <c r="U20">
        <f t="shared" si="10"/>
        <v>0</v>
      </c>
      <c r="V20">
        <f t="shared" si="11"/>
        <v>0</v>
      </c>
      <c r="W20">
        <f t="shared" si="12"/>
        <v>0</v>
      </c>
      <c r="X20">
        <f t="shared" si="13"/>
        <v>1</v>
      </c>
      <c r="Y20">
        <f t="shared" si="14"/>
        <v>0</v>
      </c>
    </row>
    <row r="21" spans="1:25" x14ac:dyDescent="0.2">
      <c r="A21">
        <v>19</v>
      </c>
      <c r="B21" s="9" t="s">
        <v>27</v>
      </c>
      <c r="C21" t="s">
        <v>75</v>
      </c>
      <c r="D21" t="str">
        <f t="shared" si="0"/>
        <v>ERRADO</v>
      </c>
      <c r="E21" t="s">
        <v>74</v>
      </c>
      <c r="F21" t="str">
        <f t="shared" si="1"/>
        <v>CERTO</v>
      </c>
      <c r="G21" t="s">
        <v>76</v>
      </c>
      <c r="H21" t="str">
        <f t="shared" si="1"/>
        <v>ERRADO</v>
      </c>
      <c r="I21" t="s">
        <v>74</v>
      </c>
      <c r="J21" t="str">
        <f t="shared" ref="J21" si="79">IF(I21=$B21,"CERTO","ERRADO")</f>
        <v>CERTO</v>
      </c>
      <c r="K21" t="s">
        <v>75</v>
      </c>
      <c r="L21" t="str">
        <f t="shared" ref="L21" si="80">IF(K21=$B21,"CERTO","ERRADO")</f>
        <v>ERRADO</v>
      </c>
      <c r="M21" t="s">
        <v>77</v>
      </c>
      <c r="N21" t="str">
        <f t="shared" ref="N21" si="81">IF(M21=$B21,"CERTO","ERRADO")</f>
        <v>ERRADO</v>
      </c>
      <c r="O21" t="s">
        <v>75</v>
      </c>
      <c r="P21" t="str">
        <f t="shared" ref="P21" si="82">IF(O21=$B21,"CERTO","ERRADO")</f>
        <v>ERRADO</v>
      </c>
      <c r="Q21" s="9">
        <f t="shared" si="6"/>
        <v>2</v>
      </c>
      <c r="R21" s="9">
        <f t="shared" si="7"/>
        <v>5</v>
      </c>
      <c r="S21">
        <f t="shared" si="8"/>
        <v>0</v>
      </c>
      <c r="T21">
        <f t="shared" si="9"/>
        <v>1</v>
      </c>
      <c r="U21">
        <f t="shared" si="10"/>
        <v>0</v>
      </c>
      <c r="V21">
        <f t="shared" si="11"/>
        <v>1</v>
      </c>
      <c r="W21">
        <f t="shared" si="12"/>
        <v>0</v>
      </c>
      <c r="X21">
        <f t="shared" si="13"/>
        <v>0</v>
      </c>
      <c r="Y21">
        <f t="shared" si="14"/>
        <v>0</v>
      </c>
    </row>
    <row r="22" spans="1:25" x14ac:dyDescent="0.2">
      <c r="A22">
        <v>20</v>
      </c>
      <c r="B22" s="9" t="s">
        <v>26</v>
      </c>
      <c r="C22" t="s">
        <v>76</v>
      </c>
      <c r="D22" t="str">
        <f t="shared" si="0"/>
        <v>CERTO</v>
      </c>
      <c r="E22" t="s">
        <v>75</v>
      </c>
      <c r="F22" t="str">
        <f t="shared" si="1"/>
        <v>ERRADO</v>
      </c>
      <c r="G22" t="s">
        <v>76</v>
      </c>
      <c r="H22" t="str">
        <f t="shared" si="1"/>
        <v>CERTO</v>
      </c>
      <c r="I22" t="s">
        <v>76</v>
      </c>
      <c r="J22" t="str">
        <f t="shared" ref="J22" si="83">IF(I22=$B22,"CERTO","ERRADO")</f>
        <v>CERTO</v>
      </c>
      <c r="K22" t="s">
        <v>76</v>
      </c>
      <c r="L22" t="str">
        <f t="shared" ref="L22" si="84">IF(K22=$B22,"CERTO","ERRADO")</f>
        <v>CERTO</v>
      </c>
      <c r="M22" t="s">
        <v>76</v>
      </c>
      <c r="N22" t="str">
        <f t="shared" ref="N22" si="85">IF(M22=$B22,"CERTO","ERRADO")</f>
        <v>CERTO</v>
      </c>
      <c r="O22" t="s">
        <v>76</v>
      </c>
      <c r="P22" t="str">
        <f t="shared" ref="P22" si="86">IF(O22=$B22,"CERTO","ERRADO")</f>
        <v>CERTO</v>
      </c>
      <c r="Q22" s="9">
        <f t="shared" si="6"/>
        <v>6</v>
      </c>
      <c r="R22" s="9">
        <f t="shared" si="7"/>
        <v>1</v>
      </c>
      <c r="S22">
        <f t="shared" si="8"/>
        <v>1</v>
      </c>
      <c r="T22">
        <f t="shared" si="9"/>
        <v>0</v>
      </c>
      <c r="U22">
        <f t="shared" si="10"/>
        <v>1</v>
      </c>
      <c r="V22">
        <f t="shared" si="11"/>
        <v>1</v>
      </c>
      <c r="W22">
        <f t="shared" si="12"/>
        <v>1</v>
      </c>
      <c r="X22">
        <f t="shared" si="13"/>
        <v>1</v>
      </c>
      <c r="Y22">
        <f t="shared" si="14"/>
        <v>1</v>
      </c>
    </row>
    <row r="23" spans="1:25" x14ac:dyDescent="0.2">
      <c r="A23">
        <v>21</v>
      </c>
      <c r="B23" s="9" t="s">
        <v>24</v>
      </c>
      <c r="C23" t="s">
        <v>77</v>
      </c>
      <c r="D23" t="str">
        <f t="shared" si="0"/>
        <v>CERTO</v>
      </c>
      <c r="E23" t="s">
        <v>77</v>
      </c>
      <c r="F23" t="str">
        <f t="shared" si="1"/>
        <v>CERTO</v>
      </c>
      <c r="G23" t="s">
        <v>76</v>
      </c>
      <c r="H23" t="str">
        <f t="shared" si="1"/>
        <v>ERRADO</v>
      </c>
      <c r="I23" t="s">
        <v>77</v>
      </c>
      <c r="J23" t="str">
        <f t="shared" ref="J23" si="87">IF(I23=$B23,"CERTO","ERRADO")</f>
        <v>CERTO</v>
      </c>
      <c r="K23" t="s">
        <v>77</v>
      </c>
      <c r="L23" t="str">
        <f t="shared" ref="L23" si="88">IF(K23=$B23,"CERTO","ERRADO")</f>
        <v>CERTO</v>
      </c>
      <c r="M23" t="s">
        <v>77</v>
      </c>
      <c r="N23" t="str">
        <f t="shared" ref="N23" si="89">IF(M23=$B23,"CERTO","ERRADO")</f>
        <v>CERTO</v>
      </c>
      <c r="O23" t="s">
        <v>74</v>
      </c>
      <c r="P23" t="str">
        <f t="shared" ref="P23" si="90">IF(O23=$B23,"CERTO","ERRADO")</f>
        <v>ERRADO</v>
      </c>
      <c r="Q23" s="9">
        <f t="shared" si="6"/>
        <v>5</v>
      </c>
      <c r="R23" s="9">
        <f t="shared" si="7"/>
        <v>2</v>
      </c>
      <c r="S23">
        <f t="shared" si="8"/>
        <v>1</v>
      </c>
      <c r="T23">
        <f t="shared" si="9"/>
        <v>1</v>
      </c>
      <c r="U23">
        <f t="shared" si="10"/>
        <v>0</v>
      </c>
      <c r="V23">
        <f t="shared" si="11"/>
        <v>1</v>
      </c>
      <c r="W23">
        <f t="shared" si="12"/>
        <v>1</v>
      </c>
      <c r="X23">
        <f t="shared" si="13"/>
        <v>1</v>
      </c>
      <c r="Y23">
        <f t="shared" si="14"/>
        <v>0</v>
      </c>
    </row>
    <row r="24" spans="1:25" x14ac:dyDescent="0.2">
      <c r="A24">
        <v>22</v>
      </c>
      <c r="B24" s="9" t="s">
        <v>24</v>
      </c>
      <c r="C24" t="s">
        <v>77</v>
      </c>
      <c r="D24" t="str">
        <f t="shared" si="0"/>
        <v>CERTO</v>
      </c>
      <c r="E24" t="s">
        <v>75</v>
      </c>
      <c r="F24" t="str">
        <f t="shared" si="1"/>
        <v>ERRADO</v>
      </c>
      <c r="G24" t="s">
        <v>74</v>
      </c>
      <c r="H24" t="str">
        <f t="shared" si="1"/>
        <v>ERRADO</v>
      </c>
      <c r="I24" t="s">
        <v>76</v>
      </c>
      <c r="J24" t="str">
        <f t="shared" ref="J24" si="91">IF(I24=$B24,"CERTO","ERRADO")</f>
        <v>ERRADO</v>
      </c>
      <c r="K24" t="s">
        <v>74</v>
      </c>
      <c r="L24" t="str">
        <f t="shared" ref="L24" si="92">IF(K24=$B24,"CERTO","ERRADO")</f>
        <v>ERRADO</v>
      </c>
      <c r="M24" t="s">
        <v>74</v>
      </c>
      <c r="N24" t="str">
        <f t="shared" ref="N24" si="93">IF(M24=$B24,"CERTO","ERRADO")</f>
        <v>ERRADO</v>
      </c>
      <c r="O24" t="s">
        <v>77</v>
      </c>
      <c r="P24" t="str">
        <f t="shared" ref="P24" si="94">IF(O24=$B24,"CERTO","ERRADO")</f>
        <v>CERTO</v>
      </c>
      <c r="Q24" s="9">
        <f t="shared" si="6"/>
        <v>2</v>
      </c>
      <c r="R24" s="9">
        <f t="shared" si="7"/>
        <v>5</v>
      </c>
      <c r="S24">
        <f t="shared" si="8"/>
        <v>1</v>
      </c>
      <c r="T24">
        <f t="shared" si="9"/>
        <v>0</v>
      </c>
      <c r="U24">
        <f t="shared" si="10"/>
        <v>0</v>
      </c>
      <c r="V24">
        <f t="shared" si="11"/>
        <v>0</v>
      </c>
      <c r="W24">
        <f t="shared" si="12"/>
        <v>0</v>
      </c>
      <c r="X24">
        <f t="shared" si="13"/>
        <v>0</v>
      </c>
      <c r="Y24">
        <f t="shared" si="14"/>
        <v>1</v>
      </c>
    </row>
    <row r="25" spans="1:25" x14ac:dyDescent="0.2">
      <c r="A25">
        <v>23</v>
      </c>
      <c r="B25" s="9" t="s">
        <v>24</v>
      </c>
      <c r="C25" t="s">
        <v>77</v>
      </c>
      <c r="D25" t="str">
        <f t="shared" si="0"/>
        <v>CERTO</v>
      </c>
      <c r="E25" t="s">
        <v>77</v>
      </c>
      <c r="F25" t="str">
        <f t="shared" si="1"/>
        <v>CERTO</v>
      </c>
      <c r="G25" t="s">
        <v>75</v>
      </c>
      <c r="H25" t="str">
        <f t="shared" si="1"/>
        <v>ERRADO</v>
      </c>
      <c r="I25" t="s">
        <v>75</v>
      </c>
      <c r="J25" t="str">
        <f t="shared" ref="J25" si="95">IF(I25=$B25,"CERTO","ERRADO")</f>
        <v>ERRADO</v>
      </c>
      <c r="K25" t="s">
        <v>77</v>
      </c>
      <c r="L25" t="str">
        <f t="shared" ref="L25" si="96">IF(K25=$B25,"CERTO","ERRADO")</f>
        <v>CERTO</v>
      </c>
      <c r="M25" t="s">
        <v>77</v>
      </c>
      <c r="N25" t="str">
        <f t="shared" ref="N25" si="97">IF(M25=$B25,"CERTO","ERRADO")</f>
        <v>CERTO</v>
      </c>
      <c r="O25" t="s">
        <v>75</v>
      </c>
      <c r="P25" t="str">
        <f t="shared" ref="P25" si="98">IF(O25=$B25,"CERTO","ERRADO")</f>
        <v>ERRADO</v>
      </c>
      <c r="Q25" s="9">
        <f t="shared" si="6"/>
        <v>4</v>
      </c>
      <c r="R25" s="9">
        <f t="shared" si="7"/>
        <v>3</v>
      </c>
      <c r="S25">
        <f t="shared" si="8"/>
        <v>1</v>
      </c>
      <c r="T25">
        <f t="shared" si="9"/>
        <v>1</v>
      </c>
      <c r="U25">
        <f t="shared" si="10"/>
        <v>0</v>
      </c>
      <c r="V25">
        <f t="shared" si="11"/>
        <v>0</v>
      </c>
      <c r="W25">
        <f t="shared" si="12"/>
        <v>1</v>
      </c>
      <c r="X25">
        <f t="shared" si="13"/>
        <v>1</v>
      </c>
      <c r="Y25">
        <f t="shared" si="14"/>
        <v>0</v>
      </c>
    </row>
    <row r="26" spans="1:25" x14ac:dyDescent="0.2">
      <c r="A26">
        <v>24</v>
      </c>
      <c r="B26" s="9" t="s">
        <v>24</v>
      </c>
      <c r="C26" t="s">
        <v>77</v>
      </c>
      <c r="D26" t="str">
        <f t="shared" si="0"/>
        <v>CERTO</v>
      </c>
      <c r="E26" t="s">
        <v>75</v>
      </c>
      <c r="F26" t="str">
        <f t="shared" si="1"/>
        <v>ERRADO</v>
      </c>
      <c r="G26" t="s">
        <v>74</v>
      </c>
      <c r="H26" t="str">
        <f t="shared" si="1"/>
        <v>ERRADO</v>
      </c>
      <c r="I26" t="s">
        <v>76</v>
      </c>
      <c r="J26" t="str">
        <f t="shared" ref="J26" si="99">IF(I26=$B26,"CERTO","ERRADO")</f>
        <v>ERRADO</v>
      </c>
      <c r="K26" t="s">
        <v>76</v>
      </c>
      <c r="L26" t="str">
        <f t="shared" ref="L26" si="100">IF(K26=$B26,"CERTO","ERRADO")</f>
        <v>ERRADO</v>
      </c>
      <c r="M26" t="s">
        <v>76</v>
      </c>
      <c r="N26" t="str">
        <f t="shared" ref="N26" si="101">IF(M26=$B26,"CERTO","ERRADO")</f>
        <v>ERRADO</v>
      </c>
      <c r="O26" t="s">
        <v>75</v>
      </c>
      <c r="P26" t="str">
        <f t="shared" ref="P26" si="102">IF(O26=$B26,"CERTO","ERRADO")</f>
        <v>ERRADO</v>
      </c>
      <c r="Q26" s="9">
        <f t="shared" si="6"/>
        <v>1</v>
      </c>
      <c r="R26" s="9">
        <f t="shared" si="7"/>
        <v>6</v>
      </c>
      <c r="S26">
        <f t="shared" si="8"/>
        <v>1</v>
      </c>
      <c r="T26">
        <f t="shared" si="9"/>
        <v>0</v>
      </c>
      <c r="U26">
        <f t="shared" si="10"/>
        <v>0</v>
      </c>
      <c r="V26">
        <f t="shared" si="11"/>
        <v>0</v>
      </c>
      <c r="W26">
        <f t="shared" si="12"/>
        <v>0</v>
      </c>
      <c r="X26">
        <f t="shared" si="13"/>
        <v>0</v>
      </c>
      <c r="Y26">
        <f t="shared" si="14"/>
        <v>0</v>
      </c>
    </row>
    <row r="27" spans="1:25" x14ac:dyDescent="0.2">
      <c r="A27">
        <v>25</v>
      </c>
      <c r="B27" s="9" t="s">
        <v>24</v>
      </c>
      <c r="C27" t="s">
        <v>77</v>
      </c>
      <c r="D27" t="str">
        <f t="shared" si="0"/>
        <v>CERTO</v>
      </c>
      <c r="E27" t="s">
        <v>76</v>
      </c>
      <c r="F27" t="str">
        <f t="shared" si="1"/>
        <v>ERRADO</v>
      </c>
      <c r="G27" t="s">
        <v>77</v>
      </c>
      <c r="H27" t="str">
        <f t="shared" si="1"/>
        <v>CERTO</v>
      </c>
      <c r="I27" t="s">
        <v>76</v>
      </c>
      <c r="J27" t="str">
        <f t="shared" ref="J27" si="103">IF(I27=$B27,"CERTO","ERRADO")</f>
        <v>ERRADO</v>
      </c>
      <c r="K27" t="s">
        <v>76</v>
      </c>
      <c r="L27" t="str">
        <f t="shared" ref="L27" si="104">IF(K27=$B27,"CERTO","ERRADO")</f>
        <v>ERRADO</v>
      </c>
      <c r="M27" t="s">
        <v>77</v>
      </c>
      <c r="N27" t="str">
        <f t="shared" ref="N27" si="105">IF(M27=$B27,"CERTO","ERRADO")</f>
        <v>CERTO</v>
      </c>
      <c r="O27" t="s">
        <v>76</v>
      </c>
      <c r="P27" t="str">
        <f t="shared" ref="P27" si="106">IF(O27=$B27,"CERTO","ERRADO")</f>
        <v>ERRADO</v>
      </c>
      <c r="Q27" s="9">
        <f t="shared" si="6"/>
        <v>3</v>
      </c>
      <c r="R27" s="9">
        <f t="shared" si="7"/>
        <v>4</v>
      </c>
      <c r="S27">
        <f t="shared" si="8"/>
        <v>1</v>
      </c>
      <c r="T27">
        <f t="shared" si="9"/>
        <v>0</v>
      </c>
      <c r="U27">
        <f t="shared" si="10"/>
        <v>1</v>
      </c>
      <c r="V27">
        <f t="shared" si="11"/>
        <v>0</v>
      </c>
      <c r="W27">
        <f t="shared" si="12"/>
        <v>0</v>
      </c>
      <c r="X27">
        <f t="shared" si="13"/>
        <v>1</v>
      </c>
      <c r="Y27">
        <f t="shared" si="14"/>
        <v>0</v>
      </c>
    </row>
  </sheetData>
  <mergeCells count="8">
    <mergeCell ref="A1:P1"/>
    <mergeCell ref="C2:D2"/>
    <mergeCell ref="E2:F2"/>
    <mergeCell ref="G2:H2"/>
    <mergeCell ref="I2:J2"/>
    <mergeCell ref="K2:L2"/>
    <mergeCell ref="M2:N2"/>
    <mergeCell ref="O2:P2"/>
  </mergeCells>
  <conditionalFormatting sqref="D3:D27">
    <cfRule type="containsText" dxfId="13" priority="13" operator="containsText" text="ERRADO">
      <formula>NOT(ISERROR(SEARCH("ERRADO",D3)))</formula>
    </cfRule>
    <cfRule type="containsText" dxfId="12" priority="14" operator="containsText" text="CERTO">
      <formula>NOT(ISERROR(SEARCH("CERTO",D3)))</formula>
    </cfRule>
  </conditionalFormatting>
  <conditionalFormatting sqref="F3:F27">
    <cfRule type="containsText" dxfId="11" priority="11" operator="containsText" text="ERRADO">
      <formula>NOT(ISERROR(SEARCH("ERRADO",F3)))</formula>
    </cfRule>
    <cfRule type="containsText" dxfId="10" priority="12" operator="containsText" text="CERTO">
      <formula>NOT(ISERROR(SEARCH("CERTO",F3)))</formula>
    </cfRule>
  </conditionalFormatting>
  <conditionalFormatting sqref="H3:H27">
    <cfRule type="containsText" dxfId="9" priority="9" operator="containsText" text="ERRADO">
      <formula>NOT(ISERROR(SEARCH("ERRADO",H3)))</formula>
    </cfRule>
    <cfRule type="containsText" dxfId="8" priority="10" operator="containsText" text="CERTO">
      <formula>NOT(ISERROR(SEARCH("CERTO",H3)))</formula>
    </cfRule>
  </conditionalFormatting>
  <conditionalFormatting sqref="J3:J27">
    <cfRule type="containsText" dxfId="7" priority="7" operator="containsText" text="ERRADO">
      <formula>NOT(ISERROR(SEARCH("ERRADO",J3)))</formula>
    </cfRule>
    <cfRule type="containsText" dxfId="6" priority="8" operator="containsText" text="CERTO">
      <formula>NOT(ISERROR(SEARCH("CERTO",J3)))</formula>
    </cfRule>
  </conditionalFormatting>
  <conditionalFormatting sqref="L3:L27">
    <cfRule type="containsText" dxfId="5" priority="5" operator="containsText" text="ERRADO">
      <formula>NOT(ISERROR(SEARCH("ERRADO",L3)))</formula>
    </cfRule>
    <cfRule type="containsText" dxfId="4" priority="6" operator="containsText" text="CERTO">
      <formula>NOT(ISERROR(SEARCH("CERTO",L3)))</formula>
    </cfRule>
  </conditionalFormatting>
  <conditionalFormatting sqref="N3:N27">
    <cfRule type="containsText" dxfId="3" priority="3" operator="containsText" text="ERRADO">
      <formula>NOT(ISERROR(SEARCH("ERRADO",N3)))</formula>
    </cfRule>
    <cfRule type="containsText" dxfId="2" priority="4" operator="containsText" text="CERTO">
      <formula>NOT(ISERROR(SEARCH("CERTO",N3)))</formula>
    </cfRule>
  </conditionalFormatting>
  <conditionalFormatting sqref="P3:P27">
    <cfRule type="containsText" dxfId="1" priority="1" operator="containsText" text="ERRADO">
      <formula>NOT(ISERROR(SEARCH("ERRADO",P3)))</formula>
    </cfRule>
    <cfRule type="containsText" dxfId="0" priority="2" operator="containsText" text="CERTO">
      <formula>NOT(ISERROR(SEARCH("CERTO",P3)))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/>
  </sheetViews>
  <sheetFormatPr defaultRowHeight="15" x14ac:dyDescent="0.2"/>
  <cols>
    <col min="1" max="1" width="17.21875" bestFit="1" customWidth="1"/>
    <col min="2" max="2" width="14.9296875" bestFit="1" customWidth="1"/>
    <col min="3" max="8" width="18.4296875" bestFit="1" customWidth="1"/>
  </cols>
  <sheetData>
    <row r="1" spans="1:2" x14ac:dyDescent="0.2">
      <c r="A1" s="30" t="s">
        <v>83</v>
      </c>
      <c r="B1" t="s">
        <v>89</v>
      </c>
    </row>
    <row r="2" spans="1:2" x14ac:dyDescent="0.2">
      <c r="A2" s="30" t="s">
        <v>84</v>
      </c>
      <c r="B2" t="s">
        <v>89</v>
      </c>
    </row>
    <row r="3" spans="1:2" x14ac:dyDescent="0.2">
      <c r="A3" s="30" t="s">
        <v>88</v>
      </c>
      <c r="B3" t="s">
        <v>89</v>
      </c>
    </row>
    <row r="4" spans="1:2" x14ac:dyDescent="0.2">
      <c r="A4" s="30" t="s">
        <v>85</v>
      </c>
      <c r="B4" t="s">
        <v>89</v>
      </c>
    </row>
    <row r="5" spans="1:2" x14ac:dyDescent="0.2">
      <c r="A5" s="30" t="s">
        <v>87</v>
      </c>
      <c r="B5" t="s">
        <v>89</v>
      </c>
    </row>
    <row r="6" spans="1:2" x14ac:dyDescent="0.2">
      <c r="A6" s="30" t="s">
        <v>86</v>
      </c>
      <c r="B6" s="31">
        <v>1</v>
      </c>
    </row>
    <row r="8" spans="1:2" x14ac:dyDescent="0.2">
      <c r="A8" s="30" t="s">
        <v>90</v>
      </c>
      <c r="B8" t="s">
        <v>92</v>
      </c>
    </row>
    <row r="9" spans="1:2" x14ac:dyDescent="0.2">
      <c r="A9" s="31">
        <v>1</v>
      </c>
      <c r="B9">
        <v>1</v>
      </c>
    </row>
    <row r="10" spans="1:2" x14ac:dyDescent="0.2">
      <c r="A10" s="31">
        <v>2</v>
      </c>
      <c r="B10">
        <v>1</v>
      </c>
    </row>
    <row r="11" spans="1:2" x14ac:dyDescent="0.2">
      <c r="A11" s="31">
        <v>3</v>
      </c>
      <c r="B11">
        <v>1</v>
      </c>
    </row>
    <row r="12" spans="1:2" x14ac:dyDescent="0.2">
      <c r="A12" s="31">
        <v>5</v>
      </c>
      <c r="B12">
        <v>1</v>
      </c>
    </row>
    <row r="13" spans="1:2" x14ac:dyDescent="0.2">
      <c r="A13" s="31">
        <v>7</v>
      </c>
      <c r="B13">
        <v>1</v>
      </c>
    </row>
    <row r="14" spans="1:2" x14ac:dyDescent="0.2">
      <c r="A14" s="31">
        <v>11</v>
      </c>
      <c r="B14">
        <v>1</v>
      </c>
    </row>
    <row r="15" spans="1:2" x14ac:dyDescent="0.2">
      <c r="A15" s="31">
        <v>12</v>
      </c>
      <c r="B15">
        <v>0</v>
      </c>
    </row>
    <row r="16" spans="1:2" x14ac:dyDescent="0.2">
      <c r="A16" s="31">
        <v>13</v>
      </c>
      <c r="B16">
        <v>1</v>
      </c>
    </row>
    <row r="17" spans="1:2" x14ac:dyDescent="0.2">
      <c r="A17" s="31">
        <v>15</v>
      </c>
      <c r="B17">
        <v>1</v>
      </c>
    </row>
    <row r="18" spans="1:2" x14ac:dyDescent="0.2">
      <c r="A18" s="31">
        <v>20</v>
      </c>
      <c r="B18">
        <v>1</v>
      </c>
    </row>
    <row r="19" spans="1:2" x14ac:dyDescent="0.2">
      <c r="A19" s="31">
        <v>21</v>
      </c>
      <c r="B19">
        <v>1</v>
      </c>
    </row>
    <row r="20" spans="1:2" x14ac:dyDescent="0.2">
      <c r="A20" s="31">
        <v>23</v>
      </c>
      <c r="B20">
        <v>1</v>
      </c>
    </row>
    <row r="21" spans="1:2" x14ac:dyDescent="0.2">
      <c r="A21" s="31" t="s">
        <v>91</v>
      </c>
      <c r="B21">
        <v>11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27"/>
  <sheetViews>
    <sheetView workbookViewId="0">
      <selection activeCell="A2" sqref="A2:J27"/>
    </sheetView>
  </sheetViews>
  <sheetFormatPr defaultRowHeight="15" x14ac:dyDescent="0.2"/>
  <sheetData>
    <row r="2" spans="1:10" x14ac:dyDescent="0.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</row>
    <row r="3" spans="1:10" x14ac:dyDescent="0.2">
      <c r="A3">
        <v>1</v>
      </c>
      <c r="B3">
        <v>7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2</v>
      </c>
      <c r="B4">
        <v>5</v>
      </c>
      <c r="C4">
        <v>2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">
      <c r="A5">
        <v>3</v>
      </c>
      <c r="B5">
        <v>5</v>
      </c>
      <c r="C5">
        <v>2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</row>
    <row r="6" spans="1:10" x14ac:dyDescent="0.2">
      <c r="A6">
        <v>4</v>
      </c>
      <c r="B6">
        <v>1</v>
      </c>
      <c r="C6">
        <v>6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5</v>
      </c>
      <c r="B7">
        <v>5</v>
      </c>
      <c r="C7">
        <v>2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2">
      <c r="A8">
        <v>6</v>
      </c>
      <c r="B8">
        <v>2</v>
      </c>
      <c r="C8">
        <v>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7</v>
      </c>
      <c r="B9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</row>
    <row r="10" spans="1:10" x14ac:dyDescent="0.2">
      <c r="A10">
        <v>8</v>
      </c>
      <c r="B10">
        <v>2</v>
      </c>
      <c r="C10">
        <v>5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9</v>
      </c>
      <c r="B11">
        <v>3</v>
      </c>
      <c r="C11">
        <v>4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 x14ac:dyDescent="0.2">
      <c r="A12">
        <v>10</v>
      </c>
      <c r="B12">
        <v>2</v>
      </c>
      <c r="C12">
        <v>5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2">
      <c r="A13">
        <v>11</v>
      </c>
      <c r="B13">
        <v>4</v>
      </c>
      <c r="C13">
        <v>3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</row>
    <row r="14" spans="1:10" x14ac:dyDescent="0.2">
      <c r="A14">
        <v>12</v>
      </c>
      <c r="B14">
        <v>5</v>
      </c>
      <c r="C14">
        <v>2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10" x14ac:dyDescent="0.2">
      <c r="A15">
        <v>13</v>
      </c>
      <c r="B15">
        <v>5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 x14ac:dyDescent="0.2">
      <c r="A16">
        <v>14</v>
      </c>
      <c r="B16">
        <v>1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">
      <c r="A17">
        <v>15</v>
      </c>
      <c r="B17">
        <v>4</v>
      </c>
      <c r="C17">
        <v>3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</row>
    <row r="18" spans="1:10" x14ac:dyDescent="0.2">
      <c r="A18">
        <v>16</v>
      </c>
      <c r="B18">
        <v>0</v>
      </c>
      <c r="C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17</v>
      </c>
      <c r="B19">
        <v>1</v>
      </c>
      <c r="C19">
        <v>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18</v>
      </c>
      <c r="B20">
        <v>2</v>
      </c>
      <c r="C20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">
      <c r="A21">
        <v>19</v>
      </c>
      <c r="B21">
        <v>2</v>
      </c>
      <c r="C21">
        <v>5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">
      <c r="A22">
        <v>20</v>
      </c>
      <c r="B22">
        <v>6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>
        <v>21</v>
      </c>
      <c r="B23">
        <v>5</v>
      </c>
      <c r="C23">
        <v>2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</row>
    <row r="24" spans="1:10" x14ac:dyDescent="0.2">
      <c r="A24">
        <v>22</v>
      </c>
      <c r="B24">
        <v>2</v>
      </c>
      <c r="C24">
        <v>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">
      <c r="A25">
        <v>23</v>
      </c>
      <c r="B25">
        <v>4</v>
      </c>
      <c r="C25">
        <v>3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</row>
    <row r="26" spans="1:10" x14ac:dyDescent="0.2">
      <c r="A26">
        <v>24</v>
      </c>
      <c r="B26">
        <v>1</v>
      </c>
      <c r="C26">
        <v>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25</v>
      </c>
      <c r="B27">
        <v>3</v>
      </c>
      <c r="C27">
        <v>4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32BA8966FE0419D79B91530A732BB" ma:contentTypeVersion="4" ma:contentTypeDescription="Crie um novo documento." ma:contentTypeScope="" ma:versionID="a380bf974d84d106b543373cb583ddbc">
  <xsd:schema xmlns:xsd="http://www.w3.org/2001/XMLSchema" xmlns:xs="http://www.w3.org/2001/XMLSchema" xmlns:p="http://schemas.microsoft.com/office/2006/metadata/properties" xmlns:ns2="34d65aa0-273c-492b-bf47-31e56d34e4a3" targetNamespace="http://schemas.microsoft.com/office/2006/metadata/properties" ma:root="true" ma:fieldsID="1aa69f9c34f1faa7749dbb87c9f794a9" ns2:_="">
    <xsd:import namespace="34d65aa0-273c-492b-bf47-31e56d34e4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65aa0-273c-492b-bf47-31e56d34e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4C12A2-EB12-4153-AD86-BDF584180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65175-59CB-49B5-BABE-FB3E1F824AE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4d65aa0-273c-492b-bf47-31e56d34e4a3"/>
  </ds:schemaRefs>
</ds:datastoreItem>
</file>

<file path=customXml/itemProps3.xml><?xml version="1.0" encoding="utf-8"?>
<ds:datastoreItem xmlns:ds="http://schemas.openxmlformats.org/officeDocument/2006/customXml" ds:itemID="{2BEFD30E-FB59-4427-AB8C-512A5FE51C95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Pesquisa Inicial</vt:lpstr>
      <vt:lpstr>Sistema gerencial</vt:lpstr>
      <vt:lpstr>Vendas regional</vt:lpstr>
      <vt:lpstr>Franquia</vt:lpstr>
      <vt:lpstr>CUSTO ARMAZÉM</vt:lpstr>
      <vt:lpstr>CUSTO EQUIPES FUNCIONÁRIOS			</vt:lpstr>
      <vt:lpstr>VALOR DOS PACOTES DE SERVIÇO		</vt:lpstr>
      <vt:lpstr>POSTO DE ATENDIMENTO (PA)						</vt:lpstr>
      <vt:lpstr>DADOS</vt:lpstr>
      <vt:lpstr>GRÁFICO</vt:lpstr>
      <vt:lpstr>Planilha1 (2)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Fundação de Apoio à Pesquisa FAPG</dc:creator>
  <cp:lastModifiedBy>Davi Felipe Santos</cp:lastModifiedBy>
  <cp:revision/>
  <dcterms:created xsi:type="dcterms:W3CDTF">2023-02-28T13:25:41Z</dcterms:created>
  <dcterms:modified xsi:type="dcterms:W3CDTF">2024-11-13T18:40:17Z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0x010100B8F32BA8966FE0419D79B91530A732BB</vt:lpwstr>
  </property>
</Properties>
</file>