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1760" firstSheet="2" activeTab="2"/>
  </bookViews>
  <sheets>
    <sheet name="Pesquisa Inicial" sheetId="2" r:id="rId1"/>
    <sheet name="Plan1" sheetId="16" r:id="rId2"/>
    <sheet name="janeiro" sheetId="15" r:id="rId3"/>
    <sheet name="Vendas regional" sheetId="14" r:id="rId4"/>
    <sheet name="Franquia" sheetId="8" r:id="rId5"/>
    <sheet name="CUSTO ARMAZÉM" sheetId="9" r:id="rId6"/>
    <sheet name="CUSTO EQUIPES FUNCIONÁRIOS_x0009__x0009__x0009_" sheetId="10" r:id="rId7"/>
    <sheet name="VALOR DOS PACOTES DE SERVIÇO_x0009__x0009_" sheetId="11" r:id="rId8"/>
    <sheet name="POSTO DE ATENDIMENTO (PA)_x0009__x0009__x0009__x0009__x0009__x0009_" sheetId="12" r:id="rId9"/>
    <sheet name="DADOS" sheetId="3" r:id="rId10"/>
    <sheet name="GRÁFICO" sheetId="6" state="hidden" r:id="rId11"/>
    <sheet name="Planilha1 (2)" sheetId="5" state="hidden" r:id="rId12"/>
  </sheets>
  <calcPr calcId="125725"/>
  <pivotCaches>
    <pivotCache cacheId="1" r:id="rId1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15"/>
  <c r="P103"/>
  <c r="P102"/>
  <c r="P101"/>
  <c r="P100"/>
  <c r="P94"/>
  <c r="P93"/>
  <c r="P92"/>
  <c r="P91"/>
  <c r="P85"/>
  <c r="P84"/>
  <c r="P83"/>
  <c r="P82"/>
  <c r="P76"/>
  <c r="P75"/>
  <c r="P74"/>
  <c r="P73"/>
  <c r="P67"/>
  <c r="P66"/>
  <c r="P65"/>
  <c r="P64"/>
  <c r="P59"/>
  <c r="P58"/>
  <c r="P57"/>
  <c r="P56"/>
  <c r="P50"/>
  <c r="P49"/>
  <c r="P48"/>
  <c r="P47"/>
  <c r="P41"/>
  <c r="P40"/>
  <c r="P39"/>
  <c r="P38"/>
  <c r="P32"/>
  <c r="P31"/>
  <c r="P30"/>
  <c r="P29"/>
  <c r="P24"/>
  <c r="P23"/>
  <c r="P22"/>
  <c r="P21"/>
  <c r="P15"/>
  <c r="P14"/>
  <c r="P13"/>
  <c r="P12"/>
  <c r="P3"/>
  <c r="H3"/>
  <c r="H103"/>
  <c r="L103" s="1"/>
  <c r="H102"/>
  <c r="H101"/>
  <c r="H100"/>
  <c r="H94"/>
  <c r="L94" s="1"/>
  <c r="H93"/>
  <c r="H92"/>
  <c r="H91"/>
  <c r="H85"/>
  <c r="L85" s="1"/>
  <c r="H84"/>
  <c r="L84" s="1"/>
  <c r="M84" s="1"/>
  <c r="H83"/>
  <c r="H82"/>
  <c r="H76"/>
  <c r="L76" s="1"/>
  <c r="H75"/>
  <c r="H74"/>
  <c r="H73"/>
  <c r="H67"/>
  <c r="L67" s="1"/>
  <c r="H66"/>
  <c r="H65"/>
  <c r="L65" s="1"/>
  <c r="H64"/>
  <c r="H59"/>
  <c r="H58"/>
  <c r="L58" s="1"/>
  <c r="H57"/>
  <c r="H56"/>
  <c r="H50"/>
  <c r="L50" s="1"/>
  <c r="H49"/>
  <c r="H48"/>
  <c r="H47"/>
  <c r="H41"/>
  <c r="L41" s="1"/>
  <c r="H40"/>
  <c r="H39"/>
  <c r="H38"/>
  <c r="H32"/>
  <c r="H31"/>
  <c r="L31" s="1"/>
  <c r="H30"/>
  <c r="H29"/>
  <c r="H24"/>
  <c r="L24" s="1"/>
  <c r="M24" s="1"/>
  <c r="H23"/>
  <c r="H22"/>
  <c r="H21"/>
  <c r="N103"/>
  <c r="N102"/>
  <c r="L102"/>
  <c r="M102" s="1"/>
  <c r="N101"/>
  <c r="M101" s="1"/>
  <c r="L101"/>
  <c r="N100"/>
  <c r="L100"/>
  <c r="N94"/>
  <c r="N93"/>
  <c r="M93"/>
  <c r="L93"/>
  <c r="N92"/>
  <c r="L92"/>
  <c r="M92" s="1"/>
  <c r="N91"/>
  <c r="M91" s="1"/>
  <c r="L91"/>
  <c r="N85"/>
  <c r="N84"/>
  <c r="N83"/>
  <c r="L83"/>
  <c r="N82"/>
  <c r="L82"/>
  <c r="M82" s="1"/>
  <c r="N76"/>
  <c r="N75"/>
  <c r="L75"/>
  <c r="M75" s="1"/>
  <c r="N74"/>
  <c r="M74" s="1"/>
  <c r="L74"/>
  <c r="N73"/>
  <c r="L73"/>
  <c r="N67"/>
  <c r="N66"/>
  <c r="M66"/>
  <c r="L66"/>
  <c r="N65"/>
  <c r="N64"/>
  <c r="M64" s="1"/>
  <c r="L64"/>
  <c r="N59"/>
  <c r="L59"/>
  <c r="M59" s="1"/>
  <c r="N58"/>
  <c r="N57"/>
  <c r="M57"/>
  <c r="L57"/>
  <c r="N56"/>
  <c r="L56"/>
  <c r="N50"/>
  <c r="N49"/>
  <c r="L49"/>
  <c r="M49" s="1"/>
  <c r="N48"/>
  <c r="M48" s="1"/>
  <c r="L48"/>
  <c r="N47"/>
  <c r="L47"/>
  <c r="N41"/>
  <c r="N40"/>
  <c r="M40"/>
  <c r="L40"/>
  <c r="N39"/>
  <c r="M39" s="1"/>
  <c r="L39"/>
  <c r="N38"/>
  <c r="M38"/>
  <c r="L38"/>
  <c r="N32"/>
  <c r="L32"/>
  <c r="M32" s="1"/>
  <c r="N31"/>
  <c r="N30"/>
  <c r="L30"/>
  <c r="N29"/>
  <c r="L29"/>
  <c r="M29" s="1"/>
  <c r="N24"/>
  <c r="N23"/>
  <c r="L23"/>
  <c r="N22"/>
  <c r="L22"/>
  <c r="M22" s="1"/>
  <c r="N21"/>
  <c r="M21" s="1"/>
  <c r="L21"/>
  <c r="N15"/>
  <c r="M15" s="1"/>
  <c r="L15"/>
  <c r="N14"/>
  <c r="M14"/>
  <c r="L14"/>
  <c r="N13"/>
  <c r="M13" s="1"/>
  <c r="L13"/>
  <c r="N12"/>
  <c r="M12" s="1"/>
  <c r="L12"/>
  <c r="H15"/>
  <c r="H14"/>
  <c r="H13"/>
  <c r="H12"/>
  <c r="E12"/>
  <c r="F12" s="1"/>
  <c r="E13"/>
  <c r="F13" s="1"/>
  <c r="E14"/>
  <c r="F14" s="1"/>
  <c r="E15"/>
  <c r="F15" s="1"/>
  <c r="P4"/>
  <c r="P5"/>
  <c r="P6"/>
  <c r="N3"/>
  <c r="N4"/>
  <c r="N5"/>
  <c r="N6"/>
  <c r="H4"/>
  <c r="L4" s="1"/>
  <c r="M4" s="1"/>
  <c r="H6"/>
  <c r="L6" s="1"/>
  <c r="H5"/>
  <c r="L5" s="1"/>
  <c r="L3"/>
  <c r="A20" i="12"/>
  <c r="B20" s="1"/>
  <c r="G19" i="9"/>
  <c r="B19" i="12"/>
  <c r="A19"/>
  <c r="G18" i="10"/>
  <c r="G17"/>
  <c r="E16"/>
  <c r="E15"/>
  <c r="E14"/>
  <c r="D16"/>
  <c r="D15"/>
  <c r="D14"/>
  <c r="C16"/>
  <c r="C15"/>
  <c r="C14"/>
  <c r="O7" i="15"/>
  <c r="C3" i="16"/>
  <c r="E103" i="15"/>
  <c r="F103" s="1"/>
  <c r="F102"/>
  <c r="E102"/>
  <c r="E101"/>
  <c r="F101" s="1"/>
  <c r="E100"/>
  <c r="F100" s="1"/>
  <c r="E94"/>
  <c r="F94" s="1"/>
  <c r="E93"/>
  <c r="F93" s="1"/>
  <c r="E92"/>
  <c r="F92" s="1"/>
  <c r="E91"/>
  <c r="F91" s="1"/>
  <c r="E85"/>
  <c r="F85" s="1"/>
  <c r="E84"/>
  <c r="F84" s="1"/>
  <c r="E83"/>
  <c r="F83" s="1"/>
  <c r="E82"/>
  <c r="F82" s="1"/>
  <c r="E76"/>
  <c r="F76" s="1"/>
  <c r="E75"/>
  <c r="F75" s="1"/>
  <c r="E74"/>
  <c r="F74" s="1"/>
  <c r="F73"/>
  <c r="E73"/>
  <c r="F67"/>
  <c r="E67"/>
  <c r="E66"/>
  <c r="F66" s="1"/>
  <c r="E65"/>
  <c r="F65" s="1"/>
  <c r="E64"/>
  <c r="F64" s="1"/>
  <c r="E59"/>
  <c r="F59" s="1"/>
  <c r="E58"/>
  <c r="F58" s="1"/>
  <c r="E57"/>
  <c r="F57" s="1"/>
  <c r="E56"/>
  <c r="F56" s="1"/>
  <c r="E50"/>
  <c r="F50" s="1"/>
  <c r="E49"/>
  <c r="F49" s="1"/>
  <c r="E48"/>
  <c r="F48" s="1"/>
  <c r="E47"/>
  <c r="F47" s="1"/>
  <c r="E41"/>
  <c r="F41" s="1"/>
  <c r="E40"/>
  <c r="F40" s="1"/>
  <c r="E39"/>
  <c r="F39" s="1"/>
  <c r="E38"/>
  <c r="F38" s="1"/>
  <c r="E32"/>
  <c r="F32" s="1"/>
  <c r="E31"/>
  <c r="F31" s="1"/>
  <c r="E30"/>
  <c r="F30" s="1"/>
  <c r="F29"/>
  <c r="E29"/>
  <c r="E24"/>
  <c r="F24" s="1"/>
  <c r="E23"/>
  <c r="F23" s="1"/>
  <c r="E22"/>
  <c r="F22" s="1"/>
  <c r="E21"/>
  <c r="F21" s="1"/>
  <c r="D19" i="9"/>
  <c r="C4" i="16" s="1"/>
  <c r="C5" s="1"/>
  <c r="E3" i="15"/>
  <c r="F3" s="1"/>
  <c r="E5"/>
  <c r="F5" s="1"/>
  <c r="E4"/>
  <c r="F4" s="1"/>
  <c r="E6"/>
  <c r="F6" s="1"/>
  <c r="M103" l="1"/>
  <c r="M100"/>
  <c r="M94"/>
  <c r="M85"/>
  <c r="M83"/>
  <c r="M76"/>
  <c r="M73"/>
  <c r="M67"/>
  <c r="M65"/>
  <c r="M58"/>
  <c r="M56"/>
  <c r="M50"/>
  <c r="M47"/>
  <c r="M41"/>
  <c r="M31"/>
  <c r="M30"/>
  <c r="M23"/>
  <c r="M6"/>
  <c r="M5"/>
  <c r="M3"/>
  <c r="R3"/>
  <c r="R30"/>
  <c r="E17" i="10"/>
  <c r="R102" i="15"/>
  <c r="R93"/>
  <c r="R84"/>
  <c r="R75"/>
  <c r="R65"/>
  <c r="R66"/>
  <c r="R57"/>
  <c r="R49"/>
  <c r="R41"/>
  <c r="R29"/>
  <c r="R14"/>
  <c r="R5"/>
  <c r="R4"/>
  <c r="R6"/>
  <c r="C5" i="8"/>
  <c r="D17" i="10"/>
  <c r="L11" i="14"/>
  <c r="L12"/>
  <c r="L13"/>
  <c r="L10"/>
  <c r="I157"/>
  <c r="F157"/>
  <c r="C157"/>
  <c r="L154"/>
  <c r="L155"/>
  <c r="L156"/>
  <c r="L153"/>
  <c r="I144"/>
  <c r="F144"/>
  <c r="C144"/>
  <c r="L141"/>
  <c r="L142"/>
  <c r="L143"/>
  <c r="L140"/>
  <c r="I131"/>
  <c r="F131"/>
  <c r="C131"/>
  <c r="L128"/>
  <c r="L129"/>
  <c r="L130"/>
  <c r="L127"/>
  <c r="L117"/>
  <c r="L116"/>
  <c r="L115"/>
  <c r="L114"/>
  <c r="I118"/>
  <c r="F118"/>
  <c r="C118"/>
  <c r="L104"/>
  <c r="L103"/>
  <c r="L102"/>
  <c r="L101"/>
  <c r="I105"/>
  <c r="F105"/>
  <c r="C105"/>
  <c r="L89"/>
  <c r="L90"/>
  <c r="L91"/>
  <c r="I92"/>
  <c r="F92"/>
  <c r="C92"/>
  <c r="L88"/>
  <c r="L76"/>
  <c r="L77"/>
  <c r="L78"/>
  <c r="I79"/>
  <c r="F79"/>
  <c r="C79"/>
  <c r="L75"/>
  <c r="L63"/>
  <c r="L64"/>
  <c r="L65"/>
  <c r="L62"/>
  <c r="I66"/>
  <c r="F66"/>
  <c r="C66"/>
  <c r="I53"/>
  <c r="F53"/>
  <c r="C53"/>
  <c r="L50"/>
  <c r="L51"/>
  <c r="L52"/>
  <c r="L49"/>
  <c r="I40"/>
  <c r="F40"/>
  <c r="C40"/>
  <c r="L39"/>
  <c r="L38"/>
  <c r="L37"/>
  <c r="L36"/>
  <c r="I27"/>
  <c r="F27"/>
  <c r="C27"/>
  <c r="L26"/>
  <c r="L25"/>
  <c r="L24"/>
  <c r="L23"/>
  <c r="I14"/>
  <c r="F14"/>
  <c r="C14"/>
  <c r="L144"/>
  <c r="L131"/>
  <c r="L157"/>
  <c r="L118"/>
  <c r="L105"/>
  <c r="L92"/>
  <c r="L66"/>
  <c r="L27"/>
  <c r="L14"/>
  <c r="L40"/>
  <c r="L53"/>
  <c r="L79"/>
  <c r="L150"/>
  <c r="O150"/>
  <c r="I150"/>
  <c r="F150"/>
  <c r="L149"/>
  <c r="O149"/>
  <c r="I149"/>
  <c r="F149"/>
  <c r="L148"/>
  <c r="O148"/>
  <c r="I148"/>
  <c r="F148"/>
  <c r="L147"/>
  <c r="O147"/>
  <c r="I147"/>
  <c r="F147"/>
  <c r="L137"/>
  <c r="O137"/>
  <c r="I137"/>
  <c r="F137"/>
  <c r="L136"/>
  <c r="O136"/>
  <c r="I136"/>
  <c r="F136"/>
  <c r="L135"/>
  <c r="O135"/>
  <c r="I135"/>
  <c r="F135"/>
  <c r="L134"/>
  <c r="O134"/>
  <c r="I134"/>
  <c r="F134"/>
  <c r="L124"/>
  <c r="O124"/>
  <c r="I124"/>
  <c r="F124"/>
  <c r="L123"/>
  <c r="O123"/>
  <c r="I123"/>
  <c r="F123"/>
  <c r="L122"/>
  <c r="O122"/>
  <c r="I122"/>
  <c r="F122"/>
  <c r="L121"/>
  <c r="O121"/>
  <c r="I121"/>
  <c r="F121"/>
  <c r="L111"/>
  <c r="O111"/>
  <c r="I111"/>
  <c r="F111"/>
  <c r="L110"/>
  <c r="O110"/>
  <c r="I110"/>
  <c r="F110"/>
  <c r="L109"/>
  <c r="O109"/>
  <c r="I109"/>
  <c r="F109"/>
  <c r="L108"/>
  <c r="O108"/>
  <c r="I108"/>
  <c r="F108"/>
  <c r="L98"/>
  <c r="O98"/>
  <c r="I98"/>
  <c r="F98"/>
  <c r="L97"/>
  <c r="O97"/>
  <c r="I97"/>
  <c r="F97"/>
  <c r="L96"/>
  <c r="O96"/>
  <c r="I96"/>
  <c r="F96"/>
  <c r="L95"/>
  <c r="O95"/>
  <c r="I95"/>
  <c r="F95"/>
  <c r="L85"/>
  <c r="O85"/>
  <c r="I85"/>
  <c r="F85"/>
  <c r="L84"/>
  <c r="O84"/>
  <c r="I84"/>
  <c r="F84"/>
  <c r="L83"/>
  <c r="O83"/>
  <c r="I83"/>
  <c r="F83"/>
  <c r="L82"/>
  <c r="O82"/>
  <c r="I82"/>
  <c r="F82"/>
  <c r="L72"/>
  <c r="O72"/>
  <c r="I72"/>
  <c r="F72"/>
  <c r="L71"/>
  <c r="O71"/>
  <c r="I71"/>
  <c r="F71"/>
  <c r="L70"/>
  <c r="O70"/>
  <c r="I70"/>
  <c r="F70"/>
  <c r="L69"/>
  <c r="O69"/>
  <c r="I69"/>
  <c r="F69"/>
  <c r="L59"/>
  <c r="O59"/>
  <c r="I59"/>
  <c r="F59"/>
  <c r="L58"/>
  <c r="O58"/>
  <c r="I58"/>
  <c r="F58"/>
  <c r="L57"/>
  <c r="O57"/>
  <c r="I57"/>
  <c r="F57"/>
  <c r="L56"/>
  <c r="O56"/>
  <c r="I56"/>
  <c r="F56"/>
  <c r="L46"/>
  <c r="O46"/>
  <c r="I46"/>
  <c r="F46"/>
  <c r="L45"/>
  <c r="O45"/>
  <c r="I45"/>
  <c r="F45"/>
  <c r="L44"/>
  <c r="O44"/>
  <c r="I44"/>
  <c r="F44"/>
  <c r="L43"/>
  <c r="O43"/>
  <c r="I43"/>
  <c r="F43"/>
  <c r="L33"/>
  <c r="O33"/>
  <c r="I33"/>
  <c r="F33"/>
  <c r="L32"/>
  <c r="O32"/>
  <c r="I32"/>
  <c r="F32"/>
  <c r="L31"/>
  <c r="O31"/>
  <c r="I31"/>
  <c r="F31"/>
  <c r="L30"/>
  <c r="O30"/>
  <c r="I30"/>
  <c r="F30"/>
  <c r="L20"/>
  <c r="O20"/>
  <c r="I20"/>
  <c r="F20"/>
  <c r="L19"/>
  <c r="O19"/>
  <c r="I19"/>
  <c r="F19"/>
  <c r="L18"/>
  <c r="O18"/>
  <c r="I18"/>
  <c r="F18"/>
  <c r="L17"/>
  <c r="O17"/>
  <c r="I17"/>
  <c r="F17"/>
  <c r="L7"/>
  <c r="O7"/>
  <c r="L6"/>
  <c r="O6"/>
  <c r="L5"/>
  <c r="O5"/>
  <c r="L4"/>
  <c r="O4"/>
  <c r="I7"/>
  <c r="F7"/>
  <c r="I6"/>
  <c r="F6"/>
  <c r="I5"/>
  <c r="F5"/>
  <c r="I4"/>
  <c r="F4"/>
  <c r="B53" i="8"/>
  <c r="B31"/>
  <c r="C17" i="10"/>
  <c r="A19" i="9"/>
  <c r="E19"/>
  <c r="B41" i="8"/>
  <c r="B54"/>
  <c r="P27" i="3"/>
  <c r="Y27"/>
  <c r="P26"/>
  <c r="Y26"/>
  <c r="P25"/>
  <c r="Y25"/>
  <c r="P24"/>
  <c r="Y24"/>
  <c r="P23"/>
  <c r="Y23"/>
  <c r="P22"/>
  <c r="Y22"/>
  <c r="P21"/>
  <c r="Y21"/>
  <c r="P20"/>
  <c r="Y20"/>
  <c r="P19"/>
  <c r="Y19"/>
  <c r="P18"/>
  <c r="Y18"/>
  <c r="P17"/>
  <c r="Y17"/>
  <c r="P16"/>
  <c r="Y16"/>
  <c r="P15"/>
  <c r="Y15"/>
  <c r="P14"/>
  <c r="Y14"/>
  <c r="P13"/>
  <c r="Y13"/>
  <c r="P12"/>
  <c r="Y12"/>
  <c r="P11"/>
  <c r="Y11"/>
  <c r="P10"/>
  <c r="Y10"/>
  <c r="P9"/>
  <c r="Y9"/>
  <c r="P8"/>
  <c r="Y8"/>
  <c r="P7"/>
  <c r="Y7"/>
  <c r="P6"/>
  <c r="Y6"/>
  <c r="P5"/>
  <c r="Y5"/>
  <c r="P4"/>
  <c r="Y4"/>
  <c r="P3"/>
  <c r="Y3"/>
  <c r="N27"/>
  <c r="X27"/>
  <c r="N26"/>
  <c r="X26"/>
  <c r="N25"/>
  <c r="X25"/>
  <c r="N24"/>
  <c r="X24"/>
  <c r="N23"/>
  <c r="X23"/>
  <c r="N22"/>
  <c r="X22"/>
  <c r="N21"/>
  <c r="X21"/>
  <c r="N20"/>
  <c r="X20"/>
  <c r="N19"/>
  <c r="X19"/>
  <c r="N18"/>
  <c r="X18"/>
  <c r="N17"/>
  <c r="X17"/>
  <c r="N16"/>
  <c r="X16"/>
  <c r="N15"/>
  <c r="X15"/>
  <c r="N14"/>
  <c r="X14"/>
  <c r="N13"/>
  <c r="X13"/>
  <c r="N12"/>
  <c r="X12"/>
  <c r="N11"/>
  <c r="X11"/>
  <c r="N10"/>
  <c r="X10"/>
  <c r="N9"/>
  <c r="X9"/>
  <c r="N8"/>
  <c r="X8"/>
  <c r="N7"/>
  <c r="X7"/>
  <c r="N6"/>
  <c r="X6"/>
  <c r="N5"/>
  <c r="X5"/>
  <c r="N4"/>
  <c r="X4"/>
  <c r="N3"/>
  <c r="X3"/>
  <c r="L27"/>
  <c r="W27"/>
  <c r="L26"/>
  <c r="W26"/>
  <c r="L25"/>
  <c r="W25"/>
  <c r="L24"/>
  <c r="W24"/>
  <c r="L23"/>
  <c r="W23"/>
  <c r="L22"/>
  <c r="W22"/>
  <c r="L21"/>
  <c r="W21"/>
  <c r="L20"/>
  <c r="W20"/>
  <c r="L19"/>
  <c r="W19"/>
  <c r="L18"/>
  <c r="W18"/>
  <c r="L17"/>
  <c r="W17"/>
  <c r="L16"/>
  <c r="W16"/>
  <c r="L15"/>
  <c r="W15"/>
  <c r="L14"/>
  <c r="W14"/>
  <c r="L13"/>
  <c r="W13"/>
  <c r="L12"/>
  <c r="W12"/>
  <c r="L11"/>
  <c r="W11"/>
  <c r="L10"/>
  <c r="W10"/>
  <c r="L9"/>
  <c r="W9"/>
  <c r="L8"/>
  <c r="W8"/>
  <c r="L7"/>
  <c r="W7"/>
  <c r="L6"/>
  <c r="W6"/>
  <c r="L5"/>
  <c r="W5"/>
  <c r="L4"/>
  <c r="W4"/>
  <c r="L3"/>
  <c r="W3"/>
  <c r="J27"/>
  <c r="V27"/>
  <c r="J26"/>
  <c r="V26"/>
  <c r="J25"/>
  <c r="V25"/>
  <c r="J24"/>
  <c r="V24"/>
  <c r="J23"/>
  <c r="V23"/>
  <c r="J22"/>
  <c r="V22"/>
  <c r="J21"/>
  <c r="V21"/>
  <c r="J20"/>
  <c r="V20"/>
  <c r="J19"/>
  <c r="V19"/>
  <c r="J18"/>
  <c r="V18"/>
  <c r="J17"/>
  <c r="V17"/>
  <c r="J16"/>
  <c r="V16"/>
  <c r="J15"/>
  <c r="V15"/>
  <c r="J14"/>
  <c r="V14"/>
  <c r="J13"/>
  <c r="V13"/>
  <c r="J12"/>
  <c r="V12"/>
  <c r="J11"/>
  <c r="V11"/>
  <c r="J10"/>
  <c r="V10"/>
  <c r="J9"/>
  <c r="V9"/>
  <c r="J8"/>
  <c r="V8"/>
  <c r="J7"/>
  <c r="V7"/>
  <c r="J6"/>
  <c r="V6"/>
  <c r="J5"/>
  <c r="V5"/>
  <c r="J4"/>
  <c r="V4"/>
  <c r="J3"/>
  <c r="V3"/>
  <c r="H27"/>
  <c r="U27"/>
  <c r="H26"/>
  <c r="U26"/>
  <c r="H25"/>
  <c r="U25"/>
  <c r="H24"/>
  <c r="U24"/>
  <c r="H23"/>
  <c r="U23"/>
  <c r="H22"/>
  <c r="U22"/>
  <c r="H21"/>
  <c r="U21"/>
  <c r="H20"/>
  <c r="U20"/>
  <c r="H19"/>
  <c r="U19"/>
  <c r="H18"/>
  <c r="U18"/>
  <c r="H17"/>
  <c r="U17"/>
  <c r="H16"/>
  <c r="U16"/>
  <c r="H15"/>
  <c r="U15"/>
  <c r="H14"/>
  <c r="U14"/>
  <c r="H13"/>
  <c r="U13"/>
  <c r="H12"/>
  <c r="U12"/>
  <c r="H11"/>
  <c r="U11"/>
  <c r="H10"/>
  <c r="U10"/>
  <c r="H9"/>
  <c r="U9"/>
  <c r="H8"/>
  <c r="U8"/>
  <c r="H7"/>
  <c r="U7"/>
  <c r="H6"/>
  <c r="U6"/>
  <c r="H5"/>
  <c r="U5"/>
  <c r="H4"/>
  <c r="U4"/>
  <c r="H3"/>
  <c r="U3"/>
  <c r="F4"/>
  <c r="T4"/>
  <c r="F5"/>
  <c r="T5"/>
  <c r="F6"/>
  <c r="T6"/>
  <c r="F7"/>
  <c r="T7"/>
  <c r="F8"/>
  <c r="T8"/>
  <c r="F9"/>
  <c r="T9"/>
  <c r="F10"/>
  <c r="T10"/>
  <c r="F11"/>
  <c r="T11"/>
  <c r="F12"/>
  <c r="T12"/>
  <c r="F13"/>
  <c r="T13"/>
  <c r="F14"/>
  <c r="T14"/>
  <c r="F15"/>
  <c r="T15"/>
  <c r="F16"/>
  <c r="T16"/>
  <c r="F17"/>
  <c r="T17"/>
  <c r="F18"/>
  <c r="T18"/>
  <c r="F19"/>
  <c r="T19"/>
  <c r="F20"/>
  <c r="T20"/>
  <c r="F21"/>
  <c r="T21"/>
  <c r="F22"/>
  <c r="T22"/>
  <c r="F23"/>
  <c r="T23"/>
  <c r="F24"/>
  <c r="T24"/>
  <c r="F25"/>
  <c r="T25"/>
  <c r="F26"/>
  <c r="T26"/>
  <c r="F27"/>
  <c r="T27"/>
  <c r="F3"/>
  <c r="T3"/>
  <c r="D4"/>
  <c r="S4"/>
  <c r="D5"/>
  <c r="Q5"/>
  <c r="D6"/>
  <c r="R6"/>
  <c r="D7"/>
  <c r="S7"/>
  <c r="D8"/>
  <c r="S8"/>
  <c r="D9"/>
  <c r="Q9"/>
  <c r="D10"/>
  <c r="R10"/>
  <c r="D11"/>
  <c r="S11"/>
  <c r="D12"/>
  <c r="S12"/>
  <c r="D13"/>
  <c r="Q13"/>
  <c r="D14"/>
  <c r="R14"/>
  <c r="D15"/>
  <c r="S15"/>
  <c r="D16"/>
  <c r="S16"/>
  <c r="D17"/>
  <c r="Q17"/>
  <c r="D18"/>
  <c r="R18"/>
  <c r="D19"/>
  <c r="S19"/>
  <c r="D20"/>
  <c r="S20"/>
  <c r="D21"/>
  <c r="Q21"/>
  <c r="D22"/>
  <c r="R22"/>
  <c r="D23"/>
  <c r="S23"/>
  <c r="D24"/>
  <c r="S24"/>
  <c r="D25"/>
  <c r="Q25"/>
  <c r="D26"/>
  <c r="R26"/>
  <c r="D27"/>
  <c r="S27"/>
  <c r="D3"/>
  <c r="D51" i="2"/>
  <c r="C38"/>
  <c r="Q3" i="3"/>
  <c r="R3"/>
  <c r="Q26"/>
  <c r="Q24"/>
  <c r="Q22"/>
  <c r="Q20"/>
  <c r="Q18"/>
  <c r="Q16"/>
  <c r="Q14"/>
  <c r="Q12"/>
  <c r="Q10"/>
  <c r="Q8"/>
  <c r="Q6"/>
  <c r="Q4"/>
  <c r="S25"/>
  <c r="S21"/>
  <c r="S17"/>
  <c r="S13"/>
  <c r="S9"/>
  <c r="S5"/>
  <c r="R27"/>
  <c r="R25"/>
  <c r="R23"/>
  <c r="R21"/>
  <c r="R19"/>
  <c r="R17"/>
  <c r="R15"/>
  <c r="R13"/>
  <c r="R11"/>
  <c r="R9"/>
  <c r="R7"/>
  <c r="R5"/>
  <c r="S3"/>
  <c r="S26"/>
  <c r="S22"/>
  <c r="S18"/>
  <c r="S14"/>
  <c r="S10"/>
  <c r="S6"/>
  <c r="Q27"/>
  <c r="Q23"/>
  <c r="Q19"/>
  <c r="Q15"/>
  <c r="Q11"/>
  <c r="Q7"/>
  <c r="R24"/>
  <c r="R20"/>
  <c r="R16"/>
  <c r="R12"/>
  <c r="R8"/>
  <c r="R4"/>
  <c r="C43" i="2"/>
  <c r="C40"/>
  <c r="C47"/>
  <c r="C41"/>
  <c r="C44"/>
  <c r="C45"/>
  <c r="C48"/>
  <c r="C42"/>
  <c r="C49"/>
  <c r="C39"/>
  <c r="C46"/>
  <c r="C51"/>
  <c r="P16" i="15" l="1"/>
  <c r="R67"/>
  <c r="R58"/>
  <c r="P51"/>
  <c r="R38"/>
  <c r="R39"/>
  <c r="P7"/>
  <c r="P42"/>
  <c r="R7"/>
  <c r="P104"/>
  <c r="P95"/>
  <c r="P68"/>
  <c r="P77"/>
  <c r="P86"/>
  <c r="R101"/>
  <c r="R100"/>
  <c r="R103"/>
  <c r="R92"/>
  <c r="R91"/>
  <c r="R94"/>
  <c r="R82"/>
  <c r="R85"/>
  <c r="R83"/>
  <c r="R76"/>
  <c r="R74"/>
  <c r="R73"/>
  <c r="R64"/>
  <c r="R59"/>
  <c r="P60"/>
  <c r="R56"/>
  <c r="R48"/>
  <c r="R47"/>
  <c r="R50"/>
  <c r="R40"/>
  <c r="R32"/>
  <c r="R31"/>
  <c r="P33"/>
  <c r="R24"/>
  <c r="R22"/>
  <c r="P25"/>
  <c r="R21"/>
  <c r="R23"/>
  <c r="R13"/>
  <c r="R12"/>
  <c r="R15"/>
  <c r="R42" l="1"/>
  <c r="R68"/>
  <c r="C14" i="16" s="1"/>
  <c r="R8" i="15"/>
  <c r="C7" i="16" s="1"/>
  <c r="R43" i="15"/>
  <c r="C11" i="16" s="1"/>
  <c r="R104" i="15"/>
  <c r="R95"/>
  <c r="R86"/>
  <c r="R77"/>
  <c r="R78" s="1"/>
  <c r="C15" i="16" s="1"/>
  <c r="R60" i="15"/>
  <c r="R51"/>
  <c r="R52" s="1"/>
  <c r="C12" i="16" s="1"/>
  <c r="R33" i="15"/>
  <c r="R34" s="1"/>
  <c r="C10" i="16" s="1"/>
  <c r="R25" i="15"/>
  <c r="R26" s="1"/>
  <c r="C9" i="16" s="1"/>
  <c r="R16" i="15"/>
  <c r="R17" s="1"/>
  <c r="C8" i="16" s="1"/>
  <c r="R105" i="15" l="1"/>
  <c r="C18" i="16" s="1"/>
  <c r="R96" i="15"/>
  <c r="C17" i="16" s="1"/>
  <c r="R87" i="15"/>
  <c r="C16" i="16" s="1"/>
  <c r="R61" i="15"/>
  <c r="C13" i="16" s="1"/>
  <c r="C19" l="1"/>
  <c r="C20" s="1"/>
</calcChain>
</file>

<file path=xl/comments1.xml><?xml version="1.0" encoding="utf-8"?>
<comments xmlns="http://schemas.openxmlformats.org/spreadsheetml/2006/main">
  <authors>
    <author>Autor desconhecido</author>
  </authors>
  <commentList>
    <comment ref="B4" authorId="0">
      <text>
        <r>
          <rPr>
            <sz val="10"/>
            <rFont val="Arial"/>
            <family val="2"/>
          </rPr>
          <t xml:space="preserve">iran:
</t>
        </r>
        <r>
          <rPr>
            <sz val="9"/>
            <color rgb="FF000000"/>
            <rFont val="Segoe UI"/>
            <family val="2"/>
            <charset val="1"/>
          </rPr>
          <t>valor de aquisição e ampliação</t>
        </r>
      </text>
    </comment>
  </commentList>
</comments>
</file>

<file path=xl/comments2.xml><?xml version="1.0" encoding="utf-8"?>
<comments xmlns="http://schemas.openxmlformats.org/spreadsheetml/2006/main">
  <authors>
    <author>Autor desconhecido</author>
  </authors>
  <commentList>
    <comment ref="B3" authorId="0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  <comment ref="C13" authorId="0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</commentList>
</comments>
</file>

<file path=xl/sharedStrings.xml><?xml version="1.0" encoding="utf-8"?>
<sst xmlns="http://schemas.openxmlformats.org/spreadsheetml/2006/main" count="968" uniqueCount="274">
  <si>
    <t>PROJ INTEG I - GPI -  2024 2</t>
  </si>
  <si>
    <t>Demanda Nacional 2024</t>
  </si>
  <si>
    <t>10 milhoes</t>
  </si>
  <si>
    <t>Previsão do número total de celulares em unidade a serem comercializados no país neste ano corrente.</t>
  </si>
  <si>
    <t>Fonte(s):</t>
  </si>
  <si>
    <t>https://valor.globo.com/publicacoes/especiais/telecomunicacoes/noticia/2024/05/28/venda-de-celular-tem-leve-alta-apos-3-anos-de-queda.ghtml</t>
  </si>
  <si>
    <t>Pesquisa de Preços</t>
  </si>
  <si>
    <t>Aparelho</t>
  </si>
  <si>
    <t>Modelo</t>
  </si>
  <si>
    <t>Preço</t>
  </si>
  <si>
    <t>No Jogo será:</t>
  </si>
  <si>
    <t>iPhone 15 PRO Max 1Tb</t>
  </si>
  <si>
    <t>O Importado mais caro</t>
  </si>
  <si>
    <t>Fonte:</t>
  </si>
  <si>
    <t>https://tecnologia.ig.com.br/2023-09-13/iphone-15-pro-max-celular-mais-caro-brasil-veja-top-5.html.ampstories</t>
  </si>
  <si>
    <t>Galaxy Z Fold 5</t>
  </si>
  <si>
    <t>O Nacional mais caro</t>
  </si>
  <si>
    <t>https://www.oficinadanet.com.br/smartphones/40556-celulares-mais-caros-brasil#:~:text=O%20novo%20Galaxy%20Z%20Fold,Qualcomm%20Snapdragon%208%20Gen%202.</t>
  </si>
  <si>
    <t>O Importado mais barato</t>
  </si>
  <si>
    <t>O Nacional mais barato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</si>
  <si>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</si>
  <si>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</si>
  <si>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</si>
  <si>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</si>
  <si>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</si>
  <si>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</si>
  <si>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</si>
  <si>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</si>
  <si>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</si>
  <si>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</si>
  <si>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 xml:space="preserve">	29.933.315</t>
  </si>
  <si>
    <t>2) Região Sudeste</t>
  </si>
  <si>
    <t>3) Região Nordeste</t>
  </si>
  <si>
    <t xml:space="preserve">	54.644.582</t>
  </si>
  <si>
    <t xml:space="preserve">4) Região Cento-Oeste </t>
  </si>
  <si>
    <t>5) Região Norte</t>
  </si>
  <si>
    <t>IBGE – Censo Demográfico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</si>
  <si>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</si>
  <si>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</si>
  <si>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</si>
  <si>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</si>
  <si>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</si>
  <si>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</si>
  <si>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</si>
  <si>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</si>
  <si>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</si>
  <si>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</si>
  <si>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</si>
  <si>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</si>
  <si>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</si>
  <si>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</si>
  <si>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</si>
  <si>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</si>
  <si>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</si>
  <si>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</si>
  <si>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</si>
  <si>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</si>
  <si>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https://www.ecommercebrasil.com.br/artigos/analise-detalhada-do-mercado-de-smartphones-e-maiores-vendas-de-2023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</si>
  <si>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</si>
  <si>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</si>
  <si>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</si>
  <si>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</si>
  <si>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</si>
  <si>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Se já definiu o nome</t>
  </si>
  <si>
    <t>Market Share</t>
  </si>
  <si>
    <t>Obs: No desenvolvimento do Planej. Estratégico vcs definirão em algumas semanas o valor definitivo a ser colocado como objetivo!</t>
  </si>
  <si>
    <t>Resposta do Time</t>
  </si>
  <si>
    <t>grupo</t>
  </si>
  <si>
    <t>bruna</t>
  </si>
  <si>
    <t>david</t>
  </si>
  <si>
    <t xml:space="preserve">lucas </t>
  </si>
  <si>
    <t>leonardo</t>
  </si>
  <si>
    <t>pedro</t>
  </si>
  <si>
    <t>vinicius</t>
  </si>
  <si>
    <t>d</t>
  </si>
  <si>
    <t>b</t>
  </si>
  <si>
    <t>c</t>
  </si>
  <si>
    <t>a</t>
  </si>
  <si>
    <t>RESPOSTA</t>
  </si>
  <si>
    <t>QUESTÃO</t>
  </si>
  <si>
    <t>QTD CERTO TOTAL</t>
  </si>
  <si>
    <t>QTD ERRADO TOTAL</t>
  </si>
  <si>
    <t>GRUPO</t>
  </si>
  <si>
    <t>BRUNA</t>
  </si>
  <si>
    <t>DAVID</t>
  </si>
  <si>
    <t>LUCAS</t>
  </si>
  <si>
    <t>LEONARDO</t>
  </si>
  <si>
    <t>PEDRO</t>
  </si>
  <si>
    <t>VINICIUS</t>
  </si>
  <si>
    <t>(Tudo)</t>
  </si>
  <si>
    <t>Rótulos de Linha</t>
  </si>
  <si>
    <t>Total Geral</t>
  </si>
  <si>
    <t>Soma de GRUPO</t>
  </si>
  <si>
    <t>Smartphone Samsung Galaxy J1</t>
  </si>
  <si>
    <t>https://www.magazineluiza.com.br/smartphone-samsung-galaxy-j1-mini-4g-dual-chip-j105-8gb-tela-4-wi-fi-android-5-1-camera-5mp-anatel/p/ad41g3332e/te/galx/?&amp;seller_id=kgtelecom&amp;utm_source=google&amp;utm_medium=cpc&amp;utm_term=76953&amp;utm_campaign=google_eco_per_ven_pla_tc_sor_3p_te-b&amp;utm_content=&amp;partner_id=76953&amp;gclsrc=aw.ds&amp;gclid=Cj0KCQjw3bm3BhDJARIsAKnHoVUldcVEqvtBRypGn3Zx9BXIUjLh31Ee1T7AR6WA2Qi3Yo_KNrDPjzEaAv01EALw_wcB</t>
  </si>
  <si>
    <t>https://www.magazineluiza.com.br/iphone-12-apple-64gb-branco-tela-61-12mp-ios/p/231147400/te/ip12/</t>
  </si>
  <si>
    <t>iPhone 12 Apple 64GB Branco Tela 6,1” 12MP iOS</t>
  </si>
  <si>
    <t>PsyTech</t>
  </si>
  <si>
    <t>Quantos comprado</t>
  </si>
  <si>
    <t xml:space="preserve"> modelo celulares</t>
  </si>
  <si>
    <t>total gasto por modelo na compra</t>
  </si>
  <si>
    <t>vendido</t>
  </si>
  <si>
    <t>Valor total vendido de cada modelo</t>
  </si>
  <si>
    <t>Valor</t>
  </si>
  <si>
    <t>valor de imposto</t>
  </si>
  <si>
    <t>6,4 a 13%</t>
  </si>
  <si>
    <t>635520 a 1290900</t>
  </si>
  <si>
    <t>VALOR DA FRANQUIA PARA ATUAÇÃO NAS REGIÕES DO BRASIL</t>
  </si>
  <si>
    <t>REGIÃO</t>
  </si>
  <si>
    <t xml:space="preserve">VALOR </t>
  </si>
  <si>
    <t>SUL/SUDESTE</t>
  </si>
  <si>
    <t>NORDESTE</t>
  </si>
  <si>
    <t>NORTE/C.OESTE</t>
  </si>
  <si>
    <t>Franquia</t>
  </si>
  <si>
    <t>CUSTO ARMAZÉM</t>
  </si>
  <si>
    <t>1 LOTE = 5000 CELULARES</t>
  </si>
  <si>
    <t>CAPACIDADE ARMAZÉM Nº LOTES</t>
  </si>
  <si>
    <t xml:space="preserve">AQUISIÇÃO </t>
  </si>
  <si>
    <t>MANUTENÇÃO MENSAL</t>
  </si>
  <si>
    <t>CUSTO EQUIPES FUNCIONÁRIOS</t>
  </si>
  <si>
    <t>1 EQUIPE = 10 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</si>
  <si>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</si>
  <si>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</si>
  <si>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</si>
  <si>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</si>
  <si>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</si>
  <si>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</si>
  <si>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</si>
  <si>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</si>
  <si>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</si>
  <si>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>VALOR DOS PACOTES DE SERVIÇO</t>
  </si>
  <si>
    <t>MODELO CELULAR</t>
  </si>
  <si>
    <t>VALOR</t>
  </si>
  <si>
    <t>IMPORTADO + CARO</t>
  </si>
  <si>
    <t>NACIONAL + CARO</t>
  </si>
  <si>
    <t>IMPORTADO + BARATO</t>
  </si>
  <si>
    <t>NACIONAL + BARATO</t>
  </si>
  <si>
    <t>POSTO DE ATENDIMENTO (PA)</t>
  </si>
  <si>
    <t>1 PA = 10 ATENDENTES</t>
  </si>
  <si>
    <t>NÍVEL DE SERVIÇO PAs</t>
  </si>
  <si>
    <t>NÍVEL DE OCUPAÇÃO</t>
  </si>
  <si>
    <t>NÍVEL 5</t>
  </si>
  <si>
    <t>&lt; 49%</t>
  </si>
  <si>
    <t>CUSTO MÊS 1 PA</t>
  </si>
  <si>
    <t>NÍVEL 4</t>
  </si>
  <si>
    <t>ENTRE 50 E 64%</t>
  </si>
  <si>
    <t>1 PA ATENDE 27.000 CLIENTES</t>
  </si>
  <si>
    <t>NÍVEL 3</t>
  </si>
  <si>
    <t>ENTRE 65 E 74%</t>
  </si>
  <si>
    <t>NÍVEL 2</t>
  </si>
  <si>
    <t>ENTRE 75 A 89%</t>
  </si>
  <si>
    <t>NÍVEL DE SERVIÇO GERAL É A MÉDIA GERAL ENTRE OS DOIS NÍVEIS DE SERVIÇO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</si>
  <si>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</si>
  <si>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</si>
  <si>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</si>
  <si>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</si>
  <si>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</si>
  <si>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</si>
  <si>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&lt; 50%</t>
  </si>
  <si>
    <t>BOM</t>
  </si>
  <si>
    <t>QTDE DE CLIENTES SUPORTADOS POR UMA ERB POR REGIÃO</t>
  </si>
  <si>
    <t>ENTRE 50,01 E 60%</t>
  </si>
  <si>
    <t>REGULAR</t>
  </si>
  <si>
    <t>QTD CELULARES</t>
  </si>
  <si>
    <t>ENTRE 60,01 E 75%</t>
  </si>
  <si>
    <t>RUIM</t>
  </si>
  <si>
    <t>SUL / SUDESTE</t>
  </si>
  <si>
    <t>ENTRE 75,01 A 85%</t>
  </si>
  <si>
    <t>PÉSSIMO</t>
  </si>
  <si>
    <t>&gt; 85,01%</t>
  </si>
  <si>
    <t>CENTRO-OESTE / NORTE</t>
  </si>
  <si>
    <t>Porto Alegre</t>
  </si>
  <si>
    <t>Florianopolis</t>
  </si>
  <si>
    <t>Curitiba</t>
  </si>
  <si>
    <t>Joinville</t>
  </si>
  <si>
    <t>Londrina</t>
  </si>
  <si>
    <t>Caxias do sul</t>
  </si>
  <si>
    <t>São Paulo</t>
  </si>
  <si>
    <t>Rio de janeiro</t>
  </si>
  <si>
    <t>Belo horizonte</t>
  </si>
  <si>
    <t>Vitoria</t>
  </si>
  <si>
    <t>Campinas</t>
  </si>
  <si>
    <t>Duque de caxias</t>
  </si>
  <si>
    <t>Itajuba</t>
  </si>
  <si>
    <t>São josé dos campos</t>
  </si>
  <si>
    <t>Sorocaba</t>
  </si>
  <si>
    <t>Vila velha</t>
  </si>
  <si>
    <t>Uberlândia</t>
  </si>
  <si>
    <t>Juiz de Fora</t>
  </si>
  <si>
    <t xml:space="preserve"> São Luís</t>
  </si>
  <si>
    <t xml:space="preserve"> Teresina</t>
  </si>
  <si>
    <t>Fortaleza</t>
  </si>
  <si>
    <t>Recife</t>
  </si>
  <si>
    <t>Natal</t>
  </si>
  <si>
    <t>Salvador</t>
  </si>
  <si>
    <t xml:space="preserve">Maceio </t>
  </si>
  <si>
    <t>Manaus</t>
  </si>
  <si>
    <t>Belem</t>
  </si>
  <si>
    <t xml:space="preserve">Ananindeua </t>
  </si>
  <si>
    <t>Brasilia</t>
  </si>
  <si>
    <t>Campo grande</t>
  </si>
  <si>
    <t>Goiania</t>
  </si>
  <si>
    <t>Cuiaba</t>
  </si>
  <si>
    <t>Aparecida de Goiânia</t>
  </si>
  <si>
    <t>Sinop</t>
  </si>
  <si>
    <t>Produto</t>
  </si>
  <si>
    <t>ARMAZEM</t>
  </si>
  <si>
    <t>REGIAO</t>
  </si>
  <si>
    <t>AQUISIÇÃO</t>
  </si>
  <si>
    <t>MENSAL</t>
  </si>
  <si>
    <t>NORTE/CENTRO OESTE</t>
  </si>
  <si>
    <t xml:space="preserve">Total INICIAL </t>
  </si>
  <si>
    <t>FRANQUIA</t>
  </si>
  <si>
    <t xml:space="preserve">QUANTIDADE DE EQUIPE </t>
  </si>
  <si>
    <t>PACOTES DE SERVIÇO</t>
  </si>
  <si>
    <t>Canos</t>
  </si>
  <si>
    <t>Cascavel</t>
  </si>
  <si>
    <t>São Gonçalo</t>
  </si>
  <si>
    <t>Riberão Preto</t>
  </si>
  <si>
    <t>Porto velho</t>
  </si>
  <si>
    <t>Sul/sudeste</t>
  </si>
  <si>
    <t>NORTE/centro oeste</t>
  </si>
  <si>
    <t xml:space="preserve">Valor de vendas </t>
  </si>
  <si>
    <t>Centro-oeste/norte</t>
  </si>
  <si>
    <t>NORTE/Centro-oeste</t>
  </si>
  <si>
    <t xml:space="preserve">vendas nas regioes/ janeiro </t>
  </si>
  <si>
    <t>Valor dos produtos em janeiro</t>
  </si>
  <si>
    <t>Valor dos produtos em Fevereiro</t>
  </si>
  <si>
    <t>vendas nas regioes/ fevereiro</t>
  </si>
  <si>
    <t>Valor dos produtos em março</t>
  </si>
  <si>
    <t>vendas nas regioes/ março</t>
  </si>
  <si>
    <t>Valor dos produtos em Abril</t>
  </si>
  <si>
    <t>vendas nas regioes/Abril</t>
  </si>
  <si>
    <t>Valor dos produtos em Maio</t>
  </si>
  <si>
    <t>vendas nas regioes/maio</t>
  </si>
  <si>
    <t>Valor dos produtos em Junho</t>
  </si>
  <si>
    <t>vendas nas regioes/junho</t>
  </si>
  <si>
    <t>Valor dos produtos em Julho</t>
  </si>
  <si>
    <t>vendas nas regioes/Julho</t>
  </si>
  <si>
    <t>Valor dos produtos em Agosto</t>
  </si>
  <si>
    <t>vendas nas regioes/Agosto</t>
  </si>
  <si>
    <t>Valor dos produtos em setembro</t>
  </si>
  <si>
    <t>vendas nas regioes em setembro</t>
  </si>
  <si>
    <t>Valor dos produtos em outubro</t>
  </si>
  <si>
    <t>vendas nas regioes em outubro</t>
  </si>
  <si>
    <t>Valor dos produtos em novembro</t>
  </si>
  <si>
    <t>vendas nas regioes em novembro</t>
  </si>
  <si>
    <t>Valor dos produtos em dezembro</t>
  </si>
  <si>
    <t>vendas nas regioes dezembro</t>
  </si>
  <si>
    <t>Valor de compra de cada modelo</t>
  </si>
  <si>
    <t>valor dos aparelhos com imposto</t>
  </si>
  <si>
    <t>SULDESTE/sul</t>
  </si>
  <si>
    <t>valor dos aparelhos com pacote de serviço</t>
  </si>
  <si>
    <t xml:space="preserve">custo armazem por aparelho mensal </t>
  </si>
  <si>
    <t>valor de equipes funcionarios</t>
  </si>
  <si>
    <t>custo pa</t>
  </si>
  <si>
    <t>lucro por aparelho</t>
  </si>
  <si>
    <t>fevereiro</t>
  </si>
  <si>
    <t>julho</t>
  </si>
  <si>
    <t>setembro</t>
  </si>
  <si>
    <t>outubro</t>
  </si>
  <si>
    <t>valores iniciais</t>
  </si>
  <si>
    <t>janeiro</t>
  </si>
  <si>
    <t>março</t>
  </si>
  <si>
    <t>abril</t>
  </si>
  <si>
    <t>maio</t>
  </si>
  <si>
    <t>junho</t>
  </si>
  <si>
    <t>agosto</t>
  </si>
  <si>
    <t>novembro</t>
  </si>
  <si>
    <t>dezembro</t>
  </si>
  <si>
    <t>total anual</t>
  </si>
  <si>
    <t>custo EBR</t>
  </si>
  <si>
    <t>valor por aparelho sem lucro</t>
  </si>
  <si>
    <t>valor de venda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</si>
</sst>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164" formatCode="0.0%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87182226020086"/>
        <bgColor rgb="FFFFD966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6" tint="0.39988402966399123"/>
        <bgColor rgb="FFBDD7EE"/>
      </patternFill>
    </fill>
    <fill>
      <patternFill patternType="solid">
        <fgColor theme="7" tint="0.39988402966399123"/>
        <bgColor rgb="FFFFE699"/>
      </patternFill>
    </fill>
    <fill>
      <patternFill patternType="solid">
        <fgColor theme="4" tint="0.59987182226020086"/>
        <bgColor rgb="FFC9C9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rgb="FFFFD96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FFE699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10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Fill="1"/>
    <xf numFmtId="10" fontId="2" fillId="0" borderId="0" xfId="2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9" fontId="0" fillId="2" borderId="0" xfId="2" applyFont="1" applyFill="1"/>
    <xf numFmtId="164" fontId="0" fillId="2" borderId="0" xfId="2" applyNumberFormat="1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3" fontId="0" fillId="2" borderId="0" xfId="2" applyNumberFormat="1" applyFont="1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0" borderId="0" xfId="3" applyFill="1" applyAlignment="1"/>
    <xf numFmtId="0" fontId="7" fillId="2" borderId="0" xfId="3" applyFill="1" applyAlignment="1"/>
    <xf numFmtId="3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9" fontId="0" fillId="2" borderId="0" xfId="2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44" fontId="0" fillId="0" borderId="1" xfId="0" applyNumberFormat="1" applyBorder="1"/>
    <xf numFmtId="0" fontId="0" fillId="0" borderId="1" xfId="0" applyBorder="1"/>
    <xf numFmtId="44" fontId="0" fillId="0" borderId="0" xfId="0" applyNumberFormat="1"/>
    <xf numFmtId="0" fontId="9" fillId="4" borderId="4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165" fontId="0" fillId="4" borderId="11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indent="1"/>
    </xf>
    <xf numFmtId="165" fontId="0" fillId="4" borderId="10" xfId="0" applyNumberForma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indent="1"/>
    </xf>
    <xf numFmtId="0" fontId="0" fillId="5" borderId="1" xfId="0" applyFill="1" applyBorder="1"/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indent="8"/>
    </xf>
    <xf numFmtId="44" fontId="0" fillId="6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0" xfId="0" applyFill="1"/>
    <xf numFmtId="0" fontId="0" fillId="7" borderId="11" xfId="0" applyFill="1" applyBorder="1"/>
    <xf numFmtId="0" fontId="9" fillId="7" borderId="11" xfId="0" applyFont="1" applyFill="1" applyBorder="1" applyAlignment="1">
      <alignment horizontal="center" vertical="center"/>
    </xf>
    <xf numFmtId="44" fontId="0" fillId="7" borderId="11" xfId="1" applyFont="1" applyFill="1" applyBorder="1" applyAlignment="1" applyProtection="1"/>
    <xf numFmtId="44" fontId="0" fillId="7" borderId="10" xfId="1" applyFont="1" applyFill="1" applyBorder="1" applyAlignment="1" applyProtection="1"/>
    <xf numFmtId="0" fontId="0" fillId="8" borderId="4" xfId="0" applyFill="1" applyBorder="1" applyAlignment="1">
      <alignment horizontal="left" indent="1"/>
    </xf>
    <xf numFmtId="0" fontId="0" fillId="8" borderId="0" xfId="0" applyFill="1"/>
    <xf numFmtId="0" fontId="9" fillId="8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0" xfId="0" applyFill="1" applyAlignment="1">
      <alignment horizontal="center" vertical="center"/>
    </xf>
    <xf numFmtId="44" fontId="0" fillId="8" borderId="0" xfId="1" applyFont="1" applyFill="1" applyBorder="1" applyAlignment="1" applyProtection="1"/>
    <xf numFmtId="0" fontId="0" fillId="8" borderId="4" xfId="0" applyFill="1" applyBorder="1"/>
    <xf numFmtId="0" fontId="9" fillId="8" borderId="4" xfId="0" applyFont="1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9" fillId="8" borderId="0" xfId="0" applyFont="1" applyFill="1"/>
    <xf numFmtId="0" fontId="9" fillId="8" borderId="4" xfId="0" applyFon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0" fontId="0" fillId="8" borderId="9" xfId="0" applyFill="1" applyBorder="1"/>
    <xf numFmtId="0" fontId="0" fillId="8" borderId="12" xfId="0" applyFill="1" applyBorder="1"/>
    <xf numFmtId="0" fontId="0" fillId="8" borderId="10" xfId="0" applyFill="1" applyBorder="1"/>
    <xf numFmtId="0" fontId="0" fillId="9" borderId="1" xfId="0" applyFill="1" applyBorder="1"/>
    <xf numFmtId="0" fontId="0" fillId="12" borderId="1" xfId="0" applyFill="1" applyBorder="1" applyAlignment="1">
      <alignment horizontal="left" vertical="center" indent="1"/>
    </xf>
    <xf numFmtId="0" fontId="0" fillId="12" borderId="1" xfId="0" applyFill="1" applyBorder="1" applyAlignment="1">
      <alignment vertical="center"/>
    </xf>
    <xf numFmtId="44" fontId="0" fillId="13" borderId="1" xfId="1" applyFont="1" applyFill="1" applyBorder="1"/>
    <xf numFmtId="44" fontId="0" fillId="9" borderId="1" xfId="1" applyFont="1" applyFill="1" applyBorder="1"/>
    <xf numFmtId="44" fontId="0" fillId="0" borderId="0" xfId="1" applyFont="1"/>
    <xf numFmtId="0" fontId="0" fillId="11" borderId="0" xfId="0" applyFill="1"/>
    <xf numFmtId="44" fontId="0" fillId="11" borderId="0" xfId="0" applyNumberFormat="1" applyFill="1"/>
    <xf numFmtId="44" fontId="0" fillId="14" borderId="1" xfId="1" applyFont="1" applyFill="1" applyBorder="1" applyAlignment="1" applyProtection="1">
      <alignment horizontal="center" vertical="center"/>
    </xf>
    <xf numFmtId="44" fontId="0" fillId="0" borderId="5" xfId="0" applyNumberFormat="1" applyBorder="1"/>
    <xf numFmtId="0" fontId="9" fillId="6" borderId="5" xfId="0" applyFont="1" applyFill="1" applyBorder="1" applyAlignment="1">
      <alignment horizontal="center" vertical="center"/>
    </xf>
    <xf numFmtId="0" fontId="0" fillId="13" borderId="1" xfId="0" applyFill="1" applyBorder="1"/>
    <xf numFmtId="0" fontId="8" fillId="16" borderId="1" xfId="0" applyFont="1" applyFill="1" applyBorder="1"/>
    <xf numFmtId="44" fontId="8" fillId="16" borderId="1" xfId="1" applyFont="1" applyFill="1" applyBorder="1"/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0" borderId="0" xfId="0" applyAlignment="1"/>
    <xf numFmtId="44" fontId="0" fillId="0" borderId="0" xfId="1" applyFont="1" applyFill="1" applyBorder="1"/>
    <xf numFmtId="44" fontId="0" fillId="0" borderId="1" xfId="1" applyFont="1" applyBorder="1"/>
    <xf numFmtId="44" fontId="0" fillId="0" borderId="1" xfId="1" applyFont="1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1" xfId="1" applyNumberFormat="1" applyFont="1" applyBorder="1"/>
    <xf numFmtId="0" fontId="0" fillId="0" borderId="1" xfId="0" applyBorder="1" applyAlignment="1">
      <alignment vertical="center"/>
    </xf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44" fontId="0" fillId="0" borderId="0" xfId="1" applyFont="1" applyBorder="1" applyAlignment="1">
      <alignment horizontal="center" vertical="center"/>
    </xf>
    <xf numFmtId="44" fontId="0" fillId="0" borderId="0" xfId="0" applyNumberFormat="1" applyBorder="1"/>
    <xf numFmtId="44" fontId="0" fillId="0" borderId="0" xfId="1" applyFont="1" applyBorder="1"/>
    <xf numFmtId="0" fontId="0" fillId="0" borderId="0" xfId="1" applyNumberFormat="1" applyFont="1" applyBorder="1"/>
    <xf numFmtId="0" fontId="0" fillId="0" borderId="0" xfId="0" applyBorder="1" applyAlignment="1">
      <alignment vertical="center"/>
    </xf>
    <xf numFmtId="0" fontId="0" fillId="0" borderId="0" xfId="0" applyNumberFormat="1" applyBorder="1"/>
    <xf numFmtId="0" fontId="0" fillId="0" borderId="14" xfId="0" applyFill="1" applyBorder="1"/>
    <xf numFmtId="44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3" applyFill="1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44" fontId="0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44" fontId="0" fillId="3" borderId="0" xfId="1" applyFont="1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44" fontId="0" fillId="3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44" fontId="0" fillId="0" borderId="2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 wrapText="1"/>
    </xf>
    <xf numFmtId="44" fontId="0" fillId="3" borderId="3" xfId="1" applyFont="1" applyFill="1" applyBorder="1" applyAlignment="1">
      <alignment horizontal="center" wrapText="1"/>
    </xf>
    <xf numFmtId="44" fontId="0" fillId="3" borderId="2" xfId="1" applyFont="1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 wrapText="1"/>
    </xf>
  </cellXfs>
  <cellStyles count="4">
    <cellStyle name="Hyperlink" xfId="3" builtinId="8"/>
    <cellStyle name="Moeda" xfId="1" builtinId="4"/>
    <cellStyle name="Normal" xfId="0" builtinId="0"/>
    <cellStyle name="Porcentagem" xfId="2" builtinId="5"/>
  </cellStyles>
  <dxfs count="1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ERRO</a:t>
            </a:r>
            <a:r>
              <a:rPr lang="pt-BR" baseline="0"/>
              <a:t> E ACERTO POR QUESTÃO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DADOS!$Q$2</c:f>
              <c:strCache>
                <c:ptCount val="1"/>
                <c:pt idx="0">
                  <c:v>QTD CERTO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DADOS!$Q$3:$Q$27</c:f>
              <c:numCache>
                <c:formatCode>General</c:formatCode>
                <c:ptCount val="2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9F-4639-AB95-C1684629996E}"/>
            </c:ext>
          </c:extLst>
        </c:ser>
        <c:ser>
          <c:idx val="1"/>
          <c:order val="1"/>
          <c:tx>
            <c:strRef>
              <c:f>DADOS!$R$2</c:f>
              <c:strCache>
                <c:ptCount val="1"/>
                <c:pt idx="0">
                  <c:v>QTD ERRADO 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DADOS!$R$3:$R$27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9F-4639-AB95-C1684629996E}"/>
            </c:ext>
          </c:extLst>
        </c:ser>
        <c:dLbls>
          <c:showVal val="1"/>
        </c:dLbls>
        <c:gapWidth val="219"/>
        <c:overlap val="-27"/>
        <c:axId val="166276480"/>
        <c:axId val="168282752"/>
      </c:barChart>
      <c:catAx>
        <c:axId val="166276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82752"/>
        <c:crosses val="autoZero"/>
        <c:auto val="1"/>
        <c:lblAlgn val="ctr"/>
        <c:lblOffset val="100"/>
      </c:catAx>
      <c:valAx>
        <c:axId val="16828275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662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[planilha gerencial  (1).xlsx]GRÁFICO!Tabela dinâmica2</c:name>
    <c:fmtId val="2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GRÁFICO!$B$8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</c:dLbls>
          <c:cat>
            <c:strRef>
              <c:f>GRÁFICO!$A$9:$A$21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</c:strCache>
            </c:strRef>
          </c:cat>
          <c:val>
            <c:numRef>
              <c:f>GRÁFICO!$B$9:$B$21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25-42D7-B1B1-9736CEB1377C}"/>
            </c:ext>
          </c:extLst>
        </c:ser>
        <c:dLbls>
          <c:showVal val="1"/>
        </c:dLbls>
        <c:gapWidth val="219"/>
        <c:overlap val="-27"/>
        <c:axId val="165919744"/>
        <c:axId val="165942016"/>
      </c:barChart>
      <c:catAx>
        <c:axId val="165919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42016"/>
        <c:crosses val="autoZero"/>
        <c:auto val="1"/>
        <c:lblAlgn val="ctr"/>
        <c:lblOffset val="100"/>
      </c:catAx>
      <c:valAx>
        <c:axId val="16594201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6591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91440</xdr:rowOff>
    </xdr:from>
    <xdr:to>
      <xdr:col>14</xdr:col>
      <xdr:colOff>434340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2151D78-BC31-CA29-26CE-FA0B696F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17</xdr:col>
      <xdr:colOff>15240</xdr:colOff>
      <xdr:row>72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5201A06-1F45-49C4-85EF-3C7B5F25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david/AppData/Local/Microsoft/Windows/INetCache/IE/O1QHJHLW/Pesquisa_Inicial_-_Proj_Integr_I__2024_2_2_1_planilha_gasto_1%5b1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us Borsoi da Costa Lima" refreshedDate="45556.656746064815" createdVersion="8" refreshedVersion="8" minRefreshableVersion="3" recordCount="25">
  <cacheSource type="worksheet">
    <worksheetSource ref="A2:J27" sheet="Planilha1 (2)" r:id="rId2"/>
  </cacheSource>
  <cacheFields count="10">
    <cacheField name="QUESTÃO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QTD CERTO TOTAL" numFmtId="0">
      <sharedItems containsSemiMixedTypes="0" containsString="0" containsNumber="1" containsInteger="1" minValue="0" maxValue="7"/>
    </cacheField>
    <cacheField name="QTD ERRADO TOTAL" numFmtId="0">
      <sharedItems containsSemiMixedTypes="0" containsString="0" containsNumber="1" containsInteger="1" minValue="0" maxValue="7"/>
    </cacheField>
    <cacheField name="GRUPO" numFmtId="0">
      <sharedItems containsSemiMixedTypes="0" containsString="0" containsNumber="1" containsInteger="1" minValue="0" maxValue="1"/>
    </cacheField>
    <cacheField name="BRUNA" numFmtId="0">
      <sharedItems containsSemiMixedTypes="0" containsString="0" containsNumber="1" containsInteger="1" minValue="0" maxValue="1" count="2">
        <n v="1"/>
        <n v="0"/>
      </sharedItems>
    </cacheField>
    <cacheField name="DAVID" numFmtId="0">
      <sharedItems containsSemiMixedTypes="0" containsString="0" containsNumber="1" containsInteger="1" minValue="0" maxValue="1" count="2">
        <n v="1"/>
        <n v="0"/>
      </sharedItems>
    </cacheField>
    <cacheField name="LUCAS" numFmtId="0">
      <sharedItems containsSemiMixedTypes="0" containsString="0" containsNumber="1" containsInteger="1" minValue="0" maxValue="1" count="2">
        <n v="1"/>
        <n v="0"/>
      </sharedItems>
    </cacheField>
    <cacheField name="LEONARDO" numFmtId="0">
      <sharedItems containsSemiMixedTypes="0" containsString="0" containsNumber="1" containsInteger="1" minValue="0" maxValue="1" count="2">
        <n v="1"/>
        <n v="0"/>
      </sharedItems>
    </cacheField>
    <cacheField name="PEDRO" numFmtId="0">
      <sharedItems containsSemiMixedTypes="0" containsString="0" containsNumber="1" containsInteger="1" minValue="0" maxValue="1" count="2">
        <n v="1"/>
        <n v="0"/>
      </sharedItems>
    </cacheField>
    <cacheField name="VINICIU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7"/>
    <n v="0"/>
    <n v="1"/>
    <x v="0"/>
    <x v="0"/>
    <x v="0"/>
    <x v="0"/>
    <x v="0"/>
    <x v="0"/>
  </r>
  <r>
    <x v="1"/>
    <n v="5"/>
    <n v="2"/>
    <n v="1"/>
    <x v="1"/>
    <x v="0"/>
    <x v="0"/>
    <x v="0"/>
    <x v="0"/>
    <x v="1"/>
  </r>
  <r>
    <x v="2"/>
    <n v="5"/>
    <n v="2"/>
    <n v="1"/>
    <x v="0"/>
    <x v="1"/>
    <x v="0"/>
    <x v="0"/>
    <x v="1"/>
    <x v="0"/>
  </r>
  <r>
    <x v="3"/>
    <n v="1"/>
    <n v="6"/>
    <n v="0"/>
    <x v="1"/>
    <x v="0"/>
    <x v="1"/>
    <x v="1"/>
    <x v="1"/>
    <x v="1"/>
  </r>
  <r>
    <x v="4"/>
    <n v="5"/>
    <n v="2"/>
    <n v="1"/>
    <x v="1"/>
    <x v="0"/>
    <x v="1"/>
    <x v="0"/>
    <x v="0"/>
    <x v="0"/>
  </r>
  <r>
    <x v="5"/>
    <n v="2"/>
    <n v="5"/>
    <n v="1"/>
    <x v="1"/>
    <x v="0"/>
    <x v="1"/>
    <x v="1"/>
    <x v="1"/>
    <x v="1"/>
  </r>
  <r>
    <x v="6"/>
    <n v="6"/>
    <n v="1"/>
    <n v="1"/>
    <x v="0"/>
    <x v="0"/>
    <x v="0"/>
    <x v="0"/>
    <x v="0"/>
    <x v="1"/>
  </r>
  <r>
    <x v="7"/>
    <n v="2"/>
    <n v="5"/>
    <n v="0"/>
    <x v="0"/>
    <x v="0"/>
    <x v="1"/>
    <x v="1"/>
    <x v="1"/>
    <x v="1"/>
  </r>
  <r>
    <x v="8"/>
    <n v="3"/>
    <n v="4"/>
    <n v="1"/>
    <x v="1"/>
    <x v="0"/>
    <x v="1"/>
    <x v="1"/>
    <x v="1"/>
    <x v="0"/>
  </r>
  <r>
    <x v="9"/>
    <n v="2"/>
    <n v="5"/>
    <n v="1"/>
    <x v="1"/>
    <x v="1"/>
    <x v="1"/>
    <x v="1"/>
    <x v="0"/>
    <x v="1"/>
  </r>
  <r>
    <x v="10"/>
    <n v="4"/>
    <n v="3"/>
    <n v="1"/>
    <x v="0"/>
    <x v="1"/>
    <x v="0"/>
    <x v="0"/>
    <x v="1"/>
    <x v="1"/>
  </r>
  <r>
    <x v="11"/>
    <n v="5"/>
    <n v="2"/>
    <n v="0"/>
    <x v="0"/>
    <x v="0"/>
    <x v="0"/>
    <x v="0"/>
    <x v="0"/>
    <x v="1"/>
  </r>
  <r>
    <x v="12"/>
    <n v="5"/>
    <n v="2"/>
    <n v="1"/>
    <x v="0"/>
    <x v="0"/>
    <x v="0"/>
    <x v="0"/>
    <x v="1"/>
    <x v="1"/>
  </r>
  <r>
    <x v="13"/>
    <n v="1"/>
    <n v="6"/>
    <n v="0"/>
    <x v="1"/>
    <x v="1"/>
    <x v="1"/>
    <x v="1"/>
    <x v="0"/>
    <x v="1"/>
  </r>
  <r>
    <x v="14"/>
    <n v="4"/>
    <n v="3"/>
    <n v="1"/>
    <x v="1"/>
    <x v="1"/>
    <x v="0"/>
    <x v="0"/>
    <x v="0"/>
    <x v="1"/>
  </r>
  <r>
    <x v="15"/>
    <n v="0"/>
    <n v="7"/>
    <n v="0"/>
    <x v="1"/>
    <x v="1"/>
    <x v="1"/>
    <x v="1"/>
    <x v="1"/>
    <x v="1"/>
  </r>
  <r>
    <x v="16"/>
    <n v="1"/>
    <n v="6"/>
    <n v="1"/>
    <x v="1"/>
    <x v="1"/>
    <x v="1"/>
    <x v="1"/>
    <x v="1"/>
    <x v="1"/>
  </r>
  <r>
    <x v="17"/>
    <n v="2"/>
    <n v="5"/>
    <n v="1"/>
    <x v="1"/>
    <x v="1"/>
    <x v="1"/>
    <x v="1"/>
    <x v="0"/>
    <x v="1"/>
  </r>
  <r>
    <x v="18"/>
    <n v="2"/>
    <n v="5"/>
    <n v="0"/>
    <x v="0"/>
    <x v="1"/>
    <x v="0"/>
    <x v="1"/>
    <x v="1"/>
    <x v="1"/>
  </r>
  <r>
    <x v="19"/>
    <n v="6"/>
    <n v="1"/>
    <n v="1"/>
    <x v="1"/>
    <x v="0"/>
    <x v="0"/>
    <x v="0"/>
    <x v="0"/>
    <x v="0"/>
  </r>
  <r>
    <x v="20"/>
    <n v="5"/>
    <n v="2"/>
    <n v="1"/>
    <x v="0"/>
    <x v="1"/>
    <x v="0"/>
    <x v="0"/>
    <x v="0"/>
    <x v="1"/>
  </r>
  <r>
    <x v="21"/>
    <n v="2"/>
    <n v="5"/>
    <n v="1"/>
    <x v="1"/>
    <x v="1"/>
    <x v="1"/>
    <x v="1"/>
    <x v="1"/>
    <x v="0"/>
  </r>
  <r>
    <x v="22"/>
    <n v="4"/>
    <n v="3"/>
    <n v="1"/>
    <x v="0"/>
    <x v="1"/>
    <x v="1"/>
    <x v="0"/>
    <x v="0"/>
    <x v="1"/>
  </r>
  <r>
    <x v="23"/>
    <n v="1"/>
    <n v="6"/>
    <n v="1"/>
    <x v="1"/>
    <x v="1"/>
    <x v="1"/>
    <x v="1"/>
    <x v="1"/>
    <x v="1"/>
  </r>
  <r>
    <x v="24"/>
    <n v="3"/>
    <n v="4"/>
    <n v="1"/>
    <x v="1"/>
    <x v="0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:B21" firstHeaderRow="1" firstDataRow="1" firstDataCol="1" rowPageCount="6" colPageCount="1"/>
  <pivotFields count="10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4"/>
    </i>
    <i>
      <x v="6"/>
    </i>
    <i>
      <x v="10"/>
    </i>
    <i>
      <x v="11"/>
    </i>
    <i>
      <x v="12"/>
    </i>
    <i>
      <x v="14"/>
    </i>
    <i>
      <x v="19"/>
    </i>
    <i>
      <x v="20"/>
    </i>
    <i>
      <x v="22"/>
    </i>
    <i t="grand">
      <x/>
    </i>
  </rowItems>
  <colItems count="1">
    <i/>
  </colItems>
  <pageFields count="6">
    <pageField fld="4" hier="-1"/>
    <pageField fld="5" hier="-1"/>
    <pageField fld="9" hier="-1"/>
    <pageField fld="6" hier="-1"/>
    <pageField fld="8" hier="-1"/>
    <pageField fld="7" hier="-1"/>
  </pageFields>
  <dataFields count="1">
    <dataField name="Soma de GRUPO" fld="3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mmercebrasil.com.br/artigos/analise-detalhada-do-mercado-de-smartphones-e-maiores-vendas-de-2023" TargetMode="External"/><Relationship Id="rId2" Type="http://schemas.openxmlformats.org/officeDocument/2006/relationships/hyperlink" Target="https://www.oficinadanet.com.br/smartphones/40556-celulares-mais-caros-brasil" TargetMode="External"/><Relationship Id="rId1" Type="http://schemas.openxmlformats.org/officeDocument/2006/relationships/hyperlink" Target="https://tecnologia.ig.com.br/2023-09-13/iphone-15-pro-max-celular-mais-caro-brasil-veja-top-5.html.ampstori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agazineluiza.com.br/iphone-12-apple-64gb-branco-tela-61-12mp-ios/p/231147400/te/ip12/" TargetMode="External"/><Relationship Id="rId4" Type="http://schemas.openxmlformats.org/officeDocument/2006/relationships/hyperlink" Target="https://valor.globo.com/publicacoes/especiais/telecomunicacoes/noticia/2024/05/28/venda-de-celular-tem-leve-alta-apos-3-anos-de-queda.g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workbookViewId="0">
      <selection activeCell="B23" sqref="B23"/>
    </sheetView>
  </sheetViews>
  <sheetFormatPr defaultRowHeight="15"/>
  <cols>
    <col min="2" max="2" width="27.7109375" customWidth="1"/>
    <col min="3" max="3" width="47.140625" customWidth="1"/>
    <col min="4" max="4" width="18.7109375" customWidth="1"/>
    <col min="9" max="9" width="38.5703125" customWidth="1"/>
    <col min="10" max="10" width="43.28515625" customWidth="1"/>
    <col min="11" max="11" width="41.42578125" customWidth="1"/>
    <col min="12" max="12" width="32.5703125" customWidth="1"/>
  </cols>
  <sheetData>
    <row r="1" spans="1:12">
      <c r="B1" s="3" t="s">
        <v>0</v>
      </c>
    </row>
    <row r="2" spans="1:12">
      <c r="B2" s="3"/>
    </row>
    <row r="3" spans="1:12">
      <c r="A3" s="2">
        <v>1</v>
      </c>
      <c r="B3" s="3" t="s">
        <v>1</v>
      </c>
    </row>
    <row r="4" spans="1:12">
      <c r="A4" s="2"/>
      <c r="B4" s="21" t="s">
        <v>2</v>
      </c>
      <c r="C4" t="s">
        <v>3</v>
      </c>
    </row>
    <row r="5" spans="1:12">
      <c r="A5" s="2"/>
      <c r="B5" s="11" t="s">
        <v>4</v>
      </c>
      <c r="C5" s="25" t="s">
        <v>5</v>
      </c>
    </row>
    <row r="6" spans="1:12">
      <c r="C6" s="25"/>
    </row>
    <row r="7" spans="1:12">
      <c r="A7" s="2">
        <v>2</v>
      </c>
      <c r="B7" s="3" t="s">
        <v>6</v>
      </c>
    </row>
    <row r="8" spans="1:12">
      <c r="B8" s="2"/>
      <c r="C8" s="2"/>
      <c r="D8" s="2"/>
      <c r="E8" s="2"/>
    </row>
    <row r="9" spans="1:12" ht="15" customHeight="1">
      <c r="A9" s="2"/>
      <c r="B9" s="1" t="s">
        <v>7</v>
      </c>
      <c r="C9" s="2" t="s">
        <v>8</v>
      </c>
      <c r="D9" s="2" t="s">
        <v>9</v>
      </c>
      <c r="E9" s="16" t="s">
        <v>10</v>
      </c>
    </row>
    <row r="10" spans="1:12">
      <c r="B10" s="2">
        <v>1</v>
      </c>
      <c r="C10" s="6" t="s">
        <v>11</v>
      </c>
      <c r="D10" s="7">
        <v>13999</v>
      </c>
      <c r="E10" s="117" t="s">
        <v>12</v>
      </c>
      <c r="F10" s="117"/>
      <c r="G10" s="117"/>
      <c r="H10" s="3" t="s">
        <v>13</v>
      </c>
      <c r="I10" s="118" t="s">
        <v>14</v>
      </c>
      <c r="J10" s="118"/>
      <c r="K10" s="118"/>
      <c r="L10" s="118"/>
    </row>
    <row r="11" spans="1:12" ht="15" customHeight="1">
      <c r="B11" s="1">
        <v>2</v>
      </c>
      <c r="C11" s="6" t="s">
        <v>15</v>
      </c>
      <c r="D11" s="7">
        <v>15799</v>
      </c>
      <c r="E11" s="117" t="s">
        <v>16</v>
      </c>
      <c r="F11" s="117"/>
      <c r="G11" s="117"/>
      <c r="H11" s="3" t="s">
        <v>13</v>
      </c>
      <c r="I11" s="118" t="s">
        <v>17</v>
      </c>
      <c r="J11" s="118"/>
      <c r="K11" s="118"/>
      <c r="L11" s="118"/>
    </row>
    <row r="12" spans="1:12" ht="16.5">
      <c r="B12" s="1">
        <v>3</v>
      </c>
      <c r="C12" s="6" t="s">
        <v>96</v>
      </c>
      <c r="D12" s="7">
        <v>2799</v>
      </c>
      <c r="E12" s="117" t="s">
        <v>18</v>
      </c>
      <c r="F12" s="117"/>
      <c r="G12" s="117"/>
      <c r="H12" s="3" t="s">
        <v>13</v>
      </c>
      <c r="I12" s="118" t="s">
        <v>95</v>
      </c>
      <c r="J12" s="118"/>
      <c r="K12" s="118"/>
      <c r="L12" s="118"/>
    </row>
    <row r="13" spans="1:12" ht="16.5">
      <c r="B13" s="1">
        <v>4</v>
      </c>
      <c r="C13" s="6" t="s">
        <v>93</v>
      </c>
      <c r="D13" s="7">
        <v>459</v>
      </c>
      <c r="E13" s="117" t="s">
        <v>19</v>
      </c>
      <c r="F13" s="117"/>
      <c r="G13" s="117"/>
      <c r="H13" s="3" t="s">
        <v>13</v>
      </c>
      <c r="I13" s="118" t="s">
        <v>94</v>
      </c>
      <c r="J13" s="118"/>
      <c r="K13" s="118"/>
      <c r="L13" s="118"/>
    </row>
    <row r="14" spans="1:12" ht="16.5">
      <c r="B14" s="1"/>
      <c r="D14" s="10"/>
      <c r="E14" s="3"/>
    </row>
    <row r="15" spans="1:12">
      <c r="B15" t="s">
        <v>20</v>
      </c>
    </row>
    <row r="17" spans="1:11">
      <c r="A17" s="2">
        <v>3</v>
      </c>
      <c r="B17" s="3" t="s">
        <v>21</v>
      </c>
    </row>
    <row r="18" spans="1:11">
      <c r="C18" t="s">
        <v>22</v>
      </c>
      <c r="D18" t="s">
        <v>23</v>
      </c>
      <c r="E18" s="9" t="s">
        <v>24</v>
      </c>
      <c r="F18" s="9" t="s">
        <v>25</v>
      </c>
      <c r="G18" s="9" t="s">
        <v>26</v>
      </c>
      <c r="H18" s="9" t="s">
        <v>27</v>
      </c>
      <c r="I18" s="9" t="s">
        <v>28</v>
      </c>
    </row>
    <row r="19" spans="1:11">
      <c r="B19" t="s">
        <v>29</v>
      </c>
      <c r="C19" s="20" t="s">
        <v>30</v>
      </c>
      <c r="E19" s="18">
        <v>0.04</v>
      </c>
      <c r="F19" s="18">
        <v>0.15</v>
      </c>
      <c r="G19" s="18">
        <v>0.45</v>
      </c>
      <c r="H19" s="18">
        <v>0.25</v>
      </c>
      <c r="I19" s="27">
        <v>0.2</v>
      </c>
      <c r="J19" s="23"/>
    </row>
    <row r="20" spans="1:11">
      <c r="C20" s="9"/>
      <c r="I20" s="9"/>
    </row>
    <row r="21" spans="1:11">
      <c r="B21" t="s">
        <v>31</v>
      </c>
      <c r="C21" s="26">
        <v>84847187</v>
      </c>
      <c r="E21" s="17">
        <v>0.05</v>
      </c>
      <c r="F21" s="17">
        <v>0.2</v>
      </c>
      <c r="G21" s="17">
        <v>0.45</v>
      </c>
      <c r="H21" s="17">
        <v>0.25</v>
      </c>
      <c r="I21" s="28">
        <v>0.15</v>
      </c>
    </row>
    <row r="22" spans="1:11">
      <c r="C22" s="9"/>
      <c r="I22" s="9"/>
    </row>
    <row r="23" spans="1:11">
      <c r="B23" t="s">
        <v>32</v>
      </c>
      <c r="C23" s="20" t="s">
        <v>33</v>
      </c>
      <c r="E23" s="19">
        <v>0.02</v>
      </c>
      <c r="F23" s="19">
        <v>0.08</v>
      </c>
      <c r="G23" s="19">
        <v>0.4</v>
      </c>
      <c r="H23" s="19">
        <v>0.35</v>
      </c>
      <c r="I23" s="29">
        <v>0.25</v>
      </c>
      <c r="J23" s="23"/>
    </row>
    <row r="24" spans="1:11">
      <c r="C24" s="9"/>
      <c r="I24" s="9"/>
    </row>
    <row r="25" spans="1:11">
      <c r="B25" t="s">
        <v>34</v>
      </c>
      <c r="C25" s="26">
        <v>16287809</v>
      </c>
      <c r="E25" s="18">
        <v>0.03</v>
      </c>
      <c r="F25" s="18">
        <v>0.15</v>
      </c>
      <c r="G25" s="18">
        <v>0.45</v>
      </c>
      <c r="H25" s="18">
        <v>0.25</v>
      </c>
      <c r="I25" s="27">
        <v>0.2</v>
      </c>
      <c r="J25" s="23"/>
    </row>
    <row r="26" spans="1:11">
      <c r="C26" s="9"/>
      <c r="I26" s="9"/>
    </row>
    <row r="27" spans="1:11">
      <c r="B27" t="s">
        <v>35</v>
      </c>
      <c r="C27" s="26">
        <v>17349619</v>
      </c>
      <c r="E27" s="19">
        <v>0.02</v>
      </c>
      <c r="F27" s="19">
        <v>0.1</v>
      </c>
      <c r="G27" s="19">
        <v>0.4</v>
      </c>
      <c r="H27" s="19">
        <v>0.35</v>
      </c>
      <c r="I27" s="29">
        <v>0.25</v>
      </c>
    </row>
    <row r="28" spans="1:11">
      <c r="E28" s="22"/>
      <c r="F28" s="22"/>
      <c r="G28" s="22"/>
      <c r="H28" s="22"/>
      <c r="I28" s="22"/>
      <c r="J28" s="22"/>
      <c r="K28" s="22"/>
    </row>
    <row r="29" spans="1:11">
      <c r="B29" s="3" t="s">
        <v>4</v>
      </c>
      <c r="C29" s="6" t="s">
        <v>36</v>
      </c>
    </row>
    <row r="30" spans="1:11">
      <c r="B30" s="3"/>
      <c r="C30" s="6"/>
      <c r="D30" s="24"/>
      <c r="E30" s="24"/>
      <c r="F30" s="24"/>
      <c r="G30" s="24"/>
      <c r="H30" s="24"/>
      <c r="I30" s="24"/>
      <c r="J30" s="24"/>
      <c r="K30" s="24"/>
    </row>
    <row r="32" spans="1:11">
      <c r="B32" t="s">
        <v>37</v>
      </c>
    </row>
    <row r="34" spans="1:4">
      <c r="A34" s="2">
        <v>4</v>
      </c>
      <c r="B34" s="3" t="s">
        <v>38</v>
      </c>
      <c r="C34" t="s">
        <v>39</v>
      </c>
    </row>
    <row r="35" spans="1:4">
      <c r="A35" s="2"/>
      <c r="C35" t="s">
        <v>40</v>
      </c>
    </row>
    <row r="36" spans="1:4" ht="15.75">
      <c r="B36" s="4" t="s">
        <v>41</v>
      </c>
      <c r="C36" s="4" t="s">
        <v>42</v>
      </c>
      <c r="D36" s="9" t="s">
        <v>43</v>
      </c>
    </row>
    <row r="37" spans="1:4" ht="15.75">
      <c r="B37" s="4"/>
      <c r="C37" s="4"/>
    </row>
    <row r="38" spans="1:4" ht="15.75">
      <c r="B38" s="4" t="s">
        <v>44</v>
      </c>
      <c r="C38" s="8">
        <f>D38/D51</f>
        <v>9.3655589123867067E-2</v>
      </c>
      <c r="D38" s="14">
        <v>930000</v>
      </c>
    </row>
    <row r="39" spans="1:4" ht="15.75">
      <c r="B39" s="4" t="s">
        <v>45</v>
      </c>
      <c r="C39" s="8">
        <f>D39/D51</f>
        <v>8.0563947633434038E-2</v>
      </c>
      <c r="D39" s="14">
        <v>800000</v>
      </c>
    </row>
    <row r="40" spans="1:4" ht="15.75">
      <c r="B40" s="4" t="s">
        <v>46</v>
      </c>
      <c r="C40" s="8">
        <f>D40/D51</f>
        <v>8.559919436052367E-2</v>
      </c>
      <c r="D40" s="14">
        <v>850000</v>
      </c>
    </row>
    <row r="41" spans="1:4" ht="15.75">
      <c r="B41" s="4" t="s">
        <v>47</v>
      </c>
      <c r="C41" s="8">
        <f>D41/D51</f>
        <v>8.0563947633434038E-2</v>
      </c>
      <c r="D41" s="14">
        <v>800000</v>
      </c>
    </row>
    <row r="42" spans="1:4" ht="15.75">
      <c r="B42" s="4" t="s">
        <v>48</v>
      </c>
      <c r="C42" s="8">
        <f>D42/D51</f>
        <v>9.0634441087613288E-2</v>
      </c>
      <c r="D42" s="14">
        <v>900000</v>
      </c>
    </row>
    <row r="43" spans="1:4" ht="15.75">
      <c r="B43" s="4" t="s">
        <v>49</v>
      </c>
      <c r="C43" s="8">
        <f>D43/D51</f>
        <v>8.4592145015105744E-2</v>
      </c>
      <c r="D43" s="14">
        <v>840000</v>
      </c>
    </row>
    <row r="44" spans="1:4" ht="15.75">
      <c r="B44" s="4" t="s">
        <v>50</v>
      </c>
      <c r="C44" s="8">
        <f>D44/D51</f>
        <v>8.0563947633434038E-2</v>
      </c>
      <c r="D44" s="14">
        <v>800000</v>
      </c>
    </row>
    <row r="45" spans="1:4" ht="15.75">
      <c r="B45" s="4" t="s">
        <v>51</v>
      </c>
      <c r="C45" s="8">
        <f>D45/D51</f>
        <v>8.0563947633434038E-2</v>
      </c>
      <c r="D45" s="14">
        <v>800000</v>
      </c>
    </row>
    <row r="46" spans="1:4" ht="15.75">
      <c r="B46" s="4" t="s">
        <v>52</v>
      </c>
      <c r="C46" s="8">
        <f>D46/D51</f>
        <v>7.452165156092648E-2</v>
      </c>
      <c r="D46" s="14">
        <v>740000</v>
      </c>
    </row>
    <row r="47" spans="1:4" ht="15.75">
      <c r="B47" s="4" t="s">
        <v>53</v>
      </c>
      <c r="C47" s="8">
        <f>D47/D51</f>
        <v>6.0422960725075532E-2</v>
      </c>
      <c r="D47" s="14">
        <v>600000</v>
      </c>
    </row>
    <row r="48" spans="1:4" ht="15.75">
      <c r="B48" s="4" t="s">
        <v>54</v>
      </c>
      <c r="C48" s="8">
        <f>D48/D51</f>
        <v>0.10574018126888217</v>
      </c>
      <c r="D48" s="14">
        <v>1050000</v>
      </c>
    </row>
    <row r="49" spans="1:4" ht="15.75">
      <c r="B49" s="4" t="s">
        <v>55</v>
      </c>
      <c r="C49" s="8">
        <f>D49/D51</f>
        <v>8.2578046324269891E-2</v>
      </c>
      <c r="D49" s="14">
        <v>820000</v>
      </c>
    </row>
    <row r="51" spans="1:4" ht="15.75">
      <c r="B51" s="4" t="s">
        <v>56</v>
      </c>
      <c r="C51" s="5">
        <f>SUM(C38:C49)</f>
        <v>1</v>
      </c>
      <c r="D51" s="13">
        <f>SUM(D38:D49)</f>
        <v>9930000</v>
      </c>
    </row>
    <row r="53" spans="1:4" ht="15.75">
      <c r="B53" s="12" t="s">
        <v>4</v>
      </c>
      <c r="C53" s="25" t="s">
        <v>57</v>
      </c>
    </row>
    <row r="54" spans="1:4" ht="15.75">
      <c r="B54" s="12"/>
      <c r="C54" s="25"/>
    </row>
    <row r="55" spans="1:4" ht="15.75">
      <c r="B55" s="12"/>
      <c r="C55" s="25"/>
    </row>
    <row r="56" spans="1:4" ht="15.75">
      <c r="B56" s="12"/>
      <c r="C56" s="25"/>
    </row>
    <row r="58" spans="1:4">
      <c r="B58" t="s">
        <v>58</v>
      </c>
    </row>
    <row r="59" spans="1:4">
      <c r="B59" t="s">
        <v>59</v>
      </c>
    </row>
    <row r="61" spans="1:4">
      <c r="A61" s="2">
        <v>5</v>
      </c>
      <c r="B61" s="3" t="s">
        <v>60</v>
      </c>
    </row>
    <row r="63" spans="1:4">
      <c r="B63" t="s">
        <v>61</v>
      </c>
    </row>
    <row r="64" spans="1:4">
      <c r="B64" t="s">
        <v>62</v>
      </c>
    </row>
    <row r="65" spans="2:3">
      <c r="B65" s="20" t="s">
        <v>97</v>
      </c>
      <c r="C65" t="s">
        <v>63</v>
      </c>
    </row>
    <row r="67" spans="2:3">
      <c r="B67" s="15" t="s">
        <v>105</v>
      </c>
      <c r="C67" t="s">
        <v>64</v>
      </c>
    </row>
    <row r="68" spans="2:3">
      <c r="B68" s="15" t="s">
        <v>106</v>
      </c>
    </row>
    <row r="70" spans="2:3">
      <c r="B70" t="s">
        <v>65</v>
      </c>
    </row>
  </sheetData>
  <mergeCells count="8">
    <mergeCell ref="E10:G10"/>
    <mergeCell ref="E11:G11"/>
    <mergeCell ref="E12:G12"/>
    <mergeCell ref="E13:G13"/>
    <mergeCell ref="I10:L10"/>
    <mergeCell ref="I11:L11"/>
    <mergeCell ref="I12:L12"/>
    <mergeCell ref="I13:L13"/>
  </mergeCells>
  <hyperlinks>
    <hyperlink ref="I10" r:id="rId1"/>
    <hyperlink ref="I11" r:id="rId2" location=":~:text=O%20novo%20Galaxy%20Z%20Fold,Qualcomm%20Snapdragon%208%20Gen%202."/>
    <hyperlink ref="C53" r:id="rId3"/>
    <hyperlink ref="C5" r:id="rId4"/>
    <hyperlink ref="I13" display="https://www.magazineluiza.com.br/smartphone-samsung-galaxy-j1-mini-4g-dual-chip-j105-8gb-tela-4-wi-fi-android-5-1-camera-5mp-anatel/p/ad41g3332e/te/galx/?&amp;seller_id=kgtelecom&amp;utm_source=google&amp;utm_medium=cpc&amp;utm_term=76953&amp;utm_campaign=google_eco_per_ven_"/>
    <hyperlink ref="I12" r:id="rId5"/>
  </hyperlinks>
  <pageMargins left="0.511811024" right="0.511811024" top="0.78740157499999996" bottom="0.78740157499999996" header="0.31496062000000002" footer="0.31496062000000002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7"/>
  <sheetViews>
    <sheetView topLeftCell="A28" workbookViewId="0">
      <selection activeCell="A50" sqref="A50"/>
    </sheetView>
  </sheetViews>
  <sheetFormatPr defaultRowHeight="15"/>
  <cols>
    <col min="2" max="2" width="9.28515625" bestFit="1" customWidth="1"/>
    <col min="17" max="17" width="17" bestFit="1" customWidth="1"/>
    <col min="18" max="18" width="11.85546875" bestFit="1" customWidth="1"/>
  </cols>
  <sheetData>
    <row r="1" spans="1:25">
      <c r="A1" s="120" t="s">
        <v>66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5">
      <c r="A2" t="s">
        <v>79</v>
      </c>
      <c r="B2" t="s">
        <v>78</v>
      </c>
      <c r="C2" s="120" t="s">
        <v>67</v>
      </c>
      <c r="D2" s="120"/>
      <c r="E2" s="120" t="s">
        <v>68</v>
      </c>
      <c r="F2" s="120"/>
      <c r="G2" s="120" t="s">
        <v>69</v>
      </c>
      <c r="H2" s="120"/>
      <c r="I2" s="120" t="s">
        <v>70</v>
      </c>
      <c r="J2" s="120"/>
      <c r="K2" s="120" t="s">
        <v>71</v>
      </c>
      <c r="L2" s="120"/>
      <c r="M2" s="120" t="s">
        <v>72</v>
      </c>
      <c r="N2" s="120"/>
      <c r="O2" s="120" t="s">
        <v>73</v>
      </c>
      <c r="P2" s="120"/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87</v>
      </c>
      <c r="Y2" t="s">
        <v>88</v>
      </c>
    </row>
    <row r="3" spans="1:25">
      <c r="A3">
        <v>1</v>
      </c>
      <c r="B3" s="9" t="s">
        <v>27</v>
      </c>
      <c r="C3" t="s">
        <v>74</v>
      </c>
      <c r="D3" t="str">
        <f>IF(C3=B3,"CERTO","ERRADO")</f>
        <v>CERTO</v>
      </c>
      <c r="E3" t="s">
        <v>74</v>
      </c>
      <c r="F3" t="str">
        <f>IF(E3=$B3,"CERTO","ERRADO")</f>
        <v>CERTO</v>
      </c>
      <c r="G3" t="s">
        <v>74</v>
      </c>
      <c r="H3" t="str">
        <f>IF(G3=$B3,"CERTO","ERRADO")</f>
        <v>CERTO</v>
      </c>
      <c r="I3" t="s">
        <v>74</v>
      </c>
      <c r="J3" t="str">
        <f>IF(I3=$B3,"CERTO","ERRADO")</f>
        <v>CERTO</v>
      </c>
      <c r="K3" t="s">
        <v>74</v>
      </c>
      <c r="L3" t="str">
        <f>IF(K3=$B3,"CERTO","ERRADO")</f>
        <v>CERTO</v>
      </c>
      <c r="M3" t="s">
        <v>74</v>
      </c>
      <c r="N3" t="str">
        <f>IF(M3=$B3,"CERTO","ERRADO")</f>
        <v>CERTO</v>
      </c>
      <c r="O3" t="s">
        <v>74</v>
      </c>
      <c r="P3" t="str">
        <f>IF(O3=$B3,"CERTO","ERRADO")</f>
        <v>CERTO</v>
      </c>
      <c r="Q3" s="9">
        <f>COUNTIF(D3:P3,"CERTO")</f>
        <v>7</v>
      </c>
      <c r="R3" s="9">
        <f>COUNTIF(D3:P3,"ERRADO")</f>
        <v>0</v>
      </c>
      <c r="S3">
        <f>IF(D3="CERTO",1,0)</f>
        <v>1</v>
      </c>
      <c r="T3">
        <f>IF(F3="CERTO",1,0)</f>
        <v>1</v>
      </c>
      <c r="U3">
        <f>IF(H3="CERTO",1,0)</f>
        <v>1</v>
      </c>
      <c r="V3">
        <f>IF(J3="CERTO",1,0)</f>
        <v>1</v>
      </c>
      <c r="W3">
        <f>IF(L3="CERTO",1,0)</f>
        <v>1</v>
      </c>
      <c r="X3">
        <f>IF(N3="CERTO",1,0)</f>
        <v>1</v>
      </c>
      <c r="Y3">
        <f>IF(P3="CERTO",1,0)</f>
        <v>1</v>
      </c>
    </row>
    <row r="4" spans="1:25">
      <c r="A4">
        <v>2</v>
      </c>
      <c r="B4" s="9" t="s">
        <v>25</v>
      </c>
      <c r="C4" t="s">
        <v>75</v>
      </c>
      <c r="D4" t="str">
        <f t="shared" ref="D4:D27" si="0">IF(C4=B4,"CERTO","ERRADO")</f>
        <v>CERTO</v>
      </c>
      <c r="E4" t="s">
        <v>76</v>
      </c>
      <c r="F4" t="str">
        <f t="shared" ref="F4:H27" si="1">IF(E4=$B4,"CERTO","ERRADO")</f>
        <v>ERRADO</v>
      </c>
      <c r="G4" t="s">
        <v>75</v>
      </c>
      <c r="H4" t="str">
        <f t="shared" si="1"/>
        <v>CERTO</v>
      </c>
      <c r="I4" t="s">
        <v>75</v>
      </c>
      <c r="J4" t="str">
        <f t="shared" ref="J4" si="2">IF(I4=$B4,"CERTO","ERRADO")</f>
        <v>CERTO</v>
      </c>
      <c r="K4" t="s">
        <v>75</v>
      </c>
      <c r="L4" t="str">
        <f t="shared" ref="L4" si="3">IF(K4=$B4,"CERTO","ERRADO")</f>
        <v>CERTO</v>
      </c>
      <c r="M4" t="s">
        <v>75</v>
      </c>
      <c r="N4" t="str">
        <f t="shared" ref="N4" si="4">IF(M4=$B4,"CERTO","ERRADO")</f>
        <v>CERTO</v>
      </c>
      <c r="O4" t="s">
        <v>74</v>
      </c>
      <c r="P4" t="str">
        <f t="shared" ref="P4" si="5">IF(O4=$B4,"CERTO","ERRADO")</f>
        <v>ERRADO</v>
      </c>
      <c r="Q4" s="9">
        <f t="shared" ref="Q4:Q27" si="6">COUNTIF(D4:P4,"CERTO")</f>
        <v>5</v>
      </c>
      <c r="R4" s="9">
        <f t="shared" ref="R4:R27" si="7">COUNTIF(D4:P4,"ERRADO")</f>
        <v>2</v>
      </c>
      <c r="S4">
        <f t="shared" ref="S4:S27" si="8">IF(D4="CERTO",1,0)</f>
        <v>1</v>
      </c>
      <c r="T4">
        <f t="shared" ref="T4:T27" si="9">IF(F4="CERTO",1,0)</f>
        <v>0</v>
      </c>
      <c r="U4">
        <f t="shared" ref="U4:U27" si="10">IF(H4="CERTO",1,0)</f>
        <v>1</v>
      </c>
      <c r="V4">
        <f t="shared" ref="V4:V27" si="11">IF(J4="CERTO",1,0)</f>
        <v>1</v>
      </c>
      <c r="W4">
        <f t="shared" ref="W4:W27" si="12">IF(L4="CERTO",1,0)</f>
        <v>1</v>
      </c>
      <c r="X4">
        <f t="shared" ref="X4:X27" si="13">IF(N4="CERTO",1,0)</f>
        <v>1</v>
      </c>
      <c r="Y4">
        <f t="shared" ref="Y4:Y27" si="14">IF(P4="CERTO",1,0)</f>
        <v>0</v>
      </c>
    </row>
    <row r="5" spans="1:25">
      <c r="A5">
        <v>3</v>
      </c>
      <c r="B5" s="9" t="s">
        <v>26</v>
      </c>
      <c r="C5" t="s">
        <v>76</v>
      </c>
      <c r="D5" t="str">
        <f t="shared" si="0"/>
        <v>CERTO</v>
      </c>
      <c r="E5" t="s">
        <v>76</v>
      </c>
      <c r="F5" t="str">
        <f t="shared" si="1"/>
        <v>CERTO</v>
      </c>
      <c r="G5" t="s">
        <v>75</v>
      </c>
      <c r="H5" t="str">
        <f t="shared" si="1"/>
        <v>ERRADO</v>
      </c>
      <c r="I5" t="s">
        <v>76</v>
      </c>
      <c r="J5" t="str">
        <f t="shared" ref="J5" si="15">IF(I5=$B5,"CERTO","ERRADO")</f>
        <v>CERTO</v>
      </c>
      <c r="K5" t="s">
        <v>76</v>
      </c>
      <c r="L5" t="str">
        <f t="shared" ref="L5" si="16">IF(K5=$B5,"CERTO","ERRADO")</f>
        <v>CERTO</v>
      </c>
      <c r="M5" t="s">
        <v>77</v>
      </c>
      <c r="N5" t="str">
        <f t="shared" ref="N5" si="17">IF(M5=$B5,"CERTO","ERRADO")</f>
        <v>ERRADO</v>
      </c>
      <c r="O5" t="s">
        <v>76</v>
      </c>
      <c r="P5" t="str">
        <f t="shared" ref="P5" si="18">IF(O5=$B5,"CERTO","ERRADO")</f>
        <v>CERTO</v>
      </c>
      <c r="Q5" s="9">
        <f t="shared" si="6"/>
        <v>5</v>
      </c>
      <c r="R5" s="9">
        <f t="shared" si="7"/>
        <v>2</v>
      </c>
      <c r="S5">
        <f t="shared" si="8"/>
        <v>1</v>
      </c>
      <c r="T5">
        <f t="shared" si="9"/>
        <v>1</v>
      </c>
      <c r="U5">
        <f t="shared" si="10"/>
        <v>0</v>
      </c>
      <c r="V5">
        <f t="shared" si="11"/>
        <v>1</v>
      </c>
      <c r="W5">
        <f t="shared" si="12"/>
        <v>1</v>
      </c>
      <c r="X5">
        <f t="shared" si="13"/>
        <v>0</v>
      </c>
      <c r="Y5">
        <f t="shared" si="14"/>
        <v>1</v>
      </c>
    </row>
    <row r="6" spans="1:25">
      <c r="A6">
        <v>4</v>
      </c>
      <c r="B6" s="9" t="s">
        <v>24</v>
      </c>
      <c r="C6" t="s">
        <v>75</v>
      </c>
      <c r="D6" t="str">
        <f t="shared" si="0"/>
        <v>ERRADO</v>
      </c>
      <c r="E6" t="s">
        <v>75</v>
      </c>
      <c r="F6" t="str">
        <f t="shared" si="1"/>
        <v>ERRADO</v>
      </c>
      <c r="G6" t="s">
        <v>77</v>
      </c>
      <c r="H6" t="str">
        <f t="shared" si="1"/>
        <v>CERTO</v>
      </c>
      <c r="I6" t="s">
        <v>75</v>
      </c>
      <c r="J6" t="str">
        <f t="shared" ref="J6" si="19">IF(I6=$B6,"CERTO","ERRADO")</f>
        <v>ERRADO</v>
      </c>
      <c r="K6" t="s">
        <v>75</v>
      </c>
      <c r="L6" t="str">
        <f t="shared" ref="L6" si="20">IF(K6=$B6,"CERTO","ERRADO")</f>
        <v>ERRADO</v>
      </c>
      <c r="M6" t="s">
        <v>75</v>
      </c>
      <c r="N6" t="str">
        <f t="shared" ref="N6" si="21">IF(M6=$B6,"CERTO","ERRADO")</f>
        <v>ERRADO</v>
      </c>
      <c r="O6" t="s">
        <v>76</v>
      </c>
      <c r="P6" t="str">
        <f t="shared" ref="P6" si="22">IF(O6=$B6,"CERTO","ERRADO")</f>
        <v>ERRADO</v>
      </c>
      <c r="Q6" s="9">
        <f t="shared" si="6"/>
        <v>1</v>
      </c>
      <c r="R6" s="9">
        <f t="shared" si="7"/>
        <v>6</v>
      </c>
      <c r="S6">
        <f t="shared" si="8"/>
        <v>0</v>
      </c>
      <c r="T6">
        <f t="shared" si="9"/>
        <v>0</v>
      </c>
      <c r="U6">
        <f t="shared" si="10"/>
        <v>1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</row>
    <row r="7" spans="1:25">
      <c r="A7">
        <v>5</v>
      </c>
      <c r="B7" s="9" t="s">
        <v>27</v>
      </c>
      <c r="C7" t="s">
        <v>74</v>
      </c>
      <c r="D7" t="str">
        <f t="shared" si="0"/>
        <v>CERTO</v>
      </c>
      <c r="E7" t="s">
        <v>75</v>
      </c>
      <c r="F7" t="str">
        <f t="shared" si="1"/>
        <v>ERRADO</v>
      </c>
      <c r="G7" t="s">
        <v>74</v>
      </c>
      <c r="H7" t="str">
        <f t="shared" si="1"/>
        <v>CERTO</v>
      </c>
      <c r="I7" t="s">
        <v>75</v>
      </c>
      <c r="J7" t="str">
        <f t="shared" ref="J7" si="23">IF(I7=$B7,"CERTO","ERRADO")</f>
        <v>ERRADO</v>
      </c>
      <c r="K7" t="s">
        <v>74</v>
      </c>
      <c r="L7" t="str">
        <f t="shared" ref="L7" si="24">IF(K7=$B7,"CERTO","ERRADO")</f>
        <v>CERTO</v>
      </c>
      <c r="M7" t="s">
        <v>74</v>
      </c>
      <c r="N7" t="str">
        <f t="shared" ref="N7" si="25">IF(M7=$B7,"CERTO","ERRADO")</f>
        <v>CERTO</v>
      </c>
      <c r="O7" t="s">
        <v>74</v>
      </c>
      <c r="P7" t="str">
        <f t="shared" ref="P7" si="26">IF(O7=$B7,"CERTO","ERRADO")</f>
        <v>CERTO</v>
      </c>
      <c r="Q7" s="9">
        <f t="shared" si="6"/>
        <v>5</v>
      </c>
      <c r="R7" s="9">
        <f t="shared" si="7"/>
        <v>2</v>
      </c>
      <c r="S7">
        <f t="shared" si="8"/>
        <v>1</v>
      </c>
      <c r="T7">
        <f t="shared" si="9"/>
        <v>0</v>
      </c>
      <c r="U7">
        <f t="shared" si="10"/>
        <v>1</v>
      </c>
      <c r="V7">
        <f t="shared" si="11"/>
        <v>0</v>
      </c>
      <c r="W7">
        <f t="shared" si="12"/>
        <v>1</v>
      </c>
      <c r="X7">
        <f t="shared" si="13"/>
        <v>1</v>
      </c>
      <c r="Y7">
        <f t="shared" si="14"/>
        <v>1</v>
      </c>
    </row>
    <row r="8" spans="1:25">
      <c r="A8">
        <v>6</v>
      </c>
      <c r="B8" s="9" t="s">
        <v>25</v>
      </c>
      <c r="C8" t="s">
        <v>75</v>
      </c>
      <c r="D8" t="str">
        <f t="shared" si="0"/>
        <v>CERTO</v>
      </c>
      <c r="E8" t="s">
        <v>76</v>
      </c>
      <c r="F8" t="str">
        <f t="shared" si="1"/>
        <v>ERRADO</v>
      </c>
      <c r="G8" t="s">
        <v>75</v>
      </c>
      <c r="H8" t="str">
        <f t="shared" si="1"/>
        <v>CERTO</v>
      </c>
      <c r="I8" t="s">
        <v>76</v>
      </c>
      <c r="J8" t="str">
        <f t="shared" ref="J8" si="27">IF(I8=$B8,"CERTO","ERRADO")</f>
        <v>ERRADO</v>
      </c>
      <c r="K8" t="s">
        <v>74</v>
      </c>
      <c r="L8" t="str">
        <f t="shared" ref="L8" si="28">IF(K8=$B8,"CERTO","ERRADO")</f>
        <v>ERRADO</v>
      </c>
      <c r="M8" t="s">
        <v>74</v>
      </c>
      <c r="N8" t="str">
        <f t="shared" ref="N8" si="29">IF(M8=$B8,"CERTO","ERRADO")</f>
        <v>ERRADO</v>
      </c>
      <c r="O8" t="s">
        <v>74</v>
      </c>
      <c r="P8" t="str">
        <f t="shared" ref="P8" si="30">IF(O8=$B8,"CERTO","ERRADO")</f>
        <v>ERRADO</v>
      </c>
      <c r="Q8" s="9">
        <f t="shared" si="6"/>
        <v>2</v>
      </c>
      <c r="R8" s="9">
        <f t="shared" si="7"/>
        <v>5</v>
      </c>
      <c r="S8">
        <f t="shared" si="8"/>
        <v>1</v>
      </c>
      <c r="T8">
        <f t="shared" si="9"/>
        <v>0</v>
      </c>
      <c r="U8">
        <f t="shared" si="10"/>
        <v>1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</row>
    <row r="9" spans="1:25">
      <c r="A9">
        <v>7</v>
      </c>
      <c r="B9" s="9" t="s">
        <v>24</v>
      </c>
      <c r="C9" t="s">
        <v>77</v>
      </c>
      <c r="D9" t="str">
        <f t="shared" si="0"/>
        <v>CERTO</v>
      </c>
      <c r="E9" t="s">
        <v>77</v>
      </c>
      <c r="F9" t="str">
        <f t="shared" si="1"/>
        <v>CERTO</v>
      </c>
      <c r="G9" t="s">
        <v>77</v>
      </c>
      <c r="H9" t="str">
        <f t="shared" si="1"/>
        <v>CERTO</v>
      </c>
      <c r="I9" t="s">
        <v>77</v>
      </c>
      <c r="J9" t="str">
        <f t="shared" ref="J9" si="31">IF(I9=$B9,"CERTO","ERRADO")</f>
        <v>CERTO</v>
      </c>
      <c r="K9" t="s">
        <v>77</v>
      </c>
      <c r="L9" t="str">
        <f t="shared" ref="L9" si="32">IF(K9=$B9,"CERTO","ERRADO")</f>
        <v>CERTO</v>
      </c>
      <c r="M9" t="s">
        <v>77</v>
      </c>
      <c r="N9" t="str">
        <f t="shared" ref="N9" si="33">IF(M9=$B9,"CERTO","ERRADO")</f>
        <v>CERTO</v>
      </c>
      <c r="O9" t="s">
        <v>76</v>
      </c>
      <c r="P9" t="str">
        <f t="shared" ref="P9" si="34">IF(O9=$B9,"CERTO","ERRADO")</f>
        <v>ERRADO</v>
      </c>
      <c r="Q9" s="9">
        <f t="shared" si="6"/>
        <v>6</v>
      </c>
      <c r="R9" s="9">
        <f t="shared" si="7"/>
        <v>1</v>
      </c>
      <c r="S9">
        <f t="shared" si="8"/>
        <v>1</v>
      </c>
      <c r="T9">
        <f t="shared" si="9"/>
        <v>1</v>
      </c>
      <c r="U9">
        <f t="shared" si="10"/>
        <v>1</v>
      </c>
      <c r="V9">
        <f t="shared" si="11"/>
        <v>1</v>
      </c>
      <c r="W9">
        <f t="shared" si="12"/>
        <v>1</v>
      </c>
      <c r="X9">
        <f t="shared" si="13"/>
        <v>1</v>
      </c>
      <c r="Y9">
        <f t="shared" si="14"/>
        <v>0</v>
      </c>
    </row>
    <row r="10" spans="1:25">
      <c r="A10">
        <v>8</v>
      </c>
      <c r="B10" s="9" t="s">
        <v>26</v>
      </c>
      <c r="C10" t="s">
        <v>75</v>
      </c>
      <c r="D10" t="str">
        <f t="shared" si="0"/>
        <v>ERRADO</v>
      </c>
      <c r="E10" t="s">
        <v>76</v>
      </c>
      <c r="F10" t="str">
        <f t="shared" si="1"/>
        <v>CERTO</v>
      </c>
      <c r="G10" t="s">
        <v>76</v>
      </c>
      <c r="H10" t="str">
        <f t="shared" si="1"/>
        <v>CERTO</v>
      </c>
      <c r="I10" t="s">
        <v>75</v>
      </c>
      <c r="J10" t="str">
        <f t="shared" ref="J10" si="35">IF(I10=$B10,"CERTO","ERRADO")</f>
        <v>ERRADO</v>
      </c>
      <c r="K10" t="s">
        <v>75</v>
      </c>
      <c r="L10" t="str">
        <f t="shared" ref="L10" si="36">IF(K10=$B10,"CERTO","ERRADO")</f>
        <v>ERRADO</v>
      </c>
      <c r="M10" t="s">
        <v>75</v>
      </c>
      <c r="N10" t="str">
        <f t="shared" ref="N10" si="37">IF(M10=$B10,"CERTO","ERRADO")</f>
        <v>ERRADO</v>
      </c>
      <c r="O10" t="s">
        <v>74</v>
      </c>
      <c r="P10" t="str">
        <f t="shared" ref="P10" si="38">IF(O10=$B10,"CERTO","ERRADO")</f>
        <v>ERRADO</v>
      </c>
      <c r="Q10" s="9">
        <f t="shared" si="6"/>
        <v>2</v>
      </c>
      <c r="R10" s="9">
        <f t="shared" si="7"/>
        <v>5</v>
      </c>
      <c r="S10">
        <f t="shared" si="8"/>
        <v>0</v>
      </c>
      <c r="T10">
        <f t="shared" si="9"/>
        <v>1</v>
      </c>
      <c r="U10">
        <f t="shared" si="10"/>
        <v>1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</row>
    <row r="11" spans="1:25">
      <c r="A11">
        <v>9</v>
      </c>
      <c r="B11" s="9" t="s">
        <v>27</v>
      </c>
      <c r="C11" t="s">
        <v>74</v>
      </c>
      <c r="D11" t="str">
        <f t="shared" si="0"/>
        <v>CERTO</v>
      </c>
      <c r="E11" t="s">
        <v>75</v>
      </c>
      <c r="F11" t="str">
        <f t="shared" si="1"/>
        <v>ERRADO</v>
      </c>
      <c r="G11" t="s">
        <v>74</v>
      </c>
      <c r="H11" t="str">
        <f t="shared" si="1"/>
        <v>CERTO</v>
      </c>
      <c r="I11" t="s">
        <v>75</v>
      </c>
      <c r="J11" t="str">
        <f t="shared" ref="J11" si="39">IF(I11=$B11,"CERTO","ERRADO")</f>
        <v>ERRADO</v>
      </c>
      <c r="K11" t="s">
        <v>75</v>
      </c>
      <c r="L11" t="str">
        <f t="shared" ref="L11" si="40">IF(K11=$B11,"CERTO","ERRADO")</f>
        <v>ERRADO</v>
      </c>
      <c r="M11" t="s">
        <v>75</v>
      </c>
      <c r="N11" t="str">
        <f t="shared" ref="N11" si="41">IF(M11=$B11,"CERTO","ERRADO")</f>
        <v>ERRADO</v>
      </c>
      <c r="O11" t="s">
        <v>74</v>
      </c>
      <c r="P11" t="str">
        <f t="shared" ref="P11" si="42">IF(O11=$B11,"CERTO","ERRADO")</f>
        <v>CERTO</v>
      </c>
      <c r="Q11" s="9">
        <f t="shared" si="6"/>
        <v>3</v>
      </c>
      <c r="R11" s="9">
        <f t="shared" si="7"/>
        <v>4</v>
      </c>
      <c r="S11">
        <f t="shared" si="8"/>
        <v>1</v>
      </c>
      <c r="T11">
        <f t="shared" si="9"/>
        <v>0</v>
      </c>
      <c r="U11">
        <f t="shared" si="10"/>
        <v>1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1</v>
      </c>
    </row>
    <row r="12" spans="1:25">
      <c r="A12">
        <v>10</v>
      </c>
      <c r="B12" s="9" t="s">
        <v>25</v>
      </c>
      <c r="C12" t="s">
        <v>75</v>
      </c>
      <c r="D12" t="str">
        <f t="shared" si="0"/>
        <v>CERTO</v>
      </c>
      <c r="E12" t="s">
        <v>77</v>
      </c>
      <c r="F12" t="str">
        <f t="shared" si="1"/>
        <v>ERRADO</v>
      </c>
      <c r="G12" t="s">
        <v>74</v>
      </c>
      <c r="H12" t="str">
        <f t="shared" si="1"/>
        <v>ERRADO</v>
      </c>
      <c r="I12" t="s">
        <v>77</v>
      </c>
      <c r="J12" t="str">
        <f t="shared" ref="J12" si="43">IF(I12=$B12,"CERTO","ERRADO")</f>
        <v>ERRADO</v>
      </c>
      <c r="K12" t="s">
        <v>77</v>
      </c>
      <c r="L12" t="str">
        <f t="shared" ref="L12" si="44">IF(K12=$B12,"CERTO","ERRADO")</f>
        <v>ERRADO</v>
      </c>
      <c r="M12" t="s">
        <v>75</v>
      </c>
      <c r="N12" t="str">
        <f t="shared" ref="N12" si="45">IF(M12=$B12,"CERTO","ERRADO")</f>
        <v>CERTO</v>
      </c>
      <c r="O12" t="s">
        <v>77</v>
      </c>
      <c r="P12" t="str">
        <f t="shared" ref="P12" si="46">IF(O12=$B12,"CERTO","ERRADO")</f>
        <v>ERRADO</v>
      </c>
      <c r="Q12" s="9">
        <f t="shared" si="6"/>
        <v>2</v>
      </c>
      <c r="R12" s="9">
        <f t="shared" si="7"/>
        <v>5</v>
      </c>
      <c r="S12">
        <f t="shared" si="8"/>
        <v>1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1</v>
      </c>
      <c r="Y12">
        <f t="shared" si="14"/>
        <v>0</v>
      </c>
    </row>
    <row r="13" spans="1:25">
      <c r="A13">
        <v>11</v>
      </c>
      <c r="B13" s="9" t="s">
        <v>24</v>
      </c>
      <c r="C13" t="s">
        <v>77</v>
      </c>
      <c r="D13" t="str">
        <f t="shared" si="0"/>
        <v>CERTO</v>
      </c>
      <c r="E13" t="s">
        <v>77</v>
      </c>
      <c r="F13" t="str">
        <f t="shared" si="1"/>
        <v>CERTO</v>
      </c>
      <c r="G13" t="s">
        <v>76</v>
      </c>
      <c r="H13" t="str">
        <f t="shared" si="1"/>
        <v>ERRADO</v>
      </c>
      <c r="I13" t="s">
        <v>77</v>
      </c>
      <c r="J13" t="str">
        <f t="shared" ref="J13" si="47">IF(I13=$B13,"CERTO","ERRADO")</f>
        <v>CERTO</v>
      </c>
      <c r="K13" t="s">
        <v>77</v>
      </c>
      <c r="L13" t="str">
        <f t="shared" ref="L13" si="48">IF(K13=$B13,"CERTO","ERRADO")</f>
        <v>CERTO</v>
      </c>
      <c r="M13" t="s">
        <v>76</v>
      </c>
      <c r="N13" t="str">
        <f t="shared" ref="N13" si="49">IF(M13=$B13,"CERTO","ERRADO")</f>
        <v>ERRADO</v>
      </c>
      <c r="O13" t="s">
        <v>75</v>
      </c>
      <c r="P13" t="str">
        <f t="shared" ref="P13" si="50">IF(O13=$B13,"CERTO","ERRADO")</f>
        <v>ERRADO</v>
      </c>
      <c r="Q13" s="9">
        <f t="shared" si="6"/>
        <v>4</v>
      </c>
      <c r="R13" s="9">
        <f t="shared" si="7"/>
        <v>3</v>
      </c>
      <c r="S13">
        <f t="shared" si="8"/>
        <v>1</v>
      </c>
      <c r="T13">
        <f t="shared" si="9"/>
        <v>1</v>
      </c>
      <c r="U13">
        <f t="shared" si="10"/>
        <v>0</v>
      </c>
      <c r="V13">
        <f t="shared" si="11"/>
        <v>1</v>
      </c>
      <c r="W13">
        <f t="shared" si="12"/>
        <v>1</v>
      </c>
      <c r="X13">
        <f t="shared" si="13"/>
        <v>0</v>
      </c>
      <c r="Y13">
        <f t="shared" si="14"/>
        <v>0</v>
      </c>
    </row>
    <row r="14" spans="1:25">
      <c r="A14">
        <v>12</v>
      </c>
      <c r="B14" s="9" t="s">
        <v>25</v>
      </c>
      <c r="C14" t="s">
        <v>77</v>
      </c>
      <c r="D14" t="str">
        <f t="shared" si="0"/>
        <v>ERRADO</v>
      </c>
      <c r="E14" t="s">
        <v>75</v>
      </c>
      <c r="F14" t="str">
        <f t="shared" si="1"/>
        <v>CERTO</v>
      </c>
      <c r="G14" t="s">
        <v>75</v>
      </c>
      <c r="H14" t="str">
        <f t="shared" si="1"/>
        <v>CERTO</v>
      </c>
      <c r="I14" t="s">
        <v>75</v>
      </c>
      <c r="J14" t="str">
        <f t="shared" ref="J14" si="51">IF(I14=$B14,"CERTO","ERRADO")</f>
        <v>CERTO</v>
      </c>
      <c r="K14" t="s">
        <v>75</v>
      </c>
      <c r="L14" t="str">
        <f t="shared" ref="L14" si="52">IF(K14=$B14,"CERTO","ERRADO")</f>
        <v>CERTO</v>
      </c>
      <c r="M14" t="s">
        <v>75</v>
      </c>
      <c r="N14" t="str">
        <f t="shared" ref="N14" si="53">IF(M14=$B14,"CERTO","ERRADO")</f>
        <v>CERTO</v>
      </c>
      <c r="O14" t="s">
        <v>77</v>
      </c>
      <c r="P14" t="str">
        <f t="shared" ref="P14" si="54">IF(O14=$B14,"CERTO","ERRADO")</f>
        <v>ERRADO</v>
      </c>
      <c r="Q14" s="9">
        <f t="shared" si="6"/>
        <v>5</v>
      </c>
      <c r="R14" s="9">
        <f t="shared" si="7"/>
        <v>2</v>
      </c>
      <c r="S14">
        <f t="shared" si="8"/>
        <v>0</v>
      </c>
      <c r="T14">
        <f t="shared" si="9"/>
        <v>1</v>
      </c>
      <c r="U14">
        <f t="shared" si="10"/>
        <v>1</v>
      </c>
      <c r="V14">
        <f t="shared" si="11"/>
        <v>1</v>
      </c>
      <c r="W14">
        <f t="shared" si="12"/>
        <v>1</v>
      </c>
      <c r="X14">
        <f t="shared" si="13"/>
        <v>1</v>
      </c>
      <c r="Y14">
        <f t="shared" si="14"/>
        <v>0</v>
      </c>
    </row>
    <row r="15" spans="1:25">
      <c r="A15">
        <v>13</v>
      </c>
      <c r="B15" s="9" t="s">
        <v>27</v>
      </c>
      <c r="C15" t="s">
        <v>74</v>
      </c>
      <c r="D15" t="str">
        <f t="shared" si="0"/>
        <v>CERTO</v>
      </c>
      <c r="E15" t="s">
        <v>74</v>
      </c>
      <c r="F15" t="str">
        <f t="shared" si="1"/>
        <v>CERTO</v>
      </c>
      <c r="G15" t="s">
        <v>74</v>
      </c>
      <c r="H15" t="str">
        <f t="shared" si="1"/>
        <v>CERTO</v>
      </c>
      <c r="I15" t="s">
        <v>74</v>
      </c>
      <c r="J15" t="str">
        <f t="shared" ref="J15" si="55">IF(I15=$B15,"CERTO","ERRADO")</f>
        <v>CERTO</v>
      </c>
      <c r="K15" t="s">
        <v>74</v>
      </c>
      <c r="L15" t="str">
        <f t="shared" ref="L15" si="56">IF(K15=$B15,"CERTO","ERRADO")</f>
        <v>CERTO</v>
      </c>
      <c r="M15" t="s">
        <v>76</v>
      </c>
      <c r="N15" t="str">
        <f t="shared" ref="N15" si="57">IF(M15=$B15,"CERTO","ERRADO")</f>
        <v>ERRADO</v>
      </c>
      <c r="O15" t="s">
        <v>76</v>
      </c>
      <c r="P15" t="str">
        <f t="shared" ref="P15" si="58">IF(O15=$B15,"CERTO","ERRADO")</f>
        <v>ERRADO</v>
      </c>
      <c r="Q15" s="9">
        <f t="shared" si="6"/>
        <v>5</v>
      </c>
      <c r="R15" s="9">
        <f t="shared" si="7"/>
        <v>2</v>
      </c>
      <c r="S15">
        <f t="shared" si="8"/>
        <v>1</v>
      </c>
      <c r="T15">
        <f t="shared" si="9"/>
        <v>1</v>
      </c>
      <c r="U15">
        <f t="shared" si="10"/>
        <v>1</v>
      </c>
      <c r="V15">
        <f t="shared" si="11"/>
        <v>1</v>
      </c>
      <c r="W15">
        <f t="shared" si="12"/>
        <v>1</v>
      </c>
      <c r="X15">
        <f t="shared" si="13"/>
        <v>0</v>
      </c>
      <c r="Y15">
        <f t="shared" si="14"/>
        <v>0</v>
      </c>
    </row>
    <row r="16" spans="1:25">
      <c r="A16">
        <v>14</v>
      </c>
      <c r="B16" s="9" t="s">
        <v>26</v>
      </c>
      <c r="C16" t="s">
        <v>77</v>
      </c>
      <c r="D16" t="str">
        <f t="shared" si="0"/>
        <v>ERRADO</v>
      </c>
      <c r="E16" t="s">
        <v>75</v>
      </c>
      <c r="F16" t="str">
        <f t="shared" si="1"/>
        <v>ERRADO</v>
      </c>
      <c r="G16" t="s">
        <v>77</v>
      </c>
      <c r="H16" t="str">
        <f t="shared" si="1"/>
        <v>ERRADO</v>
      </c>
      <c r="I16" t="s">
        <v>75</v>
      </c>
      <c r="J16" t="str">
        <f t="shared" ref="J16" si="59">IF(I16=$B16,"CERTO","ERRADO")</f>
        <v>ERRADO</v>
      </c>
      <c r="K16" t="s">
        <v>75</v>
      </c>
      <c r="L16" t="str">
        <f t="shared" ref="L16" si="60">IF(K16=$B16,"CERTO","ERRADO")</f>
        <v>ERRADO</v>
      </c>
      <c r="M16" t="s">
        <v>76</v>
      </c>
      <c r="N16" t="str">
        <f t="shared" ref="N16" si="61">IF(M16=$B16,"CERTO","ERRADO")</f>
        <v>CERTO</v>
      </c>
      <c r="O16" t="s">
        <v>75</v>
      </c>
      <c r="P16" t="str">
        <f t="shared" ref="P16" si="62">IF(O16=$B16,"CERTO","ERRADO")</f>
        <v>ERRADO</v>
      </c>
      <c r="Q16" s="9">
        <f t="shared" si="6"/>
        <v>1</v>
      </c>
      <c r="R16" s="9">
        <f t="shared" si="7"/>
        <v>6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0</v>
      </c>
    </row>
    <row r="17" spans="1:25">
      <c r="A17">
        <v>15</v>
      </c>
      <c r="B17" s="9" t="s">
        <v>24</v>
      </c>
      <c r="C17" t="s">
        <v>77</v>
      </c>
      <c r="D17" t="str">
        <f t="shared" si="0"/>
        <v>CERTO</v>
      </c>
      <c r="E17" t="s">
        <v>74</v>
      </c>
      <c r="F17" t="str">
        <f t="shared" si="1"/>
        <v>ERRADO</v>
      </c>
      <c r="G17" t="s">
        <v>74</v>
      </c>
      <c r="H17" t="str">
        <f t="shared" si="1"/>
        <v>ERRADO</v>
      </c>
      <c r="I17" t="s">
        <v>77</v>
      </c>
      <c r="J17" t="str">
        <f t="shared" ref="J17" si="63">IF(I17=$B17,"CERTO","ERRADO")</f>
        <v>CERTO</v>
      </c>
      <c r="K17" t="s">
        <v>77</v>
      </c>
      <c r="L17" t="str">
        <f t="shared" ref="L17" si="64">IF(K17=$B17,"CERTO","ERRADO")</f>
        <v>CERTO</v>
      </c>
      <c r="M17" t="s">
        <v>77</v>
      </c>
      <c r="N17" t="str">
        <f t="shared" ref="N17" si="65">IF(M17=$B17,"CERTO","ERRADO")</f>
        <v>CERTO</v>
      </c>
      <c r="O17" t="s">
        <v>74</v>
      </c>
      <c r="P17" t="str">
        <f t="shared" ref="P17" si="66">IF(O17=$B17,"CERTO","ERRADO")</f>
        <v>ERRADO</v>
      </c>
      <c r="Q17" s="9">
        <f t="shared" si="6"/>
        <v>4</v>
      </c>
      <c r="R17" s="9">
        <f t="shared" si="7"/>
        <v>3</v>
      </c>
      <c r="S17">
        <f t="shared" si="8"/>
        <v>1</v>
      </c>
      <c r="T17">
        <f t="shared" si="9"/>
        <v>0</v>
      </c>
      <c r="U17">
        <f t="shared" si="10"/>
        <v>0</v>
      </c>
      <c r="V17">
        <f t="shared" si="11"/>
        <v>1</v>
      </c>
      <c r="W17">
        <f t="shared" si="12"/>
        <v>1</v>
      </c>
      <c r="X17">
        <f t="shared" si="13"/>
        <v>1</v>
      </c>
      <c r="Y17">
        <f t="shared" si="14"/>
        <v>0</v>
      </c>
    </row>
    <row r="18" spans="1:25">
      <c r="A18">
        <v>16</v>
      </c>
      <c r="B18" s="9" t="s">
        <v>25</v>
      </c>
      <c r="C18" t="s">
        <v>77</v>
      </c>
      <c r="D18" t="str">
        <f t="shared" si="0"/>
        <v>ERRADO</v>
      </c>
      <c r="E18" t="s">
        <v>76</v>
      </c>
      <c r="F18" t="str">
        <f t="shared" si="1"/>
        <v>ERRADO</v>
      </c>
      <c r="G18" t="s">
        <v>77</v>
      </c>
      <c r="H18" t="str">
        <f t="shared" si="1"/>
        <v>ERRADO</v>
      </c>
      <c r="I18" t="s">
        <v>76</v>
      </c>
      <c r="J18" t="str">
        <f t="shared" ref="J18" si="67">IF(I18=$B18,"CERTO","ERRADO")</f>
        <v>ERRADO</v>
      </c>
      <c r="K18" t="s">
        <v>77</v>
      </c>
      <c r="L18" t="str">
        <f t="shared" ref="L18" si="68">IF(K18=$B18,"CERTO","ERRADO")</f>
        <v>ERRADO</v>
      </c>
      <c r="M18" t="s">
        <v>76</v>
      </c>
      <c r="N18" t="str">
        <f t="shared" ref="N18" si="69">IF(M18=$B18,"CERTO","ERRADO")</f>
        <v>ERRADO</v>
      </c>
      <c r="O18" t="s">
        <v>77</v>
      </c>
      <c r="P18" t="str">
        <f t="shared" ref="P18" si="70">IF(O18=$B18,"CERTO","ERRADO")</f>
        <v>ERRADO</v>
      </c>
      <c r="Q18" s="9">
        <f t="shared" si="6"/>
        <v>0</v>
      </c>
      <c r="R18" s="9">
        <f t="shared" si="7"/>
        <v>7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2"/>
        <v>0</v>
      </c>
      <c r="X18">
        <f t="shared" si="13"/>
        <v>0</v>
      </c>
      <c r="Y18">
        <f t="shared" si="14"/>
        <v>0</v>
      </c>
    </row>
    <row r="19" spans="1:25">
      <c r="A19">
        <v>17</v>
      </c>
      <c r="B19" s="9" t="s">
        <v>27</v>
      </c>
      <c r="C19" t="s">
        <v>74</v>
      </c>
      <c r="D19" t="str">
        <f t="shared" si="0"/>
        <v>CERTO</v>
      </c>
      <c r="E19" t="s">
        <v>77</v>
      </c>
      <c r="F19" t="str">
        <f t="shared" si="1"/>
        <v>ERRADO</v>
      </c>
      <c r="G19" t="s">
        <v>75</v>
      </c>
      <c r="H19" t="str">
        <f t="shared" si="1"/>
        <v>ERRADO</v>
      </c>
      <c r="I19" t="s">
        <v>77</v>
      </c>
      <c r="J19" t="str">
        <f t="shared" ref="J19" si="71">IF(I19=$B19,"CERTO","ERRADO")</f>
        <v>ERRADO</v>
      </c>
      <c r="K19" t="s">
        <v>77</v>
      </c>
      <c r="L19" t="str">
        <f t="shared" ref="L19" si="72">IF(K19=$B19,"CERTO","ERRADO")</f>
        <v>ERRADO</v>
      </c>
      <c r="M19" t="s">
        <v>75</v>
      </c>
      <c r="N19" t="str">
        <f t="shared" ref="N19" si="73">IF(M19=$B19,"CERTO","ERRADO")</f>
        <v>ERRADO</v>
      </c>
      <c r="O19" t="s">
        <v>76</v>
      </c>
      <c r="P19" t="str">
        <f t="shared" ref="P19" si="74">IF(O19=$B19,"CERTO","ERRADO")</f>
        <v>ERRADO</v>
      </c>
      <c r="Q19" s="9">
        <f t="shared" si="6"/>
        <v>1</v>
      </c>
      <c r="R19" s="9">
        <f t="shared" si="7"/>
        <v>6</v>
      </c>
      <c r="S19">
        <f t="shared" si="8"/>
        <v>1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2"/>
        <v>0</v>
      </c>
      <c r="X19">
        <f t="shared" si="13"/>
        <v>0</v>
      </c>
      <c r="Y19">
        <f t="shared" si="14"/>
        <v>0</v>
      </c>
    </row>
    <row r="20" spans="1:25">
      <c r="A20">
        <v>18</v>
      </c>
      <c r="B20" s="9" t="s">
        <v>24</v>
      </c>
      <c r="C20" t="s">
        <v>77</v>
      </c>
      <c r="D20" t="str">
        <f t="shared" si="0"/>
        <v>CERTO</v>
      </c>
      <c r="E20" t="s">
        <v>74</v>
      </c>
      <c r="F20" t="str">
        <f t="shared" si="1"/>
        <v>ERRADO</v>
      </c>
      <c r="G20" t="s">
        <v>74</v>
      </c>
      <c r="H20" t="str">
        <f t="shared" si="1"/>
        <v>ERRADO</v>
      </c>
      <c r="I20" t="s">
        <v>74</v>
      </c>
      <c r="J20" t="str">
        <f t="shared" ref="J20" si="75">IF(I20=$B20,"CERTO","ERRADO")</f>
        <v>ERRADO</v>
      </c>
      <c r="K20" t="s">
        <v>74</v>
      </c>
      <c r="L20" t="str">
        <f t="shared" ref="L20" si="76">IF(K20=$B20,"CERTO","ERRADO")</f>
        <v>ERRADO</v>
      </c>
      <c r="M20" t="s">
        <v>77</v>
      </c>
      <c r="N20" t="str">
        <f t="shared" ref="N20" si="77">IF(M20=$B20,"CERTO","ERRADO")</f>
        <v>CERTO</v>
      </c>
      <c r="O20" t="s">
        <v>75</v>
      </c>
      <c r="P20" t="str">
        <f t="shared" ref="P20" si="78">IF(O20=$B20,"CERTO","ERRADO")</f>
        <v>ERRADO</v>
      </c>
      <c r="Q20" s="9">
        <f t="shared" si="6"/>
        <v>2</v>
      </c>
      <c r="R20" s="9">
        <f t="shared" si="7"/>
        <v>5</v>
      </c>
      <c r="S20">
        <f t="shared" si="8"/>
        <v>1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0</v>
      </c>
    </row>
    <row r="21" spans="1:25">
      <c r="A21">
        <v>19</v>
      </c>
      <c r="B21" s="9" t="s">
        <v>27</v>
      </c>
      <c r="C21" t="s">
        <v>75</v>
      </c>
      <c r="D21" t="str">
        <f t="shared" si="0"/>
        <v>ERRADO</v>
      </c>
      <c r="E21" t="s">
        <v>74</v>
      </c>
      <c r="F21" t="str">
        <f t="shared" si="1"/>
        <v>CERTO</v>
      </c>
      <c r="G21" t="s">
        <v>76</v>
      </c>
      <c r="H21" t="str">
        <f t="shared" si="1"/>
        <v>ERRADO</v>
      </c>
      <c r="I21" t="s">
        <v>74</v>
      </c>
      <c r="J21" t="str">
        <f t="shared" ref="J21" si="79">IF(I21=$B21,"CERTO","ERRADO")</f>
        <v>CERTO</v>
      </c>
      <c r="K21" t="s">
        <v>75</v>
      </c>
      <c r="L21" t="str">
        <f t="shared" ref="L21" si="80">IF(K21=$B21,"CERTO","ERRADO")</f>
        <v>ERRADO</v>
      </c>
      <c r="M21" t="s">
        <v>77</v>
      </c>
      <c r="N21" t="str">
        <f t="shared" ref="N21" si="81">IF(M21=$B21,"CERTO","ERRADO")</f>
        <v>ERRADO</v>
      </c>
      <c r="O21" t="s">
        <v>75</v>
      </c>
      <c r="P21" t="str">
        <f t="shared" ref="P21" si="82">IF(O21=$B21,"CERTO","ERRADO")</f>
        <v>ERRADO</v>
      </c>
      <c r="Q21" s="9">
        <f t="shared" si="6"/>
        <v>2</v>
      </c>
      <c r="R21" s="9">
        <f t="shared" si="7"/>
        <v>5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1</v>
      </c>
      <c r="W21">
        <f t="shared" si="12"/>
        <v>0</v>
      </c>
      <c r="X21">
        <f t="shared" si="13"/>
        <v>0</v>
      </c>
      <c r="Y21">
        <f t="shared" si="14"/>
        <v>0</v>
      </c>
    </row>
    <row r="22" spans="1:25">
      <c r="A22">
        <v>20</v>
      </c>
      <c r="B22" s="9" t="s">
        <v>26</v>
      </c>
      <c r="C22" t="s">
        <v>76</v>
      </c>
      <c r="D22" t="str">
        <f t="shared" si="0"/>
        <v>CERTO</v>
      </c>
      <c r="E22" t="s">
        <v>75</v>
      </c>
      <c r="F22" t="str">
        <f t="shared" si="1"/>
        <v>ERRADO</v>
      </c>
      <c r="G22" t="s">
        <v>76</v>
      </c>
      <c r="H22" t="str">
        <f t="shared" si="1"/>
        <v>CERTO</v>
      </c>
      <c r="I22" t="s">
        <v>76</v>
      </c>
      <c r="J22" t="str">
        <f t="shared" ref="J22" si="83">IF(I22=$B22,"CERTO","ERRADO")</f>
        <v>CERTO</v>
      </c>
      <c r="K22" t="s">
        <v>76</v>
      </c>
      <c r="L22" t="str">
        <f t="shared" ref="L22" si="84">IF(K22=$B22,"CERTO","ERRADO")</f>
        <v>CERTO</v>
      </c>
      <c r="M22" t="s">
        <v>76</v>
      </c>
      <c r="N22" t="str">
        <f t="shared" ref="N22" si="85">IF(M22=$B22,"CERTO","ERRADO")</f>
        <v>CERTO</v>
      </c>
      <c r="O22" t="s">
        <v>76</v>
      </c>
      <c r="P22" t="str">
        <f t="shared" ref="P22" si="86">IF(O22=$B22,"CERTO","ERRADO")</f>
        <v>CERTO</v>
      </c>
      <c r="Q22" s="9">
        <f t="shared" si="6"/>
        <v>6</v>
      </c>
      <c r="R22" s="9">
        <f t="shared" si="7"/>
        <v>1</v>
      </c>
      <c r="S22">
        <f t="shared" si="8"/>
        <v>1</v>
      </c>
      <c r="T22">
        <f t="shared" si="9"/>
        <v>0</v>
      </c>
      <c r="U22">
        <f t="shared" si="10"/>
        <v>1</v>
      </c>
      <c r="V22">
        <f t="shared" si="11"/>
        <v>1</v>
      </c>
      <c r="W22">
        <f t="shared" si="12"/>
        <v>1</v>
      </c>
      <c r="X22">
        <f t="shared" si="13"/>
        <v>1</v>
      </c>
      <c r="Y22">
        <f t="shared" si="14"/>
        <v>1</v>
      </c>
    </row>
    <row r="23" spans="1:25">
      <c r="A23">
        <v>21</v>
      </c>
      <c r="B23" s="9" t="s">
        <v>24</v>
      </c>
      <c r="C23" t="s">
        <v>77</v>
      </c>
      <c r="D23" t="str">
        <f t="shared" si="0"/>
        <v>CERTO</v>
      </c>
      <c r="E23" t="s">
        <v>77</v>
      </c>
      <c r="F23" t="str">
        <f t="shared" si="1"/>
        <v>CERTO</v>
      </c>
      <c r="G23" t="s">
        <v>76</v>
      </c>
      <c r="H23" t="str">
        <f t="shared" si="1"/>
        <v>ERRADO</v>
      </c>
      <c r="I23" t="s">
        <v>77</v>
      </c>
      <c r="J23" t="str">
        <f t="shared" ref="J23" si="87">IF(I23=$B23,"CERTO","ERRADO")</f>
        <v>CERTO</v>
      </c>
      <c r="K23" t="s">
        <v>77</v>
      </c>
      <c r="L23" t="str">
        <f t="shared" ref="L23" si="88">IF(K23=$B23,"CERTO","ERRADO")</f>
        <v>CERTO</v>
      </c>
      <c r="M23" t="s">
        <v>77</v>
      </c>
      <c r="N23" t="str">
        <f t="shared" ref="N23" si="89">IF(M23=$B23,"CERTO","ERRADO")</f>
        <v>CERTO</v>
      </c>
      <c r="O23" t="s">
        <v>74</v>
      </c>
      <c r="P23" t="str">
        <f t="shared" ref="P23" si="90">IF(O23=$B23,"CERTO","ERRADO")</f>
        <v>ERRADO</v>
      </c>
      <c r="Q23" s="9">
        <f t="shared" si="6"/>
        <v>5</v>
      </c>
      <c r="R23" s="9">
        <f t="shared" si="7"/>
        <v>2</v>
      </c>
      <c r="S23">
        <f t="shared" si="8"/>
        <v>1</v>
      </c>
      <c r="T23">
        <f t="shared" si="9"/>
        <v>1</v>
      </c>
      <c r="U23">
        <f t="shared" si="10"/>
        <v>0</v>
      </c>
      <c r="V23">
        <f t="shared" si="11"/>
        <v>1</v>
      </c>
      <c r="W23">
        <f t="shared" si="12"/>
        <v>1</v>
      </c>
      <c r="X23">
        <f t="shared" si="13"/>
        <v>1</v>
      </c>
      <c r="Y23">
        <f t="shared" si="14"/>
        <v>0</v>
      </c>
    </row>
    <row r="24" spans="1:25">
      <c r="A24">
        <v>22</v>
      </c>
      <c r="B24" s="9" t="s">
        <v>24</v>
      </c>
      <c r="C24" t="s">
        <v>77</v>
      </c>
      <c r="D24" t="str">
        <f t="shared" si="0"/>
        <v>CERTO</v>
      </c>
      <c r="E24" t="s">
        <v>75</v>
      </c>
      <c r="F24" t="str">
        <f t="shared" si="1"/>
        <v>ERRADO</v>
      </c>
      <c r="G24" t="s">
        <v>74</v>
      </c>
      <c r="H24" t="str">
        <f t="shared" si="1"/>
        <v>ERRADO</v>
      </c>
      <c r="I24" t="s">
        <v>76</v>
      </c>
      <c r="J24" t="str">
        <f t="shared" ref="J24" si="91">IF(I24=$B24,"CERTO","ERRADO")</f>
        <v>ERRADO</v>
      </c>
      <c r="K24" t="s">
        <v>74</v>
      </c>
      <c r="L24" t="str">
        <f t="shared" ref="L24" si="92">IF(K24=$B24,"CERTO","ERRADO")</f>
        <v>ERRADO</v>
      </c>
      <c r="M24" t="s">
        <v>74</v>
      </c>
      <c r="N24" t="str">
        <f t="shared" ref="N24" si="93">IF(M24=$B24,"CERTO","ERRADO")</f>
        <v>ERRADO</v>
      </c>
      <c r="O24" t="s">
        <v>77</v>
      </c>
      <c r="P24" t="str">
        <f t="shared" ref="P24" si="94">IF(O24=$B24,"CERTO","ERRADO")</f>
        <v>CERTO</v>
      </c>
      <c r="Q24" s="9">
        <f t="shared" si="6"/>
        <v>2</v>
      </c>
      <c r="R24" s="9">
        <f t="shared" si="7"/>
        <v>5</v>
      </c>
      <c r="S24">
        <f t="shared" si="8"/>
        <v>1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4"/>
        <v>1</v>
      </c>
    </row>
    <row r="25" spans="1:25">
      <c r="A25">
        <v>23</v>
      </c>
      <c r="B25" s="9" t="s">
        <v>24</v>
      </c>
      <c r="C25" t="s">
        <v>77</v>
      </c>
      <c r="D25" t="str">
        <f t="shared" si="0"/>
        <v>CERTO</v>
      </c>
      <c r="E25" t="s">
        <v>77</v>
      </c>
      <c r="F25" t="str">
        <f t="shared" si="1"/>
        <v>CERTO</v>
      </c>
      <c r="G25" t="s">
        <v>75</v>
      </c>
      <c r="H25" t="str">
        <f t="shared" si="1"/>
        <v>ERRADO</v>
      </c>
      <c r="I25" t="s">
        <v>75</v>
      </c>
      <c r="J25" t="str">
        <f t="shared" ref="J25" si="95">IF(I25=$B25,"CERTO","ERRADO")</f>
        <v>ERRADO</v>
      </c>
      <c r="K25" t="s">
        <v>77</v>
      </c>
      <c r="L25" t="str">
        <f t="shared" ref="L25" si="96">IF(K25=$B25,"CERTO","ERRADO")</f>
        <v>CERTO</v>
      </c>
      <c r="M25" t="s">
        <v>77</v>
      </c>
      <c r="N25" t="str">
        <f t="shared" ref="N25" si="97">IF(M25=$B25,"CERTO","ERRADO")</f>
        <v>CERTO</v>
      </c>
      <c r="O25" t="s">
        <v>75</v>
      </c>
      <c r="P25" t="str">
        <f t="shared" ref="P25" si="98">IF(O25=$B25,"CERTO","ERRADO")</f>
        <v>ERRADO</v>
      </c>
      <c r="Q25" s="9">
        <f t="shared" si="6"/>
        <v>4</v>
      </c>
      <c r="R25" s="9">
        <f t="shared" si="7"/>
        <v>3</v>
      </c>
      <c r="S25">
        <f t="shared" si="8"/>
        <v>1</v>
      </c>
      <c r="T25">
        <f t="shared" si="9"/>
        <v>1</v>
      </c>
      <c r="U25">
        <f t="shared" si="10"/>
        <v>0</v>
      </c>
      <c r="V25">
        <f t="shared" si="11"/>
        <v>0</v>
      </c>
      <c r="W25">
        <f t="shared" si="12"/>
        <v>1</v>
      </c>
      <c r="X25">
        <f t="shared" si="13"/>
        <v>1</v>
      </c>
      <c r="Y25">
        <f t="shared" si="14"/>
        <v>0</v>
      </c>
    </row>
    <row r="26" spans="1:25">
      <c r="A26">
        <v>24</v>
      </c>
      <c r="B26" s="9" t="s">
        <v>24</v>
      </c>
      <c r="C26" t="s">
        <v>77</v>
      </c>
      <c r="D26" t="str">
        <f t="shared" si="0"/>
        <v>CERTO</v>
      </c>
      <c r="E26" t="s">
        <v>75</v>
      </c>
      <c r="F26" t="str">
        <f t="shared" si="1"/>
        <v>ERRADO</v>
      </c>
      <c r="G26" t="s">
        <v>74</v>
      </c>
      <c r="H26" t="str">
        <f t="shared" si="1"/>
        <v>ERRADO</v>
      </c>
      <c r="I26" t="s">
        <v>76</v>
      </c>
      <c r="J26" t="str">
        <f t="shared" ref="J26" si="99">IF(I26=$B26,"CERTO","ERRADO")</f>
        <v>ERRADO</v>
      </c>
      <c r="K26" t="s">
        <v>76</v>
      </c>
      <c r="L26" t="str">
        <f t="shared" ref="L26" si="100">IF(K26=$B26,"CERTO","ERRADO")</f>
        <v>ERRADO</v>
      </c>
      <c r="M26" t="s">
        <v>76</v>
      </c>
      <c r="N26" t="str">
        <f t="shared" ref="N26" si="101">IF(M26=$B26,"CERTO","ERRADO")</f>
        <v>ERRADO</v>
      </c>
      <c r="O26" t="s">
        <v>75</v>
      </c>
      <c r="P26" t="str">
        <f t="shared" ref="P26" si="102">IF(O26=$B26,"CERTO","ERRADO")</f>
        <v>ERRADO</v>
      </c>
      <c r="Q26" s="9">
        <f t="shared" si="6"/>
        <v>1</v>
      </c>
      <c r="R26" s="9">
        <f t="shared" si="7"/>
        <v>6</v>
      </c>
      <c r="S26">
        <f t="shared" si="8"/>
        <v>1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X26">
        <f t="shared" si="13"/>
        <v>0</v>
      </c>
      <c r="Y26">
        <f t="shared" si="14"/>
        <v>0</v>
      </c>
    </row>
    <row r="27" spans="1:25">
      <c r="A27">
        <v>25</v>
      </c>
      <c r="B27" s="9" t="s">
        <v>24</v>
      </c>
      <c r="C27" t="s">
        <v>77</v>
      </c>
      <c r="D27" t="str">
        <f t="shared" si="0"/>
        <v>CERTO</v>
      </c>
      <c r="E27" t="s">
        <v>76</v>
      </c>
      <c r="F27" t="str">
        <f t="shared" si="1"/>
        <v>ERRADO</v>
      </c>
      <c r="G27" t="s">
        <v>77</v>
      </c>
      <c r="H27" t="str">
        <f t="shared" si="1"/>
        <v>CERTO</v>
      </c>
      <c r="I27" t="s">
        <v>76</v>
      </c>
      <c r="J27" t="str">
        <f t="shared" ref="J27" si="103">IF(I27=$B27,"CERTO","ERRADO")</f>
        <v>ERRADO</v>
      </c>
      <c r="K27" t="s">
        <v>76</v>
      </c>
      <c r="L27" t="str">
        <f t="shared" ref="L27" si="104">IF(K27=$B27,"CERTO","ERRADO")</f>
        <v>ERRADO</v>
      </c>
      <c r="M27" t="s">
        <v>77</v>
      </c>
      <c r="N27" t="str">
        <f t="shared" ref="N27" si="105">IF(M27=$B27,"CERTO","ERRADO")</f>
        <v>CERTO</v>
      </c>
      <c r="O27" t="s">
        <v>76</v>
      </c>
      <c r="P27" t="str">
        <f t="shared" ref="P27" si="106">IF(O27=$B27,"CERTO","ERRADO")</f>
        <v>ERRADO</v>
      </c>
      <c r="Q27" s="9">
        <f t="shared" si="6"/>
        <v>3</v>
      </c>
      <c r="R27" s="9">
        <f t="shared" si="7"/>
        <v>4</v>
      </c>
      <c r="S27">
        <f t="shared" si="8"/>
        <v>1</v>
      </c>
      <c r="T27">
        <f t="shared" si="9"/>
        <v>0</v>
      </c>
      <c r="U27">
        <f t="shared" si="10"/>
        <v>1</v>
      </c>
      <c r="V27">
        <f t="shared" si="11"/>
        <v>0</v>
      </c>
      <c r="W27">
        <f t="shared" si="12"/>
        <v>0</v>
      </c>
      <c r="X27">
        <f t="shared" si="13"/>
        <v>1</v>
      </c>
      <c r="Y27">
        <f t="shared" si="14"/>
        <v>0</v>
      </c>
    </row>
  </sheetData>
  <mergeCells count="8">
    <mergeCell ref="A1:P1"/>
    <mergeCell ref="C2:D2"/>
    <mergeCell ref="E2:F2"/>
    <mergeCell ref="G2:H2"/>
    <mergeCell ref="I2:J2"/>
    <mergeCell ref="K2:L2"/>
    <mergeCell ref="M2:N2"/>
    <mergeCell ref="O2:P2"/>
  </mergeCells>
  <conditionalFormatting sqref="D3:D27">
    <cfRule type="containsText" dxfId="13" priority="13" operator="containsText" text="ERRADO">
      <formula>NOT(ISERROR(SEARCH("ERRADO",D3)))</formula>
    </cfRule>
    <cfRule type="containsText" dxfId="12" priority="14" operator="containsText" text="CERTO">
      <formula>NOT(ISERROR(SEARCH("CERTO",D3)))</formula>
    </cfRule>
  </conditionalFormatting>
  <conditionalFormatting sqref="F3:F27">
    <cfRule type="containsText" dxfId="11" priority="11" operator="containsText" text="ERRADO">
      <formula>NOT(ISERROR(SEARCH("ERRADO",F3)))</formula>
    </cfRule>
    <cfRule type="containsText" dxfId="10" priority="12" operator="containsText" text="CERTO">
      <formula>NOT(ISERROR(SEARCH("CERTO",F3)))</formula>
    </cfRule>
  </conditionalFormatting>
  <conditionalFormatting sqref="H3:H27">
    <cfRule type="containsText" dxfId="9" priority="9" operator="containsText" text="ERRADO">
      <formula>NOT(ISERROR(SEARCH("ERRADO",H3)))</formula>
    </cfRule>
    <cfRule type="containsText" dxfId="8" priority="10" operator="containsText" text="CERTO">
      <formula>NOT(ISERROR(SEARCH("CERTO",H3)))</formula>
    </cfRule>
  </conditionalFormatting>
  <conditionalFormatting sqref="J3:J27">
    <cfRule type="containsText" dxfId="7" priority="7" operator="containsText" text="ERRADO">
      <formula>NOT(ISERROR(SEARCH("ERRADO",J3)))</formula>
    </cfRule>
    <cfRule type="containsText" dxfId="6" priority="8" operator="containsText" text="CERTO">
      <formula>NOT(ISERROR(SEARCH("CERTO",J3)))</formula>
    </cfRule>
  </conditionalFormatting>
  <conditionalFormatting sqref="L3:L27">
    <cfRule type="containsText" dxfId="5" priority="5" operator="containsText" text="ERRADO">
      <formula>NOT(ISERROR(SEARCH("ERRADO",L3)))</formula>
    </cfRule>
    <cfRule type="containsText" dxfId="4" priority="6" operator="containsText" text="CERTO">
      <formula>NOT(ISERROR(SEARCH("CERTO",L3)))</formula>
    </cfRule>
  </conditionalFormatting>
  <conditionalFormatting sqref="N3:N27">
    <cfRule type="containsText" dxfId="3" priority="3" operator="containsText" text="ERRADO">
      <formula>NOT(ISERROR(SEARCH("ERRADO",N3)))</formula>
    </cfRule>
    <cfRule type="containsText" dxfId="2" priority="4" operator="containsText" text="CERTO">
      <formula>NOT(ISERROR(SEARCH("CERTO",N3)))</formula>
    </cfRule>
  </conditionalFormatting>
  <conditionalFormatting sqref="P3:P27">
    <cfRule type="containsText" dxfId="1" priority="1" operator="containsText" text="ERRADO">
      <formula>NOT(ISERROR(SEARCH("ERRADO",P3)))</formula>
    </cfRule>
    <cfRule type="containsText" dxfId="0" priority="2" operator="containsText" text="CERTO">
      <formula>NOT(ISERROR(SEARCH("CERTO",P3)))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7.28515625" bestFit="1" customWidth="1"/>
    <col min="2" max="2" width="15" bestFit="1" customWidth="1"/>
    <col min="3" max="8" width="18.42578125" bestFit="1" customWidth="1"/>
  </cols>
  <sheetData>
    <row r="1" spans="1:2">
      <c r="A1" s="30" t="s">
        <v>83</v>
      </c>
      <c r="B1" t="s">
        <v>89</v>
      </c>
    </row>
    <row r="2" spans="1:2">
      <c r="A2" s="30" t="s">
        <v>84</v>
      </c>
      <c r="B2" t="s">
        <v>89</v>
      </c>
    </row>
    <row r="3" spans="1:2">
      <c r="A3" s="30" t="s">
        <v>88</v>
      </c>
      <c r="B3" t="s">
        <v>89</v>
      </c>
    </row>
    <row r="4" spans="1:2">
      <c r="A4" s="30" t="s">
        <v>85</v>
      </c>
      <c r="B4" t="s">
        <v>89</v>
      </c>
    </row>
    <row r="5" spans="1:2">
      <c r="A5" s="30" t="s">
        <v>87</v>
      </c>
      <c r="B5" t="s">
        <v>89</v>
      </c>
    </row>
    <row r="6" spans="1:2">
      <c r="A6" s="30" t="s">
        <v>86</v>
      </c>
      <c r="B6" s="31">
        <v>1</v>
      </c>
    </row>
    <row r="8" spans="1:2">
      <c r="A8" s="30" t="s">
        <v>90</v>
      </c>
      <c r="B8" t="s">
        <v>92</v>
      </c>
    </row>
    <row r="9" spans="1:2">
      <c r="A9" s="31">
        <v>1</v>
      </c>
      <c r="B9">
        <v>1</v>
      </c>
    </row>
    <row r="10" spans="1:2">
      <c r="A10" s="31">
        <v>2</v>
      </c>
      <c r="B10">
        <v>1</v>
      </c>
    </row>
    <row r="11" spans="1:2">
      <c r="A11" s="31">
        <v>3</v>
      </c>
      <c r="B11">
        <v>1</v>
      </c>
    </row>
    <row r="12" spans="1:2">
      <c r="A12" s="31">
        <v>5</v>
      </c>
      <c r="B12">
        <v>1</v>
      </c>
    </row>
    <row r="13" spans="1:2">
      <c r="A13" s="31">
        <v>7</v>
      </c>
      <c r="B13">
        <v>1</v>
      </c>
    </row>
    <row r="14" spans="1:2">
      <c r="A14" s="31">
        <v>11</v>
      </c>
      <c r="B14">
        <v>1</v>
      </c>
    </row>
    <row r="15" spans="1:2">
      <c r="A15" s="31">
        <v>12</v>
      </c>
      <c r="B15">
        <v>0</v>
      </c>
    </row>
    <row r="16" spans="1:2">
      <c r="A16" s="31">
        <v>13</v>
      </c>
      <c r="B16">
        <v>1</v>
      </c>
    </row>
    <row r="17" spans="1:2">
      <c r="A17" s="31">
        <v>15</v>
      </c>
      <c r="B17">
        <v>1</v>
      </c>
    </row>
    <row r="18" spans="1:2">
      <c r="A18" s="31">
        <v>20</v>
      </c>
      <c r="B18">
        <v>1</v>
      </c>
    </row>
    <row r="19" spans="1:2">
      <c r="A19" s="31">
        <v>21</v>
      </c>
      <c r="B19">
        <v>1</v>
      </c>
    </row>
    <row r="20" spans="1:2">
      <c r="A20" s="31">
        <v>23</v>
      </c>
      <c r="B20">
        <v>1</v>
      </c>
    </row>
    <row r="21" spans="1:2">
      <c r="A21" s="31" t="s">
        <v>91</v>
      </c>
      <c r="B21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27"/>
  <sheetViews>
    <sheetView workbookViewId="0">
      <selection activeCell="A2" sqref="A2:J27"/>
    </sheetView>
  </sheetViews>
  <sheetFormatPr defaultRowHeight="15"/>
  <sheetData>
    <row r="2" spans="1:10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</row>
    <row r="3" spans="1:10">
      <c r="A3">
        <v>1</v>
      </c>
      <c r="B3">
        <v>7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>
        <v>2</v>
      </c>
      <c r="B4">
        <v>5</v>
      </c>
      <c r="C4">
        <v>2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</row>
    <row r="5" spans="1:10">
      <c r="A5">
        <v>3</v>
      </c>
      <c r="B5">
        <v>5</v>
      </c>
      <c r="C5">
        <v>2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</row>
    <row r="6" spans="1:10">
      <c r="A6">
        <v>4</v>
      </c>
      <c r="B6">
        <v>1</v>
      </c>
      <c r="C6">
        <v>6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>
      <c r="A7">
        <v>5</v>
      </c>
      <c r="B7">
        <v>5</v>
      </c>
      <c r="C7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</row>
    <row r="8" spans="1:10">
      <c r="A8">
        <v>6</v>
      </c>
      <c r="B8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>
        <v>7</v>
      </c>
      <c r="B9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>
      <c r="A10">
        <v>8</v>
      </c>
      <c r="B10">
        <v>2</v>
      </c>
      <c r="C10">
        <v>5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>
        <v>9</v>
      </c>
      <c r="B11">
        <v>3</v>
      </c>
      <c r="C11">
        <v>4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>
        <v>10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>
      <c r="A13">
        <v>11</v>
      </c>
      <c r="B13">
        <v>4</v>
      </c>
      <c r="C13">
        <v>3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</row>
    <row r="14" spans="1:10">
      <c r="A14">
        <v>12</v>
      </c>
      <c r="B14">
        <v>5</v>
      </c>
      <c r="C14">
        <v>2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0">
      <c r="A15">
        <v>13</v>
      </c>
      <c r="B15">
        <v>5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>
        <v>14</v>
      </c>
      <c r="B16">
        <v>1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>
      <c r="A17">
        <v>15</v>
      </c>
      <c r="B17">
        <v>4</v>
      </c>
      <c r="C17">
        <v>3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</row>
    <row r="18" spans="1:10">
      <c r="A18">
        <v>16</v>
      </c>
      <c r="B18">
        <v>0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17</v>
      </c>
      <c r="B19">
        <v>1</v>
      </c>
      <c r="C19">
        <v>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18</v>
      </c>
      <c r="B20">
        <v>2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>
      <c r="A21">
        <v>19</v>
      </c>
      <c r="B21">
        <v>2</v>
      </c>
      <c r="C21">
        <v>5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>
      <c r="A22">
        <v>20</v>
      </c>
      <c r="B22">
        <v>6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>
        <v>21</v>
      </c>
      <c r="B23">
        <v>5</v>
      </c>
      <c r="C23">
        <v>2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</row>
    <row r="24" spans="1:10">
      <c r="A24">
        <v>22</v>
      </c>
      <c r="B24">
        <v>2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>
      <c r="A25">
        <v>23</v>
      </c>
      <c r="B25">
        <v>4</v>
      </c>
      <c r="C25">
        <v>3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>
      <c r="A26">
        <v>24</v>
      </c>
      <c r="B26">
        <v>1</v>
      </c>
      <c r="C26">
        <v>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25</v>
      </c>
      <c r="B27">
        <v>3</v>
      </c>
      <c r="C27">
        <v>4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7" sqref="C7:D7"/>
    </sheetView>
  </sheetViews>
  <sheetFormatPr defaultRowHeight="15"/>
  <cols>
    <col min="4" max="4" width="11.85546875" customWidth="1"/>
  </cols>
  <sheetData>
    <row r="1" spans="1:10">
      <c r="A1" s="120" t="s">
        <v>261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>
      <c r="A2" s="121" t="s">
        <v>205</v>
      </c>
      <c r="B2" s="121"/>
      <c r="C2" s="121" t="s">
        <v>103</v>
      </c>
      <c r="D2" s="121"/>
    </row>
    <row r="3" spans="1:10">
      <c r="A3" s="120" t="s">
        <v>212</v>
      </c>
      <c r="B3" s="120"/>
      <c r="C3" s="119">
        <f>Franquia!C5</f>
        <v>330000000</v>
      </c>
      <c r="D3" s="119"/>
    </row>
    <row r="4" spans="1:10">
      <c r="A4" s="120" t="s">
        <v>206</v>
      </c>
      <c r="B4" s="120"/>
      <c r="C4" s="119">
        <f>'CUSTO ARMAZÉM'!D19</f>
        <v>1575000</v>
      </c>
      <c r="D4" s="119"/>
    </row>
    <row r="5" spans="1:10">
      <c r="A5" s="120"/>
      <c r="B5" s="120"/>
      <c r="C5" s="119">
        <f>SUM(C3:C4)</f>
        <v>331575000</v>
      </c>
      <c r="D5" s="119"/>
    </row>
    <row r="6" spans="1:10">
      <c r="A6" s="120"/>
      <c r="B6" s="120"/>
      <c r="C6" s="119"/>
      <c r="D6" s="119"/>
    </row>
    <row r="7" spans="1:10">
      <c r="A7" s="120" t="s">
        <v>262</v>
      </c>
      <c r="B7" s="120"/>
      <c r="C7" s="119">
        <f>janeiro!R8</f>
        <v>13248118.371000022</v>
      </c>
      <c r="D7" s="120"/>
    </row>
    <row r="8" spans="1:10">
      <c r="A8" s="120" t="s">
        <v>257</v>
      </c>
      <c r="B8" s="120"/>
      <c r="C8" s="119">
        <f>janeiro!R17</f>
        <v>10190591.055999994</v>
      </c>
      <c r="D8" s="120"/>
    </row>
    <row r="9" spans="1:10">
      <c r="A9" s="120" t="s">
        <v>263</v>
      </c>
      <c r="B9" s="120"/>
      <c r="C9" s="119">
        <f>janeiro!R26</f>
        <v>10734470.535999984</v>
      </c>
      <c r="D9" s="120"/>
    </row>
    <row r="10" spans="1:10">
      <c r="A10" s="120" t="s">
        <v>264</v>
      </c>
      <c r="B10" s="120"/>
      <c r="C10" s="119">
        <f>janeiro!R34</f>
        <v>10186208.615999937</v>
      </c>
      <c r="D10" s="120"/>
    </row>
    <row r="11" spans="1:10">
      <c r="A11" s="120" t="s">
        <v>265</v>
      </c>
      <c r="B11" s="120"/>
      <c r="C11" s="119">
        <f>janeiro!R43</f>
        <v>11142264.630999953</v>
      </c>
      <c r="D11" s="120"/>
    </row>
    <row r="12" spans="1:10">
      <c r="A12" s="120" t="s">
        <v>266</v>
      </c>
      <c r="B12" s="120"/>
      <c r="C12" s="119">
        <f>janeiro!R52</f>
        <v>10653799.356000006</v>
      </c>
      <c r="D12" s="120"/>
    </row>
    <row r="13" spans="1:10">
      <c r="A13" s="120" t="s">
        <v>258</v>
      </c>
      <c r="B13" s="120"/>
      <c r="C13" s="119">
        <f>janeiro!R61</f>
        <v>10086896.177000016</v>
      </c>
      <c r="D13" s="120"/>
    </row>
    <row r="14" spans="1:10">
      <c r="A14" s="120" t="s">
        <v>267</v>
      </c>
      <c r="B14" s="120"/>
      <c r="C14" s="119">
        <f>janeiro!R69</f>
        <v>10086896.177000016</v>
      </c>
      <c r="D14" s="120"/>
    </row>
    <row r="15" spans="1:10">
      <c r="A15" s="120" t="s">
        <v>259</v>
      </c>
      <c r="B15" s="120"/>
      <c r="C15" s="119">
        <f>janeiro!R78</f>
        <v>8914427.342999965</v>
      </c>
      <c r="D15" s="120"/>
    </row>
    <row r="16" spans="1:10">
      <c r="A16" s="120" t="s">
        <v>260</v>
      </c>
      <c r="B16" s="120"/>
      <c r="C16" s="119">
        <f>janeiro!R87</f>
        <v>6711912.1319999993</v>
      </c>
      <c r="D16" s="120"/>
    </row>
    <row r="17" spans="1:4">
      <c r="A17" s="120" t="s">
        <v>268</v>
      </c>
      <c r="B17" s="120"/>
      <c r="C17" s="119">
        <f>janeiro!R96</f>
        <v>13747238.385999978</v>
      </c>
      <c r="D17" s="120"/>
    </row>
    <row r="18" spans="1:4">
      <c r="A18" s="120" t="s">
        <v>269</v>
      </c>
      <c r="B18" s="120"/>
      <c r="C18" s="119">
        <f>janeiro!R105</f>
        <v>11082667.560000002</v>
      </c>
      <c r="D18" s="120"/>
    </row>
    <row r="19" spans="1:4">
      <c r="A19" s="120" t="s">
        <v>270</v>
      </c>
      <c r="B19" s="120"/>
      <c r="C19" s="119">
        <f>SUM(C7:D18)</f>
        <v>126785490.34099987</v>
      </c>
      <c r="D19" s="120"/>
    </row>
    <row r="20" spans="1:4">
      <c r="C20" s="119">
        <f>C19-C5</f>
        <v>-204789509.65900013</v>
      </c>
      <c r="D20" s="120"/>
    </row>
  </sheetData>
  <mergeCells count="38">
    <mergeCell ref="A1:J1"/>
    <mergeCell ref="A6:B6"/>
    <mergeCell ref="C6:D6"/>
    <mergeCell ref="A8:B8"/>
    <mergeCell ref="A9:B9"/>
    <mergeCell ref="A7:B7"/>
    <mergeCell ref="A2:B2"/>
    <mergeCell ref="C2:D2"/>
    <mergeCell ref="A3:B3"/>
    <mergeCell ref="C3:D3"/>
    <mergeCell ref="A4:B4"/>
    <mergeCell ref="C4:D4"/>
    <mergeCell ref="A5:B5"/>
    <mergeCell ref="C5:D5"/>
    <mergeCell ref="A10:B10"/>
    <mergeCell ref="A11:B11"/>
    <mergeCell ref="A12:B12"/>
    <mergeCell ref="C7:D7"/>
    <mergeCell ref="C8:D8"/>
    <mergeCell ref="C9:D9"/>
    <mergeCell ref="C10:D10"/>
    <mergeCell ref="C11:D11"/>
    <mergeCell ref="C18:D18"/>
    <mergeCell ref="A19:B19"/>
    <mergeCell ref="C19:D19"/>
    <mergeCell ref="C20:D20"/>
    <mergeCell ref="C12:D12"/>
    <mergeCell ref="C13:D13"/>
    <mergeCell ref="C14:D14"/>
    <mergeCell ref="C15:D15"/>
    <mergeCell ref="C16:D16"/>
    <mergeCell ref="C17:D17"/>
    <mergeCell ref="A14:B14"/>
    <mergeCell ref="A15:B15"/>
    <mergeCell ref="A16:B16"/>
    <mergeCell ref="A17:B17"/>
    <mergeCell ref="A18:B18"/>
    <mergeCell ref="A13:B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4"/>
  <sheetViews>
    <sheetView tabSelected="1" workbookViewId="0">
      <selection sqref="A1:R1"/>
    </sheetView>
  </sheetViews>
  <sheetFormatPr defaultRowHeight="15"/>
  <cols>
    <col min="2" max="2" width="14.7109375" customWidth="1"/>
    <col min="3" max="3" width="15.5703125" customWidth="1"/>
    <col min="4" max="4" width="14.7109375" customWidth="1"/>
    <col min="5" max="5" width="18.5703125" customWidth="1"/>
    <col min="6" max="6" width="32.28515625" customWidth="1"/>
    <col min="7" max="7" width="20" bestFit="1" customWidth="1"/>
    <col min="8" max="8" width="38" customWidth="1"/>
    <col min="9" max="9" width="33.85546875" customWidth="1"/>
    <col min="10" max="10" width="26.85546875" customWidth="1"/>
    <col min="11" max="11" width="12.140625" customWidth="1"/>
    <col min="12" max="12" width="30.42578125" customWidth="1"/>
    <col min="13" max="13" width="17.42578125" bestFit="1" customWidth="1"/>
    <col min="14" max="14" width="17" customWidth="1"/>
    <col min="15" max="15" width="18" bestFit="1" customWidth="1"/>
    <col min="16" max="16" width="31.28515625" bestFit="1" customWidth="1"/>
    <col min="17" max="17" width="10.85546875" customWidth="1"/>
    <col min="18" max="18" width="33.140625" bestFit="1" customWidth="1"/>
  </cols>
  <sheetData>
    <row r="1" spans="1:23">
      <c r="A1" s="126" t="s">
        <v>44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96"/>
      <c r="T1" s="96"/>
      <c r="U1" s="96"/>
      <c r="V1" s="96"/>
      <c r="W1" s="96"/>
    </row>
    <row r="2" spans="1:23">
      <c r="A2" s="126" t="s">
        <v>99</v>
      </c>
      <c r="B2" s="126"/>
      <c r="C2" s="126" t="s">
        <v>249</v>
      </c>
      <c r="D2" s="126"/>
      <c r="E2" s="94" t="s">
        <v>104</v>
      </c>
      <c r="F2" s="34" t="s">
        <v>250</v>
      </c>
      <c r="G2" s="94" t="s">
        <v>214</v>
      </c>
      <c r="H2" s="34" t="s">
        <v>252</v>
      </c>
      <c r="I2" s="34" t="s">
        <v>253</v>
      </c>
      <c r="J2" s="34" t="s">
        <v>254</v>
      </c>
      <c r="K2" s="34" t="s">
        <v>255</v>
      </c>
      <c r="L2" s="34" t="s">
        <v>272</v>
      </c>
      <c r="M2" s="100" t="s">
        <v>256</v>
      </c>
      <c r="N2" s="100" t="s">
        <v>273</v>
      </c>
      <c r="O2" s="100" t="s">
        <v>98</v>
      </c>
      <c r="P2" s="100" t="s">
        <v>100</v>
      </c>
      <c r="Q2" s="94" t="s">
        <v>101</v>
      </c>
      <c r="R2" s="100" t="s">
        <v>102</v>
      </c>
      <c r="S2" s="115" t="s">
        <v>271</v>
      </c>
    </row>
    <row r="3" spans="1:23">
      <c r="A3" s="122" t="s">
        <v>11</v>
      </c>
      <c r="B3" s="122"/>
      <c r="C3" s="123">
        <v>6159.96</v>
      </c>
      <c r="D3" s="123"/>
      <c r="E3" s="95">
        <f>C3*40%</f>
        <v>2463.9840000000004</v>
      </c>
      <c r="F3" s="33">
        <f>C3+E3</f>
        <v>8623.9439999999995</v>
      </c>
      <c r="G3" s="95">
        <v>219.9</v>
      </c>
      <c r="H3" s="98">
        <f>F3+(G3*20)</f>
        <v>13021.944</v>
      </c>
      <c r="I3" s="98">
        <v>0.01</v>
      </c>
      <c r="J3" s="98">
        <v>2.2200000000000002</v>
      </c>
      <c r="K3" s="99">
        <v>5.6</v>
      </c>
      <c r="L3" s="99">
        <f>SUM(H3:K3)</f>
        <v>13029.773999999999</v>
      </c>
      <c r="M3" s="98">
        <f>N3-L3</f>
        <v>830.82600000000093</v>
      </c>
      <c r="N3" s="33">
        <f>11846.67+2013.93</f>
        <v>13860.6</v>
      </c>
      <c r="O3" s="104">
        <v>9858</v>
      </c>
      <c r="P3" s="33">
        <f>L3*O3</f>
        <v>128447512.09199999</v>
      </c>
      <c r="Q3" s="105">
        <v>9858</v>
      </c>
      <c r="R3" s="33">
        <f>Q3*N3</f>
        <v>136637794.80000001</v>
      </c>
    </row>
    <row r="4" spans="1:23">
      <c r="A4" s="122" t="s">
        <v>15</v>
      </c>
      <c r="B4" s="122"/>
      <c r="C4" s="123">
        <v>2789.26</v>
      </c>
      <c r="D4" s="123"/>
      <c r="E4" s="95">
        <f>C4*30%</f>
        <v>836.77800000000002</v>
      </c>
      <c r="F4" s="33">
        <f t="shared" ref="F4:F6" si="0">C4+E4</f>
        <v>3626.0380000000005</v>
      </c>
      <c r="G4" s="95">
        <v>149.9</v>
      </c>
      <c r="H4" s="98">
        <f>F4+(G4*20)</f>
        <v>6624.0380000000005</v>
      </c>
      <c r="I4" s="98">
        <v>0.01</v>
      </c>
      <c r="J4" s="98">
        <v>2.2200000000000002</v>
      </c>
      <c r="K4" s="99">
        <v>5.6</v>
      </c>
      <c r="L4" s="99">
        <f t="shared" ref="L4:L6" si="1">SUM(H4:K4)</f>
        <v>6631.8680000000013</v>
      </c>
      <c r="M4" s="98">
        <f t="shared" ref="M4:M6" si="2">N4-L4</f>
        <v>1573.3949999999977</v>
      </c>
      <c r="N4" s="33">
        <f>7459.33+745.933</f>
        <v>8205.262999999999</v>
      </c>
      <c r="O4" s="106">
        <v>8267</v>
      </c>
      <c r="P4" s="33">
        <f t="shared" ref="P4:P6" si="3">L4*O4</f>
        <v>54825652.756000012</v>
      </c>
      <c r="Q4" s="105">
        <v>8267</v>
      </c>
      <c r="R4" s="33">
        <f t="shared" ref="R4:R6" si="4">Q4*N4</f>
        <v>67832909.220999986</v>
      </c>
    </row>
    <row r="5" spans="1:23">
      <c r="A5" s="124" t="s">
        <v>96</v>
      </c>
      <c r="B5" s="124"/>
      <c r="C5" s="125">
        <v>891</v>
      </c>
      <c r="D5" s="125"/>
      <c r="E5" s="95">
        <f>C5*40%</f>
        <v>356.40000000000003</v>
      </c>
      <c r="F5" s="33">
        <f t="shared" si="0"/>
        <v>1247.4000000000001</v>
      </c>
      <c r="G5" s="95">
        <v>99.9</v>
      </c>
      <c r="H5" s="98">
        <f>F5+(G5*4)</f>
        <v>1647</v>
      </c>
      <c r="I5" s="98">
        <v>0.01</v>
      </c>
      <c r="J5" s="98">
        <v>2.2200000000000002</v>
      </c>
      <c r="K5" s="99">
        <v>5.6</v>
      </c>
      <c r="L5" s="99">
        <f t="shared" si="1"/>
        <v>1654.83</v>
      </c>
      <c r="M5" s="98">
        <f t="shared" si="2"/>
        <v>166.17000000000007</v>
      </c>
      <c r="N5" s="33">
        <f>1517.5+303.5</f>
        <v>1821</v>
      </c>
      <c r="O5" s="106">
        <v>14079</v>
      </c>
      <c r="P5" s="33">
        <f t="shared" si="3"/>
        <v>23298351.57</v>
      </c>
      <c r="Q5" s="105">
        <v>14079</v>
      </c>
      <c r="R5" s="33">
        <f t="shared" si="4"/>
        <v>25637859</v>
      </c>
    </row>
    <row r="6" spans="1:23">
      <c r="A6" s="122" t="s">
        <v>93</v>
      </c>
      <c r="B6" s="122"/>
      <c r="C6" s="123">
        <v>491.26</v>
      </c>
      <c r="D6" s="123"/>
      <c r="E6" s="95">
        <f>C6*30%</f>
        <v>147.37799999999999</v>
      </c>
      <c r="F6" s="33">
        <f t="shared" si="0"/>
        <v>638.63799999999992</v>
      </c>
      <c r="G6" s="95">
        <v>59.9</v>
      </c>
      <c r="H6" s="98">
        <f>F6+(G6*4)</f>
        <v>878.23799999999994</v>
      </c>
      <c r="I6" s="98">
        <v>0.01</v>
      </c>
      <c r="J6" s="98">
        <v>2.2200000000000002</v>
      </c>
      <c r="K6" s="99">
        <v>5.6</v>
      </c>
      <c r="L6" s="99">
        <f t="shared" si="1"/>
        <v>886.06799999999998</v>
      </c>
      <c r="M6" s="98">
        <f t="shared" si="2"/>
        <v>69.155999999999949</v>
      </c>
      <c r="N6" s="80">
        <f>796.02+159.204</f>
        <v>955.22399999999993</v>
      </c>
      <c r="O6" s="106">
        <v>14678</v>
      </c>
      <c r="P6" s="33">
        <f t="shared" si="3"/>
        <v>13005706.104</v>
      </c>
      <c r="Q6" s="105">
        <v>14678</v>
      </c>
      <c r="R6" s="33">
        <f t="shared" si="4"/>
        <v>14020777.872</v>
      </c>
    </row>
    <row r="7" spans="1:2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>
        <f>SUM(O3:O6)</f>
        <v>46882</v>
      </c>
      <c r="P7" s="33">
        <f>SUM(P3:P6)</f>
        <v>219577222.52199998</v>
      </c>
      <c r="Q7" s="34"/>
      <c r="R7" s="33">
        <f>SUM(R3:R6)</f>
        <v>244129340.89300001</v>
      </c>
    </row>
    <row r="8" spans="1:23">
      <c r="R8" s="35">
        <f>R7-P7-'POSTO DE ATENDIMENTO (PA)						'!A20</f>
        <v>13248118.371000022</v>
      </c>
    </row>
    <row r="10" spans="1:23">
      <c r="A10" s="126" t="s">
        <v>257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</row>
    <row r="11" spans="1:23">
      <c r="A11" s="126" t="s">
        <v>99</v>
      </c>
      <c r="B11" s="126"/>
      <c r="C11" s="126" t="s">
        <v>249</v>
      </c>
      <c r="D11" s="126"/>
      <c r="E11" s="94" t="s">
        <v>104</v>
      </c>
      <c r="F11" s="34" t="s">
        <v>250</v>
      </c>
      <c r="G11" s="94" t="s">
        <v>214</v>
      </c>
      <c r="H11" s="34" t="s">
        <v>252</v>
      </c>
      <c r="I11" s="34" t="s">
        <v>253</v>
      </c>
      <c r="J11" s="34" t="s">
        <v>254</v>
      </c>
      <c r="K11" s="34" t="s">
        <v>255</v>
      </c>
      <c r="L11" s="34" t="s">
        <v>272</v>
      </c>
      <c r="M11" s="100" t="s">
        <v>256</v>
      </c>
      <c r="N11" s="100" t="s">
        <v>273</v>
      </c>
      <c r="O11" s="100" t="s">
        <v>98</v>
      </c>
      <c r="P11" s="100" t="s">
        <v>100</v>
      </c>
      <c r="Q11" s="94" t="s">
        <v>101</v>
      </c>
      <c r="R11" s="100" t="s">
        <v>102</v>
      </c>
    </row>
    <row r="12" spans="1:23">
      <c r="A12" s="141" t="s">
        <v>11</v>
      </c>
      <c r="B12" s="142"/>
      <c r="C12" s="176">
        <v>6159.96</v>
      </c>
      <c r="D12" s="177"/>
      <c r="E12" s="116">
        <f>C12*40%</f>
        <v>2463.9840000000004</v>
      </c>
      <c r="F12" s="33">
        <f>C12+E12</f>
        <v>8623.9439999999995</v>
      </c>
      <c r="G12" s="116">
        <v>219.9</v>
      </c>
      <c r="H12" s="98">
        <f>F12+(G12*20)</f>
        <v>13021.944</v>
      </c>
      <c r="I12" s="98">
        <v>0.92</v>
      </c>
      <c r="J12" s="98">
        <v>2.2200000000000002</v>
      </c>
      <c r="K12" s="99">
        <v>5.6</v>
      </c>
      <c r="L12" s="99">
        <f>SUM(H12:K12)</f>
        <v>13030.683999999999</v>
      </c>
      <c r="M12" s="98">
        <f>N12-L12</f>
        <v>829.91600000000108</v>
      </c>
      <c r="N12" s="33">
        <f>11846.67+2013.93</f>
        <v>13860.6</v>
      </c>
      <c r="O12" s="102">
        <v>8513</v>
      </c>
      <c r="P12" s="33">
        <f>L12*O12</f>
        <v>110930212.89199999</v>
      </c>
      <c r="Q12" s="102">
        <v>8513</v>
      </c>
      <c r="R12" s="33">
        <f>Q12*N12</f>
        <v>117995287.8</v>
      </c>
    </row>
    <row r="13" spans="1:23">
      <c r="A13" s="141" t="s">
        <v>15</v>
      </c>
      <c r="B13" s="142"/>
      <c r="C13" s="176">
        <v>2789.26</v>
      </c>
      <c r="D13" s="177"/>
      <c r="E13" s="116">
        <f>C13*30%</f>
        <v>836.77800000000002</v>
      </c>
      <c r="F13" s="33">
        <f t="shared" ref="F13:F15" si="5">C13+E13</f>
        <v>3626.0380000000005</v>
      </c>
      <c r="G13" s="116">
        <v>149.9</v>
      </c>
      <c r="H13" s="98">
        <f>F13+(G13*20)</f>
        <v>6624.0380000000005</v>
      </c>
      <c r="I13" s="98">
        <v>0.92</v>
      </c>
      <c r="J13" s="98">
        <v>2.2200000000000002</v>
      </c>
      <c r="K13" s="99">
        <v>5.6</v>
      </c>
      <c r="L13" s="99">
        <f t="shared" ref="L13:L15" si="6">SUM(H13:K13)</f>
        <v>6632.7780000000012</v>
      </c>
      <c r="M13" s="98">
        <f t="shared" ref="M13:M15" si="7">N13-L13</f>
        <v>1572.4849999999979</v>
      </c>
      <c r="N13" s="33">
        <f>7459.33+745.933</f>
        <v>8205.262999999999</v>
      </c>
      <c r="O13" s="102">
        <v>7232</v>
      </c>
      <c r="P13" s="33">
        <f t="shared" ref="P13:P15" si="8">L13*O13</f>
        <v>47968250.496000007</v>
      </c>
      <c r="Q13" s="102">
        <v>7232</v>
      </c>
      <c r="R13" s="33">
        <f t="shared" ref="R13:R15" si="9">Q13*N13</f>
        <v>59340462.015999995</v>
      </c>
    </row>
    <row r="14" spans="1:23" ht="15" customHeight="1">
      <c r="A14" s="143" t="s">
        <v>96</v>
      </c>
      <c r="B14" s="144"/>
      <c r="C14" s="178">
        <v>891</v>
      </c>
      <c r="D14" s="179"/>
      <c r="E14" s="116">
        <f>C14*40%</f>
        <v>356.40000000000003</v>
      </c>
      <c r="F14" s="33">
        <f t="shared" si="5"/>
        <v>1247.4000000000001</v>
      </c>
      <c r="G14" s="116">
        <v>99.9</v>
      </c>
      <c r="H14" s="98">
        <f>F14+(G14*4)</f>
        <v>1647</v>
      </c>
      <c r="I14" s="98">
        <v>0.92</v>
      </c>
      <c r="J14" s="98">
        <v>2.2200000000000002</v>
      </c>
      <c r="K14" s="99">
        <v>5.6</v>
      </c>
      <c r="L14" s="99">
        <f t="shared" si="6"/>
        <v>1655.74</v>
      </c>
      <c r="M14" s="98">
        <f t="shared" si="7"/>
        <v>165.26</v>
      </c>
      <c r="N14" s="33">
        <f>1517.5+303.5</f>
        <v>1821</v>
      </c>
      <c r="O14" s="102">
        <v>12868</v>
      </c>
      <c r="P14" s="33">
        <f t="shared" si="8"/>
        <v>21306062.32</v>
      </c>
      <c r="Q14" s="102">
        <v>12868</v>
      </c>
      <c r="R14" s="33">
        <f t="shared" si="9"/>
        <v>23432628</v>
      </c>
    </row>
    <row r="15" spans="1:23">
      <c r="A15" s="141" t="s">
        <v>93</v>
      </c>
      <c r="B15" s="142"/>
      <c r="C15" s="176">
        <v>491.26</v>
      </c>
      <c r="D15" s="177"/>
      <c r="E15" s="116">
        <f>C15*30%</f>
        <v>147.37799999999999</v>
      </c>
      <c r="F15" s="33">
        <f t="shared" si="5"/>
        <v>638.63799999999992</v>
      </c>
      <c r="G15" s="116">
        <v>59.9</v>
      </c>
      <c r="H15" s="98">
        <f>F15+(G15*4)</f>
        <v>878.23799999999994</v>
      </c>
      <c r="I15" s="98">
        <v>0.92</v>
      </c>
      <c r="J15" s="98">
        <v>2.2200000000000002</v>
      </c>
      <c r="K15" s="99">
        <v>5.6</v>
      </c>
      <c r="L15" s="99">
        <f t="shared" si="6"/>
        <v>886.97799999999995</v>
      </c>
      <c r="M15" s="98">
        <f t="shared" si="7"/>
        <v>68.245999999999981</v>
      </c>
      <c r="N15" s="80">
        <f>796.02+159.204</f>
        <v>955.22399999999993</v>
      </c>
      <c r="O15" s="102">
        <v>13638</v>
      </c>
      <c r="P15" s="33">
        <f t="shared" si="8"/>
        <v>12096605.964</v>
      </c>
      <c r="Q15" s="102">
        <v>13638</v>
      </c>
      <c r="R15" s="33">
        <f t="shared" si="9"/>
        <v>13027344.911999999</v>
      </c>
    </row>
    <row r="16" spans="1:2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3">
        <f>SUM(P12:P15)</f>
        <v>192301131.67199999</v>
      </c>
      <c r="Q16" s="34"/>
      <c r="R16" s="33">
        <f>SUM(R12:R15)</f>
        <v>213795722.72799999</v>
      </c>
    </row>
    <row r="17" spans="1:18">
      <c r="R17" s="35">
        <f>R16-P16-'POSTO DE ATENDIMENTO (PA)						'!A20</f>
        <v>10190591.055999994</v>
      </c>
    </row>
    <row r="19" spans="1:18">
      <c r="A19" s="126" t="s">
        <v>46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</row>
    <row r="20" spans="1:18">
      <c r="A20" s="126" t="s">
        <v>99</v>
      </c>
      <c r="B20" s="126"/>
      <c r="C20" s="126" t="s">
        <v>249</v>
      </c>
      <c r="D20" s="126"/>
      <c r="E20" s="94" t="s">
        <v>104</v>
      </c>
      <c r="F20" s="34" t="s">
        <v>250</v>
      </c>
      <c r="G20" s="94" t="s">
        <v>214</v>
      </c>
      <c r="H20" s="34" t="s">
        <v>252</v>
      </c>
      <c r="I20" s="34" t="s">
        <v>253</v>
      </c>
      <c r="J20" s="34" t="s">
        <v>254</v>
      </c>
      <c r="K20" s="34" t="s">
        <v>255</v>
      </c>
      <c r="L20" s="34" t="s">
        <v>272</v>
      </c>
      <c r="M20" s="100" t="s">
        <v>256</v>
      </c>
      <c r="N20" s="100" t="s">
        <v>273</v>
      </c>
      <c r="O20" s="100" t="s">
        <v>98</v>
      </c>
      <c r="P20" s="100" t="s">
        <v>100</v>
      </c>
      <c r="Q20" s="94" t="s">
        <v>101</v>
      </c>
      <c r="R20" s="100" t="s">
        <v>102</v>
      </c>
    </row>
    <row r="21" spans="1:18">
      <c r="A21" s="122" t="s">
        <v>11</v>
      </c>
      <c r="B21" s="122"/>
      <c r="C21" s="123">
        <v>6159.96</v>
      </c>
      <c r="D21" s="123"/>
      <c r="E21" s="95">
        <f>C21*40%</f>
        <v>2463.9840000000004</v>
      </c>
      <c r="F21" s="33">
        <f>C21+E21</f>
        <v>8623.9439999999995</v>
      </c>
      <c r="G21" s="95">
        <v>219.9</v>
      </c>
      <c r="H21" s="98">
        <f>F21+(G21*20)</f>
        <v>13021.944</v>
      </c>
      <c r="I21" s="98">
        <v>0.92</v>
      </c>
      <c r="J21" s="98">
        <v>2.2200000000000002</v>
      </c>
      <c r="K21" s="99">
        <v>5.6</v>
      </c>
      <c r="L21" s="99">
        <f>SUM(H21:K21)</f>
        <v>13030.683999999999</v>
      </c>
      <c r="M21" s="98">
        <f>N21-L21</f>
        <v>829.91600000000108</v>
      </c>
      <c r="N21" s="33">
        <f>11846.67+2013.93</f>
        <v>13860.6</v>
      </c>
      <c r="O21" s="102">
        <v>8726</v>
      </c>
      <c r="P21" s="33">
        <f>L21*O21</f>
        <v>113705748.58399999</v>
      </c>
      <c r="Q21" s="102">
        <v>8726</v>
      </c>
      <c r="R21" s="33">
        <f>Q21*N21</f>
        <v>120947595.60000001</v>
      </c>
    </row>
    <row r="22" spans="1:18">
      <c r="A22" s="122" t="s">
        <v>15</v>
      </c>
      <c r="B22" s="122"/>
      <c r="C22" s="123">
        <v>2789.26</v>
      </c>
      <c r="D22" s="123"/>
      <c r="E22" s="95">
        <f>C22*30%</f>
        <v>836.77800000000002</v>
      </c>
      <c r="F22" s="33">
        <f t="shared" ref="F22:F24" si="10">C22+E22</f>
        <v>3626.0380000000005</v>
      </c>
      <c r="G22" s="95">
        <v>149.9</v>
      </c>
      <c r="H22" s="98">
        <f>F22+(G22*20)</f>
        <v>6624.0380000000005</v>
      </c>
      <c r="I22" s="98">
        <v>0.92</v>
      </c>
      <c r="J22" s="98">
        <v>2.2200000000000002</v>
      </c>
      <c r="K22" s="99">
        <v>5.6</v>
      </c>
      <c r="L22" s="99">
        <f t="shared" ref="L22:L24" si="11">SUM(H22:K22)</f>
        <v>6632.7780000000012</v>
      </c>
      <c r="M22" s="98">
        <f t="shared" ref="M22:M24" si="12">N22-L22</f>
        <v>1572.4849999999979</v>
      </c>
      <c r="N22" s="33">
        <f>7459.33+745.933</f>
        <v>8205.262999999999</v>
      </c>
      <c r="O22" s="102">
        <v>7408</v>
      </c>
      <c r="P22" s="33">
        <f t="shared" ref="P22:P24" si="13">L22*O22</f>
        <v>49135619.42400001</v>
      </c>
      <c r="Q22" s="102">
        <v>7408</v>
      </c>
      <c r="R22" s="33">
        <f t="shared" ref="R22:R24" si="14">Q22*N22</f>
        <v>60784588.30399999</v>
      </c>
    </row>
    <row r="23" spans="1:18">
      <c r="A23" s="124" t="s">
        <v>96</v>
      </c>
      <c r="B23" s="124"/>
      <c r="C23" s="125">
        <v>891</v>
      </c>
      <c r="D23" s="125"/>
      <c r="E23" s="95">
        <f>C23*40%</f>
        <v>356.40000000000003</v>
      </c>
      <c r="F23" s="33">
        <f t="shared" si="10"/>
        <v>1247.4000000000001</v>
      </c>
      <c r="G23" s="95">
        <v>99.9</v>
      </c>
      <c r="H23" s="98">
        <f>F23+(G23*4)</f>
        <v>1647</v>
      </c>
      <c r="I23" s="98">
        <v>0.92</v>
      </c>
      <c r="J23" s="98">
        <v>2.2200000000000002</v>
      </c>
      <c r="K23" s="99">
        <v>5.6</v>
      </c>
      <c r="L23" s="99">
        <f t="shared" si="11"/>
        <v>1655.74</v>
      </c>
      <c r="M23" s="98">
        <f t="shared" si="12"/>
        <v>165.26</v>
      </c>
      <c r="N23" s="33">
        <f>1517.5+303.5</f>
        <v>1821</v>
      </c>
      <c r="O23" s="102">
        <v>13290</v>
      </c>
      <c r="P23" s="33">
        <f t="shared" si="13"/>
        <v>22004784.600000001</v>
      </c>
      <c r="Q23" s="102">
        <v>13290</v>
      </c>
      <c r="R23" s="33">
        <f t="shared" si="14"/>
        <v>24201090</v>
      </c>
    </row>
    <row r="24" spans="1:18">
      <c r="A24" s="122" t="s">
        <v>93</v>
      </c>
      <c r="B24" s="122"/>
      <c r="C24" s="123">
        <v>491.26</v>
      </c>
      <c r="D24" s="123"/>
      <c r="E24" s="95">
        <f>C24*30%</f>
        <v>147.37799999999999</v>
      </c>
      <c r="F24" s="33">
        <f t="shared" si="10"/>
        <v>638.63799999999992</v>
      </c>
      <c r="G24" s="95">
        <v>59.9</v>
      </c>
      <c r="H24" s="98">
        <f>F24+(G24*4)</f>
        <v>878.23799999999994</v>
      </c>
      <c r="I24" s="98">
        <v>0.92</v>
      </c>
      <c r="J24" s="98">
        <v>2.2200000000000002</v>
      </c>
      <c r="K24" s="99">
        <v>5.6</v>
      </c>
      <c r="L24" s="99">
        <f t="shared" si="11"/>
        <v>886.97799999999995</v>
      </c>
      <c r="M24" s="98">
        <f t="shared" si="12"/>
        <v>68.245999999999981</v>
      </c>
      <c r="N24" s="80">
        <f>796.02+159.204</f>
        <v>955.22399999999993</v>
      </c>
      <c r="O24" s="102">
        <v>13940</v>
      </c>
      <c r="P24" s="33">
        <f t="shared" si="13"/>
        <v>12364473.319999998</v>
      </c>
      <c r="Q24" s="102">
        <v>13940</v>
      </c>
      <c r="R24" s="33">
        <f t="shared" si="14"/>
        <v>13315822.559999999</v>
      </c>
    </row>
    <row r="25" spans="1:18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3">
        <f>SUM(P21:P24)</f>
        <v>197210625.928</v>
      </c>
      <c r="Q25" s="34"/>
      <c r="R25" s="33">
        <f>SUM(R21:R24)</f>
        <v>219249096.46399999</v>
      </c>
    </row>
    <row r="26" spans="1:18">
      <c r="R26" s="35">
        <f>R25-P25-'POSTO DE ATENDIMENTO (PA)						'!A20</f>
        <v>10734470.535999984</v>
      </c>
    </row>
    <row r="27" spans="1:18">
      <c r="A27" s="126" t="s">
        <v>47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</row>
    <row r="28" spans="1:18">
      <c r="A28" s="126" t="s">
        <v>99</v>
      </c>
      <c r="B28" s="126"/>
      <c r="C28" s="126" t="s">
        <v>249</v>
      </c>
      <c r="D28" s="126"/>
      <c r="E28" s="94" t="s">
        <v>104</v>
      </c>
      <c r="F28" s="34" t="s">
        <v>250</v>
      </c>
      <c r="G28" s="94" t="s">
        <v>214</v>
      </c>
      <c r="H28" s="34" t="s">
        <v>252</v>
      </c>
      <c r="I28" s="34" t="s">
        <v>253</v>
      </c>
      <c r="J28" s="34" t="s">
        <v>254</v>
      </c>
      <c r="K28" s="34" t="s">
        <v>255</v>
      </c>
      <c r="L28" s="34" t="s">
        <v>272</v>
      </c>
      <c r="M28" s="100" t="s">
        <v>256</v>
      </c>
      <c r="N28" s="100" t="s">
        <v>273</v>
      </c>
      <c r="O28" s="100" t="s">
        <v>98</v>
      </c>
      <c r="P28" s="100" t="s">
        <v>100</v>
      </c>
      <c r="Q28" s="94" t="s">
        <v>101</v>
      </c>
      <c r="R28" s="100" t="s">
        <v>102</v>
      </c>
    </row>
    <row r="29" spans="1:18">
      <c r="A29" s="122" t="s">
        <v>11</v>
      </c>
      <c r="B29" s="122"/>
      <c r="C29" s="123">
        <v>6159.96</v>
      </c>
      <c r="D29" s="123"/>
      <c r="E29" s="95">
        <f>C29*40%</f>
        <v>2463.9840000000004</v>
      </c>
      <c r="F29" s="33">
        <f>C29+E29</f>
        <v>8623.9439999999995</v>
      </c>
      <c r="G29" s="95">
        <v>219.9</v>
      </c>
      <c r="H29" s="98">
        <f>F29+(G29*20)</f>
        <v>13021.944</v>
      </c>
      <c r="I29" s="98">
        <v>0.92</v>
      </c>
      <c r="J29" s="98">
        <v>2.2200000000000002</v>
      </c>
      <c r="K29" s="99">
        <v>5.6</v>
      </c>
      <c r="L29" s="99">
        <f>SUM(H29:K29)</f>
        <v>13030.683999999999</v>
      </c>
      <c r="M29" s="98">
        <f>N29-L29</f>
        <v>829.91600000000108</v>
      </c>
      <c r="N29" s="33">
        <f>11846.67+2013.93</f>
        <v>13860.6</v>
      </c>
      <c r="O29" s="103">
        <v>8513</v>
      </c>
      <c r="P29" s="33">
        <f>L29*O29</f>
        <v>110930212.89199999</v>
      </c>
      <c r="Q29" s="103">
        <v>8513</v>
      </c>
      <c r="R29" s="33">
        <f>Q29*N29</f>
        <v>117995287.8</v>
      </c>
    </row>
    <row r="30" spans="1:18">
      <c r="A30" s="122" t="s">
        <v>15</v>
      </c>
      <c r="B30" s="122"/>
      <c r="C30" s="123">
        <v>2789.26</v>
      </c>
      <c r="D30" s="123"/>
      <c r="E30" s="95">
        <f>C30*30%</f>
        <v>836.77800000000002</v>
      </c>
      <c r="F30" s="33">
        <f t="shared" ref="F30:F32" si="15">C30+E30</f>
        <v>3626.0380000000005</v>
      </c>
      <c r="G30" s="95">
        <v>149.9</v>
      </c>
      <c r="H30" s="98">
        <f>F30+(G30*20)</f>
        <v>6624.0380000000005</v>
      </c>
      <c r="I30" s="98">
        <v>0.92</v>
      </c>
      <c r="J30" s="98">
        <v>2.2200000000000002</v>
      </c>
      <c r="K30" s="99">
        <v>5.6</v>
      </c>
      <c r="L30" s="99">
        <f t="shared" ref="L30:L32" si="16">SUM(H30:K30)</f>
        <v>6632.7780000000012</v>
      </c>
      <c r="M30" s="98">
        <f t="shared" ref="M30:M32" si="17">N30-L30</f>
        <v>1572.4849999999979</v>
      </c>
      <c r="N30" s="33">
        <f>7459.33+745.933</f>
        <v>8205.262999999999</v>
      </c>
      <c r="O30" s="103">
        <v>7232</v>
      </c>
      <c r="P30" s="33">
        <f t="shared" ref="P30:P32" si="18">L30*O30</f>
        <v>47968250.496000007</v>
      </c>
      <c r="Q30" s="103">
        <v>7232</v>
      </c>
      <c r="R30" s="33">
        <f t="shared" ref="R30:R32" si="19">Q30*N30</f>
        <v>59340462.015999995</v>
      </c>
    </row>
    <row r="31" spans="1:18">
      <c r="A31" s="124" t="s">
        <v>96</v>
      </c>
      <c r="B31" s="124"/>
      <c r="C31" s="125">
        <v>891</v>
      </c>
      <c r="D31" s="125"/>
      <c r="E31" s="95">
        <f>C31*40%</f>
        <v>356.40000000000003</v>
      </c>
      <c r="F31" s="33">
        <f t="shared" si="15"/>
        <v>1247.4000000000001</v>
      </c>
      <c r="G31" s="95">
        <v>99.9</v>
      </c>
      <c r="H31" s="98">
        <f>F31+(G31*4)</f>
        <v>1647</v>
      </c>
      <c r="I31" s="98">
        <v>0.92</v>
      </c>
      <c r="J31" s="98">
        <v>2.2200000000000002</v>
      </c>
      <c r="K31" s="99">
        <v>5.6</v>
      </c>
      <c r="L31" s="99">
        <f t="shared" si="16"/>
        <v>1655.74</v>
      </c>
      <c r="M31" s="98">
        <f t="shared" si="17"/>
        <v>165.26</v>
      </c>
      <c r="N31" s="33">
        <f>1517.5+303.5</f>
        <v>1821</v>
      </c>
      <c r="O31" s="103">
        <v>12858</v>
      </c>
      <c r="P31" s="33">
        <f t="shared" si="18"/>
        <v>21289504.920000002</v>
      </c>
      <c r="Q31" s="103">
        <v>12858</v>
      </c>
      <c r="R31" s="33">
        <f t="shared" si="19"/>
        <v>23414418</v>
      </c>
    </row>
    <row r="32" spans="1:18">
      <c r="A32" s="122" t="s">
        <v>93</v>
      </c>
      <c r="B32" s="122"/>
      <c r="C32" s="123">
        <v>491.26</v>
      </c>
      <c r="D32" s="123"/>
      <c r="E32" s="95">
        <f>C32*30%</f>
        <v>147.37799999999999</v>
      </c>
      <c r="F32" s="33">
        <f t="shared" si="15"/>
        <v>638.63799999999992</v>
      </c>
      <c r="G32" s="95">
        <v>59.9</v>
      </c>
      <c r="H32" s="98">
        <f>F32+(G32*4)</f>
        <v>878.23799999999994</v>
      </c>
      <c r="I32" s="98">
        <v>0.92</v>
      </c>
      <c r="J32" s="98">
        <v>2.2200000000000002</v>
      </c>
      <c r="K32" s="99">
        <v>5.6</v>
      </c>
      <c r="L32" s="99">
        <f t="shared" si="16"/>
        <v>886.97799999999995</v>
      </c>
      <c r="M32" s="98">
        <f t="shared" si="17"/>
        <v>68.245999999999981</v>
      </c>
      <c r="N32" s="80">
        <f>796.02+159.204</f>
        <v>955.22399999999993</v>
      </c>
      <c r="O32" s="103">
        <v>13598</v>
      </c>
      <c r="P32" s="33">
        <f t="shared" si="18"/>
        <v>12061126.843999999</v>
      </c>
      <c r="Q32" s="103">
        <v>13598</v>
      </c>
      <c r="R32" s="33">
        <f t="shared" si="19"/>
        <v>12989135.952</v>
      </c>
    </row>
    <row r="33" spans="1:18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3">
        <f>SUM(P29:P32)</f>
        <v>192249095.15200004</v>
      </c>
      <c r="Q33" s="34"/>
      <c r="R33" s="33">
        <f>SUM(R29:R32)</f>
        <v>213739303.76799998</v>
      </c>
    </row>
    <row r="34" spans="1:18">
      <c r="R34" s="35">
        <f>R33-P33-'POSTO DE ATENDIMENTO (PA)						'!A20</f>
        <v>10186208.615999937</v>
      </c>
    </row>
    <row r="36" spans="1:18">
      <c r="A36" s="126" t="s">
        <v>48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</row>
    <row r="37" spans="1:18">
      <c r="A37" s="126" t="s">
        <v>99</v>
      </c>
      <c r="B37" s="126"/>
      <c r="C37" s="126" t="s">
        <v>249</v>
      </c>
      <c r="D37" s="126"/>
      <c r="E37" s="94" t="s">
        <v>104</v>
      </c>
      <c r="F37" s="34" t="s">
        <v>250</v>
      </c>
      <c r="G37" s="94" t="s">
        <v>214</v>
      </c>
      <c r="H37" s="34" t="s">
        <v>252</v>
      </c>
      <c r="I37" s="34" t="s">
        <v>253</v>
      </c>
      <c r="J37" s="34" t="s">
        <v>254</v>
      </c>
      <c r="K37" s="34" t="s">
        <v>255</v>
      </c>
      <c r="L37" s="34" t="s">
        <v>272</v>
      </c>
      <c r="M37" s="100" t="s">
        <v>256</v>
      </c>
      <c r="N37" s="100" t="s">
        <v>273</v>
      </c>
      <c r="O37" s="100" t="s">
        <v>98</v>
      </c>
      <c r="P37" s="100" t="s">
        <v>100</v>
      </c>
      <c r="Q37" s="94" t="s">
        <v>101</v>
      </c>
      <c r="R37" s="100" t="s">
        <v>102</v>
      </c>
    </row>
    <row r="38" spans="1:18">
      <c r="A38" s="122" t="s">
        <v>11</v>
      </c>
      <c r="B38" s="122"/>
      <c r="C38" s="123">
        <v>6159.96</v>
      </c>
      <c r="D38" s="123"/>
      <c r="E38" s="95">
        <f>C38*40%</f>
        <v>2463.9840000000004</v>
      </c>
      <c r="F38" s="33">
        <f>C38+E38</f>
        <v>8623.9439999999995</v>
      </c>
      <c r="G38" s="95">
        <v>219.9</v>
      </c>
      <c r="H38" s="98">
        <f>F38+(G38*20)</f>
        <v>13021.944</v>
      </c>
      <c r="I38" s="98">
        <v>0.92</v>
      </c>
      <c r="J38" s="98">
        <v>2.2200000000000002</v>
      </c>
      <c r="K38" s="99">
        <v>5.6</v>
      </c>
      <c r="L38" s="99">
        <f>SUM(H38:K38)</f>
        <v>13030.683999999999</v>
      </c>
      <c r="M38" s="98">
        <f>N38-L38</f>
        <v>829.91600000000108</v>
      </c>
      <c r="N38" s="33">
        <f>11846.67+2013.93</f>
        <v>13860.6</v>
      </c>
      <c r="O38" s="103">
        <v>8872</v>
      </c>
      <c r="P38" s="33">
        <f>L38*O38</f>
        <v>115608228.448</v>
      </c>
      <c r="Q38" s="103">
        <v>8872</v>
      </c>
      <c r="R38" s="33">
        <f>Q38*N38</f>
        <v>122971243.2</v>
      </c>
    </row>
    <row r="39" spans="1:18">
      <c r="A39" s="122" t="s">
        <v>15</v>
      </c>
      <c r="B39" s="122"/>
      <c r="C39" s="123">
        <v>2789.26</v>
      </c>
      <c r="D39" s="123"/>
      <c r="E39" s="95">
        <f>C39*30%</f>
        <v>836.77800000000002</v>
      </c>
      <c r="F39" s="33">
        <f t="shared" ref="F39:F41" si="20">C39+E39</f>
        <v>3626.0380000000005</v>
      </c>
      <c r="G39" s="95">
        <v>149.9</v>
      </c>
      <c r="H39" s="98">
        <f>F39+(G39*20)</f>
        <v>6624.0380000000005</v>
      </c>
      <c r="I39" s="98">
        <v>0.92</v>
      </c>
      <c r="J39" s="98">
        <v>2.2200000000000002</v>
      </c>
      <c r="K39" s="99">
        <v>5.6</v>
      </c>
      <c r="L39" s="99">
        <f t="shared" ref="L39:L41" si="21">SUM(H39:K39)</f>
        <v>6632.7780000000012</v>
      </c>
      <c r="M39" s="98">
        <f t="shared" ref="M39:M41" si="22">N39-L39</f>
        <v>1572.4849999999979</v>
      </c>
      <c r="N39" s="33">
        <f>7459.33+745.933</f>
        <v>8205.262999999999</v>
      </c>
      <c r="O39" s="103">
        <v>7519</v>
      </c>
      <c r="P39" s="33">
        <f t="shared" ref="P39:P41" si="23">L39*O39</f>
        <v>49871857.782000005</v>
      </c>
      <c r="Q39" s="103">
        <v>7519</v>
      </c>
      <c r="R39" s="33">
        <f t="shared" ref="R39:R41" si="24">Q39*N39</f>
        <v>61695372.496999994</v>
      </c>
    </row>
    <row r="40" spans="1:18">
      <c r="A40" s="124" t="s">
        <v>96</v>
      </c>
      <c r="B40" s="124"/>
      <c r="C40" s="125">
        <v>891</v>
      </c>
      <c r="D40" s="125"/>
      <c r="E40" s="95">
        <f>C40*40%</f>
        <v>356.40000000000003</v>
      </c>
      <c r="F40" s="33">
        <f t="shared" si="20"/>
        <v>1247.4000000000001</v>
      </c>
      <c r="G40" s="95">
        <v>99.9</v>
      </c>
      <c r="H40" s="98">
        <f>F40+(G40*4)</f>
        <v>1647</v>
      </c>
      <c r="I40" s="98">
        <v>0.92</v>
      </c>
      <c r="J40" s="98">
        <v>2.2200000000000002</v>
      </c>
      <c r="K40" s="99">
        <v>5.6</v>
      </c>
      <c r="L40" s="99">
        <f t="shared" si="21"/>
        <v>1655.74</v>
      </c>
      <c r="M40" s="98">
        <f t="shared" si="22"/>
        <v>165.26</v>
      </c>
      <c r="N40" s="33">
        <f>1517.5+303.5</f>
        <v>1821</v>
      </c>
      <c r="O40" s="103">
        <v>13917</v>
      </c>
      <c r="P40" s="33">
        <f t="shared" si="23"/>
        <v>23042933.580000002</v>
      </c>
      <c r="Q40" s="103">
        <v>13917</v>
      </c>
      <c r="R40" s="33">
        <f t="shared" si="24"/>
        <v>25342857</v>
      </c>
    </row>
    <row r="41" spans="1:18">
      <c r="A41" s="122" t="s">
        <v>93</v>
      </c>
      <c r="B41" s="122"/>
      <c r="C41" s="123">
        <v>491.26</v>
      </c>
      <c r="D41" s="123"/>
      <c r="E41" s="95">
        <f>C41*30%</f>
        <v>147.37799999999999</v>
      </c>
      <c r="F41" s="33">
        <f t="shared" si="20"/>
        <v>638.63799999999992</v>
      </c>
      <c r="G41" s="95">
        <v>59.9</v>
      </c>
      <c r="H41" s="98">
        <f>F41+(G41*4)</f>
        <v>878.23799999999994</v>
      </c>
      <c r="I41" s="98">
        <v>0.92</v>
      </c>
      <c r="J41" s="98">
        <v>2.2200000000000002</v>
      </c>
      <c r="K41" s="99">
        <v>5.6</v>
      </c>
      <c r="L41" s="99">
        <f t="shared" si="21"/>
        <v>886.97799999999995</v>
      </c>
      <c r="M41" s="98">
        <f t="shared" si="22"/>
        <v>68.245999999999981</v>
      </c>
      <c r="N41" s="80">
        <f>796.02+159.204</f>
        <v>955.22399999999993</v>
      </c>
      <c r="O41" s="103">
        <v>14064</v>
      </c>
      <c r="P41" s="33">
        <f t="shared" si="23"/>
        <v>12474458.592</v>
      </c>
      <c r="Q41" s="103">
        <v>14064</v>
      </c>
      <c r="R41" s="33">
        <f t="shared" si="24"/>
        <v>13434270.335999999</v>
      </c>
    </row>
    <row r="42" spans="1:18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3">
        <f>SUM(P38:P41)</f>
        <v>200997478.40200004</v>
      </c>
      <c r="Q42" s="34"/>
      <c r="R42" s="33">
        <f>SUM(R38:R41)</f>
        <v>223443743.03299999</v>
      </c>
    </row>
    <row r="43" spans="1:18">
      <c r="R43" s="35">
        <f>R42-P42-'POSTO DE ATENDIMENTO (PA)						'!A20</f>
        <v>11142264.630999953</v>
      </c>
    </row>
    <row r="45" spans="1:18">
      <c r="A45" s="126" t="s">
        <v>49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</row>
    <row r="46" spans="1:18">
      <c r="A46" s="126" t="s">
        <v>99</v>
      </c>
      <c r="B46" s="126"/>
      <c r="C46" s="126" t="s">
        <v>249</v>
      </c>
      <c r="D46" s="126"/>
      <c r="E46" s="94" t="s">
        <v>104</v>
      </c>
      <c r="F46" s="34" t="s">
        <v>250</v>
      </c>
      <c r="G46" s="94" t="s">
        <v>214</v>
      </c>
      <c r="H46" s="34" t="s">
        <v>252</v>
      </c>
      <c r="I46" s="34" t="s">
        <v>253</v>
      </c>
      <c r="J46" s="34" t="s">
        <v>254</v>
      </c>
      <c r="K46" s="34" t="s">
        <v>255</v>
      </c>
      <c r="L46" s="34" t="s">
        <v>272</v>
      </c>
      <c r="M46" s="100" t="s">
        <v>256</v>
      </c>
      <c r="N46" s="100" t="s">
        <v>273</v>
      </c>
      <c r="O46" s="100" t="s">
        <v>98</v>
      </c>
      <c r="P46" s="100" t="s">
        <v>100</v>
      </c>
      <c r="Q46" s="94" t="s">
        <v>101</v>
      </c>
      <c r="R46" s="100" t="s">
        <v>102</v>
      </c>
    </row>
    <row r="47" spans="1:18">
      <c r="A47" s="122" t="s">
        <v>11</v>
      </c>
      <c r="B47" s="122"/>
      <c r="C47" s="123">
        <v>6159.96</v>
      </c>
      <c r="D47" s="123"/>
      <c r="E47" s="95">
        <f>C47*40%</f>
        <v>2463.9840000000004</v>
      </c>
      <c r="F47" s="33">
        <f>C47+E47</f>
        <v>8623.9439999999995</v>
      </c>
      <c r="G47" s="95">
        <v>219.9</v>
      </c>
      <c r="H47" s="98">
        <f>F47+(G47*20)</f>
        <v>13021.944</v>
      </c>
      <c r="I47" s="98">
        <v>0.92</v>
      </c>
      <c r="J47" s="98">
        <v>2.2200000000000002</v>
      </c>
      <c r="K47" s="99">
        <v>5.6</v>
      </c>
      <c r="L47" s="99">
        <f>SUM(H47:K47)</f>
        <v>13030.683999999999</v>
      </c>
      <c r="M47" s="98">
        <f>N47-L47</f>
        <v>829.91600000000108</v>
      </c>
      <c r="N47" s="33">
        <f>11846.67+2013.93</f>
        <v>13860.6</v>
      </c>
      <c r="O47" s="103">
        <v>8716</v>
      </c>
      <c r="P47" s="33">
        <f>L47*O47</f>
        <v>113575441.74399999</v>
      </c>
      <c r="Q47" s="103">
        <v>8716</v>
      </c>
      <c r="R47" s="33">
        <f>Q47*N47</f>
        <v>120808989.60000001</v>
      </c>
    </row>
    <row r="48" spans="1:18">
      <c r="A48" s="122" t="s">
        <v>15</v>
      </c>
      <c r="B48" s="122"/>
      <c r="C48" s="123">
        <v>2789.26</v>
      </c>
      <c r="D48" s="123"/>
      <c r="E48" s="95">
        <f>C48*30%</f>
        <v>836.77800000000002</v>
      </c>
      <c r="F48" s="33">
        <f t="shared" ref="F48:F50" si="25">C48+E48</f>
        <v>3626.0380000000005</v>
      </c>
      <c r="G48" s="95">
        <v>149.9</v>
      </c>
      <c r="H48" s="98">
        <f>F48+(G48*20)</f>
        <v>6624.0380000000005</v>
      </c>
      <c r="I48" s="98">
        <v>0.92</v>
      </c>
      <c r="J48" s="98">
        <v>2.2200000000000002</v>
      </c>
      <c r="K48" s="99">
        <v>5.6</v>
      </c>
      <c r="L48" s="99">
        <f t="shared" ref="L48:L50" si="26">SUM(H48:K48)</f>
        <v>6632.7780000000012</v>
      </c>
      <c r="M48" s="98">
        <f t="shared" ref="M48:M50" si="27">N48-L48</f>
        <v>1572.4849999999979</v>
      </c>
      <c r="N48" s="33">
        <f>7459.33+745.933</f>
        <v>8205.262999999999</v>
      </c>
      <c r="O48" s="103">
        <v>7378</v>
      </c>
      <c r="P48" s="33">
        <f t="shared" ref="P48:P50" si="28">L48*O48</f>
        <v>48936636.084000006</v>
      </c>
      <c r="Q48" s="103">
        <v>7378</v>
      </c>
      <c r="R48" s="33">
        <f t="shared" ref="R48:R50" si="29">Q48*N48</f>
        <v>60538430.41399999</v>
      </c>
    </row>
    <row r="49" spans="1:18">
      <c r="A49" s="124" t="s">
        <v>96</v>
      </c>
      <c r="B49" s="124"/>
      <c r="C49" s="125">
        <v>891</v>
      </c>
      <c r="D49" s="125"/>
      <c r="E49" s="95">
        <f>C49*40%</f>
        <v>356.40000000000003</v>
      </c>
      <c r="F49" s="33">
        <f t="shared" si="25"/>
        <v>1247.4000000000001</v>
      </c>
      <c r="G49" s="95">
        <v>99.9</v>
      </c>
      <c r="H49" s="98">
        <f>F49+(G49*4)</f>
        <v>1647</v>
      </c>
      <c r="I49" s="98">
        <v>0.92</v>
      </c>
      <c r="J49" s="98">
        <v>2.2200000000000002</v>
      </c>
      <c r="K49" s="99">
        <v>5.6</v>
      </c>
      <c r="L49" s="99">
        <f t="shared" si="26"/>
        <v>1655.74</v>
      </c>
      <c r="M49" s="98">
        <f t="shared" si="27"/>
        <v>165.26</v>
      </c>
      <c r="N49" s="33">
        <f>1517.5+303.5</f>
        <v>1821</v>
      </c>
      <c r="O49" s="103">
        <v>13280</v>
      </c>
      <c r="P49" s="33">
        <f t="shared" si="28"/>
        <v>21988227.199999999</v>
      </c>
      <c r="Q49" s="103">
        <v>13280</v>
      </c>
      <c r="R49" s="33">
        <f t="shared" si="29"/>
        <v>24182880</v>
      </c>
    </row>
    <row r="50" spans="1:18">
      <c r="A50" s="122" t="s">
        <v>93</v>
      </c>
      <c r="B50" s="122"/>
      <c r="C50" s="123">
        <v>491.26</v>
      </c>
      <c r="D50" s="123"/>
      <c r="E50" s="95">
        <f>C50*30%</f>
        <v>147.37799999999999</v>
      </c>
      <c r="F50" s="33">
        <f t="shared" si="25"/>
        <v>638.63799999999992</v>
      </c>
      <c r="G50" s="95">
        <v>59.9</v>
      </c>
      <c r="H50" s="98">
        <f>F50+(G50*4)</f>
        <v>878.23799999999994</v>
      </c>
      <c r="I50" s="98">
        <v>0.92</v>
      </c>
      <c r="J50" s="98">
        <v>2.2200000000000002</v>
      </c>
      <c r="K50" s="99">
        <v>5.6</v>
      </c>
      <c r="L50" s="99">
        <f t="shared" si="26"/>
        <v>886.97799999999995</v>
      </c>
      <c r="M50" s="98">
        <f t="shared" si="27"/>
        <v>68.245999999999981</v>
      </c>
      <c r="N50" s="80">
        <f>796.02+159.204</f>
        <v>955.22399999999993</v>
      </c>
      <c r="O50" s="103">
        <v>13595</v>
      </c>
      <c r="P50" s="33">
        <f t="shared" si="28"/>
        <v>12058465.91</v>
      </c>
      <c r="Q50" s="103">
        <v>13595</v>
      </c>
      <c r="R50" s="33">
        <f t="shared" si="29"/>
        <v>12986270.279999999</v>
      </c>
    </row>
    <row r="51" spans="1:18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3">
        <f>SUM(P47:P50)</f>
        <v>196558770.93799999</v>
      </c>
      <c r="Q51" s="34"/>
      <c r="R51" s="33">
        <f>SUM(R47:R50)</f>
        <v>218516570.294</v>
      </c>
    </row>
    <row r="52" spans="1:18">
      <c r="R52" s="35">
        <f>R51-P51-'POSTO DE ATENDIMENTO (PA)						'!A20</f>
        <v>10653799.356000006</v>
      </c>
    </row>
    <row r="54" spans="1:18">
      <c r="A54" s="126" t="s">
        <v>258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</row>
    <row r="55" spans="1:18">
      <c r="A55" s="126" t="s">
        <v>99</v>
      </c>
      <c r="B55" s="126"/>
      <c r="C55" s="126" t="s">
        <v>249</v>
      </c>
      <c r="D55" s="126"/>
      <c r="E55" s="94" t="s">
        <v>104</v>
      </c>
      <c r="F55" s="34" t="s">
        <v>250</v>
      </c>
      <c r="G55" s="94" t="s">
        <v>214</v>
      </c>
      <c r="H55" s="34" t="s">
        <v>252</v>
      </c>
      <c r="I55" s="34" t="s">
        <v>253</v>
      </c>
      <c r="J55" s="34" t="s">
        <v>254</v>
      </c>
      <c r="K55" s="34" t="s">
        <v>255</v>
      </c>
      <c r="L55" s="34" t="s">
        <v>272</v>
      </c>
      <c r="M55" s="100" t="s">
        <v>256</v>
      </c>
      <c r="N55" s="100" t="s">
        <v>273</v>
      </c>
      <c r="O55" s="100" t="s">
        <v>98</v>
      </c>
      <c r="P55" s="100" t="s">
        <v>100</v>
      </c>
      <c r="Q55" s="94" t="s">
        <v>101</v>
      </c>
      <c r="R55" s="100" t="s">
        <v>102</v>
      </c>
    </row>
    <row r="56" spans="1:18">
      <c r="A56" s="122" t="s">
        <v>11</v>
      </c>
      <c r="B56" s="122"/>
      <c r="C56" s="123">
        <v>6159.96</v>
      </c>
      <c r="D56" s="123"/>
      <c r="E56" s="95">
        <f>C56*40%</f>
        <v>2463.9840000000004</v>
      </c>
      <c r="F56" s="33">
        <f>C56+E56</f>
        <v>8623.9439999999995</v>
      </c>
      <c r="G56" s="95">
        <v>219.9</v>
      </c>
      <c r="H56" s="98">
        <f>F56+(G56*20)</f>
        <v>13021.944</v>
      </c>
      <c r="I56" s="98">
        <v>0.92</v>
      </c>
      <c r="J56" s="98">
        <v>2.2200000000000002</v>
      </c>
      <c r="K56" s="99">
        <v>5.6</v>
      </c>
      <c r="L56" s="99">
        <f>SUM(H56:K56)</f>
        <v>13030.683999999999</v>
      </c>
      <c r="M56" s="98">
        <f>N56-L56</f>
        <v>829.91600000000108</v>
      </c>
      <c r="N56" s="33">
        <f>11846.67+2013.93</f>
        <v>13860.6</v>
      </c>
      <c r="O56" s="103">
        <v>8487</v>
      </c>
      <c r="P56" s="33">
        <f>L56*O56</f>
        <v>110591415.108</v>
      </c>
      <c r="Q56" s="103">
        <v>8487</v>
      </c>
      <c r="R56" s="33">
        <f>Q56*N56</f>
        <v>117634912.2</v>
      </c>
    </row>
    <row r="57" spans="1:18">
      <c r="A57" s="122" t="s">
        <v>15</v>
      </c>
      <c r="B57" s="122"/>
      <c r="C57" s="123">
        <v>2789.26</v>
      </c>
      <c r="D57" s="123"/>
      <c r="E57" s="95">
        <f>C57*30%</f>
        <v>836.77800000000002</v>
      </c>
      <c r="F57" s="33">
        <f t="shared" ref="F57:F59" si="30">C57+E57</f>
        <v>3626.0380000000005</v>
      </c>
      <c r="G57" s="95">
        <v>149.9</v>
      </c>
      <c r="H57" s="98">
        <f>F57+(G57*20)</f>
        <v>6624.0380000000005</v>
      </c>
      <c r="I57" s="98">
        <v>0.92</v>
      </c>
      <c r="J57" s="98">
        <v>2.2200000000000002</v>
      </c>
      <c r="K57" s="99">
        <v>5.6</v>
      </c>
      <c r="L57" s="99">
        <f t="shared" ref="L57:L59" si="31">SUM(H57:K57)</f>
        <v>6632.7780000000012</v>
      </c>
      <c r="M57" s="98">
        <f t="shared" ref="M57:M59" si="32">N57-L57</f>
        <v>1572.4849999999979</v>
      </c>
      <c r="N57" s="33">
        <f>7459.33+745.933</f>
        <v>8205.262999999999</v>
      </c>
      <c r="O57" s="103">
        <v>7207</v>
      </c>
      <c r="P57" s="33">
        <f t="shared" ref="P57:P59" si="33">L57*O57</f>
        <v>47802431.046000011</v>
      </c>
      <c r="Q57" s="103">
        <v>7207</v>
      </c>
      <c r="R57" s="33">
        <f t="shared" ref="R57:R59" si="34">Q57*N57</f>
        <v>59135330.440999992</v>
      </c>
    </row>
    <row r="58" spans="1:18">
      <c r="A58" s="124" t="s">
        <v>96</v>
      </c>
      <c r="B58" s="124"/>
      <c r="C58" s="125">
        <v>891</v>
      </c>
      <c r="D58" s="125"/>
      <c r="E58" s="95">
        <f>C58*40%</f>
        <v>356.40000000000003</v>
      </c>
      <c r="F58" s="33">
        <f t="shared" si="30"/>
        <v>1247.4000000000001</v>
      </c>
      <c r="G58" s="95">
        <v>99.9</v>
      </c>
      <c r="H58" s="98">
        <f>F58+(G58*4)</f>
        <v>1647</v>
      </c>
      <c r="I58" s="98">
        <v>0.92</v>
      </c>
      <c r="J58" s="98">
        <v>2.2200000000000002</v>
      </c>
      <c r="K58" s="99">
        <v>5.6</v>
      </c>
      <c r="L58" s="99">
        <f t="shared" si="31"/>
        <v>1655.74</v>
      </c>
      <c r="M58" s="98">
        <f t="shared" si="32"/>
        <v>165.26</v>
      </c>
      <c r="N58" s="33">
        <f>1517.5+303.5</f>
        <v>1821</v>
      </c>
      <c r="O58" s="103">
        <v>12858</v>
      </c>
      <c r="P58" s="33">
        <f t="shared" si="33"/>
        <v>21289504.920000002</v>
      </c>
      <c r="Q58" s="103">
        <v>12858</v>
      </c>
      <c r="R58" s="33">
        <f t="shared" si="34"/>
        <v>23414418</v>
      </c>
    </row>
    <row r="59" spans="1:18">
      <c r="A59" s="122" t="s">
        <v>93</v>
      </c>
      <c r="B59" s="122"/>
      <c r="C59" s="123">
        <v>491.26</v>
      </c>
      <c r="D59" s="123"/>
      <c r="E59" s="95">
        <f>C59*30%</f>
        <v>147.37799999999999</v>
      </c>
      <c r="F59" s="33">
        <f t="shared" si="30"/>
        <v>638.63799999999992</v>
      </c>
      <c r="G59" s="95">
        <v>59.9</v>
      </c>
      <c r="H59" s="98">
        <f>F59+(G59*4)</f>
        <v>878.23799999999994</v>
      </c>
      <c r="I59" s="98">
        <v>0.92</v>
      </c>
      <c r="J59" s="98">
        <v>2.2200000000000002</v>
      </c>
      <c r="K59" s="99">
        <v>5.6</v>
      </c>
      <c r="L59" s="99">
        <f t="shared" si="31"/>
        <v>886.97799999999995</v>
      </c>
      <c r="M59" s="98">
        <f t="shared" si="32"/>
        <v>68.245999999999981</v>
      </c>
      <c r="N59" s="80">
        <f>796.02+159.204</f>
        <v>955.22399999999993</v>
      </c>
      <c r="O59" s="103">
        <v>13035</v>
      </c>
      <c r="P59" s="33">
        <f t="shared" si="33"/>
        <v>11561758.229999999</v>
      </c>
      <c r="Q59" s="103">
        <v>13035</v>
      </c>
      <c r="R59" s="33">
        <f t="shared" si="34"/>
        <v>12451344.84</v>
      </c>
    </row>
    <row r="60" spans="1:18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3">
        <f>SUM(P56:P59)</f>
        <v>191245109.30399999</v>
      </c>
      <c r="Q60" s="34"/>
      <c r="R60" s="33">
        <f>SUM(R56:R59)</f>
        <v>212636005.48100001</v>
      </c>
    </row>
    <row r="61" spans="1:18">
      <c r="R61" s="35">
        <f>R60-P60-'POSTO DE ATENDIMENTO (PA)						'!A20</f>
        <v>10086896.177000016</v>
      </c>
    </row>
    <row r="62" spans="1:18">
      <c r="A62" s="126" t="s">
        <v>51</v>
      </c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</row>
    <row r="63" spans="1:18">
      <c r="A63" s="126" t="s">
        <v>99</v>
      </c>
      <c r="B63" s="126"/>
      <c r="C63" s="126" t="s">
        <v>249</v>
      </c>
      <c r="D63" s="126"/>
      <c r="E63" s="94" t="s">
        <v>104</v>
      </c>
      <c r="F63" s="34" t="s">
        <v>250</v>
      </c>
      <c r="G63" s="94" t="s">
        <v>214</v>
      </c>
      <c r="H63" s="34" t="s">
        <v>252</v>
      </c>
      <c r="I63" s="34" t="s">
        <v>253</v>
      </c>
      <c r="J63" s="34" t="s">
        <v>254</v>
      </c>
      <c r="K63" s="34" t="s">
        <v>255</v>
      </c>
      <c r="L63" s="34" t="s">
        <v>272</v>
      </c>
      <c r="M63" s="100" t="s">
        <v>256</v>
      </c>
      <c r="N63" s="100" t="s">
        <v>273</v>
      </c>
      <c r="O63" s="100" t="s">
        <v>98</v>
      </c>
      <c r="P63" s="100" t="s">
        <v>100</v>
      </c>
      <c r="Q63" s="94" t="s">
        <v>101</v>
      </c>
      <c r="R63" s="100" t="s">
        <v>102</v>
      </c>
    </row>
    <row r="64" spans="1:18">
      <c r="A64" s="122" t="s">
        <v>11</v>
      </c>
      <c r="B64" s="122"/>
      <c r="C64" s="123">
        <v>6159.96</v>
      </c>
      <c r="D64" s="123"/>
      <c r="E64" s="95">
        <f>C64*40%</f>
        <v>2463.9840000000004</v>
      </c>
      <c r="F64" s="33">
        <f>C64+E64</f>
        <v>8623.9439999999995</v>
      </c>
      <c r="G64" s="95">
        <v>219.9</v>
      </c>
      <c r="H64" s="98">
        <f>F64+(G64*20)</f>
        <v>13021.944</v>
      </c>
      <c r="I64" s="98">
        <v>0.92</v>
      </c>
      <c r="J64" s="98">
        <v>2.2200000000000002</v>
      </c>
      <c r="K64" s="99">
        <v>5.6</v>
      </c>
      <c r="L64" s="99">
        <f>SUM(H64:K64)</f>
        <v>13030.683999999999</v>
      </c>
      <c r="M64" s="98">
        <f>N64-L64</f>
        <v>829.91600000000108</v>
      </c>
      <c r="N64" s="33">
        <f>11846.67+2013.93</f>
        <v>13860.6</v>
      </c>
      <c r="O64" s="103">
        <v>8487</v>
      </c>
      <c r="P64" s="33">
        <f>L64*O64</f>
        <v>110591415.108</v>
      </c>
      <c r="Q64" s="103">
        <v>8487</v>
      </c>
      <c r="R64" s="33">
        <f>Q64*N64</f>
        <v>117634912.2</v>
      </c>
    </row>
    <row r="65" spans="1:18">
      <c r="A65" s="122" t="s">
        <v>15</v>
      </c>
      <c r="B65" s="122"/>
      <c r="C65" s="123">
        <v>2789.26</v>
      </c>
      <c r="D65" s="123"/>
      <c r="E65" s="95">
        <f>C65*30%</f>
        <v>836.77800000000002</v>
      </c>
      <c r="F65" s="33">
        <f t="shared" ref="F65:F67" si="35">C65+E65</f>
        <v>3626.0380000000005</v>
      </c>
      <c r="G65" s="95">
        <v>149.9</v>
      </c>
      <c r="H65" s="98">
        <f>F65+(G65*20)</f>
        <v>6624.0380000000005</v>
      </c>
      <c r="I65" s="98">
        <v>0.92</v>
      </c>
      <c r="J65" s="98">
        <v>2.2200000000000002</v>
      </c>
      <c r="K65" s="99">
        <v>5.6</v>
      </c>
      <c r="L65" s="99">
        <f t="shared" ref="L65:L67" si="36">SUM(H65:K65)</f>
        <v>6632.7780000000012</v>
      </c>
      <c r="M65" s="98">
        <f t="shared" ref="M65:M67" si="37">N65-L65</f>
        <v>1572.4849999999979</v>
      </c>
      <c r="N65" s="33">
        <f>7459.33+745.933</f>
        <v>8205.262999999999</v>
      </c>
      <c r="O65" s="103">
        <v>7207</v>
      </c>
      <c r="P65" s="33">
        <f t="shared" ref="P65:P67" si="38">L65*O65</f>
        <v>47802431.046000011</v>
      </c>
      <c r="Q65" s="103">
        <v>7207</v>
      </c>
      <c r="R65" s="33">
        <f t="shared" ref="R65:R67" si="39">Q65*N65</f>
        <v>59135330.440999992</v>
      </c>
    </row>
    <row r="66" spans="1:18">
      <c r="A66" s="124" t="s">
        <v>96</v>
      </c>
      <c r="B66" s="124"/>
      <c r="C66" s="125">
        <v>891</v>
      </c>
      <c r="D66" s="125"/>
      <c r="E66" s="95">
        <f>C66*40%</f>
        <v>356.40000000000003</v>
      </c>
      <c r="F66" s="33">
        <f t="shared" si="35"/>
        <v>1247.4000000000001</v>
      </c>
      <c r="G66" s="95">
        <v>99.9</v>
      </c>
      <c r="H66" s="98">
        <f>F66+(G66*4)</f>
        <v>1647</v>
      </c>
      <c r="I66" s="98">
        <v>0.92</v>
      </c>
      <c r="J66" s="98">
        <v>2.2200000000000002</v>
      </c>
      <c r="K66" s="99">
        <v>5.6</v>
      </c>
      <c r="L66" s="99">
        <f t="shared" si="36"/>
        <v>1655.74</v>
      </c>
      <c r="M66" s="98">
        <f t="shared" si="37"/>
        <v>165.26</v>
      </c>
      <c r="N66" s="33">
        <f>1517.5+303.5</f>
        <v>1821</v>
      </c>
      <c r="O66" s="103">
        <v>12858</v>
      </c>
      <c r="P66" s="33">
        <f t="shared" si="38"/>
        <v>21289504.920000002</v>
      </c>
      <c r="Q66" s="103">
        <v>12858</v>
      </c>
      <c r="R66" s="33">
        <f t="shared" si="39"/>
        <v>23414418</v>
      </c>
    </row>
    <row r="67" spans="1:18">
      <c r="A67" s="122" t="s">
        <v>93</v>
      </c>
      <c r="B67" s="122"/>
      <c r="C67" s="123">
        <v>491.26</v>
      </c>
      <c r="D67" s="123"/>
      <c r="E67" s="95">
        <f>C67*30%</f>
        <v>147.37799999999999</v>
      </c>
      <c r="F67" s="33">
        <f t="shared" si="35"/>
        <v>638.63799999999992</v>
      </c>
      <c r="G67" s="95">
        <v>59.9</v>
      </c>
      <c r="H67" s="98">
        <f>F67+(G67*4)</f>
        <v>878.23799999999994</v>
      </c>
      <c r="I67" s="98">
        <v>0.92</v>
      </c>
      <c r="J67" s="98">
        <v>2.2200000000000002</v>
      </c>
      <c r="K67" s="99">
        <v>5.6</v>
      </c>
      <c r="L67" s="99">
        <f t="shared" si="36"/>
        <v>886.97799999999995</v>
      </c>
      <c r="M67" s="98">
        <f t="shared" si="37"/>
        <v>68.245999999999981</v>
      </c>
      <c r="N67" s="80">
        <f>796.02+159.204</f>
        <v>955.22399999999993</v>
      </c>
      <c r="O67" s="103">
        <v>13035</v>
      </c>
      <c r="P67" s="33">
        <f t="shared" si="38"/>
        <v>11561758.229999999</v>
      </c>
      <c r="Q67" s="103">
        <v>13035</v>
      </c>
      <c r="R67" s="33">
        <f t="shared" si="39"/>
        <v>12451344.84</v>
      </c>
    </row>
    <row r="68" spans="1:1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3">
        <f>SUM(P64:P67)</f>
        <v>191245109.30399999</v>
      </c>
      <c r="Q68" s="34"/>
      <c r="R68" s="33">
        <f>SUM(R64:R67)</f>
        <v>212636005.48100001</v>
      </c>
    </row>
    <row r="69" spans="1:18">
      <c r="R69" s="35">
        <f>R68-P68-'POSTO DE ATENDIMENTO (PA)						'!A20</f>
        <v>10086896.177000016</v>
      </c>
    </row>
    <row r="71" spans="1:18">
      <c r="A71" s="126" t="s">
        <v>259</v>
      </c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</row>
    <row r="72" spans="1:18">
      <c r="A72" s="126" t="s">
        <v>99</v>
      </c>
      <c r="B72" s="126"/>
      <c r="C72" s="126" t="s">
        <v>249</v>
      </c>
      <c r="D72" s="126"/>
      <c r="E72" s="94" t="s">
        <v>104</v>
      </c>
      <c r="F72" s="34" t="s">
        <v>250</v>
      </c>
      <c r="G72" s="94" t="s">
        <v>214</v>
      </c>
      <c r="H72" s="34" t="s">
        <v>252</v>
      </c>
      <c r="I72" s="34" t="s">
        <v>253</v>
      </c>
      <c r="J72" s="34" t="s">
        <v>254</v>
      </c>
      <c r="K72" s="34" t="s">
        <v>255</v>
      </c>
      <c r="L72" s="34" t="s">
        <v>272</v>
      </c>
      <c r="M72" s="100" t="s">
        <v>256</v>
      </c>
      <c r="N72" s="100" t="s">
        <v>273</v>
      </c>
      <c r="O72" s="100" t="s">
        <v>98</v>
      </c>
      <c r="P72" s="100" t="s">
        <v>100</v>
      </c>
      <c r="Q72" s="94" t="s">
        <v>101</v>
      </c>
      <c r="R72" s="100" t="s">
        <v>102</v>
      </c>
    </row>
    <row r="73" spans="1:18">
      <c r="A73" s="122" t="s">
        <v>11</v>
      </c>
      <c r="B73" s="122"/>
      <c r="C73" s="123">
        <v>6159.96</v>
      </c>
      <c r="D73" s="123"/>
      <c r="E73" s="95">
        <f>C73*40%</f>
        <v>2463.9840000000004</v>
      </c>
      <c r="F73" s="33">
        <f>C73+E73</f>
        <v>8623.9439999999995</v>
      </c>
      <c r="G73" s="95">
        <v>219.9</v>
      </c>
      <c r="H73" s="98">
        <f>F73+(G73*20)</f>
        <v>13021.944</v>
      </c>
      <c r="I73" s="98">
        <v>0.92</v>
      </c>
      <c r="J73" s="98">
        <v>2.2200000000000002</v>
      </c>
      <c r="K73" s="99">
        <v>5.6</v>
      </c>
      <c r="L73" s="99">
        <f>SUM(H73:K73)</f>
        <v>13030.683999999999</v>
      </c>
      <c r="M73" s="98">
        <f>N73-L73</f>
        <v>829.91600000000108</v>
      </c>
      <c r="N73" s="33">
        <f>11846.67+2013.93</f>
        <v>13860.6</v>
      </c>
      <c r="O73" s="103">
        <v>8065</v>
      </c>
      <c r="P73" s="33">
        <f>L73*O73</f>
        <v>105092466.45999999</v>
      </c>
      <c r="Q73" s="103">
        <v>8065</v>
      </c>
      <c r="R73" s="33">
        <f>Q73*N73</f>
        <v>111785739</v>
      </c>
    </row>
    <row r="74" spans="1:18">
      <c r="A74" s="122" t="s">
        <v>15</v>
      </c>
      <c r="B74" s="122"/>
      <c r="C74" s="123">
        <v>2789.26</v>
      </c>
      <c r="D74" s="123"/>
      <c r="E74" s="95">
        <f>C74*30%</f>
        <v>836.77800000000002</v>
      </c>
      <c r="F74" s="33">
        <f t="shared" ref="F74:F76" si="40">C74+E74</f>
        <v>3626.0380000000005</v>
      </c>
      <c r="G74" s="95">
        <v>149.9</v>
      </c>
      <c r="H74" s="98">
        <f>F74+(G74*20)</f>
        <v>6624.0380000000005</v>
      </c>
      <c r="I74" s="98">
        <v>0.92</v>
      </c>
      <c r="J74" s="98">
        <v>2.2200000000000002</v>
      </c>
      <c r="K74" s="99">
        <v>5.6</v>
      </c>
      <c r="L74" s="99">
        <f t="shared" ref="L74:L76" si="41">SUM(H74:K74)</f>
        <v>6632.7780000000012</v>
      </c>
      <c r="M74" s="98">
        <f t="shared" ref="M74:M76" si="42">N74-L74</f>
        <v>1572.4849999999979</v>
      </c>
      <c r="N74" s="33">
        <f>7459.33+745.933</f>
        <v>8205.262999999999</v>
      </c>
      <c r="O74" s="103">
        <v>6793</v>
      </c>
      <c r="P74" s="33">
        <f t="shared" ref="P74:P76" si="43">L74*O74</f>
        <v>45056460.954000011</v>
      </c>
      <c r="Q74" s="103">
        <v>6793</v>
      </c>
      <c r="R74" s="33">
        <f t="shared" ref="R74:R76" si="44">Q74*N74</f>
        <v>55738351.558999993</v>
      </c>
    </row>
    <row r="75" spans="1:18">
      <c r="A75" s="124" t="s">
        <v>96</v>
      </c>
      <c r="B75" s="124"/>
      <c r="C75" s="125">
        <v>891</v>
      </c>
      <c r="D75" s="125"/>
      <c r="E75" s="95">
        <f>C75*40%</f>
        <v>356.40000000000003</v>
      </c>
      <c r="F75" s="33">
        <f t="shared" si="40"/>
        <v>1247.4000000000001</v>
      </c>
      <c r="G75" s="95">
        <v>99.9</v>
      </c>
      <c r="H75" s="98">
        <f>F75+(G75*4)</f>
        <v>1647</v>
      </c>
      <c r="I75" s="98">
        <v>0.92</v>
      </c>
      <c r="J75" s="98">
        <v>2.2200000000000002</v>
      </c>
      <c r="K75" s="99">
        <v>5.6</v>
      </c>
      <c r="L75" s="99">
        <f t="shared" si="41"/>
        <v>1655.74</v>
      </c>
      <c r="M75" s="98">
        <f t="shared" si="42"/>
        <v>165.26</v>
      </c>
      <c r="N75" s="33">
        <f>1517.5+303.5</f>
        <v>1821</v>
      </c>
      <c r="O75" s="103">
        <v>12120</v>
      </c>
      <c r="P75" s="33">
        <f t="shared" si="43"/>
        <v>20067568.800000001</v>
      </c>
      <c r="Q75" s="103">
        <v>12120</v>
      </c>
      <c r="R75" s="33">
        <f t="shared" si="44"/>
        <v>22070520</v>
      </c>
    </row>
    <row r="76" spans="1:18">
      <c r="A76" s="122" t="s">
        <v>93</v>
      </c>
      <c r="B76" s="122"/>
      <c r="C76" s="123">
        <v>491.26</v>
      </c>
      <c r="D76" s="123"/>
      <c r="E76" s="95">
        <f>C76*30%</f>
        <v>147.37799999999999</v>
      </c>
      <c r="F76" s="33">
        <f t="shared" si="40"/>
        <v>638.63799999999992</v>
      </c>
      <c r="G76" s="95">
        <v>59.9</v>
      </c>
      <c r="H76" s="98">
        <f>F76+(G76*4)</f>
        <v>878.23799999999994</v>
      </c>
      <c r="I76" s="98">
        <v>0.92</v>
      </c>
      <c r="J76" s="98">
        <v>2.2200000000000002</v>
      </c>
      <c r="K76" s="99">
        <v>5.6</v>
      </c>
      <c r="L76" s="99">
        <f t="shared" si="41"/>
        <v>886.97799999999995</v>
      </c>
      <c r="M76" s="98">
        <f t="shared" si="42"/>
        <v>68.245999999999981</v>
      </c>
      <c r="N76" s="80">
        <f>796.02+159.204</f>
        <v>955.22399999999993</v>
      </c>
      <c r="O76" s="103">
        <v>12313</v>
      </c>
      <c r="P76" s="33">
        <f t="shared" si="43"/>
        <v>10921360.114</v>
      </c>
      <c r="Q76" s="103">
        <v>12313</v>
      </c>
      <c r="R76" s="33">
        <f t="shared" si="44"/>
        <v>11761673.112</v>
      </c>
    </row>
    <row r="77" spans="1:18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3">
        <f>SUM(P73:P76)</f>
        <v>181137856.32800001</v>
      </c>
      <c r="Q77" s="34"/>
      <c r="R77" s="33">
        <f>SUM(R73:R76)</f>
        <v>201356283.67099997</v>
      </c>
    </row>
    <row r="78" spans="1:18">
      <c r="R78" s="35">
        <f>R77-P77-'POSTO DE ATENDIMENTO (PA)						'!A20</f>
        <v>8914427.342999965</v>
      </c>
    </row>
    <row r="80" spans="1:18">
      <c r="A80" s="126" t="s">
        <v>260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</row>
    <row r="81" spans="1:18">
      <c r="A81" s="126" t="s">
        <v>99</v>
      </c>
      <c r="B81" s="126"/>
      <c r="C81" s="126" t="s">
        <v>249</v>
      </c>
      <c r="D81" s="126"/>
      <c r="E81" s="94" t="s">
        <v>104</v>
      </c>
      <c r="F81" s="34" t="s">
        <v>250</v>
      </c>
      <c r="G81" s="94" t="s">
        <v>214</v>
      </c>
      <c r="H81" s="34" t="s">
        <v>252</v>
      </c>
      <c r="I81" s="34" t="s">
        <v>253</v>
      </c>
      <c r="J81" s="34" t="s">
        <v>254</v>
      </c>
      <c r="K81" s="34" t="s">
        <v>255</v>
      </c>
      <c r="L81" s="34" t="s">
        <v>272</v>
      </c>
      <c r="M81" s="100" t="s">
        <v>256</v>
      </c>
      <c r="N81" s="100" t="s">
        <v>273</v>
      </c>
      <c r="O81" s="100" t="s">
        <v>98</v>
      </c>
      <c r="P81" s="100" t="s">
        <v>100</v>
      </c>
      <c r="Q81" s="94" t="s">
        <v>101</v>
      </c>
      <c r="R81" s="100" t="s">
        <v>102</v>
      </c>
    </row>
    <row r="82" spans="1:18">
      <c r="A82" s="122" t="s">
        <v>11</v>
      </c>
      <c r="B82" s="122"/>
      <c r="C82" s="123">
        <v>6159.96</v>
      </c>
      <c r="D82" s="123"/>
      <c r="E82" s="95">
        <f>C82*40%</f>
        <v>2463.9840000000004</v>
      </c>
      <c r="F82" s="33">
        <f>C82+E82</f>
        <v>8623.9439999999995</v>
      </c>
      <c r="G82" s="95">
        <v>219.9</v>
      </c>
      <c r="H82" s="98">
        <f>F82+(G82*20)</f>
        <v>13021.944</v>
      </c>
      <c r="I82" s="98">
        <v>0.92</v>
      </c>
      <c r="J82" s="98">
        <v>2.2200000000000002</v>
      </c>
      <c r="K82" s="99">
        <v>5.6</v>
      </c>
      <c r="L82" s="99">
        <f>SUM(H82:K82)</f>
        <v>13030.683999999999</v>
      </c>
      <c r="M82" s="98">
        <f>N82-L82</f>
        <v>829.91600000000108</v>
      </c>
      <c r="N82" s="33">
        <f>11846.67+2013.93</f>
        <v>13860.6</v>
      </c>
      <c r="O82" s="103">
        <v>7072</v>
      </c>
      <c r="P82" s="33">
        <f>L82*O82</f>
        <v>92152997.247999996</v>
      </c>
      <c r="Q82" s="103">
        <v>7072</v>
      </c>
      <c r="R82" s="33">
        <f>Q82*N82</f>
        <v>98022163.200000003</v>
      </c>
    </row>
    <row r="83" spans="1:18">
      <c r="A83" s="122" t="s">
        <v>15</v>
      </c>
      <c r="B83" s="122"/>
      <c r="C83" s="123">
        <v>2789.26</v>
      </c>
      <c r="D83" s="123"/>
      <c r="E83" s="95">
        <f>C83*30%</f>
        <v>836.77800000000002</v>
      </c>
      <c r="F83" s="33">
        <f t="shared" ref="F83:F85" si="45">C83+E83</f>
        <v>3626.0380000000005</v>
      </c>
      <c r="G83" s="95">
        <v>149.9</v>
      </c>
      <c r="H83" s="98">
        <f>F83+(G83*20)</f>
        <v>6624.0380000000005</v>
      </c>
      <c r="I83" s="98">
        <v>0.92</v>
      </c>
      <c r="J83" s="98">
        <v>2.2200000000000002</v>
      </c>
      <c r="K83" s="99">
        <v>5.6</v>
      </c>
      <c r="L83" s="99">
        <f t="shared" ref="L83:L85" si="46">SUM(H83:K83)</f>
        <v>6632.7780000000012</v>
      </c>
      <c r="M83" s="98">
        <f t="shared" ref="M83:M85" si="47">N83-L83</f>
        <v>1572.4849999999979</v>
      </c>
      <c r="N83" s="33">
        <f>7459.33+745.933</f>
        <v>8205.262999999999</v>
      </c>
      <c r="O83" s="103">
        <v>6010</v>
      </c>
      <c r="P83" s="33">
        <f t="shared" ref="P83:P85" si="48">L83*O83</f>
        <v>39862995.780000009</v>
      </c>
      <c r="Q83" s="103">
        <v>6010</v>
      </c>
      <c r="R83" s="33">
        <f t="shared" ref="R83:R85" si="49">Q83*N83</f>
        <v>49313630.629999995</v>
      </c>
    </row>
    <row r="84" spans="1:18">
      <c r="A84" s="124" t="s">
        <v>96</v>
      </c>
      <c r="B84" s="124"/>
      <c r="C84" s="125">
        <v>891</v>
      </c>
      <c r="D84" s="125"/>
      <c r="E84" s="95">
        <f>C84*40%</f>
        <v>356.40000000000003</v>
      </c>
      <c r="F84" s="33">
        <f t="shared" si="45"/>
        <v>1247.4000000000001</v>
      </c>
      <c r="G84" s="95">
        <v>99.9</v>
      </c>
      <c r="H84" s="98">
        <f>F84+(G84*4)</f>
        <v>1647</v>
      </c>
      <c r="I84" s="98">
        <v>0.92</v>
      </c>
      <c r="J84" s="98">
        <v>2.2200000000000002</v>
      </c>
      <c r="K84" s="99">
        <v>5.6</v>
      </c>
      <c r="L84" s="99">
        <f t="shared" si="46"/>
        <v>1655.74</v>
      </c>
      <c r="M84" s="98">
        <f t="shared" si="47"/>
        <v>165.26</v>
      </c>
      <c r="N84" s="33">
        <f>1517.5+303.5</f>
        <v>1821</v>
      </c>
      <c r="O84" s="103">
        <v>11460</v>
      </c>
      <c r="P84" s="33">
        <f t="shared" si="48"/>
        <v>18974780.399999999</v>
      </c>
      <c r="Q84" s="103">
        <v>11460</v>
      </c>
      <c r="R84" s="33">
        <f t="shared" si="49"/>
        <v>20868660</v>
      </c>
    </row>
    <row r="85" spans="1:18">
      <c r="A85" s="122" t="s">
        <v>93</v>
      </c>
      <c r="B85" s="122"/>
      <c r="C85" s="123">
        <v>491.26</v>
      </c>
      <c r="D85" s="123"/>
      <c r="E85" s="95">
        <f>C85*30%</f>
        <v>147.37799999999999</v>
      </c>
      <c r="F85" s="33">
        <f t="shared" si="45"/>
        <v>638.63799999999992</v>
      </c>
      <c r="G85" s="95">
        <v>59.9</v>
      </c>
      <c r="H85" s="98">
        <f>F85+(G85*4)</f>
        <v>878.23799999999994</v>
      </c>
      <c r="I85" s="98">
        <v>0.92</v>
      </c>
      <c r="J85" s="98">
        <v>2.2200000000000002</v>
      </c>
      <c r="K85" s="99">
        <v>5.6</v>
      </c>
      <c r="L85" s="99">
        <f t="shared" si="46"/>
        <v>886.97799999999995</v>
      </c>
      <c r="M85" s="98">
        <f t="shared" si="47"/>
        <v>68.245999999999981</v>
      </c>
      <c r="N85" s="80">
        <f>796.02+159.204</f>
        <v>955.22399999999993</v>
      </c>
      <c r="O85" s="103">
        <v>11755</v>
      </c>
      <c r="P85" s="33">
        <f t="shared" si="48"/>
        <v>10426426.389999999</v>
      </c>
      <c r="Q85" s="103">
        <v>11755</v>
      </c>
      <c r="R85" s="33">
        <f t="shared" si="49"/>
        <v>11228658.119999999</v>
      </c>
    </row>
    <row r="86" spans="1:18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3">
        <f>SUM(P82:P85)</f>
        <v>161417199.81799999</v>
      </c>
      <c r="Q86" s="34"/>
      <c r="R86" s="33">
        <f>SUM(R82:R85)</f>
        <v>179433111.94999999</v>
      </c>
    </row>
    <row r="87" spans="1:18">
      <c r="R87" s="35">
        <f>R86-P86-'POSTO DE ATENDIMENTO (PA)						'!A20</f>
        <v>6711912.1319999993</v>
      </c>
    </row>
    <row r="89" spans="1:18">
      <c r="A89" s="126" t="s">
        <v>54</v>
      </c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</row>
    <row r="90" spans="1:18">
      <c r="A90" s="126" t="s">
        <v>99</v>
      </c>
      <c r="B90" s="126"/>
      <c r="C90" s="126" t="s">
        <v>249</v>
      </c>
      <c r="D90" s="126"/>
      <c r="E90" s="94" t="s">
        <v>104</v>
      </c>
      <c r="F90" s="34" t="s">
        <v>250</v>
      </c>
      <c r="G90" s="94" t="s">
        <v>214</v>
      </c>
      <c r="H90" s="34" t="s">
        <v>252</v>
      </c>
      <c r="I90" s="34" t="s">
        <v>253</v>
      </c>
      <c r="J90" s="34" t="s">
        <v>254</v>
      </c>
      <c r="K90" s="34" t="s">
        <v>255</v>
      </c>
      <c r="L90" s="34" t="s">
        <v>272</v>
      </c>
      <c r="M90" s="100" t="s">
        <v>256</v>
      </c>
      <c r="N90" s="100" t="s">
        <v>273</v>
      </c>
      <c r="O90" s="100" t="s">
        <v>98</v>
      </c>
      <c r="P90" s="100" t="s">
        <v>100</v>
      </c>
      <c r="Q90" s="94" t="s">
        <v>101</v>
      </c>
      <c r="R90" s="100" t="s">
        <v>102</v>
      </c>
    </row>
    <row r="91" spans="1:18">
      <c r="A91" s="122" t="s">
        <v>11</v>
      </c>
      <c r="B91" s="122"/>
      <c r="C91" s="123">
        <v>6159.96</v>
      </c>
      <c r="D91" s="123"/>
      <c r="E91" s="95">
        <f>C91*40%</f>
        <v>2463.9840000000004</v>
      </c>
      <c r="F91" s="33">
        <f>C91+E91</f>
        <v>8623.9439999999995</v>
      </c>
      <c r="G91" s="95">
        <v>219.9</v>
      </c>
      <c r="H91" s="98">
        <f>F91+(G91*20)</f>
        <v>13021.944</v>
      </c>
      <c r="I91" s="98">
        <v>0.92</v>
      </c>
      <c r="J91" s="98">
        <v>2.2200000000000002</v>
      </c>
      <c r="K91" s="99">
        <v>5.6</v>
      </c>
      <c r="L91" s="99">
        <f>SUM(H91:K91)</f>
        <v>13030.683999999999</v>
      </c>
      <c r="M91" s="98">
        <f>N91-L91</f>
        <v>829.91600000000108</v>
      </c>
      <c r="N91" s="33">
        <f>11846.67+2013.93</f>
        <v>13860.6</v>
      </c>
      <c r="O91" s="103">
        <v>10039</v>
      </c>
      <c r="P91" s="33">
        <f>L91*O91</f>
        <v>130815036.676</v>
      </c>
      <c r="Q91" s="103">
        <v>10039</v>
      </c>
      <c r="R91" s="33">
        <f>Q91*N91</f>
        <v>139146563.40000001</v>
      </c>
    </row>
    <row r="92" spans="1:18">
      <c r="A92" s="122" t="s">
        <v>15</v>
      </c>
      <c r="B92" s="122"/>
      <c r="C92" s="123">
        <v>2789.26</v>
      </c>
      <c r="D92" s="123"/>
      <c r="E92" s="95">
        <f>C92*30%</f>
        <v>836.77800000000002</v>
      </c>
      <c r="F92" s="33">
        <f t="shared" ref="F92:F94" si="50">C92+E92</f>
        <v>3626.0380000000005</v>
      </c>
      <c r="G92" s="95">
        <v>149.9</v>
      </c>
      <c r="H92" s="98">
        <f>F92+(G92*20)</f>
        <v>6624.0380000000005</v>
      </c>
      <c r="I92" s="98">
        <v>0.92</v>
      </c>
      <c r="J92" s="98">
        <v>2.2200000000000002</v>
      </c>
      <c r="K92" s="99">
        <v>5.6</v>
      </c>
      <c r="L92" s="99">
        <f t="shared" ref="L92:L94" si="51">SUM(H92:K92)</f>
        <v>6632.7780000000012</v>
      </c>
      <c r="M92" s="98">
        <f t="shared" ref="M92:M94" si="52">N92-L92</f>
        <v>1572.4849999999979</v>
      </c>
      <c r="N92" s="33">
        <f>7459.33+745.933</f>
        <v>8205.262999999999</v>
      </c>
      <c r="O92" s="103">
        <v>8536</v>
      </c>
      <c r="P92" s="33">
        <f t="shared" ref="P92:P94" si="53">L92*O92</f>
        <v>56617393.008000009</v>
      </c>
      <c r="Q92" s="103">
        <v>8536</v>
      </c>
      <c r="R92" s="33">
        <f t="shared" ref="R92:R94" si="54">Q92*N92</f>
        <v>70040124.967999995</v>
      </c>
    </row>
    <row r="93" spans="1:18">
      <c r="A93" s="124" t="s">
        <v>96</v>
      </c>
      <c r="B93" s="124"/>
      <c r="C93" s="125">
        <v>891</v>
      </c>
      <c r="D93" s="125"/>
      <c r="E93" s="95">
        <f>C93*40%</f>
        <v>356.40000000000003</v>
      </c>
      <c r="F93" s="33">
        <f t="shared" si="50"/>
        <v>1247.4000000000001</v>
      </c>
      <c r="G93" s="95">
        <v>99.9</v>
      </c>
      <c r="H93" s="98">
        <f>F93+(G93*4)</f>
        <v>1647</v>
      </c>
      <c r="I93" s="98">
        <v>0.92</v>
      </c>
      <c r="J93" s="98">
        <v>2.2200000000000002</v>
      </c>
      <c r="K93" s="99">
        <v>5.6</v>
      </c>
      <c r="L93" s="99">
        <f t="shared" si="51"/>
        <v>1655.74</v>
      </c>
      <c r="M93" s="98">
        <f t="shared" si="52"/>
        <v>165.26</v>
      </c>
      <c r="N93" s="33">
        <f>1517.5+303.5</f>
        <v>1821</v>
      </c>
      <c r="O93" s="103">
        <v>14360</v>
      </c>
      <c r="P93" s="33">
        <f t="shared" si="53"/>
        <v>23776426.399999999</v>
      </c>
      <c r="Q93" s="103">
        <v>14360</v>
      </c>
      <c r="R93" s="33">
        <f t="shared" si="54"/>
        <v>26149560</v>
      </c>
    </row>
    <row r="94" spans="1:18">
      <c r="A94" s="122" t="s">
        <v>93</v>
      </c>
      <c r="B94" s="122"/>
      <c r="C94" s="123">
        <v>491.26</v>
      </c>
      <c r="D94" s="123"/>
      <c r="E94" s="95">
        <f>C94*30%</f>
        <v>147.37799999999999</v>
      </c>
      <c r="F94" s="33">
        <f t="shared" si="50"/>
        <v>638.63799999999992</v>
      </c>
      <c r="G94" s="95">
        <v>59.9</v>
      </c>
      <c r="H94" s="98">
        <f>F94+(G94*4)</f>
        <v>878.23799999999994</v>
      </c>
      <c r="I94" s="98">
        <v>0.92</v>
      </c>
      <c r="J94" s="98">
        <v>2.2200000000000002</v>
      </c>
      <c r="K94" s="99">
        <v>5.6</v>
      </c>
      <c r="L94" s="99">
        <f t="shared" si="51"/>
        <v>886.97799999999995</v>
      </c>
      <c r="M94" s="98">
        <f t="shared" si="52"/>
        <v>68.245999999999981</v>
      </c>
      <c r="N94" s="80">
        <f>796.02+159.204</f>
        <v>955.22399999999993</v>
      </c>
      <c r="O94" s="103">
        <v>13537</v>
      </c>
      <c r="P94" s="33">
        <f t="shared" si="53"/>
        <v>12007021.185999999</v>
      </c>
      <c r="Q94" s="103">
        <v>13537</v>
      </c>
      <c r="R94" s="33">
        <f t="shared" si="54"/>
        <v>12930867.287999999</v>
      </c>
    </row>
    <row r="95" spans="1:18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3">
        <f>SUM(P91:P94)</f>
        <v>223215877.27000001</v>
      </c>
      <c r="Q95" s="34"/>
      <c r="R95" s="33">
        <f>SUM(R91:R94)</f>
        <v>248267115.65599999</v>
      </c>
    </row>
    <row r="96" spans="1:18">
      <c r="R96" s="35">
        <f>R95-P95-'POSTO DE ATENDIMENTO (PA)						'!A20</f>
        <v>13747238.385999978</v>
      </c>
    </row>
    <row r="98" spans="1:18">
      <c r="A98" s="126" t="s">
        <v>55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</row>
    <row r="99" spans="1:18">
      <c r="A99" s="126" t="s">
        <v>99</v>
      </c>
      <c r="B99" s="126"/>
      <c r="C99" s="126" t="s">
        <v>249</v>
      </c>
      <c r="D99" s="126"/>
      <c r="E99" s="94" t="s">
        <v>104</v>
      </c>
      <c r="F99" s="34" t="s">
        <v>250</v>
      </c>
      <c r="G99" s="94" t="s">
        <v>214</v>
      </c>
      <c r="H99" s="34" t="s">
        <v>252</v>
      </c>
      <c r="I99" s="34" t="s">
        <v>253</v>
      </c>
      <c r="J99" s="34" t="s">
        <v>254</v>
      </c>
      <c r="K99" s="34" t="s">
        <v>255</v>
      </c>
      <c r="L99" s="34" t="s">
        <v>272</v>
      </c>
      <c r="M99" s="100" t="s">
        <v>256</v>
      </c>
      <c r="N99" s="100" t="s">
        <v>273</v>
      </c>
      <c r="O99" s="100" t="s">
        <v>98</v>
      </c>
      <c r="P99" s="100" t="s">
        <v>100</v>
      </c>
      <c r="Q99" s="94" t="s">
        <v>101</v>
      </c>
      <c r="R99" s="100" t="s">
        <v>102</v>
      </c>
    </row>
    <row r="100" spans="1:18">
      <c r="A100" s="122" t="s">
        <v>11</v>
      </c>
      <c r="B100" s="122"/>
      <c r="C100" s="123">
        <v>6159.96</v>
      </c>
      <c r="D100" s="123"/>
      <c r="E100" s="95">
        <f>C100*40%</f>
        <v>2463.9840000000004</v>
      </c>
      <c r="F100" s="33">
        <f>C100+E100</f>
        <v>8623.9439999999995</v>
      </c>
      <c r="G100" s="95">
        <v>219.9</v>
      </c>
      <c r="H100" s="98">
        <f>F100+(G100*20)</f>
        <v>13021.944</v>
      </c>
      <c r="I100" s="98">
        <v>0.92</v>
      </c>
      <c r="J100" s="98">
        <v>2.2200000000000002</v>
      </c>
      <c r="K100" s="99">
        <v>5.6</v>
      </c>
      <c r="L100" s="99">
        <f>SUM(H100:K100)</f>
        <v>13030.683999999999</v>
      </c>
      <c r="M100" s="98">
        <f>N100-L100</f>
        <v>829.91600000000108</v>
      </c>
      <c r="N100" s="33">
        <f>11846.67+2013.93</f>
        <v>13860.6</v>
      </c>
      <c r="O100" s="103">
        <v>8907</v>
      </c>
      <c r="P100" s="33">
        <f>L100*O100</f>
        <v>116064302.388</v>
      </c>
      <c r="Q100" s="103">
        <v>8907</v>
      </c>
      <c r="R100" s="33">
        <f>Q100*N100</f>
        <v>123456364.2</v>
      </c>
    </row>
    <row r="101" spans="1:18">
      <c r="A101" s="122" t="s">
        <v>15</v>
      </c>
      <c r="B101" s="122"/>
      <c r="C101" s="123">
        <v>2789.26</v>
      </c>
      <c r="D101" s="123"/>
      <c r="E101" s="95">
        <f>C101*30%</f>
        <v>836.77800000000002</v>
      </c>
      <c r="F101" s="33">
        <f t="shared" ref="F101:F103" si="55">C101+E101</f>
        <v>3626.0380000000005</v>
      </c>
      <c r="G101" s="95">
        <v>149.9</v>
      </c>
      <c r="H101" s="98">
        <f>F101+(G101*20)</f>
        <v>6624.0380000000005</v>
      </c>
      <c r="I101" s="98">
        <v>0.92</v>
      </c>
      <c r="J101" s="98">
        <v>2.2200000000000002</v>
      </c>
      <c r="K101" s="99">
        <v>5.6</v>
      </c>
      <c r="L101" s="99">
        <f t="shared" ref="L101:L103" si="56">SUM(H101:K101)</f>
        <v>6632.7780000000012</v>
      </c>
      <c r="M101" s="98">
        <f t="shared" ref="M101:M103" si="57">N101-L101</f>
        <v>1572.4849999999979</v>
      </c>
      <c r="N101" s="33">
        <f>7459.33+745.933</f>
        <v>8205.262999999999</v>
      </c>
      <c r="O101" s="103">
        <v>7530</v>
      </c>
      <c r="P101" s="33">
        <f t="shared" ref="P101:P103" si="58">L101*O101</f>
        <v>49944818.340000011</v>
      </c>
      <c r="Q101" s="103">
        <v>7530</v>
      </c>
      <c r="R101" s="33">
        <f t="shared" ref="R101:R103" si="59">Q101*N101</f>
        <v>61785630.389999993</v>
      </c>
    </row>
    <row r="102" spans="1:18">
      <c r="A102" s="124" t="s">
        <v>96</v>
      </c>
      <c r="B102" s="124"/>
      <c r="C102" s="125">
        <v>891</v>
      </c>
      <c r="D102" s="125"/>
      <c r="E102" s="95">
        <f>C102*40%</f>
        <v>356.40000000000003</v>
      </c>
      <c r="F102" s="33">
        <f t="shared" si="55"/>
        <v>1247.4000000000001</v>
      </c>
      <c r="G102" s="95">
        <v>99.9</v>
      </c>
      <c r="H102" s="98">
        <f>F102+(G102*4)</f>
        <v>1647</v>
      </c>
      <c r="I102" s="98">
        <v>0.92</v>
      </c>
      <c r="J102" s="98">
        <v>2.2200000000000002</v>
      </c>
      <c r="K102" s="99">
        <v>5.6</v>
      </c>
      <c r="L102" s="99">
        <f t="shared" si="56"/>
        <v>1655.74</v>
      </c>
      <c r="M102" s="98">
        <f t="shared" si="57"/>
        <v>165.26</v>
      </c>
      <c r="N102" s="33">
        <f>1517.5+303.5</f>
        <v>1821</v>
      </c>
      <c r="O102" s="103">
        <v>13743</v>
      </c>
      <c r="P102" s="33">
        <f t="shared" si="58"/>
        <v>22754834.82</v>
      </c>
      <c r="Q102" s="103">
        <v>13743</v>
      </c>
      <c r="R102" s="33">
        <f t="shared" si="59"/>
        <v>25026003</v>
      </c>
    </row>
    <row r="103" spans="1:18">
      <c r="A103" s="122" t="s">
        <v>93</v>
      </c>
      <c r="B103" s="122"/>
      <c r="C103" s="123">
        <v>491.26</v>
      </c>
      <c r="D103" s="123"/>
      <c r="E103" s="95">
        <f>C103*30%</f>
        <v>147.37799999999999</v>
      </c>
      <c r="F103" s="33">
        <f t="shared" si="55"/>
        <v>638.63799999999992</v>
      </c>
      <c r="G103" s="95">
        <v>59.9</v>
      </c>
      <c r="H103" s="98">
        <f>F103+(G103*4)</f>
        <v>878.23799999999994</v>
      </c>
      <c r="I103" s="98">
        <v>0.92</v>
      </c>
      <c r="J103" s="98">
        <v>2.2200000000000002</v>
      </c>
      <c r="K103" s="99">
        <v>5.6</v>
      </c>
      <c r="L103" s="99">
        <f t="shared" si="56"/>
        <v>886.97799999999995</v>
      </c>
      <c r="M103" s="98">
        <f t="shared" si="57"/>
        <v>68.245999999999981</v>
      </c>
      <c r="N103" s="80">
        <f>796.02+159.204</f>
        <v>955.22399999999993</v>
      </c>
      <c r="O103" s="103">
        <v>12933</v>
      </c>
      <c r="P103" s="33">
        <f t="shared" si="58"/>
        <v>11471286.473999999</v>
      </c>
      <c r="Q103" s="103">
        <v>12933</v>
      </c>
      <c r="R103" s="33">
        <f t="shared" si="59"/>
        <v>12353911.991999999</v>
      </c>
    </row>
    <row r="104" spans="1:18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3">
        <f>SUM(P100:P103)</f>
        <v>200235242.02200001</v>
      </c>
      <c r="Q104" s="34"/>
      <c r="R104" s="33">
        <f>SUM(R100:R103)</f>
        <v>222621909.58200002</v>
      </c>
    </row>
    <row r="105" spans="1:18">
      <c r="R105" s="35">
        <f>R104-P104-'POSTO DE ATENDIMENTO (PA)						'!A20</f>
        <v>11082667.560000002</v>
      </c>
    </row>
    <row r="107" spans="1:18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</row>
    <row r="108" spans="1:18">
      <c r="A108" s="131"/>
      <c r="B108" s="131"/>
      <c r="C108" s="131"/>
      <c r="D108" s="131"/>
      <c r="E108" s="101"/>
      <c r="F108" s="107"/>
      <c r="G108" s="101"/>
      <c r="H108" s="107"/>
      <c r="I108" s="107"/>
      <c r="J108" s="107"/>
      <c r="K108" s="107"/>
      <c r="L108" s="107"/>
      <c r="M108" s="108"/>
      <c r="N108" s="108"/>
      <c r="O108" s="108"/>
      <c r="P108" s="108"/>
      <c r="Q108" s="101"/>
      <c r="R108" s="108"/>
    </row>
    <row r="109" spans="1:18">
      <c r="A109" s="127"/>
      <c r="B109" s="127"/>
      <c r="C109" s="128"/>
      <c r="D109" s="128"/>
      <c r="E109" s="109"/>
      <c r="F109" s="110"/>
      <c r="G109" s="109"/>
      <c r="H109" s="111"/>
      <c r="I109" s="111"/>
      <c r="J109" s="111"/>
      <c r="K109" s="97"/>
      <c r="L109" s="97"/>
      <c r="M109" s="111"/>
      <c r="N109" s="110"/>
      <c r="O109" s="112"/>
      <c r="P109" s="110"/>
      <c r="Q109" s="113"/>
      <c r="R109" s="110"/>
    </row>
    <row r="110" spans="1:18">
      <c r="A110" s="127"/>
      <c r="B110" s="127"/>
      <c r="C110" s="128"/>
      <c r="D110" s="128"/>
      <c r="E110" s="109"/>
      <c r="F110" s="110"/>
      <c r="G110" s="109"/>
      <c r="H110" s="111"/>
      <c r="I110" s="111"/>
      <c r="J110" s="111"/>
      <c r="K110" s="97"/>
      <c r="L110" s="97"/>
      <c r="M110" s="111"/>
      <c r="N110" s="110"/>
      <c r="O110" s="114"/>
      <c r="P110" s="110"/>
      <c r="Q110" s="113"/>
      <c r="R110" s="110"/>
    </row>
    <row r="111" spans="1:18">
      <c r="A111" s="129"/>
      <c r="B111" s="129"/>
      <c r="C111" s="130"/>
      <c r="D111" s="130"/>
      <c r="E111" s="109"/>
      <c r="F111" s="110"/>
      <c r="G111" s="109"/>
      <c r="H111" s="111"/>
      <c r="I111" s="111"/>
      <c r="J111" s="111"/>
      <c r="K111" s="97"/>
      <c r="L111" s="97"/>
      <c r="M111" s="111"/>
      <c r="N111" s="110"/>
      <c r="O111" s="114"/>
      <c r="P111" s="110"/>
      <c r="Q111" s="113"/>
      <c r="R111" s="110"/>
    </row>
    <row r="112" spans="1:18">
      <c r="A112" s="127"/>
      <c r="B112" s="127"/>
      <c r="C112" s="128"/>
      <c r="D112" s="128"/>
      <c r="E112" s="109"/>
      <c r="F112" s="110"/>
      <c r="G112" s="109"/>
      <c r="H112" s="111"/>
      <c r="I112" s="111"/>
      <c r="J112" s="111"/>
      <c r="K112" s="97"/>
      <c r="L112" s="97"/>
      <c r="M112" s="111"/>
      <c r="N112" s="110"/>
      <c r="O112" s="114"/>
      <c r="P112" s="110"/>
      <c r="Q112" s="113"/>
      <c r="R112" s="110"/>
    </row>
    <row r="113" spans="1:18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10"/>
      <c r="Q113" s="107"/>
      <c r="R113" s="110"/>
    </row>
    <row r="114" spans="1:18">
      <c r="R114" s="35"/>
    </row>
  </sheetData>
  <mergeCells count="143">
    <mergeCell ref="A112:B112"/>
    <mergeCell ref="C112:D112"/>
    <mergeCell ref="A109:B109"/>
    <mergeCell ref="C109:D109"/>
    <mergeCell ref="A110:B110"/>
    <mergeCell ref="C110:D110"/>
    <mergeCell ref="A111:B111"/>
    <mergeCell ref="C111:D111"/>
    <mergeCell ref="A102:B102"/>
    <mergeCell ref="C102:D102"/>
    <mergeCell ref="A103:B103"/>
    <mergeCell ref="C103:D103"/>
    <mergeCell ref="A107:R107"/>
    <mergeCell ref="A108:B108"/>
    <mergeCell ref="C108:D108"/>
    <mergeCell ref="A98:R98"/>
    <mergeCell ref="A99:B99"/>
    <mergeCell ref="C99:D99"/>
    <mergeCell ref="A100:B100"/>
    <mergeCell ref="C100:D100"/>
    <mergeCell ref="A101:B101"/>
    <mergeCell ref="C101:D101"/>
    <mergeCell ref="A92:B92"/>
    <mergeCell ref="C92:D92"/>
    <mergeCell ref="A93:B93"/>
    <mergeCell ref="C93:D93"/>
    <mergeCell ref="A94:B94"/>
    <mergeCell ref="C94:D94"/>
    <mergeCell ref="A85:B85"/>
    <mergeCell ref="C85:D85"/>
    <mergeCell ref="A89:R89"/>
    <mergeCell ref="A90:B90"/>
    <mergeCell ref="C90:D90"/>
    <mergeCell ref="A91:B91"/>
    <mergeCell ref="C91:D9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80:R80"/>
    <mergeCell ref="A81:B81"/>
    <mergeCell ref="C81:D81"/>
    <mergeCell ref="A71:R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59:B59"/>
    <mergeCell ref="C59:D59"/>
    <mergeCell ref="A62:R62"/>
    <mergeCell ref="A63:B63"/>
    <mergeCell ref="C63:D63"/>
    <mergeCell ref="A64:B64"/>
    <mergeCell ref="C64:D64"/>
    <mergeCell ref="A56:B56"/>
    <mergeCell ref="C56:D56"/>
    <mergeCell ref="A57:B57"/>
    <mergeCell ref="C57:D57"/>
    <mergeCell ref="A58:B58"/>
    <mergeCell ref="C58:D58"/>
    <mergeCell ref="A49:B49"/>
    <mergeCell ref="C49:D49"/>
    <mergeCell ref="A50:B50"/>
    <mergeCell ref="C50:D50"/>
    <mergeCell ref="A54:R54"/>
    <mergeCell ref="A55:B55"/>
    <mergeCell ref="C55:D55"/>
    <mergeCell ref="A45:R45"/>
    <mergeCell ref="A46:B46"/>
    <mergeCell ref="C46:D46"/>
    <mergeCell ref="A47:B47"/>
    <mergeCell ref="C47:D47"/>
    <mergeCell ref="A48:B48"/>
    <mergeCell ref="C48:D48"/>
    <mergeCell ref="A39:B39"/>
    <mergeCell ref="C39:D39"/>
    <mergeCell ref="A40:B40"/>
    <mergeCell ref="C40:D40"/>
    <mergeCell ref="A41:B41"/>
    <mergeCell ref="C41:D41"/>
    <mergeCell ref="A32:B32"/>
    <mergeCell ref="C32:D32"/>
    <mergeCell ref="A36:R36"/>
    <mergeCell ref="A37:B37"/>
    <mergeCell ref="C37:D37"/>
    <mergeCell ref="A38:B38"/>
    <mergeCell ref="C38:D38"/>
    <mergeCell ref="A29:B29"/>
    <mergeCell ref="C29:D29"/>
    <mergeCell ref="A30:B30"/>
    <mergeCell ref="C30:D30"/>
    <mergeCell ref="A31:B31"/>
    <mergeCell ref="C31:D31"/>
    <mergeCell ref="A23:B23"/>
    <mergeCell ref="C23:D23"/>
    <mergeCell ref="A24:B24"/>
    <mergeCell ref="C24:D24"/>
    <mergeCell ref="A27:R27"/>
    <mergeCell ref="A28:B28"/>
    <mergeCell ref="C28:D28"/>
    <mergeCell ref="A19:R19"/>
    <mergeCell ref="A20:B20"/>
    <mergeCell ref="C20:D20"/>
    <mergeCell ref="A21:B21"/>
    <mergeCell ref="C21:D21"/>
    <mergeCell ref="A22:B22"/>
    <mergeCell ref="C22:D22"/>
    <mergeCell ref="A13:B13"/>
    <mergeCell ref="C13:D13"/>
    <mergeCell ref="A14:B14"/>
    <mergeCell ref="C14:D14"/>
    <mergeCell ref="A15:B15"/>
    <mergeCell ref="C15:D15"/>
    <mergeCell ref="A1:R1"/>
    <mergeCell ref="A10:R10"/>
    <mergeCell ref="A11:B11"/>
    <mergeCell ref="C11:D11"/>
    <mergeCell ref="A12:B12"/>
    <mergeCell ref="C12:D12"/>
    <mergeCell ref="A5:B5"/>
    <mergeCell ref="C5:D5"/>
    <mergeCell ref="A6:B6"/>
    <mergeCell ref="C6:D6"/>
    <mergeCell ref="A2:B2"/>
    <mergeCell ref="C2:D2"/>
    <mergeCell ref="A3:B3"/>
    <mergeCell ref="C3:D3"/>
    <mergeCell ref="A4:B4"/>
    <mergeCell ref="C4:D4"/>
  </mergeCells>
  <pageMargins left="0.511811024" right="0.511811024" top="0.78740157499999996" bottom="0.78740157499999996" header="0.31496062000000002" footer="0.31496062000000002"/>
  <ignoredErrors>
    <ignoredError sqref="E4:E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240"/>
  <sheetViews>
    <sheetView topLeftCell="A138" workbookViewId="0">
      <selection activeCell="C159" sqref="C159:E159"/>
    </sheetView>
  </sheetViews>
  <sheetFormatPr defaultRowHeight="15"/>
  <cols>
    <col min="2" max="2" width="23.7109375" customWidth="1"/>
    <col min="21" max="21" width="12" bestFit="1" customWidth="1"/>
  </cols>
  <sheetData>
    <row r="1" spans="1:17">
      <c r="A1" s="120" t="s">
        <v>222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17">
      <c r="A2" s="120" t="s">
        <v>226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</row>
    <row r="3" spans="1:17">
      <c r="A3" s="133" t="s">
        <v>99</v>
      </c>
      <c r="B3" s="133"/>
      <c r="C3" s="133" t="s">
        <v>220</v>
      </c>
      <c r="D3" s="133"/>
      <c r="E3" s="133"/>
      <c r="F3" s="133" t="s">
        <v>111</v>
      </c>
      <c r="G3" s="133"/>
      <c r="H3" s="133"/>
      <c r="I3" s="133" t="s">
        <v>111</v>
      </c>
      <c r="J3" s="133"/>
      <c r="K3" s="133"/>
      <c r="L3" s="133" t="s">
        <v>224</v>
      </c>
      <c r="M3" s="133"/>
      <c r="N3" s="133"/>
      <c r="O3" s="133" t="s">
        <v>223</v>
      </c>
      <c r="P3" s="133"/>
      <c r="Q3" s="133"/>
    </row>
    <row r="4" spans="1:17">
      <c r="A4" s="141" t="s">
        <v>11</v>
      </c>
      <c r="B4" s="142"/>
      <c r="C4" s="134"/>
      <c r="D4" s="126"/>
      <c r="E4" s="126"/>
      <c r="F4" s="145">
        <f>C4+I4</f>
        <v>452.5874</v>
      </c>
      <c r="G4" s="132"/>
      <c r="H4" s="137"/>
      <c r="I4" s="134">
        <f>22629.37*0.02</f>
        <v>452.5874</v>
      </c>
      <c r="J4" s="126"/>
      <c r="K4" s="126"/>
      <c r="L4" s="134">
        <f>22629.37*0.03</f>
        <v>678.88109999999995</v>
      </c>
      <c r="M4" s="126"/>
      <c r="N4" s="126"/>
      <c r="O4" s="134">
        <f>L4+C4</f>
        <v>678.88109999999995</v>
      </c>
      <c r="P4" s="126"/>
      <c r="Q4" s="126"/>
    </row>
    <row r="5" spans="1:17">
      <c r="A5" s="141" t="s">
        <v>15</v>
      </c>
      <c r="B5" s="142"/>
      <c r="C5" s="135"/>
      <c r="D5" s="135"/>
      <c r="E5" s="135"/>
      <c r="F5" s="145">
        <f>C5+I5</f>
        <v>454.98540000000003</v>
      </c>
      <c r="G5" s="132"/>
      <c r="H5" s="137"/>
      <c r="I5" s="135">
        <f>22749.27*0.02</f>
        <v>454.98540000000003</v>
      </c>
      <c r="J5" s="135"/>
      <c r="K5" s="135"/>
      <c r="L5" s="135">
        <f>22749.27*0.03</f>
        <v>682.47810000000004</v>
      </c>
      <c r="M5" s="135"/>
      <c r="N5" s="135"/>
      <c r="O5" s="134">
        <f t="shared" ref="O5:O7" si="0">L5+C5</f>
        <v>682.47810000000004</v>
      </c>
      <c r="P5" s="126"/>
      <c r="Q5" s="126"/>
    </row>
    <row r="6" spans="1:17" ht="27" customHeight="1">
      <c r="A6" s="143" t="s">
        <v>96</v>
      </c>
      <c r="B6" s="144"/>
      <c r="C6" s="135"/>
      <c r="D6" s="135"/>
      <c r="E6" s="135"/>
      <c r="F6" s="145">
        <f>C6+I6</f>
        <v>103.93540000000002</v>
      </c>
      <c r="G6" s="132"/>
      <c r="H6" s="137"/>
      <c r="I6" s="135">
        <f>5196.77*0.02</f>
        <v>103.93540000000002</v>
      </c>
      <c r="J6" s="135"/>
      <c r="K6" s="135"/>
      <c r="L6" s="135">
        <f>5196.77*0.03</f>
        <v>155.90309999999999</v>
      </c>
      <c r="M6" s="135"/>
      <c r="N6" s="135"/>
      <c r="O6" s="134">
        <f t="shared" si="0"/>
        <v>155.90309999999999</v>
      </c>
      <c r="P6" s="126"/>
      <c r="Q6" s="126"/>
    </row>
    <row r="7" spans="1:17">
      <c r="A7" s="141" t="s">
        <v>93</v>
      </c>
      <c r="B7" s="142"/>
      <c r="C7" s="135"/>
      <c r="D7" s="135"/>
      <c r="E7" s="135"/>
      <c r="F7" s="145">
        <f>C7+I7</f>
        <v>26.569400000000002</v>
      </c>
      <c r="G7" s="132"/>
      <c r="H7" s="137"/>
      <c r="I7" s="135">
        <f>1328.47*0.02</f>
        <v>26.569400000000002</v>
      </c>
      <c r="J7" s="135"/>
      <c r="K7" s="135"/>
      <c r="L7" s="135">
        <f>1328.47*0.03</f>
        <v>39.854100000000003</v>
      </c>
      <c r="M7" s="135"/>
      <c r="N7" s="135"/>
      <c r="O7" s="134">
        <f t="shared" si="0"/>
        <v>39.854100000000003</v>
      </c>
      <c r="P7" s="126"/>
      <c r="Q7" s="126"/>
    </row>
    <row r="8" spans="1:17">
      <c r="A8" s="138" t="s">
        <v>225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</row>
    <row r="9" spans="1:17">
      <c r="A9" s="133" t="s">
        <v>99</v>
      </c>
      <c r="B9" s="133"/>
      <c r="C9" s="133" t="s">
        <v>220</v>
      </c>
      <c r="D9" s="133"/>
      <c r="E9" s="133"/>
      <c r="F9" s="133" t="s">
        <v>111</v>
      </c>
      <c r="G9" s="133"/>
      <c r="H9" s="133"/>
      <c r="I9" s="133" t="s">
        <v>224</v>
      </c>
      <c r="J9" s="133"/>
      <c r="K9" s="133"/>
      <c r="L9" s="126"/>
      <c r="M9" s="126"/>
      <c r="N9" s="126"/>
      <c r="O9" s="126"/>
      <c r="P9" s="126"/>
      <c r="Q9" s="126"/>
    </row>
    <row r="10" spans="1:17">
      <c r="A10" s="141" t="s">
        <v>11</v>
      </c>
      <c r="B10" s="142"/>
      <c r="C10" s="126">
        <v>6850</v>
      </c>
      <c r="D10" s="126"/>
      <c r="E10" s="126"/>
      <c r="F10" s="126">
        <v>960</v>
      </c>
      <c r="G10" s="126"/>
      <c r="H10" s="126"/>
      <c r="I10" s="126">
        <v>1848</v>
      </c>
      <c r="J10" s="126"/>
      <c r="K10" s="126"/>
      <c r="L10" s="126">
        <f>C10+F10+I10</f>
        <v>9658</v>
      </c>
      <c r="M10" s="126"/>
      <c r="N10" s="126"/>
      <c r="O10" s="126"/>
      <c r="P10" s="126"/>
      <c r="Q10" s="126"/>
    </row>
    <row r="11" spans="1:17">
      <c r="A11" s="141" t="s">
        <v>15</v>
      </c>
      <c r="B11" s="142"/>
      <c r="C11" s="126">
        <v>5880</v>
      </c>
      <c r="D11" s="126"/>
      <c r="E11" s="126"/>
      <c r="F11" s="126">
        <v>810</v>
      </c>
      <c r="G11" s="126"/>
      <c r="H11" s="126"/>
      <c r="I11" s="126">
        <v>1577</v>
      </c>
      <c r="J11" s="126"/>
      <c r="K11" s="126"/>
      <c r="L11" s="126">
        <f t="shared" ref="L11:L13" si="1">C11+F11+I11</f>
        <v>8267</v>
      </c>
      <c r="M11" s="126"/>
      <c r="N11" s="126"/>
      <c r="O11" s="126"/>
      <c r="P11" s="126"/>
      <c r="Q11" s="126"/>
    </row>
    <row r="12" spans="1:17" ht="28.5" customHeight="1">
      <c r="A12" s="143" t="s">
        <v>96</v>
      </c>
      <c r="B12" s="144"/>
      <c r="C12" s="126">
        <v>8750</v>
      </c>
      <c r="D12" s="126"/>
      <c r="E12" s="126"/>
      <c r="F12" s="126">
        <v>1650</v>
      </c>
      <c r="G12" s="126"/>
      <c r="H12" s="126"/>
      <c r="I12" s="126">
        <v>3679</v>
      </c>
      <c r="J12" s="126"/>
      <c r="K12" s="126"/>
      <c r="L12" s="126">
        <f t="shared" si="1"/>
        <v>14079</v>
      </c>
      <c r="M12" s="126"/>
      <c r="N12" s="126"/>
      <c r="O12" s="126"/>
      <c r="P12" s="126"/>
      <c r="Q12" s="126"/>
    </row>
    <row r="13" spans="1:17">
      <c r="A13" s="141" t="s">
        <v>93</v>
      </c>
      <c r="B13" s="142"/>
      <c r="C13" s="126">
        <v>7260</v>
      </c>
      <c r="D13" s="126"/>
      <c r="E13" s="126"/>
      <c r="F13" s="126">
        <v>3900</v>
      </c>
      <c r="G13" s="126"/>
      <c r="H13" s="126"/>
      <c r="I13" s="126">
        <v>3518</v>
      </c>
      <c r="J13" s="126"/>
      <c r="K13" s="126"/>
      <c r="L13" s="126">
        <f t="shared" si="1"/>
        <v>14678</v>
      </c>
      <c r="M13" s="126"/>
      <c r="N13" s="126"/>
      <c r="O13" s="126"/>
      <c r="P13" s="126"/>
      <c r="Q13" s="126"/>
    </row>
    <row r="14" spans="1:17">
      <c r="A14" s="89"/>
      <c r="B14" s="92"/>
      <c r="C14" s="132">
        <f>SUM(C10:E13)</f>
        <v>28740</v>
      </c>
      <c r="D14" s="132"/>
      <c r="E14" s="132"/>
      <c r="F14" s="132">
        <f>SUM(F10:H13)</f>
        <v>7320</v>
      </c>
      <c r="G14" s="132"/>
      <c r="H14" s="132"/>
      <c r="I14" s="132">
        <f>SUM(I10:K13)</f>
        <v>10622</v>
      </c>
      <c r="J14" s="132"/>
      <c r="K14" s="132"/>
      <c r="L14" s="132">
        <f>SUM(C14:K14)</f>
        <v>46682</v>
      </c>
      <c r="M14" s="132"/>
      <c r="N14" s="132"/>
      <c r="O14" s="91"/>
      <c r="P14" s="91"/>
      <c r="Q14" s="90"/>
    </row>
    <row r="15" spans="1:17">
      <c r="A15" s="136" t="s">
        <v>227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7"/>
    </row>
    <row r="16" spans="1:17">
      <c r="A16" s="133" t="s">
        <v>99</v>
      </c>
      <c r="B16" s="133"/>
      <c r="C16" s="133" t="s">
        <v>220</v>
      </c>
      <c r="D16" s="133"/>
      <c r="E16" s="133"/>
      <c r="F16" s="133" t="s">
        <v>111</v>
      </c>
      <c r="G16" s="133"/>
      <c r="H16" s="133"/>
      <c r="I16" s="133" t="s">
        <v>111</v>
      </c>
      <c r="J16" s="133"/>
      <c r="K16" s="133"/>
      <c r="L16" s="133" t="s">
        <v>224</v>
      </c>
      <c r="M16" s="133"/>
      <c r="N16" s="133"/>
      <c r="O16" s="133" t="s">
        <v>223</v>
      </c>
      <c r="P16" s="133"/>
      <c r="Q16" s="133"/>
    </row>
    <row r="17" spans="1:17">
      <c r="A17" s="141" t="s">
        <v>11</v>
      </c>
      <c r="B17" s="142"/>
      <c r="C17" s="146">
        <v>23585.39</v>
      </c>
      <c r="D17" s="146"/>
      <c r="E17" s="146"/>
      <c r="F17" s="145">
        <f>C17+I17</f>
        <v>24037.9774</v>
      </c>
      <c r="G17" s="132"/>
      <c r="H17" s="137"/>
      <c r="I17" s="134">
        <f>22629.37*0.02</f>
        <v>452.5874</v>
      </c>
      <c r="J17" s="126"/>
      <c r="K17" s="126"/>
      <c r="L17" s="134">
        <f>22629.37*0.03</f>
        <v>678.88109999999995</v>
      </c>
      <c r="M17" s="126"/>
      <c r="N17" s="126"/>
      <c r="O17" s="134">
        <f>L17+C17</f>
        <v>24264.271099999998</v>
      </c>
      <c r="P17" s="126"/>
      <c r="Q17" s="126"/>
    </row>
    <row r="18" spans="1:17">
      <c r="A18" s="141" t="s">
        <v>15</v>
      </c>
      <c r="B18" s="142"/>
      <c r="C18" s="146">
        <v>23830.7</v>
      </c>
      <c r="D18" s="146"/>
      <c r="E18" s="146"/>
      <c r="F18" s="145">
        <f>C18+I18</f>
        <v>24285.685400000002</v>
      </c>
      <c r="G18" s="132"/>
      <c r="H18" s="137"/>
      <c r="I18" s="135">
        <f>22749.27*0.02</f>
        <v>454.98540000000003</v>
      </c>
      <c r="J18" s="135"/>
      <c r="K18" s="135"/>
      <c r="L18" s="135">
        <f>22749.27*0.03</f>
        <v>682.47810000000004</v>
      </c>
      <c r="M18" s="135"/>
      <c r="N18" s="135"/>
      <c r="O18" s="134">
        <f t="shared" ref="O18:O20" si="2">L18+C18</f>
        <v>24513.178100000001</v>
      </c>
      <c r="P18" s="126"/>
      <c r="Q18" s="126"/>
    </row>
    <row r="19" spans="1:17" ht="29.25" customHeight="1">
      <c r="A19" s="143" t="s">
        <v>96</v>
      </c>
      <c r="B19" s="144"/>
      <c r="C19" s="146">
        <v>5330.99</v>
      </c>
      <c r="D19" s="146"/>
      <c r="E19" s="146"/>
      <c r="F19" s="145">
        <f>C19+I19</f>
        <v>5434.9254000000001</v>
      </c>
      <c r="G19" s="132"/>
      <c r="H19" s="137"/>
      <c r="I19" s="135">
        <f>5196.77*0.02</f>
        <v>103.93540000000002</v>
      </c>
      <c r="J19" s="135"/>
      <c r="K19" s="135"/>
      <c r="L19" s="135">
        <f>5196.77*0.03</f>
        <v>155.90309999999999</v>
      </c>
      <c r="M19" s="135"/>
      <c r="N19" s="135"/>
      <c r="O19" s="134">
        <f t="shared" si="2"/>
        <v>5486.8930999999993</v>
      </c>
      <c r="P19" s="126"/>
      <c r="Q19" s="126"/>
    </row>
    <row r="20" spans="1:17">
      <c r="A20" s="141" t="s">
        <v>93</v>
      </c>
      <c r="B20" s="142"/>
      <c r="C20" s="146">
        <v>1303.24</v>
      </c>
      <c r="D20" s="146"/>
      <c r="E20" s="146"/>
      <c r="F20" s="145">
        <f>C20+I20</f>
        <v>1329.8094000000001</v>
      </c>
      <c r="G20" s="132"/>
      <c r="H20" s="137"/>
      <c r="I20" s="135">
        <f>1328.47*0.02</f>
        <v>26.569400000000002</v>
      </c>
      <c r="J20" s="135"/>
      <c r="K20" s="135"/>
      <c r="L20" s="135">
        <f>1328.47*0.03</f>
        <v>39.854100000000003</v>
      </c>
      <c r="M20" s="135"/>
      <c r="N20" s="135"/>
      <c r="O20" s="134">
        <f t="shared" si="2"/>
        <v>1343.0941</v>
      </c>
      <c r="P20" s="126"/>
      <c r="Q20" s="126"/>
    </row>
    <row r="21" spans="1:17">
      <c r="A21" s="138" t="s">
        <v>228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</row>
    <row r="22" spans="1:17">
      <c r="A22" s="133" t="s">
        <v>99</v>
      </c>
      <c r="B22" s="133"/>
      <c r="C22" s="133" t="s">
        <v>220</v>
      </c>
      <c r="D22" s="133"/>
      <c r="E22" s="133"/>
      <c r="F22" s="133" t="s">
        <v>111</v>
      </c>
      <c r="G22" s="133"/>
      <c r="H22" s="133"/>
      <c r="I22" s="133" t="s">
        <v>224</v>
      </c>
      <c r="J22" s="133"/>
      <c r="K22" s="133"/>
      <c r="L22" s="126"/>
      <c r="M22" s="126"/>
      <c r="N22" s="126"/>
      <c r="O22" s="126"/>
      <c r="P22" s="126"/>
      <c r="Q22" s="126"/>
    </row>
    <row r="23" spans="1:17">
      <c r="A23" s="141" t="s">
        <v>11</v>
      </c>
      <c r="B23" s="142"/>
      <c r="C23" s="126">
        <v>6030</v>
      </c>
      <c r="D23" s="126"/>
      <c r="E23" s="126"/>
      <c r="F23" s="126">
        <v>870</v>
      </c>
      <c r="G23" s="126"/>
      <c r="H23" s="126"/>
      <c r="I23" s="126">
        <v>1613</v>
      </c>
      <c r="J23" s="126"/>
      <c r="K23" s="126"/>
      <c r="L23" s="126">
        <f>SUM(C23:K23)</f>
        <v>8513</v>
      </c>
      <c r="M23" s="126"/>
      <c r="N23" s="126"/>
      <c r="O23" s="126"/>
      <c r="P23" s="126"/>
      <c r="Q23" s="126"/>
    </row>
    <row r="24" spans="1:17">
      <c r="A24" s="141" t="s">
        <v>15</v>
      </c>
      <c r="B24" s="142"/>
      <c r="C24" s="126">
        <v>5130</v>
      </c>
      <c r="D24" s="126"/>
      <c r="E24" s="126"/>
      <c r="F24" s="126">
        <v>730</v>
      </c>
      <c r="G24" s="126"/>
      <c r="H24" s="126"/>
      <c r="I24" s="126">
        <v>1372</v>
      </c>
      <c r="J24" s="126"/>
      <c r="K24" s="126"/>
      <c r="L24" s="126">
        <f>SUM(C24:K24)</f>
        <v>7232</v>
      </c>
      <c r="M24" s="126"/>
      <c r="N24" s="126"/>
      <c r="O24" s="126"/>
      <c r="P24" s="126"/>
      <c r="Q24" s="126"/>
    </row>
    <row r="25" spans="1:17">
      <c r="A25" s="143" t="s">
        <v>96</v>
      </c>
      <c r="B25" s="144"/>
      <c r="C25" s="126">
        <v>7980</v>
      </c>
      <c r="D25" s="126"/>
      <c r="E25" s="126"/>
      <c r="F25" s="126">
        <v>1500</v>
      </c>
      <c r="G25" s="126"/>
      <c r="H25" s="126"/>
      <c r="I25" s="126">
        <v>3388</v>
      </c>
      <c r="J25" s="126"/>
      <c r="K25" s="126"/>
      <c r="L25" s="126">
        <f>SUM(C25:K25)</f>
        <v>12868</v>
      </c>
      <c r="M25" s="126"/>
      <c r="N25" s="126"/>
      <c r="O25" s="126"/>
      <c r="P25" s="126"/>
      <c r="Q25" s="126"/>
    </row>
    <row r="26" spans="1:17">
      <c r="A26" s="141" t="s">
        <v>93</v>
      </c>
      <c r="B26" s="142"/>
      <c r="C26" s="126">
        <v>6730</v>
      </c>
      <c r="D26" s="126"/>
      <c r="E26" s="126"/>
      <c r="F26" s="126">
        <v>3560</v>
      </c>
      <c r="G26" s="126"/>
      <c r="H26" s="126"/>
      <c r="I26" s="126">
        <v>3348</v>
      </c>
      <c r="J26" s="126"/>
      <c r="K26" s="126"/>
      <c r="L26" s="126">
        <f>SUM(C26:K26)</f>
        <v>13638</v>
      </c>
      <c r="M26" s="126"/>
      <c r="N26" s="126"/>
      <c r="O26" s="126"/>
      <c r="P26" s="126"/>
      <c r="Q26" s="126"/>
    </row>
    <row r="27" spans="1:17">
      <c r="A27" s="89"/>
      <c r="B27" s="92"/>
      <c r="C27" s="132">
        <f>SUM(C23:E26)</f>
        <v>25870</v>
      </c>
      <c r="D27" s="132"/>
      <c r="E27" s="132"/>
      <c r="F27" s="132">
        <f>SUM(F23:H26)</f>
        <v>6660</v>
      </c>
      <c r="G27" s="132"/>
      <c r="H27" s="132"/>
      <c r="I27" s="132">
        <f>SUM(I23:K26)</f>
        <v>9721</v>
      </c>
      <c r="J27" s="132"/>
      <c r="K27" s="132"/>
      <c r="L27" s="132">
        <f>SUM(C27:K27)</f>
        <v>42251</v>
      </c>
      <c r="M27" s="132"/>
      <c r="N27" s="132"/>
      <c r="O27" s="91"/>
      <c r="P27" s="91"/>
      <c r="Q27" s="90"/>
    </row>
    <row r="28" spans="1:17">
      <c r="A28" s="136" t="s">
        <v>229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7"/>
    </row>
    <row r="29" spans="1:17">
      <c r="A29" s="133" t="s">
        <v>99</v>
      </c>
      <c r="B29" s="133"/>
      <c r="C29" s="133" t="s">
        <v>220</v>
      </c>
      <c r="D29" s="133"/>
      <c r="E29" s="133"/>
      <c r="F29" s="133" t="s">
        <v>111</v>
      </c>
      <c r="G29" s="133"/>
      <c r="H29" s="133"/>
      <c r="I29" s="133" t="s">
        <v>111</v>
      </c>
      <c r="J29" s="133"/>
      <c r="K29" s="133"/>
      <c r="L29" s="133" t="s">
        <v>224</v>
      </c>
      <c r="M29" s="133"/>
      <c r="N29" s="133"/>
      <c r="O29" s="133" t="s">
        <v>223</v>
      </c>
      <c r="P29" s="133"/>
      <c r="Q29" s="133"/>
    </row>
    <row r="30" spans="1:17">
      <c r="A30" s="141" t="s">
        <v>11</v>
      </c>
      <c r="B30" s="142"/>
      <c r="C30" s="135">
        <v>23365.49</v>
      </c>
      <c r="D30" s="135"/>
      <c r="E30" s="135"/>
      <c r="F30" s="145">
        <f>C30+I30</f>
        <v>23818.077400000002</v>
      </c>
      <c r="G30" s="132"/>
      <c r="H30" s="137"/>
      <c r="I30" s="134">
        <f>22629.37*0.02</f>
        <v>452.5874</v>
      </c>
      <c r="J30" s="126"/>
      <c r="K30" s="126"/>
      <c r="L30" s="134">
        <f>22629.37*0.03</f>
        <v>678.88109999999995</v>
      </c>
      <c r="M30" s="126"/>
      <c r="N30" s="126"/>
      <c r="O30" s="134">
        <f>L30+C30</f>
        <v>24044.3711</v>
      </c>
      <c r="P30" s="126"/>
      <c r="Q30" s="126"/>
    </row>
    <row r="31" spans="1:17">
      <c r="A31" s="141" t="s">
        <v>15</v>
      </c>
      <c r="B31" s="142"/>
      <c r="C31" s="135">
        <v>23680.799999999999</v>
      </c>
      <c r="D31" s="135"/>
      <c r="E31" s="135"/>
      <c r="F31" s="145">
        <f>C31+I31</f>
        <v>24135.785400000001</v>
      </c>
      <c r="G31" s="132"/>
      <c r="H31" s="137"/>
      <c r="I31" s="135">
        <f>22749.27*0.02</f>
        <v>454.98540000000003</v>
      </c>
      <c r="J31" s="135"/>
      <c r="K31" s="135"/>
      <c r="L31" s="135">
        <f>22749.27*0.03</f>
        <v>682.47810000000004</v>
      </c>
      <c r="M31" s="135"/>
      <c r="N31" s="135"/>
      <c r="O31" s="134">
        <f t="shared" ref="O31:O33" si="3">L31+C31</f>
        <v>24363.2781</v>
      </c>
      <c r="P31" s="126"/>
      <c r="Q31" s="126"/>
    </row>
    <row r="32" spans="1:17">
      <c r="A32" s="143" t="s">
        <v>96</v>
      </c>
      <c r="B32" s="144"/>
      <c r="C32" s="135">
        <v>5231.09</v>
      </c>
      <c r="D32" s="135"/>
      <c r="E32" s="135"/>
      <c r="F32" s="145">
        <f>C32+I32</f>
        <v>5335.0254000000004</v>
      </c>
      <c r="G32" s="132"/>
      <c r="H32" s="137"/>
      <c r="I32" s="135">
        <f>5196.77*0.02</f>
        <v>103.93540000000002</v>
      </c>
      <c r="J32" s="135"/>
      <c r="K32" s="135"/>
      <c r="L32" s="135">
        <f>5196.77*0.03</f>
        <v>155.90309999999999</v>
      </c>
      <c r="M32" s="135"/>
      <c r="N32" s="135"/>
      <c r="O32" s="134">
        <f t="shared" si="3"/>
        <v>5386.9930999999997</v>
      </c>
      <c r="P32" s="126"/>
      <c r="Q32" s="126"/>
    </row>
    <row r="33" spans="1:17">
      <c r="A33" s="141" t="s">
        <v>93</v>
      </c>
      <c r="B33" s="142"/>
      <c r="C33" s="135">
        <v>1243.44</v>
      </c>
      <c r="D33" s="135"/>
      <c r="E33" s="135"/>
      <c r="F33" s="145">
        <f>C33+I33</f>
        <v>1270.0094000000001</v>
      </c>
      <c r="G33" s="132"/>
      <c r="H33" s="137"/>
      <c r="I33" s="135">
        <f>1328.47*0.02</f>
        <v>26.569400000000002</v>
      </c>
      <c r="J33" s="135"/>
      <c r="K33" s="135"/>
      <c r="L33" s="135">
        <f>1328.47*0.03</f>
        <v>39.854100000000003</v>
      </c>
      <c r="M33" s="135"/>
      <c r="N33" s="135"/>
      <c r="O33" s="134">
        <f t="shared" si="3"/>
        <v>1283.2941000000001</v>
      </c>
      <c r="P33" s="126"/>
      <c r="Q33" s="126"/>
    </row>
    <row r="34" spans="1:17">
      <c r="A34" s="138" t="s">
        <v>230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40"/>
    </row>
    <row r="35" spans="1:17">
      <c r="A35" s="133" t="s">
        <v>99</v>
      </c>
      <c r="B35" s="133"/>
      <c r="C35" s="133" t="s">
        <v>220</v>
      </c>
      <c r="D35" s="133"/>
      <c r="E35" s="133"/>
      <c r="F35" s="133" t="s">
        <v>111</v>
      </c>
      <c r="G35" s="133"/>
      <c r="H35" s="133"/>
      <c r="I35" s="133" t="s">
        <v>224</v>
      </c>
      <c r="J35" s="133"/>
      <c r="K35" s="133"/>
      <c r="L35" s="126"/>
      <c r="M35" s="126"/>
      <c r="N35" s="126"/>
      <c r="O35" s="126"/>
      <c r="P35" s="126"/>
      <c r="Q35" s="126"/>
    </row>
    <row r="36" spans="1:17">
      <c r="A36" s="141" t="s">
        <v>11</v>
      </c>
      <c r="B36" s="142"/>
      <c r="C36" s="126">
        <v>6180</v>
      </c>
      <c r="D36" s="126"/>
      <c r="E36" s="126"/>
      <c r="F36" s="126">
        <v>900</v>
      </c>
      <c r="G36" s="126"/>
      <c r="H36" s="126"/>
      <c r="I36" s="126">
        <v>1646</v>
      </c>
      <c r="J36" s="126"/>
      <c r="K36" s="126"/>
      <c r="L36" s="126">
        <f>SUM(C36:K36)</f>
        <v>8726</v>
      </c>
      <c r="M36" s="126"/>
      <c r="N36" s="126"/>
      <c r="O36" s="126"/>
      <c r="P36" s="126"/>
      <c r="Q36" s="126"/>
    </row>
    <row r="37" spans="1:17">
      <c r="A37" s="141" t="s">
        <v>15</v>
      </c>
      <c r="B37" s="142"/>
      <c r="C37" s="126">
        <v>5250</v>
      </c>
      <c r="D37" s="126"/>
      <c r="E37" s="126"/>
      <c r="F37" s="126">
        <v>760</v>
      </c>
      <c r="G37" s="126"/>
      <c r="H37" s="126"/>
      <c r="I37" s="126">
        <v>1398</v>
      </c>
      <c r="J37" s="126"/>
      <c r="K37" s="126"/>
      <c r="L37" s="126">
        <f>SUM(C37:K37)</f>
        <v>7408</v>
      </c>
      <c r="M37" s="126"/>
      <c r="N37" s="126"/>
      <c r="O37" s="126"/>
      <c r="P37" s="126"/>
      <c r="Q37" s="126"/>
    </row>
    <row r="38" spans="1:17">
      <c r="A38" s="143" t="s">
        <v>96</v>
      </c>
      <c r="B38" s="144"/>
      <c r="C38" s="126">
        <v>8220</v>
      </c>
      <c r="D38" s="126"/>
      <c r="E38" s="126"/>
      <c r="F38" s="126">
        <v>1580</v>
      </c>
      <c r="G38" s="126"/>
      <c r="H38" s="126"/>
      <c r="I38" s="126">
        <v>3490</v>
      </c>
      <c r="J38" s="126"/>
      <c r="K38" s="126"/>
      <c r="L38" s="126">
        <f>SUM(C38:K38)</f>
        <v>13290</v>
      </c>
      <c r="M38" s="126"/>
      <c r="N38" s="126"/>
      <c r="O38" s="126"/>
      <c r="P38" s="126"/>
      <c r="Q38" s="126"/>
    </row>
    <row r="39" spans="1:17">
      <c r="A39" s="141" t="s">
        <v>93</v>
      </c>
      <c r="B39" s="142"/>
      <c r="C39" s="126">
        <v>6790</v>
      </c>
      <c r="D39" s="126"/>
      <c r="E39" s="126"/>
      <c r="F39" s="126">
        <v>3710</v>
      </c>
      <c r="G39" s="126"/>
      <c r="H39" s="126"/>
      <c r="I39" s="126">
        <v>3440</v>
      </c>
      <c r="J39" s="126"/>
      <c r="K39" s="126"/>
      <c r="L39" s="126">
        <f>SUM(C39:K39)</f>
        <v>13940</v>
      </c>
      <c r="M39" s="126"/>
      <c r="N39" s="126"/>
      <c r="O39" s="126"/>
      <c r="P39" s="126"/>
      <c r="Q39" s="126"/>
    </row>
    <row r="40" spans="1:17">
      <c r="A40" s="89"/>
      <c r="B40" s="92"/>
      <c r="C40" s="132">
        <f>SUM(C36:E39)</f>
        <v>26440</v>
      </c>
      <c r="D40" s="132"/>
      <c r="E40" s="132"/>
      <c r="F40" s="132">
        <f>SUM(F36:H39)</f>
        <v>6950</v>
      </c>
      <c r="G40" s="132"/>
      <c r="H40" s="132"/>
      <c r="I40" s="132">
        <f>SUM(I36:K39)</f>
        <v>9974</v>
      </c>
      <c r="J40" s="132"/>
      <c r="K40" s="132"/>
      <c r="L40" s="132">
        <f>SUM(C40:K40)</f>
        <v>43364</v>
      </c>
      <c r="M40" s="132"/>
      <c r="N40" s="132"/>
      <c r="O40" s="91"/>
      <c r="P40" s="91"/>
      <c r="Q40" s="90"/>
    </row>
    <row r="41" spans="1:17">
      <c r="A41" s="136" t="s">
        <v>231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7"/>
    </row>
    <row r="42" spans="1:17">
      <c r="A42" s="133" t="s">
        <v>99</v>
      </c>
      <c r="B42" s="133"/>
      <c r="C42" s="133" t="s">
        <v>220</v>
      </c>
      <c r="D42" s="133"/>
      <c r="E42" s="133"/>
      <c r="F42" s="133" t="s">
        <v>111</v>
      </c>
      <c r="G42" s="133"/>
      <c r="H42" s="133"/>
      <c r="I42" s="133" t="s">
        <v>111</v>
      </c>
      <c r="J42" s="133"/>
      <c r="K42" s="133"/>
      <c r="L42" s="133" t="s">
        <v>224</v>
      </c>
      <c r="M42" s="133"/>
      <c r="N42" s="133"/>
      <c r="O42" s="133" t="s">
        <v>223</v>
      </c>
      <c r="P42" s="133"/>
      <c r="Q42" s="133"/>
    </row>
    <row r="43" spans="1:17">
      <c r="A43" s="141" t="s">
        <v>11</v>
      </c>
      <c r="B43" s="142"/>
      <c r="C43" s="135">
        <v>21969.97</v>
      </c>
      <c r="D43" s="135"/>
      <c r="E43" s="135"/>
      <c r="F43" s="145">
        <f>C43+I43</f>
        <v>22422.557400000002</v>
      </c>
      <c r="G43" s="132"/>
      <c r="H43" s="137"/>
      <c r="I43" s="134">
        <f>22629.37*0.02</f>
        <v>452.5874</v>
      </c>
      <c r="J43" s="126"/>
      <c r="K43" s="126"/>
      <c r="L43" s="134">
        <f>22629.37*0.03</f>
        <v>678.88109999999995</v>
      </c>
      <c r="M43" s="126"/>
      <c r="N43" s="126"/>
      <c r="O43" s="134">
        <f>L43+C43</f>
        <v>22648.8511</v>
      </c>
      <c r="P43" s="126"/>
      <c r="Q43" s="126"/>
    </row>
    <row r="44" spans="1:17">
      <c r="A44" s="141" t="s">
        <v>15</v>
      </c>
      <c r="B44" s="142"/>
      <c r="C44" s="135">
        <v>22298.57</v>
      </c>
      <c r="D44" s="135"/>
      <c r="E44" s="135"/>
      <c r="F44" s="145">
        <f>C44+I44</f>
        <v>22753.555400000001</v>
      </c>
      <c r="G44" s="132"/>
      <c r="H44" s="137"/>
      <c r="I44" s="135">
        <f>22749.27*0.02</f>
        <v>454.98540000000003</v>
      </c>
      <c r="J44" s="135"/>
      <c r="K44" s="135"/>
      <c r="L44" s="135">
        <f>22749.27*0.03</f>
        <v>682.47810000000004</v>
      </c>
      <c r="M44" s="135"/>
      <c r="N44" s="135"/>
      <c r="O44" s="134">
        <f t="shared" ref="O44:O46" si="4">L44+C44</f>
        <v>22981.0481</v>
      </c>
      <c r="P44" s="126"/>
      <c r="Q44" s="126"/>
    </row>
    <row r="45" spans="1:17">
      <c r="A45" s="143" t="s">
        <v>96</v>
      </c>
      <c r="B45" s="144"/>
      <c r="C45" s="135">
        <v>4896.07</v>
      </c>
      <c r="D45" s="135"/>
      <c r="E45" s="135"/>
      <c r="F45" s="145">
        <f>C45+I45</f>
        <v>5000.0054</v>
      </c>
      <c r="G45" s="132"/>
      <c r="H45" s="137"/>
      <c r="I45" s="135">
        <f>5196.77*0.02</f>
        <v>103.93540000000002</v>
      </c>
      <c r="J45" s="135"/>
      <c r="K45" s="135"/>
      <c r="L45" s="135">
        <f>5196.77*0.03</f>
        <v>155.90309999999999</v>
      </c>
      <c r="M45" s="135"/>
      <c r="N45" s="135"/>
      <c r="O45" s="134">
        <f t="shared" si="4"/>
        <v>5051.9730999999992</v>
      </c>
      <c r="P45" s="126"/>
      <c r="Q45" s="126"/>
    </row>
    <row r="46" spans="1:17">
      <c r="A46" s="141" t="s">
        <v>93</v>
      </c>
      <c r="B46" s="142"/>
      <c r="C46" s="135">
        <v>1147.73</v>
      </c>
      <c r="D46" s="135"/>
      <c r="E46" s="135"/>
      <c r="F46" s="145">
        <f>C46+I46</f>
        <v>1174.2994000000001</v>
      </c>
      <c r="G46" s="132"/>
      <c r="H46" s="137"/>
      <c r="I46" s="135">
        <f>1328.47*0.02</f>
        <v>26.569400000000002</v>
      </c>
      <c r="J46" s="135"/>
      <c r="K46" s="135"/>
      <c r="L46" s="135">
        <f>1328.47*0.03</f>
        <v>39.854100000000003</v>
      </c>
      <c r="M46" s="135"/>
      <c r="N46" s="135"/>
      <c r="O46" s="134">
        <f t="shared" si="4"/>
        <v>1187.5841</v>
      </c>
      <c r="P46" s="126"/>
      <c r="Q46" s="126"/>
    </row>
    <row r="47" spans="1:17">
      <c r="A47" s="138" t="s">
        <v>232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40"/>
    </row>
    <row r="48" spans="1:17">
      <c r="A48" s="133" t="s">
        <v>99</v>
      </c>
      <c r="B48" s="133"/>
      <c r="C48" s="133" t="s">
        <v>220</v>
      </c>
      <c r="D48" s="133"/>
      <c r="E48" s="133"/>
      <c r="F48" s="133" t="s">
        <v>111</v>
      </c>
      <c r="G48" s="133"/>
      <c r="H48" s="133"/>
      <c r="I48" s="133" t="s">
        <v>224</v>
      </c>
      <c r="J48" s="133"/>
      <c r="K48" s="133"/>
      <c r="L48" s="126"/>
      <c r="M48" s="126"/>
      <c r="N48" s="126"/>
      <c r="O48" s="126"/>
      <c r="P48" s="126"/>
      <c r="Q48" s="126"/>
    </row>
    <row r="49" spans="1:17">
      <c r="A49" s="141" t="s">
        <v>11</v>
      </c>
      <c r="B49" s="142"/>
      <c r="C49" s="126">
        <v>6030</v>
      </c>
      <c r="D49" s="126"/>
      <c r="E49" s="126"/>
      <c r="F49" s="126">
        <v>870</v>
      </c>
      <c r="G49" s="126"/>
      <c r="H49" s="126"/>
      <c r="I49" s="126">
        <v>1613</v>
      </c>
      <c r="J49" s="126"/>
      <c r="K49" s="126"/>
      <c r="L49" s="126">
        <f>SUM(C49:K49)</f>
        <v>8513</v>
      </c>
      <c r="M49" s="126"/>
      <c r="N49" s="126"/>
      <c r="O49" s="126"/>
      <c r="P49" s="126"/>
      <c r="Q49" s="126"/>
    </row>
    <row r="50" spans="1:17" ht="15" customHeight="1">
      <c r="A50" s="141" t="s">
        <v>15</v>
      </c>
      <c r="B50" s="142"/>
      <c r="C50" s="126">
        <v>5130</v>
      </c>
      <c r="D50" s="126"/>
      <c r="E50" s="126"/>
      <c r="F50" s="126">
        <v>730</v>
      </c>
      <c r="G50" s="126"/>
      <c r="H50" s="126"/>
      <c r="I50" s="126">
        <v>1372</v>
      </c>
      <c r="J50" s="126"/>
      <c r="K50" s="126"/>
      <c r="L50" s="126">
        <f t="shared" ref="L50:L52" si="5">SUM(C50:K50)</f>
        <v>7232</v>
      </c>
      <c r="M50" s="126"/>
      <c r="N50" s="126"/>
      <c r="O50" s="126"/>
      <c r="P50" s="126"/>
      <c r="Q50" s="126"/>
    </row>
    <row r="51" spans="1:17">
      <c r="A51" s="143" t="s">
        <v>96</v>
      </c>
      <c r="B51" s="144"/>
      <c r="C51" s="126">
        <v>7980</v>
      </c>
      <c r="D51" s="126"/>
      <c r="E51" s="126"/>
      <c r="F51" s="126">
        <v>1490</v>
      </c>
      <c r="G51" s="126"/>
      <c r="H51" s="126"/>
      <c r="I51" s="126">
        <v>3388</v>
      </c>
      <c r="J51" s="126"/>
      <c r="K51" s="126"/>
      <c r="L51" s="126">
        <f t="shared" si="5"/>
        <v>12858</v>
      </c>
      <c r="M51" s="126"/>
      <c r="N51" s="126"/>
      <c r="O51" s="126"/>
      <c r="P51" s="126"/>
      <c r="Q51" s="126"/>
    </row>
    <row r="52" spans="1:17">
      <c r="A52" s="141" t="s">
        <v>93</v>
      </c>
      <c r="B52" s="142"/>
      <c r="C52" s="126">
        <v>6730</v>
      </c>
      <c r="D52" s="126"/>
      <c r="E52" s="126"/>
      <c r="F52" s="126">
        <v>3520</v>
      </c>
      <c r="G52" s="126"/>
      <c r="H52" s="126"/>
      <c r="I52" s="126">
        <v>3348</v>
      </c>
      <c r="J52" s="126"/>
      <c r="K52" s="126"/>
      <c r="L52" s="126">
        <f t="shared" si="5"/>
        <v>13598</v>
      </c>
      <c r="M52" s="126"/>
      <c r="N52" s="126"/>
      <c r="O52" s="126"/>
      <c r="P52" s="126"/>
      <c r="Q52" s="126"/>
    </row>
    <row r="53" spans="1:17">
      <c r="A53" s="89"/>
      <c r="B53" s="92"/>
      <c r="C53" s="132">
        <f>SUM(C49:E52)</f>
        <v>25870</v>
      </c>
      <c r="D53" s="132"/>
      <c r="E53" s="132"/>
      <c r="F53" s="132">
        <f>SUM(F49:H52)</f>
        <v>6610</v>
      </c>
      <c r="G53" s="132"/>
      <c r="H53" s="132"/>
      <c r="I53" s="132">
        <f>SUM(I49:K52)</f>
        <v>9721</v>
      </c>
      <c r="J53" s="132"/>
      <c r="K53" s="132"/>
      <c r="L53" s="132">
        <f>SUM(C53:K53)</f>
        <v>42201</v>
      </c>
      <c r="M53" s="132"/>
      <c r="N53" s="132"/>
      <c r="O53" s="91"/>
      <c r="P53" s="91"/>
      <c r="Q53" s="90"/>
    </row>
    <row r="54" spans="1:17">
      <c r="A54" s="136" t="s">
        <v>233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7"/>
    </row>
    <row r="55" spans="1:17">
      <c r="A55" s="133" t="s">
        <v>99</v>
      </c>
      <c r="B55" s="133"/>
      <c r="C55" s="133" t="s">
        <v>220</v>
      </c>
      <c r="D55" s="133"/>
      <c r="E55" s="133"/>
      <c r="F55" s="133" t="s">
        <v>111</v>
      </c>
      <c r="G55" s="133"/>
      <c r="H55" s="133"/>
      <c r="I55" s="133" t="s">
        <v>111</v>
      </c>
      <c r="J55" s="133"/>
      <c r="K55" s="133"/>
      <c r="L55" s="133" t="s">
        <v>224</v>
      </c>
      <c r="M55" s="133"/>
      <c r="N55" s="133"/>
      <c r="O55" s="133" t="s">
        <v>223</v>
      </c>
      <c r="P55" s="133"/>
      <c r="Q55" s="133"/>
    </row>
    <row r="56" spans="1:17">
      <c r="A56" s="141" t="s">
        <v>11</v>
      </c>
      <c r="B56" s="142"/>
      <c r="C56" s="135">
        <v>21377.49</v>
      </c>
      <c r="D56" s="135"/>
      <c r="E56" s="135"/>
      <c r="F56" s="145">
        <f>C56+I56</f>
        <v>21830.077400000002</v>
      </c>
      <c r="G56" s="132"/>
      <c r="H56" s="137"/>
      <c r="I56" s="134">
        <f>22629.37*0.02</f>
        <v>452.5874</v>
      </c>
      <c r="J56" s="126"/>
      <c r="K56" s="126"/>
      <c r="L56" s="134">
        <f>22629.37*0.03</f>
        <v>678.88109999999995</v>
      </c>
      <c r="M56" s="126"/>
      <c r="N56" s="126"/>
      <c r="O56" s="134">
        <f>L56+C56</f>
        <v>22056.3711</v>
      </c>
      <c r="P56" s="126"/>
      <c r="Q56" s="126"/>
    </row>
    <row r="57" spans="1:17">
      <c r="A57" s="141" t="s">
        <v>15</v>
      </c>
      <c r="B57" s="142"/>
      <c r="C57" s="135">
        <v>21758.44</v>
      </c>
      <c r="D57" s="135"/>
      <c r="E57" s="135"/>
      <c r="F57" s="145">
        <f>C57+I57</f>
        <v>22213.4254</v>
      </c>
      <c r="G57" s="132"/>
      <c r="H57" s="137"/>
      <c r="I57" s="135">
        <f>22749.27*0.02</f>
        <v>454.98540000000003</v>
      </c>
      <c r="J57" s="135"/>
      <c r="K57" s="135"/>
      <c r="L57" s="135">
        <f>22749.27*0.03</f>
        <v>682.47810000000004</v>
      </c>
      <c r="M57" s="135"/>
      <c r="N57" s="135"/>
      <c r="O57" s="134">
        <f t="shared" ref="O57:O59" si="6">L57+C57</f>
        <v>22440.918099999999</v>
      </c>
      <c r="P57" s="126"/>
      <c r="Q57" s="126"/>
    </row>
    <row r="58" spans="1:17">
      <c r="A58" s="143" t="s">
        <v>96</v>
      </c>
      <c r="B58" s="144"/>
      <c r="C58" s="135">
        <v>4721.72</v>
      </c>
      <c r="D58" s="135"/>
      <c r="E58" s="135"/>
      <c r="F58" s="145">
        <f>C58+I58</f>
        <v>4825.6554000000006</v>
      </c>
      <c r="G58" s="132"/>
      <c r="H58" s="137"/>
      <c r="I58" s="135">
        <f>5196.77*0.02</f>
        <v>103.93540000000002</v>
      </c>
      <c r="J58" s="135"/>
      <c r="K58" s="135"/>
      <c r="L58" s="135">
        <f>5196.77*0.03</f>
        <v>155.90309999999999</v>
      </c>
      <c r="M58" s="135"/>
      <c r="N58" s="135"/>
      <c r="O58" s="134">
        <f t="shared" si="6"/>
        <v>4877.6231000000007</v>
      </c>
      <c r="P58" s="126"/>
      <c r="Q58" s="126"/>
    </row>
    <row r="59" spans="1:17">
      <c r="A59" s="141" t="s">
        <v>93</v>
      </c>
      <c r="B59" s="142"/>
      <c r="C59" s="135">
        <v>1076.5</v>
      </c>
      <c r="D59" s="135"/>
      <c r="E59" s="135"/>
      <c r="F59" s="145">
        <f>C59+I59</f>
        <v>1103.0694000000001</v>
      </c>
      <c r="G59" s="132"/>
      <c r="H59" s="137"/>
      <c r="I59" s="135">
        <f>1328.47*0.02</f>
        <v>26.569400000000002</v>
      </c>
      <c r="J59" s="135"/>
      <c r="K59" s="135"/>
      <c r="L59" s="135">
        <f>1328.47*0.03</f>
        <v>39.854100000000003</v>
      </c>
      <c r="M59" s="135"/>
      <c r="N59" s="135"/>
      <c r="O59" s="134">
        <f t="shared" si="6"/>
        <v>1116.3541</v>
      </c>
      <c r="P59" s="126"/>
      <c r="Q59" s="126"/>
    </row>
    <row r="60" spans="1:17">
      <c r="A60" s="138" t="s">
        <v>234</v>
      </c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40"/>
    </row>
    <row r="61" spans="1:17">
      <c r="A61" s="133" t="s">
        <v>99</v>
      </c>
      <c r="B61" s="133"/>
      <c r="C61" s="133" t="s">
        <v>220</v>
      </c>
      <c r="D61" s="133"/>
      <c r="E61" s="133"/>
      <c r="F61" s="133" t="s">
        <v>111</v>
      </c>
      <c r="G61" s="133"/>
      <c r="H61" s="133"/>
      <c r="I61" s="133" t="s">
        <v>224</v>
      </c>
      <c r="J61" s="133"/>
      <c r="K61" s="133"/>
      <c r="L61" s="126"/>
      <c r="M61" s="126"/>
      <c r="N61" s="126"/>
      <c r="O61" s="126"/>
      <c r="P61" s="126"/>
      <c r="Q61" s="126"/>
    </row>
    <row r="62" spans="1:17">
      <c r="A62" s="141" t="s">
        <v>11</v>
      </c>
      <c r="B62" s="142"/>
      <c r="C62" s="126">
        <v>6260</v>
      </c>
      <c r="D62" s="126"/>
      <c r="E62" s="126"/>
      <c r="F62" s="126">
        <v>915</v>
      </c>
      <c r="G62" s="126"/>
      <c r="H62" s="126"/>
      <c r="I62" s="126">
        <v>1697</v>
      </c>
      <c r="J62" s="126"/>
      <c r="K62" s="126"/>
      <c r="L62" s="126">
        <f>SUM(C62:K62)</f>
        <v>8872</v>
      </c>
      <c r="M62" s="126"/>
      <c r="N62" s="126"/>
      <c r="O62" s="126"/>
      <c r="P62" s="126"/>
      <c r="Q62" s="126"/>
    </row>
    <row r="63" spans="1:17">
      <c r="A63" s="141" t="s">
        <v>15</v>
      </c>
      <c r="B63" s="142"/>
      <c r="C63" s="126">
        <v>5320</v>
      </c>
      <c r="D63" s="126"/>
      <c r="E63" s="126"/>
      <c r="F63" s="126">
        <v>760</v>
      </c>
      <c r="G63" s="126"/>
      <c r="H63" s="126"/>
      <c r="I63" s="126">
        <v>1439</v>
      </c>
      <c r="J63" s="126"/>
      <c r="K63" s="126"/>
      <c r="L63" s="126">
        <f t="shared" ref="L63:L65" si="7">SUM(C63:K63)</f>
        <v>7519</v>
      </c>
      <c r="M63" s="126"/>
      <c r="N63" s="126"/>
      <c r="O63" s="126"/>
      <c r="P63" s="126"/>
      <c r="Q63" s="126"/>
    </row>
    <row r="64" spans="1:17">
      <c r="A64" s="143" t="s">
        <v>96</v>
      </c>
      <c r="B64" s="144"/>
      <c r="C64" s="126">
        <v>8650</v>
      </c>
      <c r="D64" s="126"/>
      <c r="E64" s="126"/>
      <c r="F64" s="126">
        <v>1620</v>
      </c>
      <c r="G64" s="126"/>
      <c r="H64" s="126"/>
      <c r="I64" s="126">
        <v>3647</v>
      </c>
      <c r="J64" s="126"/>
      <c r="K64" s="126"/>
      <c r="L64" s="126">
        <f t="shared" si="7"/>
        <v>13917</v>
      </c>
      <c r="M64" s="126"/>
      <c r="N64" s="126"/>
      <c r="O64" s="126"/>
      <c r="P64" s="126"/>
      <c r="Q64" s="126"/>
    </row>
    <row r="65" spans="1:17">
      <c r="A65" s="141" t="s">
        <v>93</v>
      </c>
      <c r="B65" s="142"/>
      <c r="C65" s="126">
        <v>6870</v>
      </c>
      <c r="D65" s="126"/>
      <c r="E65" s="126"/>
      <c r="F65" s="126">
        <v>3750</v>
      </c>
      <c r="G65" s="126"/>
      <c r="H65" s="126"/>
      <c r="I65" s="126">
        <v>3444</v>
      </c>
      <c r="J65" s="126"/>
      <c r="K65" s="126"/>
      <c r="L65" s="126">
        <f t="shared" si="7"/>
        <v>14064</v>
      </c>
      <c r="M65" s="126"/>
      <c r="N65" s="126"/>
      <c r="O65" s="126"/>
      <c r="P65" s="126"/>
      <c r="Q65" s="126"/>
    </row>
    <row r="66" spans="1:17">
      <c r="A66" s="89"/>
      <c r="B66" s="92"/>
      <c r="C66" s="132">
        <f>SUM(C62:E65)</f>
        <v>27100</v>
      </c>
      <c r="D66" s="132"/>
      <c r="E66" s="132"/>
      <c r="F66" s="132">
        <f>SUM(F62:H65)</f>
        <v>7045</v>
      </c>
      <c r="G66" s="132"/>
      <c r="H66" s="132"/>
      <c r="I66" s="132">
        <f>SUM(I62:K65)</f>
        <v>10227</v>
      </c>
      <c r="J66" s="132"/>
      <c r="K66" s="132"/>
      <c r="L66" s="132">
        <f>SUM(C66:K66)</f>
        <v>44372</v>
      </c>
      <c r="M66" s="132"/>
      <c r="N66" s="132"/>
      <c r="O66" s="91"/>
      <c r="P66" s="91"/>
      <c r="Q66" s="90"/>
    </row>
    <row r="67" spans="1:17">
      <c r="A67" s="136" t="s">
        <v>235</v>
      </c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7"/>
    </row>
    <row r="68" spans="1:17">
      <c r="A68" s="133" t="s">
        <v>99</v>
      </c>
      <c r="B68" s="133"/>
      <c r="C68" s="133" t="s">
        <v>220</v>
      </c>
      <c r="D68" s="133"/>
      <c r="E68" s="133"/>
      <c r="F68" s="133" t="s">
        <v>111</v>
      </c>
      <c r="G68" s="133"/>
      <c r="H68" s="133"/>
      <c r="I68" s="133" t="s">
        <v>111</v>
      </c>
      <c r="J68" s="133"/>
      <c r="K68" s="133"/>
      <c r="L68" s="133" t="s">
        <v>224</v>
      </c>
      <c r="M68" s="133"/>
      <c r="N68" s="133"/>
      <c r="O68" s="133" t="s">
        <v>223</v>
      </c>
      <c r="P68" s="133"/>
      <c r="Q68" s="133"/>
    </row>
    <row r="69" spans="1:17">
      <c r="A69" s="141" t="s">
        <v>11</v>
      </c>
      <c r="B69" s="142"/>
      <c r="C69" s="135">
        <v>22705.79</v>
      </c>
      <c r="D69" s="135"/>
      <c r="E69" s="135"/>
      <c r="F69" s="145">
        <f>C69+I69</f>
        <v>23158.377400000001</v>
      </c>
      <c r="G69" s="132"/>
      <c r="H69" s="137"/>
      <c r="I69" s="134">
        <f>22629.37*0.02</f>
        <v>452.5874</v>
      </c>
      <c r="J69" s="126"/>
      <c r="K69" s="126"/>
      <c r="L69" s="134">
        <f>22629.37*0.03</f>
        <v>678.88109999999995</v>
      </c>
      <c r="M69" s="126"/>
      <c r="N69" s="126"/>
      <c r="O69" s="134">
        <f>L69+C69</f>
        <v>23384.6711</v>
      </c>
      <c r="P69" s="126"/>
      <c r="Q69" s="126"/>
    </row>
    <row r="70" spans="1:17">
      <c r="A70" s="141" t="s">
        <v>15</v>
      </c>
      <c r="B70" s="142"/>
      <c r="C70" s="135">
        <v>23231.1</v>
      </c>
      <c r="D70" s="135"/>
      <c r="E70" s="135"/>
      <c r="F70" s="145">
        <f>C70+I70</f>
        <v>23686.0854</v>
      </c>
      <c r="G70" s="132"/>
      <c r="H70" s="137"/>
      <c r="I70" s="135">
        <f>22749.27*0.02</f>
        <v>454.98540000000003</v>
      </c>
      <c r="J70" s="135"/>
      <c r="K70" s="135"/>
      <c r="L70" s="135">
        <f>22749.27*0.03</f>
        <v>682.47810000000004</v>
      </c>
      <c r="M70" s="135"/>
      <c r="N70" s="135"/>
      <c r="O70" s="134">
        <f t="shared" ref="O70:O72" si="8">L70+C70</f>
        <v>23913.578099999999</v>
      </c>
      <c r="P70" s="126"/>
      <c r="Q70" s="126"/>
    </row>
    <row r="71" spans="1:17">
      <c r="A71" s="143" t="s">
        <v>96</v>
      </c>
      <c r="B71" s="144"/>
      <c r="C71" s="135">
        <v>4931.3900000000003</v>
      </c>
      <c r="D71" s="135"/>
      <c r="E71" s="135"/>
      <c r="F71" s="145">
        <f>C71+I71</f>
        <v>5035.3254000000006</v>
      </c>
      <c r="G71" s="132"/>
      <c r="H71" s="137"/>
      <c r="I71" s="135">
        <f>5196.77*0.02</f>
        <v>103.93540000000002</v>
      </c>
      <c r="J71" s="135"/>
      <c r="K71" s="135"/>
      <c r="L71" s="135">
        <f>5196.77*0.03</f>
        <v>155.90309999999999</v>
      </c>
      <c r="M71" s="135"/>
      <c r="N71" s="135"/>
      <c r="O71" s="134">
        <f t="shared" si="8"/>
        <v>5087.2931000000008</v>
      </c>
      <c r="P71" s="126"/>
      <c r="Q71" s="126"/>
    </row>
    <row r="72" spans="1:17">
      <c r="A72" s="141" t="s">
        <v>93</v>
      </c>
      <c r="B72" s="142"/>
      <c r="C72" s="135">
        <v>1063.74</v>
      </c>
      <c r="D72" s="135"/>
      <c r="E72" s="135"/>
      <c r="F72" s="145">
        <f>C72+I72</f>
        <v>1090.3094000000001</v>
      </c>
      <c r="G72" s="132"/>
      <c r="H72" s="137"/>
      <c r="I72" s="135">
        <f>1328.47*0.02</f>
        <v>26.569400000000002</v>
      </c>
      <c r="J72" s="135"/>
      <c r="K72" s="135"/>
      <c r="L72" s="135">
        <f>1328.47*0.03</f>
        <v>39.854100000000003</v>
      </c>
      <c r="M72" s="135"/>
      <c r="N72" s="135"/>
      <c r="O72" s="134">
        <f t="shared" si="8"/>
        <v>1103.5941</v>
      </c>
      <c r="P72" s="126"/>
      <c r="Q72" s="126"/>
    </row>
    <row r="73" spans="1:17">
      <c r="A73" s="138" t="s">
        <v>236</v>
      </c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40"/>
    </row>
    <row r="74" spans="1:17">
      <c r="A74" s="133" t="s">
        <v>99</v>
      </c>
      <c r="B74" s="133"/>
      <c r="C74" s="133" t="s">
        <v>220</v>
      </c>
      <c r="D74" s="133"/>
      <c r="E74" s="133"/>
      <c r="F74" s="133" t="s">
        <v>111</v>
      </c>
      <c r="G74" s="133"/>
      <c r="H74" s="133"/>
      <c r="I74" s="133" t="s">
        <v>224</v>
      </c>
      <c r="J74" s="133"/>
      <c r="K74" s="133"/>
      <c r="L74" s="126"/>
      <c r="M74" s="126"/>
      <c r="N74" s="126"/>
      <c r="O74" s="126"/>
      <c r="P74" s="126"/>
      <c r="Q74" s="126"/>
    </row>
    <row r="75" spans="1:17">
      <c r="A75" s="141" t="s">
        <v>11</v>
      </c>
      <c r="B75" s="142"/>
      <c r="C75" s="126">
        <v>6180</v>
      </c>
      <c r="D75" s="126"/>
      <c r="E75" s="126"/>
      <c r="F75" s="126">
        <v>890</v>
      </c>
      <c r="G75" s="126"/>
      <c r="H75" s="126"/>
      <c r="I75" s="126">
        <v>1646</v>
      </c>
      <c r="J75" s="126"/>
      <c r="K75" s="126"/>
      <c r="L75" s="126">
        <f>SUM(C75:K75)</f>
        <v>8716</v>
      </c>
      <c r="M75" s="126"/>
      <c r="N75" s="126"/>
      <c r="O75" s="126"/>
      <c r="P75" s="126"/>
      <c r="Q75" s="126"/>
    </row>
    <row r="76" spans="1:17">
      <c r="A76" s="141" t="s">
        <v>15</v>
      </c>
      <c r="B76" s="142"/>
      <c r="C76" s="126">
        <v>5240</v>
      </c>
      <c r="D76" s="126"/>
      <c r="E76" s="126"/>
      <c r="F76" s="126">
        <v>740</v>
      </c>
      <c r="G76" s="126"/>
      <c r="H76" s="126"/>
      <c r="I76" s="126">
        <v>1398</v>
      </c>
      <c r="J76" s="126"/>
      <c r="K76" s="126"/>
      <c r="L76" s="126">
        <f t="shared" ref="L76:L78" si="9">SUM(C76:K76)</f>
        <v>7378</v>
      </c>
      <c r="M76" s="126"/>
      <c r="N76" s="126"/>
      <c r="O76" s="126"/>
      <c r="P76" s="126"/>
      <c r="Q76" s="126"/>
    </row>
    <row r="77" spans="1:17">
      <c r="A77" s="143" t="s">
        <v>96</v>
      </c>
      <c r="B77" s="144"/>
      <c r="C77" s="126">
        <v>8220</v>
      </c>
      <c r="D77" s="126"/>
      <c r="E77" s="126"/>
      <c r="F77" s="126">
        <v>1570</v>
      </c>
      <c r="G77" s="126"/>
      <c r="H77" s="126"/>
      <c r="I77" s="126">
        <v>3490</v>
      </c>
      <c r="J77" s="126"/>
      <c r="K77" s="126"/>
      <c r="L77" s="126">
        <f t="shared" si="9"/>
        <v>13280</v>
      </c>
      <c r="M77" s="126"/>
      <c r="N77" s="126"/>
      <c r="O77" s="126"/>
      <c r="P77" s="126"/>
      <c r="Q77" s="126"/>
    </row>
    <row r="78" spans="1:17">
      <c r="A78" s="141" t="s">
        <v>93</v>
      </c>
      <c r="B78" s="142"/>
      <c r="C78" s="126">
        <v>6570</v>
      </c>
      <c r="D78" s="126"/>
      <c r="E78" s="126"/>
      <c r="F78" s="126">
        <v>3660</v>
      </c>
      <c r="G78" s="126"/>
      <c r="H78" s="126"/>
      <c r="I78" s="126">
        <v>3365</v>
      </c>
      <c r="J78" s="126"/>
      <c r="K78" s="126"/>
      <c r="L78" s="126">
        <f t="shared" si="9"/>
        <v>13595</v>
      </c>
      <c r="M78" s="126"/>
      <c r="N78" s="126"/>
      <c r="O78" s="126"/>
      <c r="P78" s="126"/>
      <c r="Q78" s="126"/>
    </row>
    <row r="79" spans="1:17">
      <c r="A79" s="89"/>
      <c r="B79" s="92"/>
      <c r="C79" s="132">
        <f>SUM(C75:E78)</f>
        <v>26210</v>
      </c>
      <c r="D79" s="132"/>
      <c r="E79" s="132"/>
      <c r="F79" s="132">
        <f>SUM(F75:H78)</f>
        <v>6860</v>
      </c>
      <c r="G79" s="132"/>
      <c r="H79" s="132"/>
      <c r="I79" s="132">
        <f>SUM(I75:K78)</f>
        <v>9899</v>
      </c>
      <c r="J79" s="132"/>
      <c r="K79" s="132"/>
      <c r="L79" s="132">
        <f>SUM(C79:K79)</f>
        <v>42969</v>
      </c>
      <c r="M79" s="132"/>
      <c r="N79" s="132"/>
      <c r="O79" s="91"/>
      <c r="P79" s="91"/>
      <c r="Q79" s="90"/>
    </row>
    <row r="80" spans="1:17">
      <c r="A80" s="136" t="s">
        <v>237</v>
      </c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7"/>
    </row>
    <row r="81" spans="1:17">
      <c r="A81" s="133" t="s">
        <v>99</v>
      </c>
      <c r="B81" s="133"/>
      <c r="C81" s="133" t="s">
        <v>220</v>
      </c>
      <c r="D81" s="133"/>
      <c r="E81" s="133"/>
      <c r="F81" s="133" t="s">
        <v>111</v>
      </c>
      <c r="G81" s="133"/>
      <c r="H81" s="133"/>
      <c r="I81" s="133" t="s">
        <v>111</v>
      </c>
      <c r="J81" s="133"/>
      <c r="K81" s="133"/>
      <c r="L81" s="133" t="s">
        <v>224</v>
      </c>
      <c r="M81" s="133"/>
      <c r="N81" s="133"/>
      <c r="O81" s="133" t="s">
        <v>223</v>
      </c>
      <c r="P81" s="133"/>
      <c r="Q81" s="133"/>
    </row>
    <row r="82" spans="1:17">
      <c r="A82" s="141" t="s">
        <v>11</v>
      </c>
      <c r="B82" s="142"/>
      <c r="C82" s="135">
        <v>22117.83</v>
      </c>
      <c r="D82" s="135"/>
      <c r="E82" s="135"/>
      <c r="F82" s="145">
        <f>C82+I82</f>
        <v>22570.417400000002</v>
      </c>
      <c r="G82" s="132"/>
      <c r="H82" s="137"/>
      <c r="I82" s="134">
        <f>22629.37*0.02</f>
        <v>452.5874</v>
      </c>
      <c r="J82" s="126"/>
      <c r="K82" s="126"/>
      <c r="L82" s="134">
        <f>22629.37*0.03</f>
        <v>678.88109999999995</v>
      </c>
      <c r="M82" s="126"/>
      <c r="N82" s="126"/>
      <c r="O82" s="134">
        <f>L82+C82</f>
        <v>22796.7111</v>
      </c>
      <c r="P82" s="126"/>
      <c r="Q82" s="126"/>
    </row>
    <row r="83" spans="1:17">
      <c r="A83" s="141" t="s">
        <v>15</v>
      </c>
      <c r="B83" s="142"/>
      <c r="C83" s="135">
        <v>22614.94</v>
      </c>
      <c r="D83" s="135"/>
      <c r="E83" s="135"/>
      <c r="F83" s="145">
        <f>C83+I83</f>
        <v>23069.9254</v>
      </c>
      <c r="G83" s="132"/>
      <c r="H83" s="137"/>
      <c r="I83" s="135">
        <f>22749.27*0.02</f>
        <v>454.98540000000003</v>
      </c>
      <c r="J83" s="135"/>
      <c r="K83" s="135"/>
      <c r="L83" s="135">
        <f>22749.27*0.03</f>
        <v>682.47810000000004</v>
      </c>
      <c r="M83" s="135"/>
      <c r="N83" s="135"/>
      <c r="O83" s="134">
        <f t="shared" ref="O83:O85" si="10">L83+C83</f>
        <v>23297.418099999999</v>
      </c>
      <c r="P83" s="126"/>
      <c r="Q83" s="126"/>
    </row>
    <row r="84" spans="1:17">
      <c r="A84" s="143" t="s">
        <v>96</v>
      </c>
      <c r="B84" s="144"/>
      <c r="C84" s="135">
        <v>4813.83</v>
      </c>
      <c r="D84" s="135"/>
      <c r="E84" s="135"/>
      <c r="F84" s="145">
        <f>C84+I84</f>
        <v>4917.7654000000002</v>
      </c>
      <c r="G84" s="132"/>
      <c r="H84" s="137"/>
      <c r="I84" s="135">
        <f>5196.77*0.02</f>
        <v>103.93540000000002</v>
      </c>
      <c r="J84" s="135"/>
      <c r="K84" s="135"/>
      <c r="L84" s="135">
        <f>5196.77*0.03</f>
        <v>155.90309999999999</v>
      </c>
      <c r="M84" s="135"/>
      <c r="N84" s="135"/>
      <c r="O84" s="134">
        <f t="shared" si="10"/>
        <v>4969.7330999999995</v>
      </c>
      <c r="P84" s="126"/>
      <c r="Q84" s="126"/>
    </row>
    <row r="85" spans="1:17">
      <c r="A85" s="141" t="s">
        <v>93</v>
      </c>
      <c r="B85" s="142"/>
      <c r="C85" s="135">
        <v>1045.8399999999999</v>
      </c>
      <c r="D85" s="135"/>
      <c r="E85" s="135"/>
      <c r="F85" s="145">
        <f>C85+I85</f>
        <v>1072.4094</v>
      </c>
      <c r="G85" s="132"/>
      <c r="H85" s="137"/>
      <c r="I85" s="135">
        <f>1328.47*0.02</f>
        <v>26.569400000000002</v>
      </c>
      <c r="J85" s="135"/>
      <c r="K85" s="135"/>
      <c r="L85" s="135">
        <f>1328.47*0.03</f>
        <v>39.854100000000003</v>
      </c>
      <c r="M85" s="135"/>
      <c r="N85" s="135"/>
      <c r="O85" s="134">
        <f t="shared" si="10"/>
        <v>1085.6940999999999</v>
      </c>
      <c r="P85" s="126"/>
      <c r="Q85" s="126"/>
    </row>
    <row r="86" spans="1:17">
      <c r="A86" s="138" t="s">
        <v>238</v>
      </c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40"/>
    </row>
    <row r="87" spans="1:17">
      <c r="A87" s="133" t="s">
        <v>99</v>
      </c>
      <c r="B87" s="133"/>
      <c r="C87" s="133" t="s">
        <v>220</v>
      </c>
      <c r="D87" s="133"/>
      <c r="E87" s="133"/>
      <c r="F87" s="133" t="s">
        <v>111</v>
      </c>
      <c r="G87" s="133"/>
      <c r="H87" s="133"/>
      <c r="I87" s="133" t="s">
        <v>224</v>
      </c>
      <c r="J87" s="133"/>
      <c r="K87" s="133"/>
      <c r="L87" s="126"/>
      <c r="M87" s="126"/>
      <c r="N87" s="126"/>
      <c r="O87" s="126"/>
      <c r="P87" s="126"/>
      <c r="Q87" s="126"/>
    </row>
    <row r="88" spans="1:17">
      <c r="A88" s="141" t="s">
        <v>11</v>
      </c>
      <c r="B88" s="142"/>
      <c r="C88" s="126">
        <v>6020</v>
      </c>
      <c r="D88" s="126"/>
      <c r="E88" s="126"/>
      <c r="F88" s="126">
        <v>860</v>
      </c>
      <c r="G88" s="126"/>
      <c r="H88" s="126"/>
      <c r="I88" s="126">
        <v>1607</v>
      </c>
      <c r="J88" s="126"/>
      <c r="K88" s="126"/>
      <c r="L88" s="126">
        <f>SUM(C88:K88)</f>
        <v>8487</v>
      </c>
      <c r="M88" s="126"/>
      <c r="N88" s="126"/>
      <c r="O88" s="126"/>
      <c r="P88" s="126"/>
      <c r="Q88" s="126"/>
    </row>
    <row r="89" spans="1:17">
      <c r="A89" s="141" t="s">
        <v>15</v>
      </c>
      <c r="B89" s="142"/>
      <c r="C89" s="126">
        <v>5120</v>
      </c>
      <c r="D89" s="126"/>
      <c r="E89" s="126"/>
      <c r="F89" s="126">
        <v>720</v>
      </c>
      <c r="G89" s="126"/>
      <c r="H89" s="126"/>
      <c r="I89" s="126">
        <v>1367</v>
      </c>
      <c r="J89" s="126"/>
      <c r="K89" s="126"/>
      <c r="L89" s="126">
        <f t="shared" ref="L89:L91" si="11">SUM(C89:K89)</f>
        <v>7207</v>
      </c>
      <c r="M89" s="126"/>
      <c r="N89" s="126"/>
      <c r="O89" s="126"/>
      <c r="P89" s="126"/>
      <c r="Q89" s="126"/>
    </row>
    <row r="90" spans="1:17">
      <c r="A90" s="143" t="s">
        <v>96</v>
      </c>
      <c r="B90" s="144"/>
      <c r="C90" s="126">
        <v>7980</v>
      </c>
      <c r="D90" s="126"/>
      <c r="E90" s="126"/>
      <c r="F90" s="126">
        <v>1490</v>
      </c>
      <c r="G90" s="126"/>
      <c r="H90" s="126"/>
      <c r="I90" s="126">
        <v>3388</v>
      </c>
      <c r="J90" s="126"/>
      <c r="K90" s="126"/>
      <c r="L90" s="126">
        <f t="shared" si="11"/>
        <v>12858</v>
      </c>
      <c r="M90" s="126"/>
      <c r="N90" s="126"/>
      <c r="O90" s="126"/>
      <c r="P90" s="126"/>
      <c r="Q90" s="126"/>
    </row>
    <row r="91" spans="1:17">
      <c r="A91" s="141" t="s">
        <v>93</v>
      </c>
      <c r="B91" s="142"/>
      <c r="C91" s="126">
        <v>6280</v>
      </c>
      <c r="D91" s="126"/>
      <c r="E91" s="126"/>
      <c r="F91" s="126">
        <v>3500</v>
      </c>
      <c r="G91" s="126"/>
      <c r="H91" s="126"/>
      <c r="I91" s="126">
        <v>3255</v>
      </c>
      <c r="J91" s="126"/>
      <c r="K91" s="126"/>
      <c r="L91" s="126">
        <f t="shared" si="11"/>
        <v>13035</v>
      </c>
      <c r="M91" s="126"/>
      <c r="N91" s="126"/>
      <c r="O91" s="126"/>
      <c r="P91" s="126"/>
      <c r="Q91" s="126"/>
    </row>
    <row r="92" spans="1:17">
      <c r="A92" s="89"/>
      <c r="B92" s="92"/>
      <c r="C92" s="132">
        <f>SUM(C88:E91)</f>
        <v>25400</v>
      </c>
      <c r="D92" s="132"/>
      <c r="E92" s="132"/>
      <c r="F92" s="132">
        <f>SUM(F88:H91)</f>
        <v>6570</v>
      </c>
      <c r="G92" s="132"/>
      <c r="H92" s="132"/>
      <c r="I92" s="132">
        <f>SUM(I88:K91)</f>
        <v>9617</v>
      </c>
      <c r="J92" s="132"/>
      <c r="K92" s="132"/>
      <c r="L92" s="132">
        <f>SUM(C92:K92)</f>
        <v>41587</v>
      </c>
      <c r="M92" s="132"/>
      <c r="N92" s="132"/>
      <c r="O92" s="91"/>
      <c r="P92" s="91"/>
      <c r="Q92" s="90"/>
    </row>
    <row r="93" spans="1:17">
      <c r="A93" s="136" t="s">
        <v>239</v>
      </c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7"/>
    </row>
    <row r="94" spans="1:17">
      <c r="A94" s="133" t="s">
        <v>99</v>
      </c>
      <c r="B94" s="133"/>
      <c r="C94" s="133" t="s">
        <v>220</v>
      </c>
      <c r="D94" s="133"/>
      <c r="E94" s="133"/>
      <c r="F94" s="133" t="s">
        <v>111</v>
      </c>
      <c r="G94" s="133"/>
      <c r="H94" s="133"/>
      <c r="I94" s="133" t="s">
        <v>111</v>
      </c>
      <c r="J94" s="133"/>
      <c r="K94" s="133"/>
      <c r="L94" s="133" t="s">
        <v>224</v>
      </c>
      <c r="M94" s="133"/>
      <c r="N94" s="133"/>
      <c r="O94" s="133" t="s">
        <v>223</v>
      </c>
      <c r="P94" s="133"/>
      <c r="Q94" s="133"/>
    </row>
    <row r="95" spans="1:17">
      <c r="A95" s="141" t="s">
        <v>11</v>
      </c>
      <c r="B95" s="142"/>
      <c r="C95" s="135">
        <v>21678.03</v>
      </c>
      <c r="D95" s="135"/>
      <c r="E95" s="135"/>
      <c r="F95" s="145">
        <f>C95+I95</f>
        <v>22130.617399999999</v>
      </c>
      <c r="G95" s="132"/>
      <c r="H95" s="137"/>
      <c r="I95" s="134">
        <f>22629.37*0.02</f>
        <v>452.5874</v>
      </c>
      <c r="J95" s="126"/>
      <c r="K95" s="126"/>
      <c r="L95" s="134">
        <f>22629.37*0.03</f>
        <v>678.88109999999995</v>
      </c>
      <c r="M95" s="126"/>
      <c r="N95" s="126"/>
      <c r="O95" s="134">
        <f>L95+C95</f>
        <v>22356.911099999998</v>
      </c>
      <c r="P95" s="126"/>
      <c r="Q95" s="126"/>
    </row>
    <row r="96" spans="1:17">
      <c r="A96" s="141" t="s">
        <v>15</v>
      </c>
      <c r="B96" s="142"/>
      <c r="C96" s="135">
        <v>22315.14</v>
      </c>
      <c r="D96" s="135"/>
      <c r="E96" s="135"/>
      <c r="F96" s="145">
        <f>C96+I96</f>
        <v>22770.125400000001</v>
      </c>
      <c r="G96" s="132"/>
      <c r="H96" s="137"/>
      <c r="I96" s="135">
        <f>22749.27*0.02</f>
        <v>454.98540000000003</v>
      </c>
      <c r="J96" s="135"/>
      <c r="K96" s="135"/>
      <c r="L96" s="135">
        <f>22749.27*0.03</f>
        <v>682.47810000000004</v>
      </c>
      <c r="M96" s="135"/>
      <c r="N96" s="135"/>
      <c r="O96" s="134">
        <f t="shared" ref="O96:O98" si="12">L96+C96</f>
        <v>22997.6181</v>
      </c>
      <c r="P96" s="126"/>
      <c r="Q96" s="126"/>
    </row>
    <row r="97" spans="1:17">
      <c r="A97" s="143" t="s">
        <v>96</v>
      </c>
      <c r="B97" s="144"/>
      <c r="C97" s="135">
        <v>4414.03</v>
      </c>
      <c r="D97" s="135"/>
      <c r="E97" s="135"/>
      <c r="F97" s="145">
        <f>C97+I97</f>
        <v>4517.9654</v>
      </c>
      <c r="G97" s="132"/>
      <c r="H97" s="137"/>
      <c r="I97" s="135">
        <f>5196.77*0.02</f>
        <v>103.93540000000002</v>
      </c>
      <c r="J97" s="135"/>
      <c r="K97" s="135"/>
      <c r="L97" s="135">
        <f>5196.77*0.03</f>
        <v>155.90309999999999</v>
      </c>
      <c r="M97" s="135"/>
      <c r="N97" s="135"/>
      <c r="O97" s="134">
        <f t="shared" si="12"/>
        <v>4569.9331000000002</v>
      </c>
      <c r="P97" s="126"/>
      <c r="Q97" s="126"/>
    </row>
    <row r="98" spans="1:17">
      <c r="A98" s="141" t="s">
        <v>93</v>
      </c>
      <c r="B98" s="142"/>
      <c r="C98" s="135">
        <v>926.04</v>
      </c>
      <c r="D98" s="135"/>
      <c r="E98" s="135"/>
      <c r="F98" s="145">
        <f>C98+I98</f>
        <v>952.60939999999994</v>
      </c>
      <c r="G98" s="132"/>
      <c r="H98" s="137"/>
      <c r="I98" s="135">
        <f>1328.47*0.02</f>
        <v>26.569400000000002</v>
      </c>
      <c r="J98" s="135"/>
      <c r="K98" s="135"/>
      <c r="L98" s="135">
        <f>1328.47*0.03</f>
        <v>39.854100000000003</v>
      </c>
      <c r="M98" s="135"/>
      <c r="N98" s="135"/>
      <c r="O98" s="134">
        <f t="shared" si="12"/>
        <v>965.89409999999998</v>
      </c>
      <c r="P98" s="126"/>
      <c r="Q98" s="126"/>
    </row>
    <row r="99" spans="1:17">
      <c r="A99" s="138" t="s">
        <v>240</v>
      </c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40"/>
    </row>
    <row r="100" spans="1:17">
      <c r="A100" s="133" t="s">
        <v>99</v>
      </c>
      <c r="B100" s="133"/>
      <c r="C100" s="133" t="s">
        <v>220</v>
      </c>
      <c r="D100" s="133"/>
      <c r="E100" s="133"/>
      <c r="F100" s="133" t="s">
        <v>111</v>
      </c>
      <c r="G100" s="133"/>
      <c r="H100" s="133"/>
      <c r="I100" s="133" t="s">
        <v>224</v>
      </c>
      <c r="J100" s="133"/>
      <c r="K100" s="133"/>
      <c r="L100" s="126"/>
      <c r="M100" s="126"/>
      <c r="N100" s="126"/>
      <c r="O100" s="126"/>
      <c r="P100" s="126"/>
      <c r="Q100" s="126"/>
    </row>
    <row r="101" spans="1:17">
      <c r="A101" s="141" t="s">
        <v>11</v>
      </c>
      <c r="B101" s="142"/>
      <c r="C101" s="126">
        <v>6020</v>
      </c>
      <c r="D101" s="126"/>
      <c r="E101" s="126"/>
      <c r="F101" s="126">
        <v>860</v>
      </c>
      <c r="G101" s="126"/>
      <c r="H101" s="126"/>
      <c r="I101" s="126">
        <v>1607</v>
      </c>
      <c r="J101" s="126"/>
      <c r="K101" s="126"/>
      <c r="L101" s="126">
        <f>SUM(C101:K101)</f>
        <v>8487</v>
      </c>
      <c r="M101" s="126"/>
      <c r="N101" s="126"/>
      <c r="O101" s="126"/>
      <c r="P101" s="126"/>
      <c r="Q101" s="126"/>
    </row>
    <row r="102" spans="1:17">
      <c r="A102" s="141" t="s">
        <v>15</v>
      </c>
      <c r="B102" s="142"/>
      <c r="C102" s="126">
        <v>5120</v>
      </c>
      <c r="D102" s="126"/>
      <c r="E102" s="126"/>
      <c r="F102" s="126">
        <v>720</v>
      </c>
      <c r="G102" s="126"/>
      <c r="H102" s="126"/>
      <c r="I102" s="126">
        <v>1367</v>
      </c>
      <c r="J102" s="126"/>
      <c r="K102" s="126"/>
      <c r="L102" s="126">
        <f t="shared" ref="L102:L104" si="13">SUM(C102:K102)</f>
        <v>7207</v>
      </c>
      <c r="M102" s="126"/>
      <c r="N102" s="126"/>
      <c r="O102" s="126"/>
      <c r="P102" s="126"/>
      <c r="Q102" s="126"/>
    </row>
    <row r="103" spans="1:17">
      <c r="A103" s="143" t="s">
        <v>96</v>
      </c>
      <c r="B103" s="144"/>
      <c r="C103" s="126">
        <v>7980</v>
      </c>
      <c r="D103" s="126"/>
      <c r="E103" s="126"/>
      <c r="F103" s="126">
        <v>1490</v>
      </c>
      <c r="G103" s="126"/>
      <c r="H103" s="126"/>
      <c r="I103" s="126">
        <v>3388</v>
      </c>
      <c r="J103" s="126"/>
      <c r="K103" s="126"/>
      <c r="L103" s="126">
        <f t="shared" si="13"/>
        <v>12858</v>
      </c>
      <c r="M103" s="126"/>
      <c r="N103" s="126"/>
      <c r="O103" s="126"/>
      <c r="P103" s="126"/>
      <c r="Q103" s="126"/>
    </row>
    <row r="104" spans="1:17">
      <c r="A104" s="141" t="s">
        <v>93</v>
      </c>
      <c r="B104" s="142"/>
      <c r="C104" s="126">
        <v>6280</v>
      </c>
      <c r="D104" s="126"/>
      <c r="E104" s="126"/>
      <c r="F104" s="126">
        <v>3500</v>
      </c>
      <c r="G104" s="126"/>
      <c r="H104" s="126"/>
      <c r="I104" s="126">
        <v>3255</v>
      </c>
      <c r="J104" s="126"/>
      <c r="K104" s="126"/>
      <c r="L104" s="126">
        <f t="shared" si="13"/>
        <v>13035</v>
      </c>
      <c r="M104" s="126"/>
      <c r="N104" s="126"/>
      <c r="O104" s="126"/>
      <c r="P104" s="126"/>
      <c r="Q104" s="126"/>
    </row>
    <row r="105" spans="1:17">
      <c r="A105" s="89"/>
      <c r="B105" s="92"/>
      <c r="C105" s="132">
        <f>SUM(C101:E104)</f>
        <v>25400</v>
      </c>
      <c r="D105" s="132"/>
      <c r="E105" s="132"/>
      <c r="F105" s="132">
        <f>SUM(F101:H104)</f>
        <v>6570</v>
      </c>
      <c r="G105" s="132"/>
      <c r="H105" s="132"/>
      <c r="I105" s="132">
        <f>SUM(I101:K104)</f>
        <v>9617</v>
      </c>
      <c r="J105" s="132"/>
      <c r="K105" s="132"/>
      <c r="L105" s="132">
        <f>SUM(C105:K105)</f>
        <v>41587</v>
      </c>
      <c r="M105" s="132"/>
      <c r="N105" s="132"/>
      <c r="O105" s="91"/>
      <c r="P105" s="91"/>
      <c r="Q105" s="90"/>
    </row>
    <row r="106" spans="1:17">
      <c r="A106" s="136" t="s">
        <v>241</v>
      </c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7"/>
    </row>
    <row r="107" spans="1:17">
      <c r="A107" s="133" t="s">
        <v>99</v>
      </c>
      <c r="B107" s="133"/>
      <c r="C107" s="133" t="s">
        <v>220</v>
      </c>
      <c r="D107" s="133"/>
      <c r="E107" s="133"/>
      <c r="F107" s="133" t="s">
        <v>111</v>
      </c>
      <c r="G107" s="133"/>
      <c r="H107" s="133"/>
      <c r="I107" s="133" t="s">
        <v>111</v>
      </c>
      <c r="J107" s="133"/>
      <c r="K107" s="133"/>
      <c r="L107" s="133" t="s">
        <v>224</v>
      </c>
      <c r="M107" s="133"/>
      <c r="N107" s="133"/>
      <c r="O107" s="133" t="s">
        <v>223</v>
      </c>
      <c r="P107" s="133"/>
      <c r="Q107" s="133"/>
    </row>
    <row r="108" spans="1:17">
      <c r="A108" s="141" t="s">
        <v>11</v>
      </c>
      <c r="B108" s="142"/>
      <c r="C108" s="135">
        <v>21262.14</v>
      </c>
      <c r="D108" s="135"/>
      <c r="E108" s="135"/>
      <c r="F108" s="145">
        <f>C108+I108</f>
        <v>21714.7274</v>
      </c>
      <c r="G108" s="132"/>
      <c r="H108" s="137"/>
      <c r="I108" s="134">
        <f>22629.37*0.02</f>
        <v>452.5874</v>
      </c>
      <c r="J108" s="126"/>
      <c r="K108" s="126"/>
      <c r="L108" s="134">
        <f>22629.37*0.03</f>
        <v>678.88109999999995</v>
      </c>
      <c r="M108" s="126"/>
      <c r="N108" s="126"/>
      <c r="O108" s="134">
        <f>L108+C108</f>
        <v>21941.021099999998</v>
      </c>
      <c r="P108" s="126"/>
      <c r="Q108" s="126"/>
    </row>
    <row r="109" spans="1:17">
      <c r="A109" s="141" t="s">
        <v>15</v>
      </c>
      <c r="B109" s="142"/>
      <c r="C109" s="135">
        <v>21959.84</v>
      </c>
      <c r="D109" s="135"/>
      <c r="E109" s="135"/>
      <c r="F109" s="145">
        <f>C109+I109</f>
        <v>22414.825400000002</v>
      </c>
      <c r="G109" s="132"/>
      <c r="H109" s="137"/>
      <c r="I109" s="135">
        <f>22749.27*0.02</f>
        <v>454.98540000000003</v>
      </c>
      <c r="J109" s="135"/>
      <c r="K109" s="135"/>
      <c r="L109" s="135">
        <f>22749.27*0.03</f>
        <v>682.47810000000004</v>
      </c>
      <c r="M109" s="135"/>
      <c r="N109" s="135"/>
      <c r="O109" s="134">
        <f t="shared" ref="O109:O111" si="14">L109+C109</f>
        <v>22642.3181</v>
      </c>
      <c r="P109" s="126"/>
      <c r="Q109" s="126"/>
    </row>
    <row r="110" spans="1:17">
      <c r="A110" s="143" t="s">
        <v>96</v>
      </c>
      <c r="B110" s="144"/>
      <c r="C110" s="135">
        <v>4314.9399999999996</v>
      </c>
      <c r="D110" s="135"/>
      <c r="E110" s="135"/>
      <c r="F110" s="145">
        <f>C110+I110</f>
        <v>4418.8753999999999</v>
      </c>
      <c r="G110" s="132"/>
      <c r="H110" s="137"/>
      <c r="I110" s="135">
        <f>5196.77*0.02</f>
        <v>103.93540000000002</v>
      </c>
      <c r="J110" s="135"/>
      <c r="K110" s="135"/>
      <c r="L110" s="135">
        <f>5196.77*0.03</f>
        <v>155.90309999999999</v>
      </c>
      <c r="M110" s="135"/>
      <c r="N110" s="135"/>
      <c r="O110" s="134">
        <f t="shared" si="14"/>
        <v>4470.8431</v>
      </c>
      <c r="P110" s="126"/>
      <c r="Q110" s="126"/>
    </row>
    <row r="111" spans="1:17">
      <c r="A111" s="141" t="s">
        <v>93</v>
      </c>
      <c r="B111" s="142"/>
      <c r="C111" s="135">
        <v>860.14</v>
      </c>
      <c r="D111" s="135"/>
      <c r="E111" s="135"/>
      <c r="F111" s="145">
        <f>C111+I111</f>
        <v>886.70939999999996</v>
      </c>
      <c r="G111" s="132"/>
      <c r="H111" s="137"/>
      <c r="I111" s="135">
        <f>1328.47*0.02</f>
        <v>26.569400000000002</v>
      </c>
      <c r="J111" s="135"/>
      <c r="K111" s="135"/>
      <c r="L111" s="135">
        <f>1328.47*0.03</f>
        <v>39.854100000000003</v>
      </c>
      <c r="M111" s="135"/>
      <c r="N111" s="135"/>
      <c r="O111" s="134">
        <f t="shared" si="14"/>
        <v>899.9941</v>
      </c>
      <c r="P111" s="126"/>
      <c r="Q111" s="126"/>
    </row>
    <row r="112" spans="1:17">
      <c r="A112" s="138" t="s">
        <v>242</v>
      </c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40"/>
    </row>
    <row r="113" spans="1:17">
      <c r="A113" s="133" t="s">
        <v>99</v>
      </c>
      <c r="B113" s="133"/>
      <c r="C113" s="133" t="s">
        <v>220</v>
      </c>
      <c r="D113" s="133"/>
      <c r="E113" s="133"/>
      <c r="F113" s="133" t="s">
        <v>111</v>
      </c>
      <c r="G113" s="133"/>
      <c r="H113" s="133"/>
      <c r="I113" s="133" t="s">
        <v>224</v>
      </c>
      <c r="J113" s="133"/>
      <c r="K113" s="133"/>
      <c r="L113" s="126"/>
      <c r="M113" s="126"/>
      <c r="N113" s="126"/>
      <c r="O113" s="126"/>
      <c r="P113" s="126"/>
      <c r="Q113" s="126"/>
    </row>
    <row r="114" spans="1:17">
      <c r="A114" s="141" t="s">
        <v>11</v>
      </c>
      <c r="B114" s="142"/>
      <c r="C114" s="126">
        <v>5730</v>
      </c>
      <c r="D114" s="126"/>
      <c r="E114" s="126"/>
      <c r="F114" s="126">
        <v>820</v>
      </c>
      <c r="G114" s="126"/>
      <c r="H114" s="126"/>
      <c r="I114" s="126">
        <v>1515</v>
      </c>
      <c r="J114" s="126"/>
      <c r="K114" s="126"/>
      <c r="L114" s="126">
        <f>SUM(C114:K114)</f>
        <v>8065</v>
      </c>
      <c r="M114" s="126"/>
      <c r="N114" s="126"/>
      <c r="O114" s="126"/>
      <c r="P114" s="126"/>
      <c r="Q114" s="126"/>
    </row>
    <row r="115" spans="1:17">
      <c r="A115" s="141" t="s">
        <v>15</v>
      </c>
      <c r="B115" s="142"/>
      <c r="C115" s="126">
        <v>4840</v>
      </c>
      <c r="D115" s="126"/>
      <c r="E115" s="126"/>
      <c r="F115" s="126">
        <v>670</v>
      </c>
      <c r="G115" s="126"/>
      <c r="H115" s="126"/>
      <c r="I115" s="126">
        <v>1283</v>
      </c>
      <c r="J115" s="126"/>
      <c r="K115" s="126"/>
      <c r="L115" s="126">
        <f t="shared" ref="L115:L117" si="15">SUM(C115:K115)</f>
        <v>6793</v>
      </c>
      <c r="M115" s="126"/>
      <c r="N115" s="126"/>
      <c r="O115" s="126"/>
      <c r="P115" s="126"/>
      <c r="Q115" s="126"/>
    </row>
    <row r="116" spans="1:17">
      <c r="A116" s="143" t="s">
        <v>96</v>
      </c>
      <c r="B116" s="144"/>
      <c r="C116" s="126">
        <v>7530</v>
      </c>
      <c r="D116" s="126"/>
      <c r="E116" s="126"/>
      <c r="F116" s="126">
        <v>1390</v>
      </c>
      <c r="G116" s="126"/>
      <c r="H116" s="126"/>
      <c r="I116" s="126">
        <v>3200</v>
      </c>
      <c r="J116" s="126"/>
      <c r="K116" s="126"/>
      <c r="L116" s="126">
        <f t="shared" si="15"/>
        <v>12120</v>
      </c>
      <c r="M116" s="126"/>
      <c r="N116" s="126"/>
      <c r="O116" s="126"/>
      <c r="P116" s="126"/>
      <c r="Q116" s="126"/>
    </row>
    <row r="117" spans="1:17">
      <c r="A117" s="141" t="s">
        <v>93</v>
      </c>
      <c r="B117" s="142"/>
      <c r="C117" s="126">
        <v>5980</v>
      </c>
      <c r="D117" s="126"/>
      <c r="E117" s="126"/>
      <c r="F117" s="126">
        <v>3240</v>
      </c>
      <c r="G117" s="126"/>
      <c r="H117" s="126"/>
      <c r="I117" s="126">
        <v>3093</v>
      </c>
      <c r="J117" s="126"/>
      <c r="K117" s="126"/>
      <c r="L117" s="126">
        <f t="shared" si="15"/>
        <v>12313</v>
      </c>
      <c r="M117" s="126"/>
      <c r="N117" s="126"/>
      <c r="O117" s="126"/>
      <c r="P117" s="126"/>
      <c r="Q117" s="126"/>
    </row>
    <row r="118" spans="1:17">
      <c r="A118" s="89"/>
      <c r="B118" s="92"/>
      <c r="C118" s="132">
        <f>SUM(C114:E117)</f>
        <v>24080</v>
      </c>
      <c r="D118" s="132"/>
      <c r="E118" s="132"/>
      <c r="F118" s="132">
        <f>SUM(F114:H117)</f>
        <v>6120</v>
      </c>
      <c r="G118" s="132"/>
      <c r="H118" s="132"/>
      <c r="I118" s="132">
        <f>SUM(I114:K117)</f>
        <v>9091</v>
      </c>
      <c r="J118" s="132"/>
      <c r="K118" s="132"/>
      <c r="L118" s="132">
        <f>SUM(C118:K118)</f>
        <v>39291</v>
      </c>
      <c r="M118" s="132"/>
      <c r="N118" s="132"/>
      <c r="O118" s="91"/>
      <c r="P118" s="91"/>
      <c r="Q118" s="90"/>
    </row>
    <row r="119" spans="1:17">
      <c r="A119" s="136" t="s">
        <v>243</v>
      </c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7"/>
    </row>
    <row r="120" spans="1:17">
      <c r="A120" s="133" t="s">
        <v>99</v>
      </c>
      <c r="B120" s="133"/>
      <c r="C120" s="133" t="s">
        <v>220</v>
      </c>
      <c r="D120" s="133"/>
      <c r="E120" s="133"/>
      <c r="F120" s="133" t="s">
        <v>111</v>
      </c>
      <c r="G120" s="133"/>
      <c r="H120" s="133"/>
      <c r="I120" s="133" t="s">
        <v>111</v>
      </c>
      <c r="J120" s="133"/>
      <c r="K120" s="133"/>
      <c r="L120" s="133" t="s">
        <v>224</v>
      </c>
      <c r="M120" s="133"/>
      <c r="N120" s="133"/>
      <c r="O120" s="133" t="s">
        <v>223</v>
      </c>
      <c r="P120" s="133"/>
      <c r="Q120" s="133"/>
    </row>
    <row r="121" spans="1:17">
      <c r="A121" s="141" t="s">
        <v>11</v>
      </c>
      <c r="B121" s="142"/>
      <c r="C121" s="135">
        <v>21630.2</v>
      </c>
      <c r="D121" s="135"/>
      <c r="E121" s="135"/>
      <c r="F121" s="145">
        <f>C121+I121</f>
        <v>22082.787400000001</v>
      </c>
      <c r="G121" s="132"/>
      <c r="H121" s="137"/>
      <c r="I121" s="134">
        <f>22629.37*0.02</f>
        <v>452.5874</v>
      </c>
      <c r="J121" s="126"/>
      <c r="K121" s="126"/>
      <c r="L121" s="134">
        <f>22629.37*0.03</f>
        <v>678.88109999999995</v>
      </c>
      <c r="M121" s="126"/>
      <c r="N121" s="126"/>
      <c r="O121" s="134">
        <f>L121+C121</f>
        <v>22309.081099999999</v>
      </c>
      <c r="P121" s="126"/>
      <c r="Q121" s="126"/>
    </row>
    <row r="122" spans="1:17">
      <c r="A122" s="141" t="s">
        <v>15</v>
      </c>
      <c r="B122" s="142"/>
      <c r="C122" s="135">
        <v>22462.11</v>
      </c>
      <c r="D122" s="135"/>
      <c r="E122" s="135"/>
      <c r="F122" s="145">
        <f>C122+I122</f>
        <v>22917.095400000002</v>
      </c>
      <c r="G122" s="132"/>
      <c r="H122" s="137"/>
      <c r="I122" s="135">
        <f>22749.27*0.02</f>
        <v>454.98540000000003</v>
      </c>
      <c r="J122" s="135"/>
      <c r="K122" s="135"/>
      <c r="L122" s="135">
        <f>22749.27*0.03</f>
        <v>682.47810000000004</v>
      </c>
      <c r="M122" s="135"/>
      <c r="N122" s="135"/>
      <c r="O122" s="134">
        <f t="shared" ref="O122:O124" si="16">L122+C122</f>
        <v>23144.588100000001</v>
      </c>
      <c r="P122" s="126"/>
      <c r="Q122" s="126"/>
    </row>
    <row r="123" spans="1:17">
      <c r="A123" s="143" t="s">
        <v>96</v>
      </c>
      <c r="B123" s="144"/>
      <c r="C123" s="135">
        <v>4372.6000000000004</v>
      </c>
      <c r="D123" s="135"/>
      <c r="E123" s="135"/>
      <c r="F123" s="145">
        <f>C123+I123</f>
        <v>4476.5354000000007</v>
      </c>
      <c r="G123" s="132"/>
      <c r="H123" s="137"/>
      <c r="I123" s="135">
        <f>5196.77*0.02</f>
        <v>103.93540000000002</v>
      </c>
      <c r="J123" s="135"/>
      <c r="K123" s="135"/>
      <c r="L123" s="135">
        <f>5196.77*0.03</f>
        <v>155.90309999999999</v>
      </c>
      <c r="M123" s="135"/>
      <c r="N123" s="135"/>
      <c r="O123" s="134">
        <f t="shared" si="16"/>
        <v>4528.5030999999999</v>
      </c>
      <c r="P123" s="126"/>
      <c r="Q123" s="126"/>
    </row>
    <row r="124" spans="1:17">
      <c r="A124" s="141" t="s">
        <v>93</v>
      </c>
      <c r="B124" s="142"/>
      <c r="C124" s="135">
        <v>926.04</v>
      </c>
      <c r="D124" s="135"/>
      <c r="E124" s="135"/>
      <c r="F124" s="145">
        <f>C124+I124</f>
        <v>952.60939999999994</v>
      </c>
      <c r="G124" s="132"/>
      <c r="H124" s="137"/>
      <c r="I124" s="135">
        <f>1328.47*0.02</f>
        <v>26.569400000000002</v>
      </c>
      <c r="J124" s="135"/>
      <c r="K124" s="135"/>
      <c r="L124" s="135">
        <f>1328.47*0.03</f>
        <v>39.854100000000003</v>
      </c>
      <c r="M124" s="135"/>
      <c r="N124" s="135"/>
      <c r="O124" s="134">
        <f t="shared" si="16"/>
        <v>965.89409999999998</v>
      </c>
      <c r="P124" s="126"/>
      <c r="Q124" s="126"/>
    </row>
    <row r="125" spans="1:17">
      <c r="A125" s="138" t="s">
        <v>244</v>
      </c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40"/>
    </row>
    <row r="126" spans="1:17">
      <c r="A126" s="133" t="s">
        <v>99</v>
      </c>
      <c r="B126" s="133"/>
      <c r="C126" s="133" t="s">
        <v>220</v>
      </c>
      <c r="D126" s="133"/>
      <c r="E126" s="133"/>
      <c r="F126" s="133" t="s">
        <v>111</v>
      </c>
      <c r="G126" s="133"/>
      <c r="H126" s="133"/>
      <c r="I126" s="133" t="s">
        <v>224</v>
      </c>
      <c r="J126" s="133"/>
      <c r="K126" s="133"/>
      <c r="L126" s="126"/>
      <c r="M126" s="126"/>
      <c r="N126" s="126"/>
      <c r="O126" s="126"/>
      <c r="P126" s="126"/>
      <c r="Q126" s="126"/>
    </row>
    <row r="127" spans="1:17">
      <c r="A127" s="141" t="s">
        <v>11</v>
      </c>
      <c r="B127" s="142"/>
      <c r="C127" s="126">
        <v>5020</v>
      </c>
      <c r="D127" s="126"/>
      <c r="E127" s="126"/>
      <c r="F127" s="126">
        <v>740</v>
      </c>
      <c r="G127" s="126"/>
      <c r="H127" s="126"/>
      <c r="I127" s="126">
        <v>1312</v>
      </c>
      <c r="J127" s="126"/>
      <c r="K127" s="126"/>
      <c r="L127" s="126">
        <f>SUM(C127:K127)</f>
        <v>7072</v>
      </c>
      <c r="M127" s="126"/>
      <c r="N127" s="126"/>
      <c r="O127" s="126"/>
      <c r="P127" s="126"/>
      <c r="Q127" s="126"/>
    </row>
    <row r="128" spans="1:17">
      <c r="A128" s="141" t="s">
        <v>15</v>
      </c>
      <c r="B128" s="142"/>
      <c r="C128" s="126">
        <v>4290</v>
      </c>
      <c r="D128" s="126"/>
      <c r="E128" s="126"/>
      <c r="F128" s="126">
        <v>600</v>
      </c>
      <c r="G128" s="126"/>
      <c r="H128" s="126"/>
      <c r="I128" s="126">
        <v>1120</v>
      </c>
      <c r="J128" s="126"/>
      <c r="K128" s="126"/>
      <c r="L128" s="126">
        <f t="shared" ref="L128:L130" si="17">SUM(C128:K128)</f>
        <v>6010</v>
      </c>
      <c r="M128" s="126"/>
      <c r="N128" s="126"/>
      <c r="O128" s="126"/>
      <c r="P128" s="126"/>
      <c r="Q128" s="126"/>
    </row>
    <row r="129" spans="1:17">
      <c r="A129" s="143" t="s">
        <v>96</v>
      </c>
      <c r="B129" s="144"/>
      <c r="C129" s="126">
        <v>7090</v>
      </c>
      <c r="D129" s="126"/>
      <c r="E129" s="126"/>
      <c r="F129" s="126">
        <v>1320</v>
      </c>
      <c r="G129" s="126"/>
      <c r="H129" s="126"/>
      <c r="I129" s="126">
        <v>3050</v>
      </c>
      <c r="J129" s="126"/>
      <c r="K129" s="126"/>
      <c r="L129" s="126">
        <f t="shared" si="17"/>
        <v>11460</v>
      </c>
      <c r="M129" s="126"/>
      <c r="N129" s="126"/>
      <c r="O129" s="126"/>
      <c r="P129" s="126"/>
      <c r="Q129" s="126"/>
    </row>
    <row r="130" spans="1:17">
      <c r="A130" s="141" t="s">
        <v>93</v>
      </c>
      <c r="B130" s="142"/>
      <c r="C130" s="126">
        <v>5720</v>
      </c>
      <c r="D130" s="126"/>
      <c r="E130" s="126"/>
      <c r="F130" s="126">
        <v>3050</v>
      </c>
      <c r="G130" s="126"/>
      <c r="H130" s="126"/>
      <c r="I130" s="126">
        <v>2985</v>
      </c>
      <c r="J130" s="126"/>
      <c r="K130" s="126"/>
      <c r="L130" s="126">
        <f t="shared" si="17"/>
        <v>11755</v>
      </c>
      <c r="M130" s="126"/>
      <c r="N130" s="126"/>
      <c r="O130" s="126"/>
      <c r="P130" s="126"/>
      <c r="Q130" s="126"/>
    </row>
    <row r="131" spans="1:17">
      <c r="A131" s="89"/>
      <c r="B131" s="92"/>
      <c r="C131" s="132">
        <f>SUM(C127:E130)</f>
        <v>22120</v>
      </c>
      <c r="D131" s="132"/>
      <c r="E131" s="132"/>
      <c r="F131" s="132">
        <f>SUM(F127:H130)</f>
        <v>5710</v>
      </c>
      <c r="G131" s="132"/>
      <c r="H131" s="132"/>
      <c r="I131" s="132">
        <f>SUM(I127:K130)</f>
        <v>8467</v>
      </c>
      <c r="J131" s="132"/>
      <c r="K131" s="132"/>
      <c r="L131" s="132">
        <f>SUM(C131:K131)</f>
        <v>36297</v>
      </c>
      <c r="M131" s="132"/>
      <c r="N131" s="132"/>
      <c r="O131" s="91"/>
      <c r="P131" s="91"/>
      <c r="Q131" s="90"/>
    </row>
    <row r="132" spans="1:17">
      <c r="A132" s="136" t="s">
        <v>245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7"/>
    </row>
    <row r="133" spans="1:17">
      <c r="A133" s="133" t="s">
        <v>99</v>
      </c>
      <c r="B133" s="133"/>
      <c r="C133" s="133" t="s">
        <v>220</v>
      </c>
      <c r="D133" s="133"/>
      <c r="E133" s="133"/>
      <c r="F133" s="133" t="s">
        <v>111</v>
      </c>
      <c r="G133" s="133"/>
      <c r="H133" s="133"/>
      <c r="I133" s="133" t="s">
        <v>111</v>
      </c>
      <c r="J133" s="133"/>
      <c r="K133" s="133"/>
      <c r="L133" s="133" t="s">
        <v>224</v>
      </c>
      <c r="M133" s="133"/>
      <c r="N133" s="133"/>
      <c r="O133" s="133" t="s">
        <v>223</v>
      </c>
      <c r="P133" s="133"/>
      <c r="Q133" s="133"/>
    </row>
    <row r="134" spans="1:17">
      <c r="A134" s="141" t="s">
        <v>11</v>
      </c>
      <c r="B134" s="142"/>
      <c r="C134" s="135">
        <v>20038.400000000001</v>
      </c>
      <c r="D134" s="135"/>
      <c r="E134" s="135"/>
      <c r="F134" s="145">
        <f>C134+I134</f>
        <v>20490.987400000002</v>
      </c>
      <c r="G134" s="132"/>
      <c r="H134" s="137"/>
      <c r="I134" s="134">
        <f>22629.37*0.02</f>
        <v>452.5874</v>
      </c>
      <c r="J134" s="126"/>
      <c r="K134" s="126"/>
      <c r="L134" s="134">
        <f>22629.37*0.03</f>
        <v>678.88109999999995</v>
      </c>
      <c r="M134" s="126"/>
      <c r="N134" s="126"/>
      <c r="O134" s="134">
        <f>L134+C134</f>
        <v>20717.2811</v>
      </c>
      <c r="P134" s="126"/>
      <c r="Q134" s="126"/>
    </row>
    <row r="135" spans="1:17">
      <c r="A135" s="141" t="s">
        <v>15</v>
      </c>
      <c r="B135" s="142"/>
      <c r="C135" s="135">
        <v>20838.5</v>
      </c>
      <c r="D135" s="135"/>
      <c r="E135" s="135"/>
      <c r="F135" s="145">
        <f>C135+I135</f>
        <v>21293.485400000001</v>
      </c>
      <c r="G135" s="132"/>
      <c r="H135" s="137"/>
      <c r="I135" s="135">
        <f>22749.27*0.02</f>
        <v>454.98540000000003</v>
      </c>
      <c r="J135" s="135"/>
      <c r="K135" s="135"/>
      <c r="L135" s="135">
        <f>22749.27*0.03</f>
        <v>682.47810000000004</v>
      </c>
      <c r="M135" s="135"/>
      <c r="N135" s="135"/>
      <c r="O135" s="134">
        <f t="shared" ref="O135:O137" si="18">L135+C135</f>
        <v>21520.9781</v>
      </c>
      <c r="P135" s="126"/>
      <c r="Q135" s="126"/>
    </row>
    <row r="136" spans="1:17">
      <c r="A136" s="143" t="s">
        <v>96</v>
      </c>
      <c r="B136" s="144"/>
      <c r="C136" s="135">
        <v>4038.4</v>
      </c>
      <c r="D136" s="135"/>
      <c r="E136" s="135"/>
      <c r="F136" s="145">
        <f>C136+I136</f>
        <v>4142.3353999999999</v>
      </c>
      <c r="G136" s="132"/>
      <c r="H136" s="137"/>
      <c r="I136" s="135">
        <f>5196.77*0.02</f>
        <v>103.93540000000002</v>
      </c>
      <c r="J136" s="135"/>
      <c r="K136" s="135"/>
      <c r="L136" s="135">
        <f>5196.77*0.03</f>
        <v>155.90309999999999</v>
      </c>
      <c r="M136" s="135"/>
      <c r="N136" s="135"/>
      <c r="O136" s="134">
        <f t="shared" si="18"/>
        <v>4194.3031000000001</v>
      </c>
      <c r="P136" s="126"/>
      <c r="Q136" s="126"/>
    </row>
    <row r="137" spans="1:17">
      <c r="A137" s="141" t="s">
        <v>93</v>
      </c>
      <c r="B137" s="142"/>
      <c r="C137" s="135">
        <v>716.5</v>
      </c>
      <c r="D137" s="135"/>
      <c r="E137" s="135"/>
      <c r="F137" s="145">
        <f>C137+I137</f>
        <v>743.06939999999997</v>
      </c>
      <c r="G137" s="132"/>
      <c r="H137" s="137"/>
      <c r="I137" s="135">
        <f>1328.47*0.02</f>
        <v>26.569400000000002</v>
      </c>
      <c r="J137" s="135"/>
      <c r="K137" s="135"/>
      <c r="L137" s="135">
        <f>1328.47*0.03</f>
        <v>39.854100000000003</v>
      </c>
      <c r="M137" s="135"/>
      <c r="N137" s="135"/>
      <c r="O137" s="134">
        <f t="shared" si="18"/>
        <v>756.35410000000002</v>
      </c>
      <c r="P137" s="126"/>
      <c r="Q137" s="126"/>
    </row>
    <row r="138" spans="1:17">
      <c r="A138" s="138" t="s">
        <v>246</v>
      </c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40"/>
    </row>
    <row r="139" spans="1:17">
      <c r="A139" s="133" t="s">
        <v>99</v>
      </c>
      <c r="B139" s="133"/>
      <c r="C139" s="133" t="s">
        <v>220</v>
      </c>
      <c r="D139" s="133"/>
      <c r="E139" s="133"/>
      <c r="F139" s="133" t="s">
        <v>111</v>
      </c>
      <c r="G139" s="133"/>
      <c r="H139" s="133"/>
      <c r="I139" s="133" t="s">
        <v>224</v>
      </c>
      <c r="J139" s="133"/>
      <c r="K139" s="133"/>
      <c r="L139" s="126"/>
      <c r="M139" s="126"/>
      <c r="N139" s="126"/>
      <c r="O139" s="126"/>
      <c r="P139" s="126"/>
      <c r="Q139" s="126"/>
    </row>
    <row r="140" spans="1:17">
      <c r="A140" s="141" t="s">
        <v>11</v>
      </c>
      <c r="B140" s="142"/>
      <c r="C140" s="126">
        <v>7120</v>
      </c>
      <c r="D140" s="126"/>
      <c r="E140" s="126"/>
      <c r="F140" s="126">
        <v>980</v>
      </c>
      <c r="G140" s="126"/>
      <c r="H140" s="126"/>
      <c r="I140" s="126">
        <v>1939</v>
      </c>
      <c r="J140" s="126"/>
      <c r="K140" s="126"/>
      <c r="L140" s="126">
        <f>SUM(C140:K140)</f>
        <v>10039</v>
      </c>
      <c r="M140" s="126"/>
      <c r="N140" s="126"/>
      <c r="O140" s="126"/>
      <c r="P140" s="126"/>
      <c r="Q140" s="126"/>
    </row>
    <row r="141" spans="1:17">
      <c r="A141" s="141" t="s">
        <v>15</v>
      </c>
      <c r="B141" s="142"/>
      <c r="C141" s="126">
        <v>6090</v>
      </c>
      <c r="D141" s="126"/>
      <c r="E141" s="126"/>
      <c r="F141" s="126">
        <v>800</v>
      </c>
      <c r="G141" s="126"/>
      <c r="H141" s="126"/>
      <c r="I141" s="126">
        <v>1646</v>
      </c>
      <c r="J141" s="126"/>
      <c r="K141" s="126"/>
      <c r="L141" s="126">
        <f t="shared" ref="L141:L143" si="19">SUM(C141:K141)</f>
        <v>8536</v>
      </c>
      <c r="M141" s="126"/>
      <c r="N141" s="126"/>
      <c r="O141" s="126"/>
      <c r="P141" s="126"/>
      <c r="Q141" s="126"/>
    </row>
    <row r="142" spans="1:17" ht="33.75" customHeight="1">
      <c r="A142" s="143" t="s">
        <v>96</v>
      </c>
      <c r="B142" s="144"/>
      <c r="C142" s="126">
        <v>8920</v>
      </c>
      <c r="D142" s="126"/>
      <c r="E142" s="126"/>
      <c r="F142" s="126">
        <v>1700</v>
      </c>
      <c r="G142" s="126"/>
      <c r="H142" s="126"/>
      <c r="I142" s="126">
        <v>3740</v>
      </c>
      <c r="J142" s="126"/>
      <c r="K142" s="126"/>
      <c r="L142" s="126">
        <f t="shared" si="19"/>
        <v>14360</v>
      </c>
      <c r="M142" s="126"/>
      <c r="N142" s="126"/>
      <c r="O142" s="126"/>
      <c r="P142" s="126"/>
      <c r="Q142" s="126"/>
    </row>
    <row r="143" spans="1:17">
      <c r="A143" s="141" t="s">
        <v>93</v>
      </c>
      <c r="B143" s="142"/>
      <c r="C143" s="126">
        <v>6320</v>
      </c>
      <c r="D143" s="126"/>
      <c r="E143" s="126"/>
      <c r="F143" s="126">
        <v>3920</v>
      </c>
      <c r="G143" s="126"/>
      <c r="H143" s="126"/>
      <c r="I143" s="126">
        <v>3297</v>
      </c>
      <c r="J143" s="126"/>
      <c r="K143" s="126"/>
      <c r="L143" s="126">
        <f t="shared" si="19"/>
        <v>13537</v>
      </c>
      <c r="M143" s="126"/>
      <c r="N143" s="126"/>
      <c r="O143" s="126"/>
      <c r="P143" s="126"/>
      <c r="Q143" s="126"/>
    </row>
    <row r="144" spans="1:17">
      <c r="A144" s="89"/>
      <c r="B144" s="92"/>
      <c r="C144" s="132">
        <f>SUM(C140:E143)</f>
        <v>28450</v>
      </c>
      <c r="D144" s="132"/>
      <c r="E144" s="132"/>
      <c r="F144" s="132">
        <f>SUM(F140:H143)</f>
        <v>7400</v>
      </c>
      <c r="G144" s="132"/>
      <c r="H144" s="132"/>
      <c r="I144" s="132">
        <f>SUM(I140:K143)</f>
        <v>10622</v>
      </c>
      <c r="J144" s="132"/>
      <c r="K144" s="132"/>
      <c r="L144" s="132">
        <f>SUM(C144:K144)</f>
        <v>46472</v>
      </c>
      <c r="M144" s="132"/>
      <c r="N144" s="132"/>
      <c r="O144" s="91"/>
      <c r="P144" s="91"/>
      <c r="Q144" s="90"/>
    </row>
    <row r="145" spans="1:17">
      <c r="A145" s="136" t="s">
        <v>247</v>
      </c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7"/>
    </row>
    <row r="146" spans="1:17">
      <c r="A146" s="133" t="s">
        <v>99</v>
      </c>
      <c r="B146" s="133"/>
      <c r="C146" s="133" t="s">
        <v>220</v>
      </c>
      <c r="D146" s="133"/>
      <c r="E146" s="133"/>
      <c r="F146" s="133" t="s">
        <v>111</v>
      </c>
      <c r="G146" s="133"/>
      <c r="H146" s="133"/>
      <c r="I146" s="133" t="s">
        <v>111</v>
      </c>
      <c r="J146" s="133"/>
      <c r="K146" s="133"/>
      <c r="L146" s="133" t="s">
        <v>224</v>
      </c>
      <c r="M146" s="133"/>
      <c r="N146" s="133"/>
      <c r="O146" s="133" t="s">
        <v>223</v>
      </c>
      <c r="P146" s="133"/>
      <c r="Q146" s="133"/>
    </row>
    <row r="147" spans="1:17">
      <c r="A147" s="141" t="s">
        <v>11</v>
      </c>
      <c r="B147" s="142"/>
      <c r="C147" s="135">
        <v>19818.900000000001</v>
      </c>
      <c r="D147" s="135"/>
      <c r="E147" s="135"/>
      <c r="F147" s="145">
        <f>C147+I147</f>
        <v>20271.487400000002</v>
      </c>
      <c r="G147" s="132"/>
      <c r="H147" s="137"/>
      <c r="I147" s="134">
        <f>22629.37*0.02</f>
        <v>452.5874</v>
      </c>
      <c r="J147" s="126"/>
      <c r="K147" s="126"/>
      <c r="L147" s="134">
        <f>22629.37*0.03</f>
        <v>678.88109999999995</v>
      </c>
      <c r="M147" s="126"/>
      <c r="N147" s="126"/>
      <c r="O147" s="134">
        <f>L147+C147</f>
        <v>20497.7811</v>
      </c>
      <c r="P147" s="126"/>
      <c r="Q147" s="126"/>
    </row>
    <row r="148" spans="1:17">
      <c r="A148" s="141" t="s">
        <v>15</v>
      </c>
      <c r="B148" s="142"/>
      <c r="C148" s="135">
        <v>20688.599999999999</v>
      </c>
      <c r="D148" s="135"/>
      <c r="E148" s="135"/>
      <c r="F148" s="145">
        <f>C148+I148</f>
        <v>21143.5854</v>
      </c>
      <c r="G148" s="132"/>
      <c r="H148" s="137"/>
      <c r="I148" s="135">
        <f>22749.27*0.02</f>
        <v>454.98540000000003</v>
      </c>
      <c r="J148" s="135"/>
      <c r="K148" s="135"/>
      <c r="L148" s="135">
        <f>22749.27*0.03</f>
        <v>682.47810000000004</v>
      </c>
      <c r="M148" s="135"/>
      <c r="N148" s="135"/>
      <c r="O148" s="134">
        <f t="shared" ref="O148:O150" si="20">L148+C148</f>
        <v>21371.078099999999</v>
      </c>
      <c r="P148" s="126"/>
      <c r="Q148" s="126"/>
    </row>
    <row r="149" spans="1:17">
      <c r="A149" s="143" t="s">
        <v>96</v>
      </c>
      <c r="B149" s="144"/>
      <c r="C149" s="135">
        <v>3978.9</v>
      </c>
      <c r="D149" s="135"/>
      <c r="E149" s="135"/>
      <c r="F149" s="145">
        <f>C149+I149</f>
        <v>4082.8353999999999</v>
      </c>
      <c r="G149" s="132"/>
      <c r="H149" s="137"/>
      <c r="I149" s="135">
        <f>5196.77*0.02</f>
        <v>103.93540000000002</v>
      </c>
      <c r="J149" s="135"/>
      <c r="K149" s="135"/>
      <c r="L149" s="135">
        <f>5196.77*0.03</f>
        <v>155.90309999999999</v>
      </c>
      <c r="M149" s="135"/>
      <c r="N149" s="135"/>
      <c r="O149" s="134">
        <f t="shared" si="20"/>
        <v>4134.8031000000001</v>
      </c>
      <c r="P149" s="126"/>
      <c r="Q149" s="126"/>
    </row>
    <row r="150" spans="1:17">
      <c r="A150" s="141" t="s">
        <v>93</v>
      </c>
      <c r="B150" s="142"/>
      <c r="C150" s="135">
        <v>656.6</v>
      </c>
      <c r="D150" s="135"/>
      <c r="E150" s="135"/>
      <c r="F150" s="145">
        <f>C150+I150</f>
        <v>683.1694</v>
      </c>
      <c r="G150" s="132"/>
      <c r="H150" s="137"/>
      <c r="I150" s="135">
        <f>1328.47*0.02</f>
        <v>26.569400000000002</v>
      </c>
      <c r="J150" s="135"/>
      <c r="K150" s="135"/>
      <c r="L150" s="135">
        <f>1328.47*0.03</f>
        <v>39.854100000000003</v>
      </c>
      <c r="M150" s="135"/>
      <c r="N150" s="135"/>
      <c r="O150" s="134">
        <f t="shared" si="20"/>
        <v>696.45410000000004</v>
      </c>
      <c r="P150" s="126"/>
      <c r="Q150" s="126"/>
    </row>
    <row r="151" spans="1:17">
      <c r="A151" s="138" t="s">
        <v>248</v>
      </c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40"/>
    </row>
    <row r="152" spans="1:17">
      <c r="A152" s="133" t="s">
        <v>99</v>
      </c>
      <c r="B152" s="133"/>
      <c r="C152" s="133" t="s">
        <v>220</v>
      </c>
      <c r="D152" s="133"/>
      <c r="E152" s="133"/>
      <c r="F152" s="133" t="s">
        <v>111</v>
      </c>
      <c r="G152" s="133"/>
      <c r="H152" s="133"/>
      <c r="I152" s="133" t="s">
        <v>224</v>
      </c>
      <c r="J152" s="133"/>
      <c r="K152" s="133"/>
      <c r="L152" s="126"/>
      <c r="M152" s="126"/>
      <c r="N152" s="126"/>
      <c r="O152" s="126"/>
      <c r="P152" s="126"/>
      <c r="Q152" s="126"/>
    </row>
    <row r="153" spans="1:17">
      <c r="A153" s="141" t="s">
        <v>11</v>
      </c>
      <c r="B153" s="142"/>
      <c r="C153" s="126">
        <v>6330</v>
      </c>
      <c r="D153" s="126"/>
      <c r="E153" s="126"/>
      <c r="F153" s="126">
        <v>890</v>
      </c>
      <c r="G153" s="126"/>
      <c r="H153" s="126"/>
      <c r="I153" s="126">
        <v>1687</v>
      </c>
      <c r="J153" s="126"/>
      <c r="K153" s="126"/>
      <c r="L153" s="126">
        <f>SUM(C153:K153)</f>
        <v>8907</v>
      </c>
      <c r="M153" s="126"/>
      <c r="N153" s="126"/>
      <c r="O153" s="126"/>
      <c r="P153" s="126"/>
      <c r="Q153" s="126"/>
    </row>
    <row r="154" spans="1:17">
      <c r="A154" s="141" t="s">
        <v>15</v>
      </c>
      <c r="B154" s="142"/>
      <c r="C154" s="126">
        <v>5380</v>
      </c>
      <c r="D154" s="126"/>
      <c r="E154" s="126"/>
      <c r="F154" s="126">
        <v>720</v>
      </c>
      <c r="G154" s="126"/>
      <c r="H154" s="126"/>
      <c r="I154" s="126">
        <v>1430</v>
      </c>
      <c r="J154" s="126"/>
      <c r="K154" s="126"/>
      <c r="L154" s="126">
        <f t="shared" ref="L154:L156" si="21">SUM(C154:K154)</f>
        <v>7530</v>
      </c>
      <c r="M154" s="126"/>
      <c r="N154" s="126"/>
      <c r="O154" s="126"/>
      <c r="P154" s="126"/>
      <c r="Q154" s="126"/>
    </row>
    <row r="155" spans="1:17">
      <c r="A155" s="143" t="s">
        <v>96</v>
      </c>
      <c r="B155" s="144"/>
      <c r="C155" s="126">
        <v>8590</v>
      </c>
      <c r="D155" s="126"/>
      <c r="E155" s="126"/>
      <c r="F155" s="126">
        <v>1570</v>
      </c>
      <c r="G155" s="126"/>
      <c r="H155" s="126"/>
      <c r="I155" s="126">
        <v>3587</v>
      </c>
      <c r="J155" s="126"/>
      <c r="K155" s="126"/>
      <c r="L155" s="126">
        <f t="shared" si="21"/>
        <v>13747</v>
      </c>
      <c r="M155" s="126"/>
      <c r="N155" s="126"/>
      <c r="O155" s="126"/>
      <c r="P155" s="126"/>
      <c r="Q155" s="126"/>
    </row>
    <row r="156" spans="1:17">
      <c r="A156" s="141" t="s">
        <v>93</v>
      </c>
      <c r="B156" s="142"/>
      <c r="C156" s="126">
        <v>6070</v>
      </c>
      <c r="D156" s="126"/>
      <c r="E156" s="126"/>
      <c r="F156" s="126">
        <v>3660</v>
      </c>
      <c r="G156" s="126"/>
      <c r="H156" s="126"/>
      <c r="I156" s="126">
        <v>3203</v>
      </c>
      <c r="J156" s="126"/>
      <c r="K156" s="126"/>
      <c r="L156" s="126">
        <f t="shared" si="21"/>
        <v>12933</v>
      </c>
      <c r="M156" s="126"/>
      <c r="N156" s="126"/>
      <c r="O156" s="126"/>
      <c r="P156" s="126"/>
      <c r="Q156" s="126"/>
    </row>
    <row r="157" spans="1:17">
      <c r="A157" s="89"/>
      <c r="B157" s="92"/>
      <c r="C157" s="132">
        <f>SUM(C153:E156)</f>
        <v>26370</v>
      </c>
      <c r="D157" s="132"/>
      <c r="E157" s="132"/>
      <c r="F157" s="132">
        <f>SUM(F153:H156)</f>
        <v>6840</v>
      </c>
      <c r="G157" s="132"/>
      <c r="H157" s="132"/>
      <c r="I157" s="132">
        <f>SUM(I153:K156)</f>
        <v>9907</v>
      </c>
      <c r="J157" s="132"/>
      <c r="K157" s="132"/>
      <c r="L157" s="132">
        <f>SUM(C157:K157)</f>
        <v>43117</v>
      </c>
      <c r="M157" s="132"/>
      <c r="N157" s="132"/>
      <c r="O157" s="91"/>
      <c r="P157" s="91"/>
      <c r="Q157" s="90"/>
    </row>
    <row r="158" spans="1:17">
      <c r="A158" s="136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7"/>
    </row>
    <row r="159" spans="1:17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</row>
    <row r="160" spans="1:17">
      <c r="A160" s="141"/>
      <c r="B160" s="142"/>
      <c r="C160" s="126"/>
      <c r="D160" s="126"/>
      <c r="E160" s="126"/>
      <c r="F160" s="136"/>
      <c r="G160" s="132"/>
      <c r="H160" s="137"/>
      <c r="I160" s="126"/>
      <c r="J160" s="126"/>
      <c r="K160" s="126"/>
      <c r="L160" s="126"/>
      <c r="M160" s="126"/>
      <c r="N160" s="126"/>
      <c r="O160" s="126"/>
      <c r="P160" s="126"/>
      <c r="Q160" s="126"/>
    </row>
    <row r="161" spans="1:17">
      <c r="A161" s="141"/>
      <c r="B161" s="142"/>
      <c r="C161" s="126"/>
      <c r="D161" s="126"/>
      <c r="E161" s="126"/>
      <c r="F161" s="136"/>
      <c r="G161" s="132"/>
      <c r="H161" s="137"/>
      <c r="I161" s="126"/>
      <c r="J161" s="126"/>
      <c r="K161" s="126"/>
      <c r="L161" s="126"/>
      <c r="M161" s="126"/>
      <c r="N161" s="126"/>
      <c r="O161" s="126"/>
      <c r="P161" s="126"/>
      <c r="Q161" s="126"/>
    </row>
    <row r="162" spans="1:17">
      <c r="A162" s="143"/>
      <c r="B162" s="144"/>
      <c r="C162" s="126"/>
      <c r="D162" s="126"/>
      <c r="E162" s="126"/>
      <c r="F162" s="136"/>
      <c r="G162" s="132"/>
      <c r="H162" s="137"/>
      <c r="I162" s="126"/>
      <c r="J162" s="126"/>
      <c r="K162" s="126"/>
      <c r="L162" s="126"/>
      <c r="M162" s="126"/>
      <c r="N162" s="126"/>
      <c r="O162" s="126"/>
      <c r="P162" s="126"/>
      <c r="Q162" s="126"/>
    </row>
    <row r="163" spans="1:17">
      <c r="A163" s="141"/>
      <c r="B163" s="142"/>
      <c r="C163" s="126"/>
      <c r="D163" s="126"/>
      <c r="E163" s="126"/>
      <c r="F163" s="136"/>
      <c r="G163" s="132"/>
      <c r="H163" s="137"/>
      <c r="I163" s="126"/>
      <c r="J163" s="126"/>
      <c r="K163" s="126"/>
      <c r="L163" s="126"/>
      <c r="M163" s="126"/>
      <c r="N163" s="126"/>
      <c r="O163" s="126"/>
      <c r="P163" s="126"/>
      <c r="Q163" s="126"/>
    </row>
    <row r="164" spans="1:17">
      <c r="A164" s="138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40"/>
    </row>
    <row r="165" spans="1:17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26"/>
      <c r="M165" s="126"/>
      <c r="N165" s="126"/>
      <c r="O165" s="126"/>
      <c r="P165" s="126"/>
      <c r="Q165" s="126"/>
    </row>
    <row r="166" spans="1:17">
      <c r="A166" s="141"/>
      <c r="B166" s="142"/>
      <c r="C166" s="126"/>
      <c r="D166" s="126"/>
      <c r="E166" s="126"/>
      <c r="F166" s="136"/>
      <c r="G166" s="132"/>
      <c r="H166" s="137"/>
      <c r="I166" s="126"/>
      <c r="J166" s="126"/>
      <c r="K166" s="126"/>
      <c r="L166" s="126"/>
      <c r="M166" s="126"/>
      <c r="N166" s="126"/>
      <c r="O166" s="126"/>
      <c r="P166" s="126"/>
      <c r="Q166" s="126"/>
    </row>
    <row r="167" spans="1:17">
      <c r="A167" s="141"/>
      <c r="B167" s="142"/>
      <c r="C167" s="126"/>
      <c r="D167" s="126"/>
      <c r="E167" s="126"/>
      <c r="F167" s="136"/>
      <c r="G167" s="132"/>
      <c r="H167" s="137"/>
      <c r="I167" s="126"/>
      <c r="J167" s="126"/>
      <c r="K167" s="126"/>
      <c r="L167" s="126"/>
      <c r="M167" s="126"/>
      <c r="N167" s="126"/>
      <c r="O167" s="126"/>
      <c r="P167" s="126"/>
      <c r="Q167" s="126"/>
    </row>
    <row r="168" spans="1:17">
      <c r="A168" s="143"/>
      <c r="B168" s="144"/>
      <c r="C168" s="126"/>
      <c r="D168" s="126"/>
      <c r="E168" s="126"/>
      <c r="F168" s="136"/>
      <c r="G168" s="132"/>
      <c r="H168" s="137"/>
      <c r="I168" s="126"/>
      <c r="J168" s="126"/>
      <c r="K168" s="126"/>
      <c r="L168" s="126"/>
      <c r="M168" s="126"/>
      <c r="N168" s="126"/>
      <c r="O168" s="126"/>
      <c r="P168" s="126"/>
      <c r="Q168" s="126"/>
    </row>
    <row r="169" spans="1:17">
      <c r="A169" s="141"/>
      <c r="B169" s="142"/>
      <c r="C169" s="126"/>
      <c r="D169" s="126"/>
      <c r="E169" s="126"/>
      <c r="F169" s="136"/>
      <c r="G169" s="132"/>
      <c r="H169" s="137"/>
      <c r="I169" s="126"/>
      <c r="J169" s="126"/>
      <c r="K169" s="126"/>
      <c r="L169" s="126"/>
      <c r="M169" s="126"/>
      <c r="N169" s="126"/>
      <c r="O169" s="126"/>
      <c r="P169" s="126"/>
      <c r="Q169" s="126"/>
    </row>
    <row r="170" spans="1:17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</row>
    <row r="171" spans="1:17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</row>
    <row r="172" spans="1:17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</row>
    <row r="173" spans="1:17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</row>
    <row r="174" spans="1:17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</row>
    <row r="175" spans="1:17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</row>
    <row r="176" spans="1:17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</row>
    <row r="177" spans="1:17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</row>
    <row r="178" spans="1:17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</row>
    <row r="179" spans="1:17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</row>
    <row r="180" spans="1:17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</row>
    <row r="181" spans="1:17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</row>
    <row r="182" spans="1:17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</row>
    <row r="183" spans="1:17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</row>
    <row r="184" spans="1:17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</row>
    <row r="185" spans="1:17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</row>
    <row r="186" spans="1:17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</row>
    <row r="187" spans="1:17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</row>
    <row r="188" spans="1:17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</row>
    <row r="189" spans="1:17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</row>
    <row r="190" spans="1:17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</row>
    <row r="191" spans="1:17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</row>
    <row r="192" spans="1:17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</row>
    <row r="193" spans="1:17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</row>
    <row r="194" spans="1:17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</row>
    <row r="195" spans="1:17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</row>
    <row r="196" spans="1:17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</row>
    <row r="197" spans="1:17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</row>
    <row r="198" spans="1:17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</row>
    <row r="199" spans="1:17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</row>
    <row r="200" spans="1:17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</row>
    <row r="201" spans="1:17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</row>
    <row r="202" spans="1:17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</row>
    <row r="203" spans="1:17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</row>
    <row r="204" spans="1:17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</row>
    <row r="205" spans="1:17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</row>
    <row r="206" spans="1:17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</row>
    <row r="207" spans="1:17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</row>
    <row r="208" spans="1:17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</row>
    <row r="209" spans="1:17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</row>
    <row r="210" spans="1:17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</row>
    <row r="211" spans="1:17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</row>
    <row r="212" spans="1:17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</row>
    <row r="213" spans="1:17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</row>
    <row r="214" spans="1:17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</row>
    <row r="215" spans="1:17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</row>
    <row r="216" spans="1:17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</row>
    <row r="217" spans="1:17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</row>
    <row r="218" spans="1:17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</row>
    <row r="219" spans="1:17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</row>
    <row r="220" spans="1:17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</row>
    <row r="221" spans="1:17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</row>
    <row r="222" spans="1:17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</row>
    <row r="223" spans="1:17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</row>
    <row r="224" spans="1:17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</row>
    <row r="225" spans="1:17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</row>
    <row r="226" spans="1:17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</row>
    <row r="227" spans="1:17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</row>
    <row r="228" spans="1:17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</row>
    <row r="229" spans="1:17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</row>
    <row r="230" spans="1:17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</row>
    <row r="231" spans="1:17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</row>
    <row r="232" spans="1:17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</row>
    <row r="233" spans="1:17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</row>
    <row r="234" spans="1:17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</row>
    <row r="235" spans="1:17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</row>
    <row r="236" spans="1:17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</row>
    <row r="237" spans="1:17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</row>
    <row r="238" spans="1:17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</row>
    <row r="239" spans="1:17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</row>
    <row r="240" spans="1:17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</row>
  </sheetData>
  <mergeCells count="1281">
    <mergeCell ref="A3:B3"/>
    <mergeCell ref="A4:B4"/>
    <mergeCell ref="C22:E22"/>
    <mergeCell ref="C23:E23"/>
    <mergeCell ref="C24:E24"/>
    <mergeCell ref="C25:E25"/>
    <mergeCell ref="C19:E19"/>
    <mergeCell ref="C20:E20"/>
    <mergeCell ref="A5:B5"/>
    <mergeCell ref="A6:B6"/>
    <mergeCell ref="A7:B7"/>
    <mergeCell ref="L3:N3"/>
    <mergeCell ref="A22:B22"/>
    <mergeCell ref="A23:B23"/>
    <mergeCell ref="A25:B25"/>
    <mergeCell ref="C3:E3"/>
    <mergeCell ref="C4:E4"/>
    <mergeCell ref="C5:E5"/>
    <mergeCell ref="C6:E6"/>
    <mergeCell ref="C7:E7"/>
    <mergeCell ref="A16:B16"/>
    <mergeCell ref="A17:B17"/>
    <mergeCell ref="A18:B18"/>
    <mergeCell ref="A19:B19"/>
    <mergeCell ref="A20:B20"/>
    <mergeCell ref="A9:B9"/>
    <mergeCell ref="A10:B10"/>
    <mergeCell ref="A11:B11"/>
    <mergeCell ref="F23:H23"/>
    <mergeCell ref="F24:H24"/>
    <mergeCell ref="F25:H25"/>
    <mergeCell ref="I3:K3"/>
    <mergeCell ref="I4:K4"/>
    <mergeCell ref="I5:K5"/>
    <mergeCell ref="I6:K6"/>
    <mergeCell ref="I7:K7"/>
    <mergeCell ref="F17:H17"/>
    <mergeCell ref="F18:H18"/>
    <mergeCell ref="F19:H19"/>
    <mergeCell ref="F20:H20"/>
    <mergeCell ref="F10:H10"/>
    <mergeCell ref="F11:H11"/>
    <mergeCell ref="F12:H12"/>
    <mergeCell ref="F13:H13"/>
    <mergeCell ref="I23:K23"/>
    <mergeCell ref="I24:K24"/>
    <mergeCell ref="I25:K25"/>
    <mergeCell ref="L4:N4"/>
    <mergeCell ref="L5:N5"/>
    <mergeCell ref="L6:N6"/>
    <mergeCell ref="L7:N7"/>
    <mergeCell ref="I16:K16"/>
    <mergeCell ref="I17:K17"/>
    <mergeCell ref="I18:K18"/>
    <mergeCell ref="I19:K19"/>
    <mergeCell ref="I20:K20"/>
    <mergeCell ref="I9:K9"/>
    <mergeCell ref="I10:K10"/>
    <mergeCell ref="I11:K11"/>
    <mergeCell ref="I12:K12"/>
    <mergeCell ref="I13:K13"/>
    <mergeCell ref="L22:N22"/>
    <mergeCell ref="L23:N23"/>
    <mergeCell ref="L24:N24"/>
    <mergeCell ref="L25:N25"/>
    <mergeCell ref="L19:N19"/>
    <mergeCell ref="L20:N20"/>
    <mergeCell ref="F22:H22"/>
    <mergeCell ref="L9:N9"/>
    <mergeCell ref="L10:N10"/>
    <mergeCell ref="L11:N11"/>
    <mergeCell ref="L12:N12"/>
    <mergeCell ref="L13:N13"/>
    <mergeCell ref="I22:K22"/>
    <mergeCell ref="A2:Q2"/>
    <mergeCell ref="O3:Q3"/>
    <mergeCell ref="O4:Q4"/>
    <mergeCell ref="O5:Q5"/>
    <mergeCell ref="O6:Q6"/>
    <mergeCell ref="O7:Q7"/>
    <mergeCell ref="L16:N16"/>
    <mergeCell ref="L17:N17"/>
    <mergeCell ref="L18:N18"/>
    <mergeCell ref="F3:H3"/>
    <mergeCell ref="F4:H4"/>
    <mergeCell ref="F5:H5"/>
    <mergeCell ref="F6:H6"/>
    <mergeCell ref="F7:H7"/>
    <mergeCell ref="C16:E16"/>
    <mergeCell ref="C17:E17"/>
    <mergeCell ref="C18:E18"/>
    <mergeCell ref="C9:E9"/>
    <mergeCell ref="C10:E10"/>
    <mergeCell ref="C11:E11"/>
    <mergeCell ref="C12:E12"/>
    <mergeCell ref="C13:E13"/>
    <mergeCell ref="A12:B12"/>
    <mergeCell ref="A13:B13"/>
    <mergeCell ref="F26:H26"/>
    <mergeCell ref="F29:H29"/>
    <mergeCell ref="F30:H30"/>
    <mergeCell ref="F31:H31"/>
    <mergeCell ref="F32:H32"/>
    <mergeCell ref="A1:Q1"/>
    <mergeCell ref="F9:H9"/>
    <mergeCell ref="F16:H16"/>
    <mergeCell ref="O22:Q22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A8:Q8"/>
    <mergeCell ref="I26:K26"/>
    <mergeCell ref="I29:K29"/>
    <mergeCell ref="I30:K30"/>
    <mergeCell ref="I31:K31"/>
    <mergeCell ref="I32:K32"/>
    <mergeCell ref="A28:Q28"/>
    <mergeCell ref="C14:E14"/>
    <mergeCell ref="F14:H14"/>
    <mergeCell ref="I14:K14"/>
    <mergeCell ref="L14:N14"/>
    <mergeCell ref="F43:H43"/>
    <mergeCell ref="F44:H44"/>
    <mergeCell ref="F45:H45"/>
    <mergeCell ref="F46:H46"/>
    <mergeCell ref="F48:H48"/>
    <mergeCell ref="F49:H49"/>
    <mergeCell ref="F50:H50"/>
    <mergeCell ref="F51:H51"/>
    <mergeCell ref="F33:H33"/>
    <mergeCell ref="F35:H35"/>
    <mergeCell ref="F36:H36"/>
    <mergeCell ref="F37:H37"/>
    <mergeCell ref="F38:H38"/>
    <mergeCell ref="F39:H39"/>
    <mergeCell ref="F42:H42"/>
    <mergeCell ref="A34:Q34"/>
    <mergeCell ref="A41:Q41"/>
    <mergeCell ref="A47:Q47"/>
    <mergeCell ref="I36:K36"/>
    <mergeCell ref="I37:K37"/>
    <mergeCell ref="I38:K38"/>
    <mergeCell ref="I39:K39"/>
    <mergeCell ref="I42:K42"/>
    <mergeCell ref="I43:K43"/>
    <mergeCell ref="I44:K44"/>
    <mergeCell ref="I45:K45"/>
    <mergeCell ref="I33:K33"/>
    <mergeCell ref="I35:K35"/>
    <mergeCell ref="I46:K46"/>
    <mergeCell ref="I48:K48"/>
    <mergeCell ref="I49:K49"/>
    <mergeCell ref="I50:K50"/>
    <mergeCell ref="F62:H62"/>
    <mergeCell ref="F63:H63"/>
    <mergeCell ref="F64:H64"/>
    <mergeCell ref="F65:H65"/>
    <mergeCell ref="F68:H68"/>
    <mergeCell ref="F69:H69"/>
    <mergeCell ref="F70:H70"/>
    <mergeCell ref="F71:H71"/>
    <mergeCell ref="F52:H52"/>
    <mergeCell ref="F55:H55"/>
    <mergeCell ref="F56:H56"/>
    <mergeCell ref="F57:H57"/>
    <mergeCell ref="F58:H58"/>
    <mergeCell ref="F59:H59"/>
    <mergeCell ref="F61:H61"/>
    <mergeCell ref="A54:Q54"/>
    <mergeCell ref="A60:Q60"/>
    <mergeCell ref="A67:Q67"/>
    <mergeCell ref="I56:K56"/>
    <mergeCell ref="I57:K57"/>
    <mergeCell ref="I58:K58"/>
    <mergeCell ref="I59:K59"/>
    <mergeCell ref="I61:K61"/>
    <mergeCell ref="I62:K62"/>
    <mergeCell ref="I63:K63"/>
    <mergeCell ref="I64:K64"/>
    <mergeCell ref="A71:B71"/>
    <mergeCell ref="A55:B55"/>
    <mergeCell ref="A56:B56"/>
    <mergeCell ref="A57:B57"/>
    <mergeCell ref="A58:B58"/>
    <mergeCell ref="A59:B59"/>
    <mergeCell ref="F82:H82"/>
    <mergeCell ref="F83:H83"/>
    <mergeCell ref="F84:H84"/>
    <mergeCell ref="F85:H85"/>
    <mergeCell ref="F87:H87"/>
    <mergeCell ref="F88:H88"/>
    <mergeCell ref="F89:H89"/>
    <mergeCell ref="F90:H90"/>
    <mergeCell ref="F72:H72"/>
    <mergeCell ref="F74:H74"/>
    <mergeCell ref="F75:H75"/>
    <mergeCell ref="F76:H76"/>
    <mergeCell ref="F77:H77"/>
    <mergeCell ref="F78:H78"/>
    <mergeCell ref="F81:H81"/>
    <mergeCell ref="A73:Q73"/>
    <mergeCell ref="A80:Q80"/>
    <mergeCell ref="A86:Q86"/>
    <mergeCell ref="I85:K85"/>
    <mergeCell ref="I87:K87"/>
    <mergeCell ref="I88:K88"/>
    <mergeCell ref="I89:K89"/>
    <mergeCell ref="I90:K90"/>
    <mergeCell ref="A72:B72"/>
    <mergeCell ref="C81:E81"/>
    <mergeCell ref="C82:E82"/>
    <mergeCell ref="C83:E83"/>
    <mergeCell ref="L74:N74"/>
    <mergeCell ref="L75:N75"/>
    <mergeCell ref="L76:N76"/>
    <mergeCell ref="L77:N77"/>
    <mergeCell ref="L78:N78"/>
    <mergeCell ref="F101:H101"/>
    <mergeCell ref="F102:H102"/>
    <mergeCell ref="F103:H103"/>
    <mergeCell ref="F104:H104"/>
    <mergeCell ref="F107:H107"/>
    <mergeCell ref="F108:H108"/>
    <mergeCell ref="F109:H109"/>
    <mergeCell ref="F110:H110"/>
    <mergeCell ref="F91:H91"/>
    <mergeCell ref="F94:H94"/>
    <mergeCell ref="F95:H95"/>
    <mergeCell ref="F96:H96"/>
    <mergeCell ref="F97:H97"/>
    <mergeCell ref="F98:H98"/>
    <mergeCell ref="F100:H100"/>
    <mergeCell ref="A93:Q93"/>
    <mergeCell ref="A99:Q99"/>
    <mergeCell ref="A106:Q106"/>
    <mergeCell ref="I95:K95"/>
    <mergeCell ref="I96:K96"/>
    <mergeCell ref="I97:K97"/>
    <mergeCell ref="I98:K98"/>
    <mergeCell ref="I100:K100"/>
    <mergeCell ref="I101:K101"/>
    <mergeCell ref="I102:K102"/>
    <mergeCell ref="I103:K103"/>
    <mergeCell ref="I91:K91"/>
    <mergeCell ref="I94:K94"/>
    <mergeCell ref="I104:K104"/>
    <mergeCell ref="I107:K107"/>
    <mergeCell ref="I108:K108"/>
    <mergeCell ref="I109:K109"/>
    <mergeCell ref="F121:H121"/>
    <mergeCell ref="F122:H122"/>
    <mergeCell ref="F123:H123"/>
    <mergeCell ref="F124:H124"/>
    <mergeCell ref="F126:H126"/>
    <mergeCell ref="F127:H127"/>
    <mergeCell ref="F128:H128"/>
    <mergeCell ref="F129:H129"/>
    <mergeCell ref="F111:H111"/>
    <mergeCell ref="F113:H113"/>
    <mergeCell ref="F114:H114"/>
    <mergeCell ref="F115:H115"/>
    <mergeCell ref="F116:H116"/>
    <mergeCell ref="F117:H117"/>
    <mergeCell ref="F120:H120"/>
    <mergeCell ref="A112:Q112"/>
    <mergeCell ref="A119:Q119"/>
    <mergeCell ref="A125:Q125"/>
    <mergeCell ref="I114:K114"/>
    <mergeCell ref="I115:K115"/>
    <mergeCell ref="I116:K116"/>
    <mergeCell ref="I117:K117"/>
    <mergeCell ref="I120:K120"/>
    <mergeCell ref="I121:K121"/>
    <mergeCell ref="I122:K122"/>
    <mergeCell ref="I123:K123"/>
    <mergeCell ref="A126:B126"/>
    <mergeCell ref="A127:B127"/>
    <mergeCell ref="A128:B128"/>
    <mergeCell ref="A129:B129"/>
    <mergeCell ref="C115:E115"/>
    <mergeCell ref="C116:E116"/>
    <mergeCell ref="F140:H140"/>
    <mergeCell ref="F141:H141"/>
    <mergeCell ref="F142:H142"/>
    <mergeCell ref="F143:H143"/>
    <mergeCell ref="F146:H146"/>
    <mergeCell ref="F147:H147"/>
    <mergeCell ref="F148:H148"/>
    <mergeCell ref="F149:H149"/>
    <mergeCell ref="F130:H130"/>
    <mergeCell ref="F133:H133"/>
    <mergeCell ref="F134:H134"/>
    <mergeCell ref="F135:H135"/>
    <mergeCell ref="F136:H136"/>
    <mergeCell ref="F137:H137"/>
    <mergeCell ref="F139:H139"/>
    <mergeCell ref="A132:Q132"/>
    <mergeCell ref="A138:Q138"/>
    <mergeCell ref="A145:Q145"/>
    <mergeCell ref="I143:K143"/>
    <mergeCell ref="I146:K146"/>
    <mergeCell ref="I147:K147"/>
    <mergeCell ref="I148:K148"/>
    <mergeCell ref="I149:K149"/>
    <mergeCell ref="A130:B130"/>
    <mergeCell ref="A142:B142"/>
    <mergeCell ref="A143:B143"/>
    <mergeCell ref="A146:B146"/>
    <mergeCell ref="A147:B147"/>
    <mergeCell ref="A148:B148"/>
    <mergeCell ref="A149:B149"/>
    <mergeCell ref="A133:B133"/>
    <mergeCell ref="A134:B134"/>
    <mergeCell ref="F160:H160"/>
    <mergeCell ref="F161:H161"/>
    <mergeCell ref="F162:H162"/>
    <mergeCell ref="F163:H163"/>
    <mergeCell ref="F165:H165"/>
    <mergeCell ref="F166:H166"/>
    <mergeCell ref="F167:H167"/>
    <mergeCell ref="F168:H168"/>
    <mergeCell ref="F150:H150"/>
    <mergeCell ref="F152:H152"/>
    <mergeCell ref="F153:H153"/>
    <mergeCell ref="F154:H154"/>
    <mergeCell ref="F155:H155"/>
    <mergeCell ref="F156:H156"/>
    <mergeCell ref="F159:H159"/>
    <mergeCell ref="A151:Q151"/>
    <mergeCell ref="A158:Q158"/>
    <mergeCell ref="A164:Q164"/>
    <mergeCell ref="I153:K153"/>
    <mergeCell ref="I154:K154"/>
    <mergeCell ref="I155:K155"/>
    <mergeCell ref="I156:K156"/>
    <mergeCell ref="I159:K159"/>
    <mergeCell ref="I160:K160"/>
    <mergeCell ref="I161:K161"/>
    <mergeCell ref="I162:K162"/>
    <mergeCell ref="I150:K150"/>
    <mergeCell ref="I152:K152"/>
    <mergeCell ref="A150:B150"/>
    <mergeCell ref="L154:N154"/>
    <mergeCell ref="L155:N155"/>
    <mergeCell ref="L156:N156"/>
    <mergeCell ref="F178:H178"/>
    <mergeCell ref="F179:H179"/>
    <mergeCell ref="F180:H180"/>
    <mergeCell ref="F181:H181"/>
    <mergeCell ref="F182:H182"/>
    <mergeCell ref="F183:H183"/>
    <mergeCell ref="F184:H184"/>
    <mergeCell ref="F185:H185"/>
    <mergeCell ref="F186:H186"/>
    <mergeCell ref="F169:H169"/>
    <mergeCell ref="F170:H170"/>
    <mergeCell ref="F171:H171"/>
    <mergeCell ref="F172:H172"/>
    <mergeCell ref="F173:H173"/>
    <mergeCell ref="F174:H174"/>
    <mergeCell ref="F175:H175"/>
    <mergeCell ref="F176:H176"/>
    <mergeCell ref="F177:H177"/>
    <mergeCell ref="F196:H196"/>
    <mergeCell ref="F197:H197"/>
    <mergeCell ref="F198:H198"/>
    <mergeCell ref="F199:H199"/>
    <mergeCell ref="F200:H200"/>
    <mergeCell ref="F201:H201"/>
    <mergeCell ref="F202:H202"/>
    <mergeCell ref="F203:H203"/>
    <mergeCell ref="F204:H204"/>
    <mergeCell ref="F187:H187"/>
    <mergeCell ref="F188:H188"/>
    <mergeCell ref="F189:H189"/>
    <mergeCell ref="F190:H190"/>
    <mergeCell ref="F191:H191"/>
    <mergeCell ref="F192:H192"/>
    <mergeCell ref="F193:H193"/>
    <mergeCell ref="F194:H194"/>
    <mergeCell ref="F195:H195"/>
    <mergeCell ref="F214:H214"/>
    <mergeCell ref="F215:H215"/>
    <mergeCell ref="F216:H216"/>
    <mergeCell ref="F217:H217"/>
    <mergeCell ref="F218:H218"/>
    <mergeCell ref="F219:H219"/>
    <mergeCell ref="F220:H220"/>
    <mergeCell ref="F221:H221"/>
    <mergeCell ref="F222:H222"/>
    <mergeCell ref="F205:H205"/>
    <mergeCell ref="F206:H206"/>
    <mergeCell ref="F207:H207"/>
    <mergeCell ref="F208:H208"/>
    <mergeCell ref="F209:H209"/>
    <mergeCell ref="F210:H210"/>
    <mergeCell ref="F211:H211"/>
    <mergeCell ref="F212:H212"/>
    <mergeCell ref="F213:H213"/>
    <mergeCell ref="F232:H232"/>
    <mergeCell ref="F233:H233"/>
    <mergeCell ref="F234:H234"/>
    <mergeCell ref="F235:H235"/>
    <mergeCell ref="F236:H236"/>
    <mergeCell ref="F237:H237"/>
    <mergeCell ref="F238:H238"/>
    <mergeCell ref="F239:H239"/>
    <mergeCell ref="F240:H240"/>
    <mergeCell ref="F223:H223"/>
    <mergeCell ref="F224:H224"/>
    <mergeCell ref="F225:H225"/>
    <mergeCell ref="F226:H226"/>
    <mergeCell ref="F227:H227"/>
    <mergeCell ref="F228:H228"/>
    <mergeCell ref="F229:H229"/>
    <mergeCell ref="F230:H230"/>
    <mergeCell ref="F231:H231"/>
    <mergeCell ref="I51:K51"/>
    <mergeCell ref="I52:K52"/>
    <mergeCell ref="I55:K55"/>
    <mergeCell ref="I75:K75"/>
    <mergeCell ref="I76:K76"/>
    <mergeCell ref="I77:K77"/>
    <mergeCell ref="I78:K78"/>
    <mergeCell ref="I81:K81"/>
    <mergeCell ref="I82:K82"/>
    <mergeCell ref="I83:K83"/>
    <mergeCell ref="I84:K84"/>
    <mergeCell ref="I65:K65"/>
    <mergeCell ref="I68:K68"/>
    <mergeCell ref="I69:K69"/>
    <mergeCell ref="I70:K70"/>
    <mergeCell ref="I71:K71"/>
    <mergeCell ref="I72:K72"/>
    <mergeCell ref="I74:K74"/>
    <mergeCell ref="I110:K110"/>
    <mergeCell ref="I111:K111"/>
    <mergeCell ref="I113:K113"/>
    <mergeCell ref="I134:K134"/>
    <mergeCell ref="I135:K135"/>
    <mergeCell ref="I136:K136"/>
    <mergeCell ref="I137:K137"/>
    <mergeCell ref="I139:K139"/>
    <mergeCell ref="I140:K140"/>
    <mergeCell ref="I141:K141"/>
    <mergeCell ref="I142:K142"/>
    <mergeCell ref="I124:K124"/>
    <mergeCell ref="I126:K126"/>
    <mergeCell ref="I127:K127"/>
    <mergeCell ref="I128:K128"/>
    <mergeCell ref="I129:K129"/>
    <mergeCell ref="I130:K130"/>
    <mergeCell ref="I133:K133"/>
    <mergeCell ref="I172:K172"/>
    <mergeCell ref="I173:K173"/>
    <mergeCell ref="I174:K174"/>
    <mergeCell ref="I175:K175"/>
    <mergeCell ref="I176:K176"/>
    <mergeCell ref="I177:K177"/>
    <mergeCell ref="I178:K178"/>
    <mergeCell ref="I179:K179"/>
    <mergeCell ref="I180:K180"/>
    <mergeCell ref="I163:K163"/>
    <mergeCell ref="I165:K165"/>
    <mergeCell ref="I166:K166"/>
    <mergeCell ref="I167:K167"/>
    <mergeCell ref="I168:K168"/>
    <mergeCell ref="I169:K169"/>
    <mergeCell ref="I170:K170"/>
    <mergeCell ref="I171:K171"/>
    <mergeCell ref="I203:K203"/>
    <mergeCell ref="I204:K204"/>
    <mergeCell ref="I205:K205"/>
    <mergeCell ref="I206:K206"/>
    <mergeCell ref="I207:K207"/>
    <mergeCell ref="I190:K190"/>
    <mergeCell ref="I191:K191"/>
    <mergeCell ref="I192:K192"/>
    <mergeCell ref="I193:K193"/>
    <mergeCell ref="I194:K194"/>
    <mergeCell ref="I195:K195"/>
    <mergeCell ref="I196:K196"/>
    <mergeCell ref="I197:K197"/>
    <mergeCell ref="I198:K198"/>
    <mergeCell ref="I181:K181"/>
    <mergeCell ref="I182:K182"/>
    <mergeCell ref="I183:K183"/>
    <mergeCell ref="I184:K184"/>
    <mergeCell ref="I185:K185"/>
    <mergeCell ref="I186:K186"/>
    <mergeCell ref="I187:K187"/>
    <mergeCell ref="I188:K188"/>
    <mergeCell ref="I189:K189"/>
    <mergeCell ref="A44:B44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17:K217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08:K208"/>
    <mergeCell ref="I209:K209"/>
    <mergeCell ref="I210:K210"/>
    <mergeCell ref="I211:K211"/>
    <mergeCell ref="I212:K212"/>
    <mergeCell ref="I213:K213"/>
    <mergeCell ref="I214:K214"/>
    <mergeCell ref="I215:K215"/>
    <mergeCell ref="I216:K216"/>
    <mergeCell ref="I199:K199"/>
    <mergeCell ref="I200:K200"/>
    <mergeCell ref="I201:K201"/>
    <mergeCell ref="I202:K202"/>
    <mergeCell ref="A45:B45"/>
    <mergeCell ref="A46:B46"/>
    <mergeCell ref="A48:B48"/>
    <mergeCell ref="A49:B49"/>
    <mergeCell ref="A50:B50"/>
    <mergeCell ref="A51:B51"/>
    <mergeCell ref="A52:B52"/>
    <mergeCell ref="I235:K235"/>
    <mergeCell ref="I236:K236"/>
    <mergeCell ref="I237:K237"/>
    <mergeCell ref="I238:K238"/>
    <mergeCell ref="I239:K239"/>
    <mergeCell ref="I240:K240"/>
    <mergeCell ref="A24:B24"/>
    <mergeCell ref="A26:B26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  <mergeCell ref="A42:B42"/>
    <mergeCell ref="A43:B43"/>
    <mergeCell ref="A64:B64"/>
    <mergeCell ref="A65:B65"/>
    <mergeCell ref="A68:B68"/>
    <mergeCell ref="A69:B69"/>
    <mergeCell ref="A70:B70"/>
    <mergeCell ref="A61:B61"/>
    <mergeCell ref="A62:B62"/>
    <mergeCell ref="A63:B63"/>
    <mergeCell ref="A84:B84"/>
    <mergeCell ref="A85:B85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81:B81"/>
    <mergeCell ref="A82:B82"/>
    <mergeCell ref="A83:B83"/>
    <mergeCell ref="A103:B103"/>
    <mergeCell ref="A104:B104"/>
    <mergeCell ref="A107:B107"/>
    <mergeCell ref="A108:B108"/>
    <mergeCell ref="A109:B109"/>
    <mergeCell ref="A110:B110"/>
    <mergeCell ref="A111:B111"/>
    <mergeCell ref="A94:B94"/>
    <mergeCell ref="A95:B95"/>
    <mergeCell ref="A96:B96"/>
    <mergeCell ref="A97:B97"/>
    <mergeCell ref="A98:B98"/>
    <mergeCell ref="A100:B100"/>
    <mergeCell ref="A101:B101"/>
    <mergeCell ref="A102:B102"/>
    <mergeCell ref="A123:B123"/>
    <mergeCell ref="A124:B124"/>
    <mergeCell ref="A113:B113"/>
    <mergeCell ref="A114:B114"/>
    <mergeCell ref="A115:B115"/>
    <mergeCell ref="A116:B116"/>
    <mergeCell ref="A117:B117"/>
    <mergeCell ref="A120:B120"/>
    <mergeCell ref="A121:B121"/>
    <mergeCell ref="A122:B122"/>
    <mergeCell ref="A135:B135"/>
    <mergeCell ref="A136:B136"/>
    <mergeCell ref="A137:B137"/>
    <mergeCell ref="A139:B139"/>
    <mergeCell ref="A140:B140"/>
    <mergeCell ref="A141:B141"/>
    <mergeCell ref="A162:B162"/>
    <mergeCell ref="A163:B163"/>
    <mergeCell ref="A165:B165"/>
    <mergeCell ref="A166:B166"/>
    <mergeCell ref="A167:B167"/>
    <mergeCell ref="A168:B168"/>
    <mergeCell ref="A169:B169"/>
    <mergeCell ref="A170:B170"/>
    <mergeCell ref="A152:B152"/>
    <mergeCell ref="A153:B153"/>
    <mergeCell ref="A154:B154"/>
    <mergeCell ref="A155:B155"/>
    <mergeCell ref="A156:B156"/>
    <mergeCell ref="A159:B159"/>
    <mergeCell ref="A160:B160"/>
    <mergeCell ref="A161:B161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239:B239"/>
    <mergeCell ref="A240:B240"/>
    <mergeCell ref="C26:E26"/>
    <mergeCell ref="C29:E29"/>
    <mergeCell ref="C30:E30"/>
    <mergeCell ref="C31:E31"/>
    <mergeCell ref="C32:E32"/>
    <mergeCell ref="C33:E33"/>
    <mergeCell ref="C35:E35"/>
    <mergeCell ref="C36:E36"/>
    <mergeCell ref="C37:E37"/>
    <mergeCell ref="C38:E38"/>
    <mergeCell ref="C39:E39"/>
    <mergeCell ref="C42:E42"/>
    <mergeCell ref="C43:E43"/>
    <mergeCell ref="C44:E4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C55:E55"/>
    <mergeCell ref="C56:E56"/>
    <mergeCell ref="C57:E57"/>
    <mergeCell ref="A233:B233"/>
    <mergeCell ref="A216:B216"/>
    <mergeCell ref="A217:B217"/>
    <mergeCell ref="A218:B218"/>
    <mergeCell ref="A219:B219"/>
    <mergeCell ref="C74:E74"/>
    <mergeCell ref="C75:E75"/>
    <mergeCell ref="C76:E76"/>
    <mergeCell ref="C77:E77"/>
    <mergeCell ref="C78:E78"/>
    <mergeCell ref="C64:E64"/>
    <mergeCell ref="C65:E65"/>
    <mergeCell ref="C68:E68"/>
    <mergeCell ref="C69:E69"/>
    <mergeCell ref="C70:E70"/>
    <mergeCell ref="C71:E71"/>
    <mergeCell ref="C72:E72"/>
    <mergeCell ref="A234:B234"/>
    <mergeCell ref="A235:B235"/>
    <mergeCell ref="A236:B236"/>
    <mergeCell ref="A237:B237"/>
    <mergeCell ref="A238:B238"/>
    <mergeCell ref="A220:B220"/>
    <mergeCell ref="A221:B221"/>
    <mergeCell ref="A222:B222"/>
    <mergeCell ref="A223:B223"/>
    <mergeCell ref="A224:B224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C94:E94"/>
    <mergeCell ref="C95:E95"/>
    <mergeCell ref="C96:E96"/>
    <mergeCell ref="C97:E97"/>
    <mergeCell ref="C98:E98"/>
    <mergeCell ref="C100:E100"/>
    <mergeCell ref="C101:E101"/>
    <mergeCell ref="C102:E102"/>
    <mergeCell ref="C84:E84"/>
    <mergeCell ref="C85:E85"/>
    <mergeCell ref="C87:E87"/>
    <mergeCell ref="C88:E88"/>
    <mergeCell ref="C89:E89"/>
    <mergeCell ref="C90:E90"/>
    <mergeCell ref="C91:E91"/>
    <mergeCell ref="C113:E113"/>
    <mergeCell ref="C114:E114"/>
    <mergeCell ref="C92:E92"/>
    <mergeCell ref="C144:E144"/>
    <mergeCell ref="C117:E117"/>
    <mergeCell ref="C120:E120"/>
    <mergeCell ref="C121:E121"/>
    <mergeCell ref="C122:E122"/>
    <mergeCell ref="C103:E103"/>
    <mergeCell ref="C104:E104"/>
    <mergeCell ref="C107:E107"/>
    <mergeCell ref="C108:E108"/>
    <mergeCell ref="C109:E109"/>
    <mergeCell ref="C110:E110"/>
    <mergeCell ref="C111:E111"/>
    <mergeCell ref="C133:E133"/>
    <mergeCell ref="C134:E134"/>
    <mergeCell ref="C135:E135"/>
    <mergeCell ref="C136:E136"/>
    <mergeCell ref="C137:E137"/>
    <mergeCell ref="C139:E139"/>
    <mergeCell ref="C162:E162"/>
    <mergeCell ref="C163:E163"/>
    <mergeCell ref="C165:E165"/>
    <mergeCell ref="C166:E166"/>
    <mergeCell ref="C167:E167"/>
    <mergeCell ref="C168:E168"/>
    <mergeCell ref="C169:E169"/>
    <mergeCell ref="C170:E170"/>
    <mergeCell ref="C140:E140"/>
    <mergeCell ref="C141:E141"/>
    <mergeCell ref="C123:E123"/>
    <mergeCell ref="C124:E124"/>
    <mergeCell ref="C126:E126"/>
    <mergeCell ref="C127:E127"/>
    <mergeCell ref="C128:E128"/>
    <mergeCell ref="C129:E129"/>
    <mergeCell ref="C130:E130"/>
    <mergeCell ref="C152:E152"/>
    <mergeCell ref="C153:E153"/>
    <mergeCell ref="C154:E154"/>
    <mergeCell ref="C155:E155"/>
    <mergeCell ref="C156:E156"/>
    <mergeCell ref="C159:E159"/>
    <mergeCell ref="C160:E160"/>
    <mergeCell ref="C161:E161"/>
    <mergeCell ref="C142:E142"/>
    <mergeCell ref="C143:E143"/>
    <mergeCell ref="C146:E146"/>
    <mergeCell ref="C147:E147"/>
    <mergeCell ref="C148:E148"/>
    <mergeCell ref="C149:E149"/>
    <mergeCell ref="C150:E150"/>
    <mergeCell ref="C206:E206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98:E198"/>
    <mergeCell ref="C199:E199"/>
    <mergeCell ref="C200:E200"/>
    <mergeCell ref="C201:E201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202:E202"/>
    <mergeCell ref="C203:E203"/>
    <mergeCell ref="C204:E204"/>
    <mergeCell ref="C205:E205"/>
    <mergeCell ref="C197:E197"/>
    <mergeCell ref="C207:E207"/>
    <mergeCell ref="C208:E208"/>
    <mergeCell ref="C209:E209"/>
    <mergeCell ref="C234:E234"/>
    <mergeCell ref="C235:E235"/>
    <mergeCell ref="C236:E236"/>
    <mergeCell ref="C237:E237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10:E210"/>
    <mergeCell ref="C211:E211"/>
    <mergeCell ref="C212:E212"/>
    <mergeCell ref="C213:E213"/>
    <mergeCell ref="C214:E214"/>
    <mergeCell ref="C215:E215"/>
    <mergeCell ref="C238:E238"/>
    <mergeCell ref="C239:E239"/>
    <mergeCell ref="C240:E240"/>
    <mergeCell ref="L26:N26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42:N42"/>
    <mergeCell ref="L43:N43"/>
    <mergeCell ref="L44:N44"/>
    <mergeCell ref="L55:N55"/>
    <mergeCell ref="L56:N56"/>
    <mergeCell ref="L57:N57"/>
    <mergeCell ref="L58:N58"/>
    <mergeCell ref="L59:N59"/>
    <mergeCell ref="L61:N61"/>
    <mergeCell ref="L62:N62"/>
    <mergeCell ref="L63:N63"/>
    <mergeCell ref="L45:N45"/>
    <mergeCell ref="L46:N46"/>
    <mergeCell ref="L48:N48"/>
    <mergeCell ref="L49:N49"/>
    <mergeCell ref="L50:N50"/>
    <mergeCell ref="L51:N51"/>
    <mergeCell ref="L52:N52"/>
    <mergeCell ref="L81:N81"/>
    <mergeCell ref="L82:N82"/>
    <mergeCell ref="L83:N83"/>
    <mergeCell ref="L64:N64"/>
    <mergeCell ref="L65:N65"/>
    <mergeCell ref="L68:N68"/>
    <mergeCell ref="L69:N69"/>
    <mergeCell ref="L70:N70"/>
    <mergeCell ref="L71:N71"/>
    <mergeCell ref="L72:N72"/>
    <mergeCell ref="L94:N94"/>
    <mergeCell ref="L95:N95"/>
    <mergeCell ref="L96:N96"/>
    <mergeCell ref="L97:N97"/>
    <mergeCell ref="L98:N98"/>
    <mergeCell ref="L100:N100"/>
    <mergeCell ref="L101:N101"/>
    <mergeCell ref="L126:N126"/>
    <mergeCell ref="L127:N127"/>
    <mergeCell ref="L128:N128"/>
    <mergeCell ref="L129:N129"/>
    <mergeCell ref="L130:N130"/>
    <mergeCell ref="L152:N152"/>
    <mergeCell ref="L153:N153"/>
    <mergeCell ref="L102:N102"/>
    <mergeCell ref="L84:N84"/>
    <mergeCell ref="L85:N85"/>
    <mergeCell ref="L87:N87"/>
    <mergeCell ref="L88:N88"/>
    <mergeCell ref="L89:N89"/>
    <mergeCell ref="L90:N90"/>
    <mergeCell ref="L91:N91"/>
    <mergeCell ref="L113:N113"/>
    <mergeCell ref="L114:N114"/>
    <mergeCell ref="L115:N115"/>
    <mergeCell ref="L116:N116"/>
    <mergeCell ref="L117:N117"/>
    <mergeCell ref="L120:N120"/>
    <mergeCell ref="L121:N121"/>
    <mergeCell ref="L122:N122"/>
    <mergeCell ref="L103:N103"/>
    <mergeCell ref="L104:N104"/>
    <mergeCell ref="L107:N107"/>
    <mergeCell ref="L108:N108"/>
    <mergeCell ref="L109:N109"/>
    <mergeCell ref="L110:N110"/>
    <mergeCell ref="L111:N111"/>
    <mergeCell ref="L159:N159"/>
    <mergeCell ref="L160:N160"/>
    <mergeCell ref="L161:N161"/>
    <mergeCell ref="L142:N142"/>
    <mergeCell ref="L143:N143"/>
    <mergeCell ref="L146:N146"/>
    <mergeCell ref="L147:N147"/>
    <mergeCell ref="L148:N148"/>
    <mergeCell ref="L149:N149"/>
    <mergeCell ref="L150:N150"/>
    <mergeCell ref="L171:N171"/>
    <mergeCell ref="L172:N172"/>
    <mergeCell ref="L173:N173"/>
    <mergeCell ref="L174:N174"/>
    <mergeCell ref="L175:N175"/>
    <mergeCell ref="L176:N176"/>
    <mergeCell ref="L177:N177"/>
    <mergeCell ref="L178:N178"/>
    <mergeCell ref="L179:N179"/>
    <mergeCell ref="L162:N162"/>
    <mergeCell ref="L163:N163"/>
    <mergeCell ref="L165:N165"/>
    <mergeCell ref="L166:N166"/>
    <mergeCell ref="L167:N167"/>
    <mergeCell ref="L168:N168"/>
    <mergeCell ref="L169:N169"/>
    <mergeCell ref="L170:N170"/>
    <mergeCell ref="L202:N202"/>
    <mergeCell ref="L203:N203"/>
    <mergeCell ref="L204:N204"/>
    <mergeCell ref="L205:N205"/>
    <mergeCell ref="L206:N206"/>
    <mergeCell ref="L189:N189"/>
    <mergeCell ref="L190:N190"/>
    <mergeCell ref="L191:N191"/>
    <mergeCell ref="L192:N192"/>
    <mergeCell ref="L193:N193"/>
    <mergeCell ref="L194:N194"/>
    <mergeCell ref="L195:N195"/>
    <mergeCell ref="L196:N196"/>
    <mergeCell ref="L197:N197"/>
    <mergeCell ref="L180:N180"/>
    <mergeCell ref="L181:N181"/>
    <mergeCell ref="L182:N182"/>
    <mergeCell ref="L183:N183"/>
    <mergeCell ref="L184:N184"/>
    <mergeCell ref="L185:N185"/>
    <mergeCell ref="L186:N186"/>
    <mergeCell ref="L187:N187"/>
    <mergeCell ref="L188:N188"/>
    <mergeCell ref="L225:N225"/>
    <mergeCell ref="L226:N226"/>
    <mergeCell ref="L227:N227"/>
    <mergeCell ref="L228:N228"/>
    <mergeCell ref="L229:N229"/>
    <mergeCell ref="L230:N230"/>
    <mergeCell ref="L231:N231"/>
    <mergeCell ref="L232:N232"/>
    <mergeCell ref="L233:N233"/>
    <mergeCell ref="L216:N216"/>
    <mergeCell ref="L217:N217"/>
    <mergeCell ref="L218:N218"/>
    <mergeCell ref="L219:N219"/>
    <mergeCell ref="L220:N220"/>
    <mergeCell ref="L221:N221"/>
    <mergeCell ref="L222:N222"/>
    <mergeCell ref="L223:N223"/>
    <mergeCell ref="L224:N224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L198:N198"/>
    <mergeCell ref="L199:N199"/>
    <mergeCell ref="L200:N200"/>
    <mergeCell ref="L201:N201"/>
    <mergeCell ref="O42:Q42"/>
    <mergeCell ref="O43:Q43"/>
    <mergeCell ref="O44:Q44"/>
    <mergeCell ref="O45:Q45"/>
    <mergeCell ref="O46:Q46"/>
    <mergeCell ref="O48:Q48"/>
    <mergeCell ref="O49:Q49"/>
    <mergeCell ref="O50:Q50"/>
    <mergeCell ref="L234:N234"/>
    <mergeCell ref="L235:N235"/>
    <mergeCell ref="L236:N236"/>
    <mergeCell ref="L237:N237"/>
    <mergeCell ref="L238:N238"/>
    <mergeCell ref="L239:N239"/>
    <mergeCell ref="L240:N240"/>
    <mergeCell ref="O23:Q23"/>
    <mergeCell ref="O24:Q24"/>
    <mergeCell ref="O25:Q25"/>
    <mergeCell ref="O26:Q26"/>
    <mergeCell ref="O29:Q29"/>
    <mergeCell ref="O30:Q30"/>
    <mergeCell ref="O31:Q31"/>
    <mergeCell ref="O32:Q32"/>
    <mergeCell ref="O33:Q33"/>
    <mergeCell ref="O35:Q35"/>
    <mergeCell ref="O36:Q36"/>
    <mergeCell ref="O37:Q37"/>
    <mergeCell ref="O38:Q38"/>
    <mergeCell ref="O39:Q39"/>
    <mergeCell ref="O61:Q61"/>
    <mergeCell ref="O62:Q62"/>
    <mergeCell ref="O63:Q63"/>
    <mergeCell ref="O64:Q64"/>
    <mergeCell ref="O65:Q65"/>
    <mergeCell ref="O68:Q68"/>
    <mergeCell ref="O69:Q69"/>
    <mergeCell ref="O70:Q70"/>
    <mergeCell ref="O51:Q51"/>
    <mergeCell ref="O52:Q52"/>
    <mergeCell ref="O55:Q55"/>
    <mergeCell ref="O56:Q56"/>
    <mergeCell ref="O57:Q57"/>
    <mergeCell ref="O58:Q58"/>
    <mergeCell ref="O59:Q59"/>
    <mergeCell ref="O81:Q81"/>
    <mergeCell ref="O82:Q82"/>
    <mergeCell ref="O83:Q83"/>
    <mergeCell ref="O84:Q84"/>
    <mergeCell ref="O85:Q85"/>
    <mergeCell ref="O87:Q87"/>
    <mergeCell ref="O88:Q88"/>
    <mergeCell ref="O89:Q89"/>
    <mergeCell ref="O71:Q71"/>
    <mergeCell ref="O72:Q72"/>
    <mergeCell ref="O74:Q74"/>
    <mergeCell ref="O75:Q75"/>
    <mergeCell ref="O76:Q76"/>
    <mergeCell ref="O77:Q77"/>
    <mergeCell ref="O78:Q78"/>
    <mergeCell ref="O100:Q100"/>
    <mergeCell ref="O101:Q101"/>
    <mergeCell ref="O102:Q102"/>
    <mergeCell ref="O103:Q103"/>
    <mergeCell ref="O104:Q104"/>
    <mergeCell ref="O107:Q107"/>
    <mergeCell ref="O108:Q108"/>
    <mergeCell ref="O109:Q109"/>
    <mergeCell ref="O90:Q90"/>
    <mergeCell ref="O91:Q91"/>
    <mergeCell ref="O94:Q94"/>
    <mergeCell ref="O95:Q95"/>
    <mergeCell ref="O96:Q96"/>
    <mergeCell ref="O97:Q97"/>
    <mergeCell ref="O98:Q98"/>
    <mergeCell ref="O120:Q120"/>
    <mergeCell ref="O121:Q121"/>
    <mergeCell ref="O122:Q122"/>
    <mergeCell ref="O123:Q123"/>
    <mergeCell ref="O124:Q124"/>
    <mergeCell ref="O126:Q126"/>
    <mergeCell ref="O127:Q127"/>
    <mergeCell ref="O128:Q128"/>
    <mergeCell ref="O110:Q110"/>
    <mergeCell ref="O111:Q111"/>
    <mergeCell ref="O113:Q113"/>
    <mergeCell ref="O114:Q114"/>
    <mergeCell ref="O115:Q115"/>
    <mergeCell ref="O116:Q116"/>
    <mergeCell ref="O117:Q117"/>
    <mergeCell ref="O139:Q139"/>
    <mergeCell ref="O140:Q140"/>
    <mergeCell ref="O141:Q141"/>
    <mergeCell ref="O142:Q142"/>
    <mergeCell ref="O143:Q143"/>
    <mergeCell ref="O146:Q146"/>
    <mergeCell ref="O147:Q147"/>
    <mergeCell ref="O148:Q148"/>
    <mergeCell ref="O129:Q129"/>
    <mergeCell ref="O130:Q130"/>
    <mergeCell ref="O133:Q133"/>
    <mergeCell ref="O134:Q134"/>
    <mergeCell ref="O135:Q135"/>
    <mergeCell ref="O136:Q136"/>
    <mergeCell ref="O137:Q137"/>
    <mergeCell ref="O159:Q159"/>
    <mergeCell ref="O160:Q160"/>
    <mergeCell ref="O161:Q161"/>
    <mergeCell ref="O162:Q162"/>
    <mergeCell ref="O163:Q163"/>
    <mergeCell ref="O165:Q165"/>
    <mergeCell ref="O166:Q166"/>
    <mergeCell ref="O167:Q167"/>
    <mergeCell ref="O149:Q149"/>
    <mergeCell ref="O150:Q150"/>
    <mergeCell ref="O152:Q152"/>
    <mergeCell ref="O153:Q153"/>
    <mergeCell ref="O154:Q154"/>
    <mergeCell ref="O155:Q155"/>
    <mergeCell ref="O156:Q156"/>
    <mergeCell ref="O177:Q177"/>
    <mergeCell ref="O178:Q178"/>
    <mergeCell ref="O179:Q179"/>
    <mergeCell ref="O180:Q180"/>
    <mergeCell ref="O181:Q181"/>
    <mergeCell ref="O182:Q182"/>
    <mergeCell ref="O183:Q183"/>
    <mergeCell ref="O184:Q184"/>
    <mergeCell ref="O185:Q185"/>
    <mergeCell ref="O168:Q168"/>
    <mergeCell ref="O169:Q169"/>
    <mergeCell ref="O170:Q170"/>
    <mergeCell ref="O171:Q171"/>
    <mergeCell ref="O172:Q172"/>
    <mergeCell ref="O173:Q173"/>
    <mergeCell ref="O174:Q174"/>
    <mergeCell ref="O175:Q175"/>
    <mergeCell ref="O176:Q176"/>
    <mergeCell ref="O206:Q206"/>
    <mergeCell ref="O207:Q207"/>
    <mergeCell ref="O208:Q208"/>
    <mergeCell ref="O209:Q209"/>
    <mergeCell ref="O210:Q210"/>
    <mergeCell ref="O211:Q211"/>
    <mergeCell ref="O212:Q212"/>
    <mergeCell ref="O195:Q195"/>
    <mergeCell ref="O196:Q196"/>
    <mergeCell ref="O197:Q197"/>
    <mergeCell ref="O198:Q198"/>
    <mergeCell ref="O199:Q199"/>
    <mergeCell ref="O200:Q200"/>
    <mergeCell ref="O201:Q201"/>
    <mergeCell ref="O202:Q202"/>
    <mergeCell ref="O203:Q203"/>
    <mergeCell ref="O186:Q186"/>
    <mergeCell ref="O187:Q187"/>
    <mergeCell ref="O188:Q188"/>
    <mergeCell ref="O189:Q189"/>
    <mergeCell ref="O190:Q190"/>
    <mergeCell ref="O191:Q191"/>
    <mergeCell ref="O192:Q192"/>
    <mergeCell ref="O193:Q193"/>
    <mergeCell ref="O194:Q194"/>
    <mergeCell ref="O240:Q240"/>
    <mergeCell ref="A15:Q15"/>
    <mergeCell ref="A21:Q21"/>
    <mergeCell ref="O231:Q231"/>
    <mergeCell ref="O232:Q232"/>
    <mergeCell ref="O233:Q233"/>
    <mergeCell ref="O234:Q234"/>
    <mergeCell ref="O235:Q235"/>
    <mergeCell ref="O236:Q236"/>
    <mergeCell ref="O237:Q237"/>
    <mergeCell ref="O238:Q238"/>
    <mergeCell ref="O239:Q239"/>
    <mergeCell ref="O222:Q222"/>
    <mergeCell ref="O223:Q223"/>
    <mergeCell ref="O224:Q224"/>
    <mergeCell ref="O225:Q225"/>
    <mergeCell ref="O226:Q226"/>
    <mergeCell ref="O227:Q227"/>
    <mergeCell ref="O228:Q228"/>
    <mergeCell ref="O229:Q229"/>
    <mergeCell ref="O230:Q230"/>
    <mergeCell ref="O213:Q213"/>
    <mergeCell ref="O214:Q214"/>
    <mergeCell ref="O215:Q215"/>
    <mergeCell ref="O216:Q216"/>
    <mergeCell ref="O217:Q217"/>
    <mergeCell ref="O218:Q218"/>
    <mergeCell ref="O219:Q219"/>
    <mergeCell ref="O220:Q220"/>
    <mergeCell ref="O221:Q221"/>
    <mergeCell ref="O204:Q204"/>
    <mergeCell ref="O205:Q205"/>
    <mergeCell ref="C27:E27"/>
    <mergeCell ref="F27:H27"/>
    <mergeCell ref="I27:K27"/>
    <mergeCell ref="L27:N27"/>
    <mergeCell ref="C40:E40"/>
    <mergeCell ref="F40:H40"/>
    <mergeCell ref="I40:K40"/>
    <mergeCell ref="L40:N40"/>
    <mergeCell ref="C53:E53"/>
    <mergeCell ref="F53:H53"/>
    <mergeCell ref="I53:K53"/>
    <mergeCell ref="L53:N53"/>
    <mergeCell ref="C66:E66"/>
    <mergeCell ref="F66:H66"/>
    <mergeCell ref="I66:K66"/>
    <mergeCell ref="L66:N66"/>
    <mergeCell ref="C79:E79"/>
    <mergeCell ref="F79:H79"/>
    <mergeCell ref="I79:K79"/>
    <mergeCell ref="L79:N79"/>
    <mergeCell ref="C58:E58"/>
    <mergeCell ref="C59:E59"/>
    <mergeCell ref="C61:E61"/>
    <mergeCell ref="C62:E62"/>
    <mergeCell ref="C63:E63"/>
    <mergeCell ref="C45:E45"/>
    <mergeCell ref="C46:E46"/>
    <mergeCell ref="C48:E48"/>
    <mergeCell ref="C49:E49"/>
    <mergeCell ref="C50:E50"/>
    <mergeCell ref="C51:E51"/>
    <mergeCell ref="C52:E52"/>
    <mergeCell ref="F144:H144"/>
    <mergeCell ref="I144:K144"/>
    <mergeCell ref="L144:N144"/>
    <mergeCell ref="C157:E157"/>
    <mergeCell ref="F157:H157"/>
    <mergeCell ref="I157:K157"/>
    <mergeCell ref="L157:N157"/>
    <mergeCell ref="F92:H92"/>
    <mergeCell ref="I92:K92"/>
    <mergeCell ref="L92:N92"/>
    <mergeCell ref="C105:E105"/>
    <mergeCell ref="F105:H105"/>
    <mergeCell ref="I105:K105"/>
    <mergeCell ref="L105:N105"/>
    <mergeCell ref="C118:E118"/>
    <mergeCell ref="F118:H118"/>
    <mergeCell ref="I118:K118"/>
    <mergeCell ref="L118:N118"/>
    <mergeCell ref="C131:E131"/>
    <mergeCell ref="F131:H131"/>
    <mergeCell ref="I131:K131"/>
    <mergeCell ref="L131:N131"/>
    <mergeCell ref="L133:N133"/>
    <mergeCell ref="L134:N134"/>
    <mergeCell ref="L135:N135"/>
    <mergeCell ref="L136:N136"/>
    <mergeCell ref="L137:N137"/>
    <mergeCell ref="L139:N139"/>
    <mergeCell ref="L140:N140"/>
    <mergeCell ref="L141:N141"/>
    <mergeCell ref="L123:N123"/>
    <mergeCell ref="L124:N124"/>
  </mergeCells>
  <pageMargins left="0.511811024" right="0.511811024" top="0.78740157499999996" bottom="0.78740157499999996" header="0.31496062000000002" footer="0.31496062000000002"/>
  <ignoredErrors>
    <ignoredError sqref="L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selection activeCell="C5" sqref="C5"/>
    </sheetView>
  </sheetViews>
  <sheetFormatPr defaultRowHeight="15"/>
  <cols>
    <col min="1" max="1" width="19.5703125" customWidth="1"/>
    <col min="2" max="2" width="21.85546875" customWidth="1"/>
    <col min="3" max="3" width="23.42578125" customWidth="1"/>
  </cols>
  <sheetData>
    <row r="1" spans="1:18">
      <c r="A1" s="151" t="s">
        <v>107</v>
      </c>
      <c r="B1" s="151"/>
    </row>
    <row r="2" spans="1:18">
      <c r="A2" s="151"/>
      <c r="B2" s="151"/>
    </row>
    <row r="3" spans="1:18">
      <c r="A3" s="36" t="s">
        <v>108</v>
      </c>
      <c r="B3" s="37" t="s">
        <v>109</v>
      </c>
    </row>
    <row r="4" spans="1:18">
      <c r="A4" s="38" t="s">
        <v>110</v>
      </c>
      <c r="B4" s="39">
        <v>150000000</v>
      </c>
    </row>
    <row r="5" spans="1:18">
      <c r="A5" s="38" t="s">
        <v>111</v>
      </c>
      <c r="B5" s="39">
        <v>100000000</v>
      </c>
      <c r="C5" s="93">
        <f>SUM(B4:B6)</f>
        <v>330000000</v>
      </c>
    </row>
    <row r="6" spans="1:18">
      <c r="A6" s="40" t="s">
        <v>112</v>
      </c>
      <c r="B6" s="41">
        <v>80000000</v>
      </c>
    </row>
    <row r="7" spans="1:18">
      <c r="A7" s="152" t="s">
        <v>113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</row>
    <row r="8" spans="1:18">
      <c r="A8" s="153" t="s">
        <v>220</v>
      </c>
      <c r="B8" s="154"/>
      <c r="C8" s="155"/>
    </row>
    <row r="9" spans="1:18">
      <c r="A9" s="76" t="s">
        <v>171</v>
      </c>
      <c r="B9" s="78">
        <v>6521739.1299999999</v>
      </c>
      <c r="C9" s="77"/>
    </row>
    <row r="10" spans="1:18">
      <c r="A10" s="76" t="s">
        <v>172</v>
      </c>
      <c r="B10" s="78">
        <v>6521739.1299999999</v>
      </c>
      <c r="C10" s="77"/>
    </row>
    <row r="11" spans="1:18">
      <c r="A11" s="76" t="s">
        <v>173</v>
      </c>
      <c r="B11" s="78">
        <v>6521739.1299999999</v>
      </c>
      <c r="C11" s="77"/>
    </row>
    <row r="12" spans="1:18">
      <c r="A12" s="76" t="s">
        <v>174</v>
      </c>
      <c r="B12" s="78">
        <v>6521739.1299999999</v>
      </c>
      <c r="C12" s="77"/>
    </row>
    <row r="13" spans="1:18">
      <c r="A13" s="76" t="s">
        <v>175</v>
      </c>
      <c r="B13" s="78">
        <v>6521739.1299999999</v>
      </c>
      <c r="C13" s="77"/>
    </row>
    <row r="14" spans="1:18">
      <c r="A14" s="76" t="s">
        <v>215</v>
      </c>
      <c r="B14" s="78">
        <v>6521739.1299999999</v>
      </c>
      <c r="C14" s="77"/>
    </row>
    <row r="15" spans="1:18">
      <c r="A15" s="76" t="s">
        <v>216</v>
      </c>
      <c r="B15" s="78">
        <v>6521739.1299999999</v>
      </c>
      <c r="C15" s="77"/>
    </row>
    <row r="16" spans="1:18">
      <c r="A16" s="76" t="s">
        <v>176</v>
      </c>
      <c r="B16" s="78">
        <v>6521739.1299999999</v>
      </c>
      <c r="C16" s="77"/>
    </row>
    <row r="17" spans="1:3">
      <c r="A17" s="86" t="s">
        <v>177</v>
      </c>
      <c r="B17" s="78">
        <v>6521739.1299999999</v>
      </c>
      <c r="C17" s="86"/>
    </row>
    <row r="18" spans="1:3">
      <c r="A18" s="86" t="s">
        <v>178</v>
      </c>
      <c r="B18" s="78">
        <v>6521739.1299999999</v>
      </c>
      <c r="C18" s="86"/>
    </row>
    <row r="19" spans="1:3">
      <c r="A19" s="86" t="s">
        <v>179</v>
      </c>
      <c r="B19" s="78">
        <v>6521739.1299999999</v>
      </c>
      <c r="C19" s="86"/>
    </row>
    <row r="20" spans="1:3">
      <c r="A20" s="86" t="s">
        <v>180</v>
      </c>
      <c r="B20" s="78">
        <v>6521739.1299999999</v>
      </c>
      <c r="C20" s="86"/>
    </row>
    <row r="21" spans="1:3">
      <c r="A21" s="86" t="s">
        <v>181</v>
      </c>
      <c r="B21" s="78">
        <v>6521739.1299999999</v>
      </c>
      <c r="C21" s="86"/>
    </row>
    <row r="22" spans="1:3">
      <c r="A22" s="86" t="s">
        <v>182</v>
      </c>
      <c r="B22" s="78">
        <v>6521739.1299999999</v>
      </c>
      <c r="C22" s="86"/>
    </row>
    <row r="23" spans="1:3">
      <c r="A23" s="86" t="s">
        <v>183</v>
      </c>
      <c r="B23" s="78">
        <v>6521739.1299999999</v>
      </c>
      <c r="C23" s="86"/>
    </row>
    <row r="24" spans="1:3">
      <c r="A24" s="86" t="s">
        <v>184</v>
      </c>
      <c r="B24" s="78">
        <v>6521739.1299999999</v>
      </c>
      <c r="C24" s="86"/>
    </row>
    <row r="25" spans="1:3">
      <c r="A25" s="86" t="s">
        <v>185</v>
      </c>
      <c r="B25" s="78">
        <v>6521739.1299999999</v>
      </c>
      <c r="C25" s="86"/>
    </row>
    <row r="26" spans="1:3">
      <c r="A26" s="86" t="s">
        <v>186</v>
      </c>
      <c r="B26" s="78">
        <v>6521739.1299999999</v>
      </c>
      <c r="C26" s="86"/>
    </row>
    <row r="27" spans="1:3">
      <c r="A27" s="86" t="s">
        <v>187</v>
      </c>
      <c r="B27" s="78">
        <v>6521739.1299999999</v>
      </c>
      <c r="C27" s="86"/>
    </row>
    <row r="28" spans="1:3">
      <c r="A28" s="86" t="s">
        <v>217</v>
      </c>
      <c r="B28" s="78">
        <v>6521739.1299999999</v>
      </c>
      <c r="C28" s="86"/>
    </row>
    <row r="29" spans="1:3">
      <c r="A29" s="86" t="s">
        <v>218</v>
      </c>
      <c r="B29" s="78">
        <v>6521739.1299999999</v>
      </c>
      <c r="C29" s="86"/>
    </row>
    <row r="30" spans="1:3">
      <c r="A30" s="86" t="s">
        <v>188</v>
      </c>
      <c r="B30" s="78">
        <v>6521739.1299999999</v>
      </c>
      <c r="C30" s="86"/>
    </row>
    <row r="31" spans="1:3">
      <c r="A31" t="s">
        <v>56</v>
      </c>
      <c r="B31" s="80">
        <f>SUM(B9:B30)</f>
        <v>143478260.85999995</v>
      </c>
    </row>
    <row r="33" spans="1:3">
      <c r="A33" s="147" t="s">
        <v>111</v>
      </c>
      <c r="B33" s="148"/>
      <c r="C33" s="149"/>
    </row>
    <row r="34" spans="1:3">
      <c r="A34" s="75" t="s">
        <v>189</v>
      </c>
      <c r="B34" s="79">
        <v>14285714.279999999</v>
      </c>
      <c r="C34" s="75"/>
    </row>
    <row r="35" spans="1:3">
      <c r="A35" s="75" t="s">
        <v>190</v>
      </c>
      <c r="B35" s="79">
        <v>14285714.279999999</v>
      </c>
      <c r="C35" s="75"/>
    </row>
    <row r="36" spans="1:3">
      <c r="A36" s="75" t="s">
        <v>191</v>
      </c>
      <c r="B36" s="79">
        <v>14285714.279999999</v>
      </c>
      <c r="C36" s="75"/>
    </row>
    <row r="37" spans="1:3">
      <c r="A37" s="75" t="s">
        <v>192</v>
      </c>
      <c r="B37" s="79">
        <v>14285714.279999999</v>
      </c>
      <c r="C37" s="75"/>
    </row>
    <row r="38" spans="1:3">
      <c r="A38" s="75" t="s">
        <v>194</v>
      </c>
      <c r="B38" s="79">
        <v>14285714.279999999</v>
      </c>
      <c r="C38" s="75"/>
    </row>
    <row r="39" spans="1:3">
      <c r="A39" s="75" t="s">
        <v>193</v>
      </c>
      <c r="B39" s="79">
        <v>14285714.279999999</v>
      </c>
      <c r="C39" s="75"/>
    </row>
    <row r="40" spans="1:3">
      <c r="A40" s="75" t="s">
        <v>195</v>
      </c>
      <c r="B40" s="79">
        <v>14285714.279999999</v>
      </c>
      <c r="C40" s="75"/>
    </row>
    <row r="41" spans="1:3">
      <c r="A41" t="s">
        <v>56</v>
      </c>
      <c r="B41" s="80">
        <f>SUM(B34:B40)</f>
        <v>99999999.959999993</v>
      </c>
    </row>
    <row r="42" spans="1:3">
      <c r="A42" s="150" t="s">
        <v>221</v>
      </c>
      <c r="B42" s="150"/>
      <c r="C42" s="150"/>
    </row>
    <row r="43" spans="1:3">
      <c r="A43" s="87" t="s">
        <v>196</v>
      </c>
      <c r="B43" s="88">
        <v>8000000</v>
      </c>
      <c r="C43" s="87"/>
    </row>
    <row r="44" spans="1:3">
      <c r="A44" s="87" t="s">
        <v>197</v>
      </c>
      <c r="B44" s="88">
        <v>8000000</v>
      </c>
      <c r="C44" s="87"/>
    </row>
    <row r="45" spans="1:3">
      <c r="A45" s="87" t="s">
        <v>219</v>
      </c>
      <c r="B45" s="88">
        <v>8000000</v>
      </c>
      <c r="C45" s="87"/>
    </row>
    <row r="46" spans="1:3">
      <c r="A46" s="87" t="s">
        <v>198</v>
      </c>
      <c r="B46" s="88">
        <v>8000000</v>
      </c>
      <c r="C46" s="87"/>
    </row>
    <row r="47" spans="1:3">
      <c r="A47" s="87" t="s">
        <v>199</v>
      </c>
      <c r="B47" s="88">
        <v>8000000</v>
      </c>
      <c r="C47" s="87"/>
    </row>
    <row r="48" spans="1:3">
      <c r="A48" s="87" t="s">
        <v>200</v>
      </c>
      <c r="B48" s="88">
        <v>8000000</v>
      </c>
      <c r="C48" s="87"/>
    </row>
    <row r="49" spans="1:3">
      <c r="A49" s="87" t="s">
        <v>201</v>
      </c>
      <c r="B49" s="88">
        <v>8000000</v>
      </c>
      <c r="C49" s="87"/>
    </row>
    <row r="50" spans="1:3">
      <c r="A50" s="87" t="s">
        <v>202</v>
      </c>
      <c r="B50" s="88">
        <v>8000000</v>
      </c>
      <c r="C50" s="87"/>
    </row>
    <row r="51" spans="1:3">
      <c r="A51" s="87" t="s">
        <v>203</v>
      </c>
      <c r="B51" s="88">
        <v>8000000</v>
      </c>
      <c r="C51" s="87"/>
    </row>
    <row r="52" spans="1:3">
      <c r="A52" s="87" t="s">
        <v>204</v>
      </c>
      <c r="B52" s="88">
        <v>8000000</v>
      </c>
      <c r="C52" s="87"/>
    </row>
    <row r="53" spans="1:3">
      <c r="A53" t="s">
        <v>56</v>
      </c>
      <c r="B53" s="80">
        <f>SUM(B43:B52)</f>
        <v>80000000</v>
      </c>
    </row>
    <row r="54" spans="1:3">
      <c r="A54" s="81" t="s">
        <v>211</v>
      </c>
      <c r="B54" s="82">
        <f>B31+B41+B53</f>
        <v>323478260.81999993</v>
      </c>
    </row>
  </sheetData>
  <mergeCells count="5">
    <mergeCell ref="A33:C33"/>
    <mergeCell ref="A42:C42"/>
    <mergeCell ref="A1:B2"/>
    <mergeCell ref="A7:R7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G20" sqref="G20"/>
    </sheetView>
  </sheetViews>
  <sheetFormatPr defaultRowHeight="15"/>
  <cols>
    <col min="1" max="1" width="16.85546875" customWidth="1"/>
    <col min="2" max="2" width="15.85546875" bestFit="1" customWidth="1"/>
    <col min="3" max="3" width="21.7109375" customWidth="1"/>
    <col min="4" max="4" width="18.28515625" customWidth="1"/>
  </cols>
  <sheetData>
    <row r="1" spans="1:14">
      <c r="A1" s="156" t="s">
        <v>114</v>
      </c>
      <c r="B1" s="156"/>
      <c r="C1" s="156"/>
    </row>
    <row r="2" spans="1:14">
      <c r="A2" s="42" t="s">
        <v>115</v>
      </c>
      <c r="B2" s="43"/>
      <c r="C2" s="43"/>
    </row>
    <row r="3" spans="1:14">
      <c r="A3" s="43"/>
      <c r="B3" s="43"/>
      <c r="C3" s="43"/>
    </row>
    <row r="4" spans="1:14" ht="45">
      <c r="A4" s="44" t="s">
        <v>116</v>
      </c>
      <c r="B4" s="44" t="s">
        <v>117</v>
      </c>
      <c r="C4" s="44" t="s">
        <v>118</v>
      </c>
    </row>
    <row r="5" spans="1:14">
      <c r="A5" s="45">
        <v>25</v>
      </c>
      <c r="B5" s="46">
        <v>525000</v>
      </c>
      <c r="C5" s="46">
        <v>14437</v>
      </c>
    </row>
    <row r="6" spans="1:14">
      <c r="A6" s="45">
        <v>50</v>
      </c>
      <c r="B6" s="46">
        <v>1050000</v>
      </c>
      <c r="C6" s="46">
        <v>36540</v>
      </c>
    </row>
    <row r="7" spans="1:14">
      <c r="A7" s="45">
        <v>100</v>
      </c>
      <c r="B7" s="46">
        <v>2100000</v>
      </c>
      <c r="C7" s="46">
        <v>95550</v>
      </c>
    </row>
    <row r="8" spans="1:14">
      <c r="A8" s="45">
        <v>150</v>
      </c>
      <c r="B8" s="46">
        <v>3150000</v>
      </c>
      <c r="C8" s="46">
        <v>200812</v>
      </c>
    </row>
    <row r="9" spans="1:14">
      <c r="A9" s="45">
        <v>200</v>
      </c>
      <c r="B9" s="46">
        <v>4200000</v>
      </c>
      <c r="C9" s="46">
        <v>311220</v>
      </c>
    </row>
    <row r="10" spans="1:14">
      <c r="A10" s="45">
        <v>250</v>
      </c>
      <c r="B10" s="46">
        <v>5250000</v>
      </c>
      <c r="C10" s="46">
        <v>406455</v>
      </c>
    </row>
    <row r="11" spans="1:14">
      <c r="A11" s="45">
        <v>300</v>
      </c>
      <c r="B11" s="46">
        <v>6300000</v>
      </c>
      <c r="C11" s="46">
        <v>517954</v>
      </c>
    </row>
    <row r="12" spans="1:14">
      <c r="A12" s="45">
        <v>350</v>
      </c>
      <c r="B12" s="46">
        <v>7350000</v>
      </c>
      <c r="C12" s="46">
        <v>637245</v>
      </c>
    </row>
    <row r="13" spans="1:14">
      <c r="A13" s="45">
        <v>400</v>
      </c>
      <c r="B13" s="46">
        <v>8400000</v>
      </c>
      <c r="C13" s="46">
        <v>778680</v>
      </c>
    </row>
    <row r="14" spans="1:14">
      <c r="A14" s="120" t="s">
        <v>114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</row>
    <row r="15" spans="1:14">
      <c r="A15" s="126" t="s">
        <v>206</v>
      </c>
      <c r="B15" s="126"/>
      <c r="C15" s="34" t="s">
        <v>207</v>
      </c>
      <c r="D15" s="34" t="s">
        <v>208</v>
      </c>
      <c r="E15" s="126" t="s">
        <v>209</v>
      </c>
      <c r="F15" s="126"/>
    </row>
    <row r="16" spans="1:14">
      <c r="A16" s="126">
        <v>0</v>
      </c>
      <c r="B16" s="126"/>
      <c r="C16" s="34" t="s">
        <v>111</v>
      </c>
      <c r="D16" s="83">
        <v>525000</v>
      </c>
      <c r="E16" s="135">
        <v>14437</v>
      </c>
      <c r="F16" s="135"/>
    </row>
    <row r="17" spans="1:7">
      <c r="A17" s="126">
        <v>0</v>
      </c>
      <c r="B17" s="126"/>
      <c r="C17" s="34" t="s">
        <v>210</v>
      </c>
      <c r="D17" s="83">
        <v>525000</v>
      </c>
      <c r="E17" s="135">
        <v>14437</v>
      </c>
      <c r="F17" s="135"/>
    </row>
    <row r="18" spans="1:7">
      <c r="A18" s="126">
        <v>25</v>
      </c>
      <c r="B18" s="126"/>
      <c r="C18" s="34" t="s">
        <v>251</v>
      </c>
      <c r="D18" s="83">
        <v>525000</v>
      </c>
      <c r="E18" s="135">
        <v>14437</v>
      </c>
      <c r="F18" s="135"/>
    </row>
    <row r="19" spans="1:7">
      <c r="A19" s="120">
        <f>SUM(A16:B18)</f>
        <v>25</v>
      </c>
      <c r="B19" s="120"/>
      <c r="D19" s="35">
        <f>SUM(D16:D18)</f>
        <v>1575000</v>
      </c>
      <c r="E19" s="119">
        <f>SUM(E16:F18)</f>
        <v>43311</v>
      </c>
      <c r="F19" s="120"/>
      <c r="G19" s="35">
        <f>E19/3133020</f>
        <v>1.3824041978665953E-2</v>
      </c>
    </row>
    <row r="20" spans="1:7">
      <c r="A20" s="120"/>
      <c r="B20" s="120"/>
      <c r="E20" s="120"/>
      <c r="F20" s="120"/>
    </row>
    <row r="21" spans="1:7">
      <c r="A21" s="120"/>
      <c r="B21" s="120"/>
      <c r="E21" s="120"/>
      <c r="F21" s="120"/>
    </row>
    <row r="22" spans="1:7">
      <c r="A22" s="120"/>
      <c r="B22" s="120"/>
      <c r="E22" s="120"/>
      <c r="F22" s="120"/>
    </row>
    <row r="23" spans="1:7">
      <c r="A23" s="120"/>
      <c r="B23" s="120"/>
      <c r="E23" s="120"/>
      <c r="F23" s="120"/>
    </row>
    <row r="24" spans="1:7">
      <c r="A24" s="120"/>
      <c r="B24" s="120"/>
      <c r="E24" s="120"/>
      <c r="F24" s="120"/>
    </row>
    <row r="25" spans="1:7">
      <c r="A25" s="120"/>
      <c r="B25" s="120"/>
      <c r="E25" s="120"/>
      <c r="F25" s="120"/>
    </row>
  </sheetData>
  <mergeCells count="24">
    <mergeCell ref="A1:C1"/>
    <mergeCell ref="A14:N14"/>
    <mergeCell ref="A15:B15"/>
    <mergeCell ref="E15:F15"/>
    <mergeCell ref="E16:F16"/>
    <mergeCell ref="E17:F17"/>
    <mergeCell ref="E18:F18"/>
    <mergeCell ref="A19:B19"/>
    <mergeCell ref="A16:B16"/>
    <mergeCell ref="A17:B17"/>
    <mergeCell ref="A18:B18"/>
    <mergeCell ref="E24:F24"/>
    <mergeCell ref="A24:B24"/>
    <mergeCell ref="A25:B25"/>
    <mergeCell ref="E25:F25"/>
    <mergeCell ref="E19:F19"/>
    <mergeCell ref="E20:F20"/>
    <mergeCell ref="E21:F21"/>
    <mergeCell ref="E22:F22"/>
    <mergeCell ref="E23:F23"/>
    <mergeCell ref="A20:B20"/>
    <mergeCell ref="A21:B21"/>
    <mergeCell ref="A22:B22"/>
    <mergeCell ref="A23:B23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G18" sqref="G18"/>
    </sheetView>
  </sheetViews>
  <sheetFormatPr defaultRowHeight="15"/>
  <cols>
    <col min="1" max="1" width="57" bestFit="1" customWidth="1"/>
    <col min="2" max="2" width="23.5703125" customWidth="1"/>
    <col min="3" max="3" width="18.42578125" customWidth="1"/>
    <col min="4" max="4" width="17.5703125" customWidth="1"/>
    <col min="5" max="5" width="10.28515625" customWidth="1"/>
    <col min="6" max="6" width="10" customWidth="1"/>
    <col min="7" max="7" width="16.85546875" bestFit="1" customWidth="1"/>
  </cols>
  <sheetData>
    <row r="1" spans="1:6">
      <c r="A1" s="157" t="s">
        <v>119</v>
      </c>
      <c r="B1" s="157"/>
      <c r="C1" s="157"/>
      <c r="D1" s="157"/>
    </row>
    <row r="2" spans="1:6">
      <c r="A2" s="47" t="s">
        <v>120</v>
      </c>
      <c r="B2" s="48"/>
      <c r="C2" s="48"/>
      <c r="D2" s="48"/>
    </row>
    <row r="3" spans="1:6">
      <c r="A3" s="48"/>
      <c r="B3" s="49" t="s">
        <v>121</v>
      </c>
      <c r="C3" s="49" t="s">
        <v>122</v>
      </c>
      <c r="D3" s="49" t="s">
        <v>123</v>
      </c>
    </row>
    <row r="4" spans="1:6">
      <c r="A4" s="50" t="s">
        <v>124</v>
      </c>
      <c r="B4" s="51">
        <v>15000</v>
      </c>
      <c r="C4" s="51">
        <v>80000</v>
      </c>
      <c r="D4" s="51">
        <v>68500</v>
      </c>
    </row>
    <row r="5" spans="1:6">
      <c r="A5" s="50" t="s">
        <v>125</v>
      </c>
      <c r="B5" s="51">
        <v>16000</v>
      </c>
      <c r="C5" s="51">
        <v>90000</v>
      </c>
      <c r="D5" s="51">
        <v>78500</v>
      </c>
    </row>
    <row r="6" spans="1:6">
      <c r="A6" s="50" t="s">
        <v>126</v>
      </c>
      <c r="B6" s="51">
        <v>19000</v>
      </c>
      <c r="C6" s="51">
        <v>100000</v>
      </c>
      <c r="D6" s="51">
        <v>82500</v>
      </c>
    </row>
    <row r="7" spans="1:6">
      <c r="A7" s="48"/>
      <c r="B7" s="48"/>
      <c r="C7" s="48"/>
      <c r="D7" s="48"/>
    </row>
    <row r="8" spans="1:6">
      <c r="A8" s="47" t="s">
        <v>127</v>
      </c>
      <c r="B8" s="47"/>
      <c r="C8" s="52"/>
      <c r="D8" s="48"/>
    </row>
    <row r="9" spans="1:6">
      <c r="A9" s="47" t="s">
        <v>128</v>
      </c>
      <c r="B9" s="47"/>
      <c r="C9" s="49"/>
      <c r="D9" s="53"/>
    </row>
    <row r="10" spans="1:6">
      <c r="A10" s="47" t="s">
        <v>129</v>
      </c>
      <c r="B10" s="47"/>
      <c r="C10" s="52"/>
      <c r="D10" s="48"/>
    </row>
    <row r="12" spans="1:6">
      <c r="A12" s="159" t="s">
        <v>119</v>
      </c>
      <c r="B12" s="160"/>
      <c r="C12" s="160"/>
      <c r="D12" s="160"/>
      <c r="E12" s="160"/>
      <c r="F12" s="160"/>
    </row>
    <row r="13" spans="1:6">
      <c r="A13" s="85"/>
      <c r="B13" s="85" t="s">
        <v>213</v>
      </c>
      <c r="C13" s="49" t="s">
        <v>121</v>
      </c>
      <c r="D13" s="49" t="s">
        <v>122</v>
      </c>
      <c r="E13" s="157" t="s">
        <v>123</v>
      </c>
      <c r="F13" s="157"/>
    </row>
    <row r="14" spans="1:6">
      <c r="A14" s="50" t="s">
        <v>124</v>
      </c>
      <c r="B14" s="32">
        <v>7</v>
      </c>
      <c r="C14" s="84">
        <f>B4*7</f>
        <v>105000</v>
      </c>
      <c r="D14" s="84">
        <f>C4*7</f>
        <v>560000</v>
      </c>
      <c r="E14" s="119">
        <f>D4*7</f>
        <v>479500</v>
      </c>
      <c r="F14" s="120"/>
    </row>
    <row r="15" spans="1:6">
      <c r="A15" s="50" t="s">
        <v>125</v>
      </c>
      <c r="B15">
        <v>14</v>
      </c>
      <c r="C15" s="35">
        <f>B5*14</f>
        <v>224000</v>
      </c>
      <c r="D15" s="35">
        <f>C5*14</f>
        <v>1260000</v>
      </c>
      <c r="E15" s="119">
        <f>D5*14</f>
        <v>1099000</v>
      </c>
      <c r="F15" s="120"/>
    </row>
    <row r="16" spans="1:6">
      <c r="A16" s="50" t="s">
        <v>126</v>
      </c>
      <c r="B16">
        <v>16</v>
      </c>
      <c r="C16" s="35">
        <f>B6*16</f>
        <v>304000</v>
      </c>
      <c r="D16" s="35">
        <f>C6*16</f>
        <v>1600000</v>
      </c>
      <c r="E16" s="119">
        <f>D6*16</f>
        <v>1320000</v>
      </c>
      <c r="F16" s="120"/>
    </row>
    <row r="17" spans="3:7">
      <c r="C17" s="35">
        <f>SUM(C14:C16)</f>
        <v>633000</v>
      </c>
      <c r="D17" s="35">
        <f>SUM(D14:D16)</f>
        <v>3420000</v>
      </c>
      <c r="E17" s="119">
        <f>SUM(E14:F16)</f>
        <v>2898500</v>
      </c>
      <c r="F17" s="120"/>
      <c r="G17" s="35">
        <f>SUM(C17:F17)</f>
        <v>6951500</v>
      </c>
    </row>
    <row r="18" spans="3:7">
      <c r="E18" s="158"/>
      <c r="F18" s="120"/>
      <c r="G18" s="35">
        <f>G17/3133020</f>
        <v>2.21878570835807</v>
      </c>
    </row>
    <row r="19" spans="3:7">
      <c r="G19" s="35"/>
    </row>
  </sheetData>
  <mergeCells count="8">
    <mergeCell ref="A1:D1"/>
    <mergeCell ref="E14:F14"/>
    <mergeCell ref="E15:F15"/>
    <mergeCell ref="E18:F18"/>
    <mergeCell ref="E16:F16"/>
    <mergeCell ref="E13:F13"/>
    <mergeCell ref="A12:F12"/>
    <mergeCell ref="E17:F17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C10" sqref="C10:D10"/>
    </sheetView>
  </sheetViews>
  <sheetFormatPr defaultRowHeight="15"/>
  <cols>
    <col min="2" max="2" width="27.85546875" customWidth="1"/>
    <col min="3" max="3" width="12.85546875" customWidth="1"/>
    <col min="5" max="5" width="10.5703125" bestFit="1" customWidth="1"/>
  </cols>
  <sheetData>
    <row r="1" spans="1:5">
      <c r="A1" s="168" t="s">
        <v>130</v>
      </c>
      <c r="B1" s="168"/>
      <c r="C1" s="168"/>
    </row>
    <row r="2" spans="1:5">
      <c r="A2" s="54"/>
      <c r="B2" s="55"/>
      <c r="C2" s="56"/>
    </row>
    <row r="3" spans="1:5">
      <c r="A3" s="169" t="s">
        <v>131</v>
      </c>
      <c r="B3" s="169"/>
      <c r="C3" s="57" t="s">
        <v>132</v>
      </c>
    </row>
    <row r="4" spans="1:5">
      <c r="A4" s="170" t="s">
        <v>133</v>
      </c>
      <c r="B4" s="170"/>
      <c r="C4" s="58">
        <v>219.9</v>
      </c>
    </row>
    <row r="5" spans="1:5">
      <c r="A5" s="170" t="s">
        <v>134</v>
      </c>
      <c r="B5" s="170"/>
      <c r="C5" s="58">
        <v>149.9</v>
      </c>
    </row>
    <row r="6" spans="1:5">
      <c r="A6" s="170" t="s">
        <v>135</v>
      </c>
      <c r="B6" s="170"/>
      <c r="C6" s="58">
        <v>99.9</v>
      </c>
    </row>
    <row r="7" spans="1:5">
      <c r="A7" s="171" t="s">
        <v>136</v>
      </c>
      <c r="B7" s="171"/>
      <c r="C7" s="59">
        <v>59.9</v>
      </c>
    </row>
    <row r="9" spans="1:5">
      <c r="A9" s="168"/>
      <c r="B9" s="168"/>
      <c r="C9" s="168"/>
    </row>
    <row r="10" spans="1:5" ht="42" customHeight="1">
      <c r="A10" s="166"/>
      <c r="B10" s="166"/>
      <c r="C10" s="135"/>
      <c r="D10" s="135"/>
      <c r="E10" s="80"/>
    </row>
    <row r="11" spans="1:5" ht="42" customHeight="1">
      <c r="A11" s="164"/>
      <c r="B11" s="165"/>
      <c r="C11" s="161"/>
      <c r="D11" s="162"/>
      <c r="E11" s="80"/>
    </row>
    <row r="12" spans="1:5" ht="42" customHeight="1">
      <c r="A12" s="166"/>
      <c r="B12" s="166"/>
      <c r="C12" s="163"/>
      <c r="D12" s="163"/>
      <c r="E12" s="80"/>
    </row>
    <row r="13" spans="1:5" ht="42" customHeight="1">
      <c r="A13" s="164"/>
      <c r="B13" s="165"/>
      <c r="C13" s="163"/>
      <c r="D13" s="163"/>
      <c r="E13" s="80"/>
    </row>
    <row r="14" spans="1:5" ht="42" customHeight="1">
      <c r="A14" s="164"/>
      <c r="B14" s="165"/>
      <c r="C14" s="163"/>
      <c r="D14" s="163"/>
      <c r="E14" s="80"/>
    </row>
    <row r="15" spans="1:5" ht="42" customHeight="1">
      <c r="A15" s="164"/>
      <c r="B15" s="165"/>
      <c r="C15" s="163"/>
      <c r="D15" s="163"/>
      <c r="E15" s="80"/>
    </row>
    <row r="16" spans="1:5" ht="42" customHeight="1">
      <c r="A16" s="166"/>
      <c r="B16" s="166"/>
      <c r="C16" s="135"/>
      <c r="D16" s="135"/>
      <c r="E16" s="80"/>
    </row>
    <row r="17" spans="1:5" ht="42" customHeight="1">
      <c r="A17" s="164"/>
      <c r="B17" s="165"/>
      <c r="C17" s="161"/>
      <c r="D17" s="162"/>
      <c r="E17" s="80"/>
    </row>
    <row r="18" spans="1:5" ht="42" customHeight="1">
      <c r="A18" s="166"/>
      <c r="B18" s="166"/>
      <c r="C18" s="135"/>
      <c r="D18" s="135"/>
      <c r="E18" s="80"/>
    </row>
    <row r="19" spans="1:5" ht="42" customHeight="1">
      <c r="A19" s="166"/>
      <c r="B19" s="166"/>
      <c r="C19" s="135"/>
      <c r="D19" s="135"/>
      <c r="E19" s="80"/>
    </row>
    <row r="20" spans="1:5" ht="42" customHeight="1">
      <c r="A20" s="166"/>
      <c r="B20" s="166"/>
      <c r="C20" s="135"/>
      <c r="D20" s="135"/>
      <c r="E20" s="80"/>
    </row>
    <row r="21" spans="1:5" ht="42" customHeight="1">
      <c r="A21" s="166"/>
      <c r="B21" s="166"/>
      <c r="C21" s="135"/>
      <c r="D21" s="135"/>
      <c r="E21" s="80"/>
    </row>
    <row r="22" spans="1:5" ht="42" customHeight="1">
      <c r="A22" s="167"/>
      <c r="B22" s="167"/>
      <c r="C22" s="163"/>
      <c r="D22" s="163"/>
      <c r="E22" s="80"/>
    </row>
    <row r="23" spans="1:5" ht="42" customHeight="1">
      <c r="A23" s="164"/>
      <c r="B23" s="165"/>
      <c r="C23" s="161"/>
      <c r="D23" s="162"/>
      <c r="E23" s="80"/>
    </row>
    <row r="24" spans="1:5" ht="42" customHeight="1">
      <c r="A24" s="164"/>
      <c r="B24" s="165"/>
      <c r="C24" s="161"/>
      <c r="D24" s="162"/>
      <c r="E24" s="80"/>
    </row>
    <row r="25" spans="1:5" ht="42" customHeight="1">
      <c r="A25" s="164"/>
      <c r="B25" s="165"/>
      <c r="C25" s="161"/>
      <c r="D25" s="162"/>
      <c r="E25" s="80"/>
    </row>
    <row r="26" spans="1:5" ht="42" customHeight="1">
      <c r="A26" s="164"/>
      <c r="B26" s="165"/>
      <c r="C26" s="163"/>
      <c r="D26" s="163"/>
      <c r="E26" s="80"/>
    </row>
    <row r="27" spans="1:5" ht="42" customHeight="1">
      <c r="A27" s="164"/>
      <c r="B27" s="165"/>
      <c r="C27" s="163"/>
      <c r="D27" s="163"/>
      <c r="E27" s="80"/>
    </row>
  </sheetData>
  <mergeCells count="43">
    <mergeCell ref="A9:C9"/>
    <mergeCell ref="A1:C1"/>
    <mergeCell ref="A3:B3"/>
    <mergeCell ref="A4:B4"/>
    <mergeCell ref="A5:B5"/>
    <mergeCell ref="A6:B6"/>
    <mergeCell ref="A7:B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20" sqref="A20"/>
    </sheetView>
  </sheetViews>
  <sheetFormatPr defaultRowHeight="15"/>
  <cols>
    <col min="1" max="1" width="56.5703125" bestFit="1" customWidth="1"/>
    <col min="2" max="2" width="15.85546875" bestFit="1" customWidth="1"/>
    <col min="4" max="4" width="21.85546875" bestFit="1" customWidth="1"/>
  </cols>
  <sheetData>
    <row r="1" spans="1:8">
      <c r="A1" s="173" t="s">
        <v>137</v>
      </c>
      <c r="B1" s="174"/>
      <c r="C1" s="174"/>
      <c r="D1" s="174"/>
      <c r="E1" s="174"/>
      <c r="F1" s="174"/>
      <c r="G1" s="174"/>
      <c r="H1" s="175"/>
    </row>
    <row r="2" spans="1:8">
      <c r="A2" s="60" t="s">
        <v>138</v>
      </c>
      <c r="B2" s="61"/>
      <c r="C2" s="61"/>
      <c r="D2" s="62" t="s">
        <v>139</v>
      </c>
      <c r="E2" s="62" t="s">
        <v>140</v>
      </c>
      <c r="F2" s="61"/>
      <c r="G2" s="61"/>
      <c r="H2" s="63"/>
    </row>
    <row r="3" spans="1:8">
      <c r="A3" s="60"/>
      <c r="B3" s="61"/>
      <c r="C3" s="61"/>
      <c r="D3" s="64" t="s">
        <v>141</v>
      </c>
      <c r="E3" s="64" t="s">
        <v>142</v>
      </c>
      <c r="F3" s="61"/>
      <c r="G3" s="61"/>
      <c r="H3" s="63"/>
    </row>
    <row r="4" spans="1:8">
      <c r="A4" s="60" t="s">
        <v>143</v>
      </c>
      <c r="B4" s="65">
        <v>150000</v>
      </c>
      <c r="C4" s="61"/>
      <c r="D4" s="64" t="s">
        <v>144</v>
      </c>
      <c r="E4" s="64" t="s">
        <v>145</v>
      </c>
      <c r="F4" s="61"/>
      <c r="G4" s="61"/>
      <c r="H4" s="63"/>
    </row>
    <row r="5" spans="1:8">
      <c r="A5" s="60" t="s">
        <v>146</v>
      </c>
      <c r="B5" s="61"/>
      <c r="C5" s="61"/>
      <c r="D5" s="64" t="s">
        <v>147</v>
      </c>
      <c r="E5" s="64" t="s">
        <v>148</v>
      </c>
      <c r="F5" s="61"/>
      <c r="G5" s="61"/>
      <c r="H5" s="63"/>
    </row>
    <row r="6" spans="1:8">
      <c r="A6" s="66"/>
      <c r="B6" s="61"/>
      <c r="C6" s="61"/>
      <c r="D6" s="64" t="s">
        <v>149</v>
      </c>
      <c r="E6" s="64" t="s">
        <v>150</v>
      </c>
      <c r="F6" s="61"/>
      <c r="G6" s="172" t="s">
        <v>151</v>
      </c>
      <c r="H6" s="172"/>
    </row>
    <row r="7" spans="1:8">
      <c r="A7" s="66"/>
      <c r="B7" s="61"/>
      <c r="C7" s="61"/>
      <c r="D7" s="64" t="s">
        <v>152</v>
      </c>
      <c r="E7" s="64" t="s">
        <v>153</v>
      </c>
      <c r="F7" s="61"/>
      <c r="G7" s="172"/>
      <c r="H7" s="172"/>
    </row>
    <row r="8" spans="1:8">
      <c r="A8" s="67" t="s">
        <v>154</v>
      </c>
      <c r="B8" s="61"/>
      <c r="C8" s="61"/>
      <c r="D8" s="61"/>
      <c r="E8" s="61"/>
      <c r="F8" s="61"/>
      <c r="G8" s="172"/>
      <c r="H8" s="172"/>
    </row>
    <row r="9" spans="1:8">
      <c r="A9" s="60" t="s">
        <v>155</v>
      </c>
      <c r="B9" s="65">
        <v>1256000</v>
      </c>
      <c r="C9" s="61"/>
      <c r="D9" s="62" t="s">
        <v>156</v>
      </c>
      <c r="E9" s="62" t="s">
        <v>140</v>
      </c>
      <c r="F9" s="61"/>
      <c r="G9" s="68">
        <v>5</v>
      </c>
      <c r="H9" s="63" t="s">
        <v>157</v>
      </c>
    </row>
    <row r="10" spans="1:8">
      <c r="A10" s="66"/>
      <c r="B10" s="61"/>
      <c r="C10" s="61"/>
      <c r="D10" s="64" t="s">
        <v>141</v>
      </c>
      <c r="E10" s="64" t="s">
        <v>158</v>
      </c>
      <c r="F10" s="61"/>
      <c r="G10" s="68">
        <v>4</v>
      </c>
      <c r="H10" s="63" t="s">
        <v>159</v>
      </c>
    </row>
    <row r="11" spans="1:8">
      <c r="A11" s="67" t="s">
        <v>160</v>
      </c>
      <c r="B11" s="69"/>
      <c r="C11" s="61"/>
      <c r="D11" s="64" t="s">
        <v>144</v>
      </c>
      <c r="E11" s="64" t="s">
        <v>161</v>
      </c>
      <c r="F11" s="61"/>
      <c r="G11" s="68">
        <v>3</v>
      </c>
      <c r="H11" s="63" t="s">
        <v>162</v>
      </c>
    </row>
    <row r="12" spans="1:8">
      <c r="A12" s="70" t="s">
        <v>108</v>
      </c>
      <c r="B12" s="62" t="s">
        <v>163</v>
      </c>
      <c r="C12" s="61"/>
      <c r="D12" s="64" t="s">
        <v>147</v>
      </c>
      <c r="E12" s="64" t="s">
        <v>164</v>
      </c>
      <c r="F12" s="61"/>
      <c r="G12" s="68">
        <v>2</v>
      </c>
      <c r="H12" s="63" t="s">
        <v>165</v>
      </c>
    </row>
    <row r="13" spans="1:8">
      <c r="A13" s="60" t="s">
        <v>166</v>
      </c>
      <c r="B13" s="71">
        <v>1307</v>
      </c>
      <c r="C13" s="61"/>
      <c r="D13" s="64" t="s">
        <v>149</v>
      </c>
      <c r="E13" s="64" t="s">
        <v>167</v>
      </c>
      <c r="F13" s="61"/>
      <c r="G13" s="68">
        <v>1</v>
      </c>
      <c r="H13" s="63" t="s">
        <v>168</v>
      </c>
    </row>
    <row r="14" spans="1:8">
      <c r="A14" s="60" t="s">
        <v>111</v>
      </c>
      <c r="B14" s="71">
        <v>1727</v>
      </c>
      <c r="C14" s="61"/>
      <c r="D14" s="64" t="s">
        <v>152</v>
      </c>
      <c r="E14" s="64" t="s">
        <v>169</v>
      </c>
      <c r="F14" s="61"/>
      <c r="G14" s="61"/>
      <c r="H14" s="63"/>
    </row>
    <row r="15" spans="1:8">
      <c r="A15" s="60" t="s">
        <v>170</v>
      </c>
      <c r="B15" s="71">
        <v>2346</v>
      </c>
      <c r="C15" s="61"/>
      <c r="D15" s="61"/>
      <c r="E15" s="61"/>
      <c r="F15" s="61"/>
      <c r="G15" s="61"/>
      <c r="H15" s="63"/>
    </row>
    <row r="16" spans="1:8">
      <c r="A16" s="72"/>
      <c r="B16" s="73"/>
      <c r="C16" s="73"/>
      <c r="D16" s="73"/>
      <c r="E16" s="73"/>
      <c r="F16" s="73"/>
      <c r="G16" s="73"/>
      <c r="H16" s="74"/>
    </row>
    <row r="18" spans="1:8">
      <c r="A18" s="173" t="s">
        <v>137</v>
      </c>
      <c r="B18" s="174"/>
      <c r="C18" s="174"/>
      <c r="D18" s="174"/>
      <c r="E18" s="174"/>
      <c r="F18" s="174"/>
      <c r="G18" s="174"/>
      <c r="H18" s="175"/>
    </row>
    <row r="19" spans="1:8">
      <c r="A19" s="35">
        <f>B4*117</f>
        <v>17550000</v>
      </c>
      <c r="B19" s="35">
        <f>A19/3133020</f>
        <v>5.601623992186453</v>
      </c>
    </row>
    <row r="20" spans="1:8">
      <c r="A20" s="35">
        <f>B9*9</f>
        <v>11304000</v>
      </c>
      <c r="B20" s="35">
        <f>A20/3133020</f>
        <v>3.6080203765057357</v>
      </c>
    </row>
  </sheetData>
  <mergeCells count="3">
    <mergeCell ref="G6:H8"/>
    <mergeCell ref="A1:H1"/>
    <mergeCell ref="A18:H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32BA8966FE0419D79B91530A732BB" ma:contentTypeVersion="4" ma:contentTypeDescription="Crie um novo documento." ma:contentTypeScope="" ma:versionID="a380bf974d84d106b543373cb583ddbc">
  <xsd:schema xmlns:xsd="http://www.w3.org/2001/XMLSchema" xmlns:xs="http://www.w3.org/2001/XMLSchema" xmlns:p="http://schemas.microsoft.com/office/2006/metadata/properties" xmlns:ns2="34d65aa0-273c-492b-bf47-31e56d34e4a3" targetNamespace="http://schemas.microsoft.com/office/2006/metadata/properties" ma:root="true" ma:fieldsID="1aa69f9c34f1faa7749dbb87c9f794a9" ns2:_="">
    <xsd:import namespace="34d65aa0-273c-492b-bf47-31e56d34e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65aa0-273c-492b-bf47-31e56d34e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A65175-59CB-49B5-BABE-FB3E1F824AE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4d65aa0-273c-492b-bf47-31e56d34e4a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C12A2-EB12-4153-AD86-BDF584180E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EFD30E-FB59-4427-AB8C-512A5FE51C95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Pesquisa Inicial</vt:lpstr>
      <vt:lpstr>Plan1</vt:lpstr>
      <vt:lpstr>janeiro</vt:lpstr>
      <vt:lpstr>Vendas regional</vt:lpstr>
      <vt:lpstr>Franquia</vt:lpstr>
      <vt:lpstr>CUSTO ARMAZÉM</vt:lpstr>
      <vt:lpstr>CUSTO EQUIPES FUNCIONÁRIOS			</vt:lpstr>
      <vt:lpstr>VALOR DOS PACOTES DE SERVIÇO		</vt:lpstr>
      <vt:lpstr>POSTO DE ATENDIMENTO (PA)						</vt:lpstr>
      <vt:lpstr>DADOS</vt:lpstr>
      <vt:lpstr>GRÁFICO</vt:lpstr>
      <vt:lpstr>Planilha1 (2)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Fundação de Apoio à Pesquisa FAPG</dc:creator>
  <cp:lastModifiedBy>Davi Felipe Alves dos Santos</cp:lastModifiedBy>
  <cp:revision/>
  <dcterms:created xsi:type="dcterms:W3CDTF">2023-02-28T13:25:41Z</dcterms:created>
  <dcterms:modified xsi:type="dcterms:W3CDTF">2024-12-03T00:56:40Z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0x010100B8F32BA8966FE0419D79B91530A732BB</vt:lpwstr>
  </property>
</Properties>
</file>