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bf3daff3b5ba9/UA/Módulos Finanças Empresariais/2023-2024/Caso prático/"/>
    </mc:Choice>
  </mc:AlternateContent>
  <xr:revisionPtr revIDLastSave="85" documentId="8_{12C90ADC-E013-4C80-AE28-A3C325F5E1AD}" xr6:coauthVersionLast="47" xr6:coauthVersionMax="47" xr10:uidLastSave="{DCC62834-E46D-4704-94ED-994D3464C3AA}"/>
  <bookViews>
    <workbookView xWindow="-108" yWindow="-108" windowWidth="23256" windowHeight="12456" xr2:uid="{12C5B9E2-AF1A-4B8F-BEA6-E4ECBD3974B9}"/>
  </bookViews>
  <sheets>
    <sheet name="Caso prático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  <c r="D77" i="1"/>
  <c r="I93" i="1" s="1"/>
  <c r="D60" i="1"/>
  <c r="H34" i="1"/>
  <c r="H51" i="1" s="1"/>
  <c r="I58" i="1" s="1"/>
  <c r="G34" i="1"/>
  <c r="G51" i="1" s="1"/>
  <c r="H58" i="1" s="1"/>
  <c r="F34" i="1"/>
  <c r="F51" i="1" s="1"/>
  <c r="G58" i="1" s="1"/>
  <c r="E34" i="1"/>
  <c r="E51" i="1" s="1"/>
  <c r="F58" i="1" s="1"/>
  <c r="D34" i="1"/>
  <c r="D51" i="1" s="1"/>
  <c r="E58" i="1" s="1"/>
  <c r="D23" i="1"/>
  <c r="E23" i="1" s="1"/>
  <c r="D13" i="1"/>
  <c r="D19" i="1" s="1"/>
  <c r="E99" i="1"/>
  <c r="E113" i="1"/>
  <c r="E111" i="1"/>
  <c r="H93" i="1" l="1"/>
  <c r="D26" i="1"/>
  <c r="D48" i="1" s="1"/>
  <c r="D27" i="1"/>
  <c r="D49" i="1" s="1"/>
  <c r="D46" i="1"/>
  <c r="D28" i="1"/>
  <c r="D50" i="1" s="1"/>
  <c r="F66" i="1"/>
  <c r="F70" i="1" s="1"/>
  <c r="F23" i="1"/>
  <c r="E47" i="1"/>
  <c r="D47" i="1"/>
  <c r="E13" i="1"/>
  <c r="D62" i="1"/>
  <c r="D92" i="1" s="1"/>
  <c r="D93" i="1"/>
  <c r="D83" i="1"/>
  <c r="E93" i="1"/>
  <c r="F93" i="1"/>
  <c r="G93" i="1"/>
  <c r="G23" i="1" l="1"/>
  <c r="F47" i="1"/>
  <c r="D52" i="1"/>
  <c r="D94" i="1"/>
  <c r="E19" i="1"/>
  <c r="F13" i="1"/>
  <c r="D53" i="1" l="1"/>
  <c r="D54" i="1" s="1"/>
  <c r="E57" i="1" s="1"/>
  <c r="E59" i="1" s="1"/>
  <c r="E62" i="1" s="1"/>
  <c r="E92" i="1" s="1"/>
  <c r="F19" i="1"/>
  <c r="G13" i="1"/>
  <c r="E27" i="1"/>
  <c r="E49" i="1" s="1"/>
  <c r="E46" i="1"/>
  <c r="E28" i="1"/>
  <c r="E50" i="1" s="1"/>
  <c r="E26" i="1"/>
  <c r="E48" i="1" s="1"/>
  <c r="H23" i="1"/>
  <c r="H47" i="1" s="1"/>
  <c r="G47" i="1"/>
  <c r="E94" i="1" l="1"/>
  <c r="E52" i="1"/>
  <c r="E53" i="1" s="1"/>
  <c r="E54" i="1" s="1"/>
  <c r="F57" i="1" s="1"/>
  <c r="F59" i="1" s="1"/>
  <c r="F62" i="1" s="1"/>
  <c r="F92" i="1" s="1"/>
  <c r="H13" i="1"/>
  <c r="H19" i="1" s="1"/>
  <c r="G19" i="1"/>
  <c r="F27" i="1"/>
  <c r="F49" i="1" s="1"/>
  <c r="F46" i="1"/>
  <c r="F28" i="1"/>
  <c r="F50" i="1" s="1"/>
  <c r="F26" i="1"/>
  <c r="F48" i="1" s="1"/>
  <c r="H46" i="1" l="1"/>
  <c r="H28" i="1"/>
  <c r="H50" i="1" s="1"/>
  <c r="H26" i="1"/>
  <c r="H48" i="1" s="1"/>
  <c r="H27" i="1"/>
  <c r="H49" i="1" s="1"/>
  <c r="F52" i="1"/>
  <c r="G27" i="1"/>
  <c r="G49" i="1" s="1"/>
  <c r="G46" i="1"/>
  <c r="G28" i="1"/>
  <c r="G50" i="1" s="1"/>
  <c r="G26" i="1"/>
  <c r="G48" i="1" s="1"/>
  <c r="F94" i="1"/>
  <c r="F53" i="1" l="1"/>
  <c r="F54" i="1" s="1"/>
  <c r="G57" i="1" s="1"/>
  <c r="G59" i="1" s="1"/>
  <c r="G62" i="1" s="1"/>
  <c r="G92" i="1" s="1"/>
  <c r="G52" i="1"/>
  <c r="H52" i="1"/>
  <c r="G94" i="1" l="1"/>
  <c r="H53" i="1"/>
  <c r="H54" i="1" s="1"/>
  <c r="I57" i="1" s="1"/>
  <c r="I59" i="1" s="1"/>
  <c r="I62" i="1" s="1"/>
  <c r="I92" i="1" s="1"/>
  <c r="I94" i="1" s="1"/>
  <c r="D111" i="1" s="1"/>
  <c r="G53" i="1"/>
  <c r="G54" i="1" s="1"/>
  <c r="H57" i="1" s="1"/>
  <c r="H59" i="1" s="1"/>
  <c r="H62" i="1" s="1"/>
  <c r="H92" i="1" s="1"/>
  <c r="D99" i="1" s="1"/>
  <c r="D113" i="1" l="1"/>
  <c r="H94" i="1"/>
  <c r="D95" i="1" s="1"/>
</calcChain>
</file>

<file path=xl/sharedStrings.xml><?xml version="1.0" encoding="utf-8"?>
<sst xmlns="http://schemas.openxmlformats.org/spreadsheetml/2006/main" count="87" uniqueCount="85">
  <si>
    <t>(azul - cálculos com base nos pressupostos dados)</t>
  </si>
  <si>
    <t>Cálculos auxiliares</t>
  </si>
  <si>
    <t>Taxas ocupação</t>
  </si>
  <si>
    <t>N.º ano projeto</t>
  </si>
  <si>
    <t>5 anos</t>
  </si>
  <si>
    <t>Preço</t>
  </si>
  <si>
    <t>Taxa de inflação</t>
  </si>
  <si>
    <t>Capacidade instalada</t>
  </si>
  <si>
    <t>quartos</t>
  </si>
  <si>
    <t>dias no ano</t>
  </si>
  <si>
    <t>Vendas</t>
  </si>
  <si>
    <t>Gastos com o pessoal:</t>
  </si>
  <si>
    <t>mês</t>
  </si>
  <si>
    <t>funcionários</t>
  </si>
  <si>
    <t>Atualização salarial</t>
  </si>
  <si>
    <t>Salários correspondentes »</t>
  </si>
  <si>
    <t>Custos:</t>
  </si>
  <si>
    <t>FSE</t>
  </si>
  <si>
    <t>15%* Vendas</t>
  </si>
  <si>
    <t>Material limpeza</t>
  </si>
  <si>
    <t>5%*Vendas</t>
  </si>
  <si>
    <t>Custos Fixos</t>
  </si>
  <si>
    <t>2%*Vendas</t>
  </si>
  <si>
    <t>Investimento</t>
  </si>
  <si>
    <t>ano 0</t>
  </si>
  <si>
    <t>Depreciação</t>
  </si>
  <si>
    <t>5% ano</t>
  </si>
  <si>
    <t>Imposto</t>
  </si>
  <si>
    <t>a) Apure o valor dos cash-flows durante os cinco anos.</t>
  </si>
  <si>
    <t>Demonstração Resultados Previsional</t>
  </si>
  <si>
    <t>1) Vendas</t>
  </si>
  <si>
    <t>2) Gastos com pessoal</t>
  </si>
  <si>
    <t>3) FSE</t>
  </si>
  <si>
    <t>4) Material limpeza</t>
  </si>
  <si>
    <t>5) Custos Fixos</t>
  </si>
  <si>
    <t>6) Depreciações</t>
  </si>
  <si>
    <t>7) Resultado antes de imposto (RAI)</t>
  </si>
  <si>
    <t>[1-2-3-4-5-6]</t>
  </si>
  <si>
    <t>8) Imposto</t>
  </si>
  <si>
    <t>9) Resultado Líquido (RL)</t>
  </si>
  <si>
    <t>[7-8]</t>
  </si>
  <si>
    <t>Mapa dos cash flows</t>
  </si>
  <si>
    <t>9) Resultado líquido</t>
  </si>
  <si>
    <t>10) Cash Flow Exploração (CFE)</t>
  </si>
  <si>
    <t>[9+6]</t>
  </si>
  <si>
    <t>11) Cash Flow Investimento (CFI)</t>
  </si>
  <si>
    <t>12) Valor Residual Imobilizado</t>
  </si>
  <si>
    <t>13) Cash Flow Global (CFG)</t>
  </si>
  <si>
    <t>[10-11+12]</t>
  </si>
  <si>
    <t>14) Valor contabilistico ativo fixo tangível</t>
  </si>
  <si>
    <t>[11-somatório 6]</t>
  </si>
  <si>
    <t>15) Valor realização</t>
  </si>
  <si>
    <t>16) Menos valia</t>
  </si>
  <si>
    <t>[14-15]</t>
  </si>
  <si>
    <t>b) Determine a taxa de atualização a considerar.</t>
  </si>
  <si>
    <t>Só capitais próprios =&gt; calcular Ks</t>
  </si>
  <si>
    <t>Ks = rf + beta*(rm - rf)</t>
  </si>
  <si>
    <t>rf</t>
  </si>
  <si>
    <t>Prémio risco</t>
  </si>
  <si>
    <t>beta*(rm-rf)</t>
  </si>
  <si>
    <t>Beta</t>
  </si>
  <si>
    <t>Aqui a informação do beta era irrelevante</t>
  </si>
  <si>
    <t>Logo, WACC = Ks porque só há financiamentos por capitais próprios</t>
  </si>
  <si>
    <t>WACC ou CMPC</t>
  </si>
  <si>
    <t>c) Discuta sobre a viabilidade de implementação do projeto.</t>
  </si>
  <si>
    <t>Hip 1: Valor atual dos CFG</t>
  </si>
  <si>
    <t>13) CFG</t>
  </si>
  <si>
    <t>[13]</t>
  </si>
  <si>
    <t>18) Fator atualização</t>
  </si>
  <si>
    <t>1/(1+WACC)^t</t>
  </si>
  <si>
    <t>19) Valor atual</t>
  </si>
  <si>
    <t>13 x 18</t>
  </si>
  <si>
    <t>20) VAL</t>
  </si>
  <si>
    <t>Somatório 19)</t>
  </si>
  <si>
    <t>Hip 2: usando a fórmula do excel VAL</t>
  </si>
  <si>
    <t>Uma vez que o VAL é positivo, o projeto deve ser implementado</t>
  </si>
  <si>
    <t>O PRC é inferior a 1 ano, uma vez que consigo ter cash flows positivos acumulados no final do 1.º ano</t>
  </si>
  <si>
    <t>VAL - período projetado</t>
  </si>
  <si>
    <t>VAL - período perpetuidade</t>
  </si>
  <si>
    <t>(=) Enterprise Value</t>
  </si>
  <si>
    <t>(ou seja, entre o período projetado e o que se espera no futuro não modelizado de potencial valorização)</t>
  </si>
  <si>
    <t>g (taxa de crescimento na perpetuidade) =</t>
  </si>
  <si>
    <t>Da teoria à prática: caso de estudo #1</t>
  </si>
  <si>
    <r>
      <rPr>
        <u/>
        <sz val="12"/>
        <color theme="0"/>
        <rFont val="Calibri"/>
        <family val="2"/>
        <scheme val="minor"/>
      </rPr>
      <t>Não abordado no contexto da UC</t>
    </r>
    <r>
      <rPr>
        <sz val="12"/>
        <color theme="0"/>
        <rFont val="Calibri"/>
        <family val="2"/>
        <scheme val="minor"/>
      </rPr>
      <t xml:space="preserve">, mas que deverá ser considerado no cálculo da empresa: </t>
    </r>
    <r>
      <rPr>
        <b/>
        <sz val="12"/>
        <color theme="0"/>
        <rFont val="Calibri"/>
        <family val="2"/>
      </rPr>
      <t>perpetuidade</t>
    </r>
    <r>
      <rPr>
        <sz val="12"/>
        <color theme="0"/>
        <rFont val="Calibri"/>
        <family val="2"/>
        <scheme val="minor"/>
      </rPr>
      <t xml:space="preserve"> - ou seja, o que se espera vir a gerar para além do período projetado</t>
    </r>
  </si>
  <si>
    <t>(nota: assumindo que a empresa não cessaria atividade)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</si>
</sst>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EB4BD"/>
      <name val="Arial"/>
      <family val="2"/>
    </font>
    <font>
      <i/>
      <sz val="11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u/>
      <sz val="11"/>
      <color theme="4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i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FAFB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6" fillId="2" borderId="1" xfId="0" applyFont="1" applyFill="1" applyBorder="1"/>
    <xf numFmtId="0" fontId="3" fillId="2" borderId="1" xfId="0" applyFont="1" applyFill="1" applyBorder="1"/>
    <xf numFmtId="0" fontId="3" fillId="2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/>
    <xf numFmtId="9" fontId="0" fillId="0" borderId="0" xfId="0" applyNumberFormat="1"/>
    <xf numFmtId="0" fontId="7" fillId="0" borderId="0" xfId="0" applyFont="1"/>
    <xf numFmtId="1" fontId="7" fillId="0" borderId="0" xfId="0" applyNumberFormat="1" applyFont="1"/>
    <xf numFmtId="0" fontId="8" fillId="0" borderId="0" xfId="0" applyFont="1"/>
    <xf numFmtId="9" fontId="8" fillId="0" borderId="0" xfId="0" applyNumberFormat="1" applyFont="1"/>
    <xf numFmtId="0" fontId="1" fillId="0" borderId="0" xfId="0" applyFont="1"/>
    <xf numFmtId="9" fontId="1" fillId="0" borderId="0" xfId="0" applyNumberFormat="1" applyFont="1"/>
    <xf numFmtId="0" fontId="9" fillId="0" borderId="0" xfId="0" applyFont="1"/>
    <xf numFmtId="3" fontId="7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0" fontId="2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3" fontId="9" fillId="0" borderId="0" xfId="0" applyNumberFormat="1" applyFont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/>
    </xf>
    <xf numFmtId="9" fontId="7" fillId="0" borderId="0" xfId="0" applyNumberFormat="1" applyFont="1"/>
    <xf numFmtId="0" fontId="0" fillId="0" borderId="0" xfId="0" applyAlignment="1">
      <alignment horizontal="left" indent="2"/>
    </xf>
    <xf numFmtId="0" fontId="12" fillId="0" borderId="0" xfId="0" applyFont="1"/>
    <xf numFmtId="9" fontId="9" fillId="0" borderId="0" xfId="0" applyNumberFormat="1" applyFont="1"/>
    <xf numFmtId="4" fontId="0" fillId="0" borderId="0" xfId="0" applyNumberFormat="1"/>
    <xf numFmtId="0" fontId="13" fillId="0" borderId="0" xfId="0" applyFont="1"/>
    <xf numFmtId="3" fontId="15" fillId="3" borderId="0" xfId="1" applyNumberFormat="1" applyFont="1" applyFill="1" applyAlignment="1">
      <alignment vertical="center"/>
    </xf>
    <xf numFmtId="164" fontId="16" fillId="0" borderId="0" xfId="0" applyNumberFormat="1" applyFont="1"/>
    <xf numFmtId="3" fontId="8" fillId="0" borderId="0" xfId="0" applyNumberFormat="1" applyFont="1" applyAlignment="1">
      <alignment vertical="center"/>
    </xf>
    <xf numFmtId="0" fontId="17" fillId="0" borderId="0" xfId="0" applyFont="1"/>
    <xf numFmtId="0" fontId="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1" fillId="0" borderId="0" xfId="0" applyFont="1"/>
    <xf numFmtId="0" fontId="18" fillId="5" borderId="0" xfId="0" applyFont="1" applyFill="1" applyAlignment="1">
      <alignment horizontal="left" vertical="center" wrapText="1"/>
    </xf>
    <xf numFmtId="3" fontId="0" fillId="0" borderId="0" xfId="0" applyNumberFormat="1" applyFill="1"/>
  </cellXfs>
  <cellStyles count="2">
    <cellStyle name="Normal" xfId="0" builtinId="0"/>
    <cellStyle name="Normal 2 2" xfId="1" xr:uid="{658E7372-D093-46FE-9941-D3BDBA448597}"/>
  </cellStyles>
  <dxfs count="0"/>
  <tableStyles count="1" defaultTableStyle="TableStyleMedium2" defaultPivotStyle="PivotStyleLight16">
    <tableStyle name="Invisible" pivot="0" table="0" count="0" xr9:uid="{62483CE9-7C76-48E6-B536-73B484E308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8</xdr:row>
      <xdr:rowOff>7620</xdr:rowOff>
    </xdr:from>
    <xdr:to>
      <xdr:col>8</xdr:col>
      <xdr:colOff>662940</xdr:colOff>
      <xdr:row>19</xdr:row>
      <xdr:rowOff>0</xdr:rowOff>
    </xdr:to>
    <xdr:sp macro="" textlink="">
      <xdr:nvSpPr>
        <xdr:cNvPr id="2" name="Seta: Pentágono 1">
          <a:extLst>
            <a:ext uri="{FF2B5EF4-FFF2-40B4-BE49-F238E27FC236}">
              <a16:creationId xmlns:a16="http://schemas.microsoft.com/office/drawing/2014/main" id="{333CA20B-A984-417C-A46B-737A1E47DE03}"/>
            </a:ext>
          </a:extLst>
        </xdr:cNvPr>
        <xdr:cNvSpPr/>
      </xdr:nvSpPr>
      <xdr:spPr>
        <a:xfrm flipH="1">
          <a:off x="8610600" y="1501140"/>
          <a:ext cx="548640" cy="200406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106680</xdr:colOff>
      <xdr:row>20</xdr:row>
      <xdr:rowOff>0</xdr:rowOff>
    </xdr:from>
    <xdr:to>
      <xdr:col>8</xdr:col>
      <xdr:colOff>655320</xdr:colOff>
      <xdr:row>23</xdr:row>
      <xdr:rowOff>171360</xdr:rowOff>
    </xdr:to>
    <xdr:sp macro="" textlink="">
      <xdr:nvSpPr>
        <xdr:cNvPr id="3" name="Seta: Pentágono 2">
          <a:extLst>
            <a:ext uri="{FF2B5EF4-FFF2-40B4-BE49-F238E27FC236}">
              <a16:creationId xmlns:a16="http://schemas.microsoft.com/office/drawing/2014/main" id="{3F07DCDB-CFCA-4BDA-AE30-3B9A595EDE8A}"/>
            </a:ext>
          </a:extLst>
        </xdr:cNvPr>
        <xdr:cNvSpPr/>
      </xdr:nvSpPr>
      <xdr:spPr>
        <a:xfrm flipH="1">
          <a:off x="8602980" y="368808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22860</xdr:colOff>
      <xdr:row>7</xdr:row>
      <xdr:rowOff>113876</xdr:rowOff>
    </xdr:from>
    <xdr:to>
      <xdr:col>15</xdr:col>
      <xdr:colOff>357190</xdr:colOff>
      <xdr:row>19</xdr:row>
      <xdr:rowOff>143225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DF404F-E54D-462C-9CB0-E1F269F9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04020" y="1424516"/>
          <a:ext cx="6079811" cy="22239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76200</xdr:rowOff>
    </xdr:from>
    <xdr:to>
      <xdr:col>16</xdr:col>
      <xdr:colOff>399088</xdr:colOff>
      <xdr:row>23</xdr:row>
      <xdr:rowOff>118192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F861137-AB7A-447E-817A-157BB55A5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1160" y="3764280"/>
          <a:ext cx="6754168" cy="590632"/>
        </a:xfrm>
        <a:prstGeom prst="rect">
          <a:avLst/>
        </a:prstGeom>
      </xdr:spPr>
    </xdr:pic>
    <xdr:clientData/>
  </xdr:twoCellAnchor>
  <xdr:twoCellAnchor>
    <xdr:from>
      <xdr:col>8</xdr:col>
      <xdr:colOff>83820</xdr:colOff>
      <xdr:row>24</xdr:row>
      <xdr:rowOff>160020</xdr:rowOff>
    </xdr:from>
    <xdr:to>
      <xdr:col>8</xdr:col>
      <xdr:colOff>632460</xdr:colOff>
      <xdr:row>28</xdr:row>
      <xdr:rowOff>148500</xdr:rowOff>
    </xdr:to>
    <xdr:sp macro="" textlink="">
      <xdr:nvSpPr>
        <xdr:cNvPr id="6" name="Seta: Pentágono 5">
          <a:extLst>
            <a:ext uri="{FF2B5EF4-FFF2-40B4-BE49-F238E27FC236}">
              <a16:creationId xmlns:a16="http://schemas.microsoft.com/office/drawing/2014/main" id="{585CCD0A-9050-4C84-9A56-8000AA2D3CAE}"/>
            </a:ext>
          </a:extLst>
        </xdr:cNvPr>
        <xdr:cNvSpPr/>
      </xdr:nvSpPr>
      <xdr:spPr>
        <a:xfrm flipH="1">
          <a:off x="8580120" y="457962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0</xdr:colOff>
      <xdr:row>24</xdr:row>
      <xdr:rowOff>161059</xdr:rowOff>
    </xdr:from>
    <xdr:to>
      <xdr:col>16</xdr:col>
      <xdr:colOff>399088</xdr:colOff>
      <xdr:row>29</xdr:row>
      <xdr:rowOff>56397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78F4FFC-6324-490C-A427-46AC96D4B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727" y="4741718"/>
          <a:ext cx="6590338" cy="8478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16</xdr:col>
      <xdr:colOff>418140</xdr:colOff>
      <xdr:row>35</xdr:row>
      <xdr:rowOff>106797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8FF7E50-602C-42DA-9403-2BEAA73A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81160" y="5699760"/>
          <a:ext cx="6773220" cy="838317"/>
        </a:xfrm>
        <a:prstGeom prst="rect">
          <a:avLst/>
        </a:prstGeom>
      </xdr:spPr>
    </xdr:pic>
    <xdr:clientData/>
  </xdr:twoCellAnchor>
  <xdr:twoCellAnchor>
    <xdr:from>
      <xdr:col>8</xdr:col>
      <xdr:colOff>99060</xdr:colOff>
      <xdr:row>31</xdr:row>
      <xdr:rowOff>38100</xdr:rowOff>
    </xdr:from>
    <xdr:to>
      <xdr:col>8</xdr:col>
      <xdr:colOff>647700</xdr:colOff>
      <xdr:row>35</xdr:row>
      <xdr:rowOff>26580</xdr:rowOff>
    </xdr:to>
    <xdr:sp macro="" textlink="">
      <xdr:nvSpPr>
        <xdr:cNvPr id="9" name="Seta: Pentágono 8">
          <a:extLst>
            <a:ext uri="{FF2B5EF4-FFF2-40B4-BE49-F238E27FC236}">
              <a16:creationId xmlns:a16="http://schemas.microsoft.com/office/drawing/2014/main" id="{DB5A9670-A579-4A3C-883A-F0196013ADF7}"/>
            </a:ext>
          </a:extLst>
        </xdr:cNvPr>
        <xdr:cNvSpPr/>
      </xdr:nvSpPr>
      <xdr:spPr>
        <a:xfrm flipH="1">
          <a:off x="8595360" y="573786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30480</xdr:colOff>
      <xdr:row>36</xdr:row>
      <xdr:rowOff>83820</xdr:rowOff>
    </xdr:from>
    <xdr:to>
      <xdr:col>13</xdr:col>
      <xdr:colOff>322568</xdr:colOff>
      <xdr:row>38</xdr:row>
      <xdr:rowOff>32429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18B83D4-8F70-4DE8-85B1-0EE1B16FE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11640" y="6697980"/>
          <a:ext cx="4467849" cy="314369"/>
        </a:xfrm>
        <a:prstGeom prst="rect">
          <a:avLst/>
        </a:prstGeom>
      </xdr:spPr>
    </xdr:pic>
    <xdr:clientData/>
  </xdr:twoCellAnchor>
  <xdr:twoCellAnchor>
    <xdr:from>
      <xdr:col>8</xdr:col>
      <xdr:colOff>114300</xdr:colOff>
      <xdr:row>35</xdr:row>
      <xdr:rowOff>152400</xdr:rowOff>
    </xdr:from>
    <xdr:to>
      <xdr:col>8</xdr:col>
      <xdr:colOff>662940</xdr:colOff>
      <xdr:row>38</xdr:row>
      <xdr:rowOff>71760</xdr:rowOff>
    </xdr:to>
    <xdr:sp macro="" textlink="">
      <xdr:nvSpPr>
        <xdr:cNvPr id="11" name="Seta: Pentágono 10">
          <a:extLst>
            <a:ext uri="{FF2B5EF4-FFF2-40B4-BE49-F238E27FC236}">
              <a16:creationId xmlns:a16="http://schemas.microsoft.com/office/drawing/2014/main" id="{64C5B06A-98FC-46DD-9BF3-2A8FFFF0376A}"/>
            </a:ext>
          </a:extLst>
        </xdr:cNvPr>
        <xdr:cNvSpPr/>
      </xdr:nvSpPr>
      <xdr:spPr>
        <a:xfrm flipH="1">
          <a:off x="8610600" y="6583680"/>
          <a:ext cx="548640" cy="468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68580</xdr:colOff>
      <xdr:row>65</xdr:row>
      <xdr:rowOff>63744</xdr:rowOff>
    </xdr:from>
    <xdr:to>
      <xdr:col>15</xdr:col>
      <xdr:colOff>111507</xdr:colOff>
      <xdr:row>69</xdr:row>
      <xdr:rowOff>103005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05A466B-69AF-461C-B6E8-888A0825D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49740" y="12156684"/>
          <a:ext cx="5788408" cy="770781"/>
        </a:xfrm>
        <a:prstGeom prst="rect">
          <a:avLst/>
        </a:prstGeom>
      </xdr:spPr>
    </xdr:pic>
    <xdr:clientData/>
  </xdr:twoCellAnchor>
  <xdr:twoCellAnchor>
    <xdr:from>
      <xdr:col>8</xdr:col>
      <xdr:colOff>99060</xdr:colOff>
      <xdr:row>65</xdr:row>
      <xdr:rowOff>114300</xdr:rowOff>
    </xdr:from>
    <xdr:to>
      <xdr:col>8</xdr:col>
      <xdr:colOff>647700</xdr:colOff>
      <xdr:row>69</xdr:row>
      <xdr:rowOff>102780</xdr:rowOff>
    </xdr:to>
    <xdr:sp macro="" textlink="">
      <xdr:nvSpPr>
        <xdr:cNvPr id="13" name="Seta: Pentágono 12">
          <a:extLst>
            <a:ext uri="{FF2B5EF4-FFF2-40B4-BE49-F238E27FC236}">
              <a16:creationId xmlns:a16="http://schemas.microsoft.com/office/drawing/2014/main" id="{B63779C5-254E-4819-98A2-27CE2AD52F23}"/>
            </a:ext>
          </a:extLst>
        </xdr:cNvPr>
        <xdr:cNvSpPr/>
      </xdr:nvSpPr>
      <xdr:spPr>
        <a:xfrm flipH="1">
          <a:off x="8595360" y="1220724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9</xdr:col>
      <xdr:colOff>0</xdr:colOff>
      <xdr:row>75</xdr:row>
      <xdr:rowOff>0</xdr:rowOff>
    </xdr:from>
    <xdr:to>
      <xdr:col>17</xdr:col>
      <xdr:colOff>389645</xdr:colOff>
      <xdr:row>79</xdr:row>
      <xdr:rowOff>97271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34534D7-7DE7-4367-89F3-E2280E52A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81160" y="14150340"/>
          <a:ext cx="7354326" cy="828791"/>
        </a:xfrm>
        <a:prstGeom prst="rect">
          <a:avLst/>
        </a:prstGeom>
      </xdr:spPr>
    </xdr:pic>
    <xdr:clientData/>
  </xdr:twoCellAnchor>
  <xdr:twoCellAnchor>
    <xdr:from>
      <xdr:col>8</xdr:col>
      <xdr:colOff>68580</xdr:colOff>
      <xdr:row>75</xdr:row>
      <xdr:rowOff>7620</xdr:rowOff>
    </xdr:from>
    <xdr:to>
      <xdr:col>8</xdr:col>
      <xdr:colOff>617220</xdr:colOff>
      <xdr:row>78</xdr:row>
      <xdr:rowOff>178980</xdr:rowOff>
    </xdr:to>
    <xdr:sp macro="" textlink="">
      <xdr:nvSpPr>
        <xdr:cNvPr id="15" name="Seta: Pentágono 14">
          <a:extLst>
            <a:ext uri="{FF2B5EF4-FFF2-40B4-BE49-F238E27FC236}">
              <a16:creationId xmlns:a16="http://schemas.microsoft.com/office/drawing/2014/main" id="{C90BBE83-C644-4CBD-8CD6-812BEB007EFB}"/>
            </a:ext>
          </a:extLst>
        </xdr:cNvPr>
        <xdr:cNvSpPr/>
      </xdr:nvSpPr>
      <xdr:spPr>
        <a:xfrm flipH="1">
          <a:off x="8564880" y="14157960"/>
          <a:ext cx="548640" cy="720000"/>
        </a:xfrm>
        <a:prstGeom prst="homePlate">
          <a:avLst/>
        </a:prstGeom>
        <a:solidFill>
          <a:srgbClr val="13B4B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 editAs="oneCell">
    <xdr:from>
      <xdr:col>7</xdr:col>
      <xdr:colOff>30480</xdr:colOff>
      <xdr:row>106</xdr:row>
      <xdr:rowOff>121920</xdr:rowOff>
    </xdr:from>
    <xdr:to>
      <xdr:col>9</xdr:col>
      <xdr:colOff>1758711</xdr:colOff>
      <xdr:row>118</xdr:row>
      <xdr:rowOff>152809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6E43B59-94D9-F979-DB5A-628ABAB94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85760" y="20193000"/>
          <a:ext cx="3313191" cy="22711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4AE0-3DA3-4CD1-908E-ABC72953843F}">
  <sheetPr>
    <tabColor rgb="FF00B050"/>
  </sheetPr>
  <dimension ref="A1:J122"/>
  <sheetViews>
    <sheetView tabSelected="1" zoomScale="110" zoomScaleNormal="110" workbookViewId="0">
      <selection activeCell="C16" sqref="C16"/>
    </sheetView>
  </sheetViews>
  <sheetFormatPr defaultRowHeight="14.4" x14ac:dyDescent="0.3"/>
  <cols>
    <col min="2" max="2" width="20.6640625" customWidth="1"/>
    <col min="3" max="3" width="34.5546875" customWidth="1"/>
    <col min="4" max="4" width="16.33203125" bestFit="1" customWidth="1"/>
    <col min="5" max="8" width="11.6640625" bestFit="1" customWidth="1"/>
    <col min="9" max="9" width="11.44140625" customWidth="1"/>
    <col min="10" max="10" width="26.5546875" customWidth="1"/>
    <col min="11" max="15" width="11.44140625" bestFit="1" customWidth="1"/>
  </cols>
  <sheetData>
    <row r="1" spans="2:10" ht="21" x14ac:dyDescent="0.3">
      <c r="B1" s="1" t="s">
        <v>82</v>
      </c>
    </row>
    <row r="2" spans="2:10" ht="6.6" customHeight="1" x14ac:dyDescent="0.3">
      <c r="B2" s="1"/>
    </row>
    <row r="3" spans="2:10" x14ac:dyDescent="0.3">
      <c r="B3" s="2" t="s">
        <v>0</v>
      </c>
    </row>
    <row r="5" spans="2:10" s="5" customFormat="1" ht="18" x14ac:dyDescent="0.35">
      <c r="B5" s="3" t="s">
        <v>1</v>
      </c>
      <c r="C5" s="4"/>
      <c r="D5" s="4"/>
      <c r="E5" s="4"/>
      <c r="F5" s="4"/>
      <c r="G5" s="4"/>
      <c r="H5" s="4"/>
      <c r="I5" s="4"/>
      <c r="J5" s="4"/>
    </row>
    <row r="7" spans="2:10" x14ac:dyDescent="0.3">
      <c r="B7" s="6"/>
      <c r="C7" s="6"/>
      <c r="D7" s="7">
        <v>1</v>
      </c>
      <c r="E7" s="7">
        <v>2</v>
      </c>
      <c r="F7" s="7">
        <v>3</v>
      </c>
      <c r="G7" s="7">
        <v>4</v>
      </c>
      <c r="H7" s="7">
        <v>5</v>
      </c>
    </row>
    <row r="8" spans="2:10" x14ac:dyDescent="0.3">
      <c r="D8" s="8"/>
      <c r="E8" s="8"/>
      <c r="F8" s="8"/>
      <c r="G8" s="8"/>
      <c r="H8" s="8"/>
    </row>
    <row r="9" spans="2:10" x14ac:dyDescent="0.3">
      <c r="B9" t="s">
        <v>2</v>
      </c>
      <c r="D9" s="9">
        <v>0.5</v>
      </c>
      <c r="E9" s="9">
        <v>0.65</v>
      </c>
      <c r="F9" s="9">
        <v>0.7</v>
      </c>
      <c r="G9" s="9">
        <v>0.9</v>
      </c>
      <c r="H9" s="9">
        <v>0.95</v>
      </c>
    </row>
    <row r="10" spans="2:10" x14ac:dyDescent="0.3">
      <c r="D10" s="9"/>
      <c r="E10" s="9"/>
      <c r="F10" s="9"/>
      <c r="G10" s="9"/>
      <c r="H10" s="9"/>
    </row>
    <row r="11" spans="2:10" x14ac:dyDescent="0.3">
      <c r="B11" t="s">
        <v>3</v>
      </c>
      <c r="C11" t="s">
        <v>4</v>
      </c>
    </row>
    <row r="13" spans="2:10" x14ac:dyDescent="0.3">
      <c r="B13" t="s">
        <v>5</v>
      </c>
      <c r="C13">
        <v>120</v>
      </c>
      <c r="D13" s="10">
        <f>C13</f>
        <v>120</v>
      </c>
      <c r="E13" s="11">
        <f>D13*(1+$C$14)</f>
        <v>122.4</v>
      </c>
      <c r="F13" s="11">
        <f t="shared" ref="F13:H13" si="0">E13*(1+$C$14)</f>
        <v>124.84800000000001</v>
      </c>
      <c r="G13" s="11">
        <f t="shared" si="0"/>
        <v>127.34496000000001</v>
      </c>
      <c r="H13" s="11">
        <f t="shared" si="0"/>
        <v>129.89185920000003</v>
      </c>
    </row>
    <row r="14" spans="2:10" x14ac:dyDescent="0.3">
      <c r="B14" s="12" t="s">
        <v>6</v>
      </c>
      <c r="C14" s="13">
        <v>0.02</v>
      </c>
      <c r="D14" s="12"/>
    </row>
    <row r="15" spans="2:10" x14ac:dyDescent="0.3">
      <c r="B15" s="14"/>
      <c r="C15" s="15"/>
      <c r="D15" s="14"/>
    </row>
    <row r="16" spans="2:10" x14ac:dyDescent="0.3">
      <c r="B16" t="s">
        <v>7</v>
      </c>
      <c r="C16">
        <v>180</v>
      </c>
      <c r="D16" t="s">
        <v>8</v>
      </c>
      <c r="E16">
        <v>365</v>
      </c>
      <c r="F16" t="s">
        <v>9</v>
      </c>
    </row>
    <row r="19" spans="2:8" x14ac:dyDescent="0.3">
      <c r="B19" s="16" t="s">
        <v>10</v>
      </c>
      <c r="C19" s="10"/>
      <c r="D19" s="17">
        <f>D9*D13*$C$16*$E$16</f>
        <v>3942000</v>
      </c>
      <c r="E19" s="17">
        <f t="shared" ref="E19:G19" si="1">E9*E13*$C$16*$E$16</f>
        <v>5227092</v>
      </c>
      <c r="F19" s="17">
        <f t="shared" si="1"/>
        <v>5741759.5200000005</v>
      </c>
      <c r="G19" s="17">
        <f t="shared" si="1"/>
        <v>7529907.4848000007</v>
      </c>
      <c r="H19" s="17">
        <f>H9*H13*$C$16*$E$16</f>
        <v>8107200.3919680007</v>
      </c>
    </row>
    <row r="20" spans="2:8" x14ac:dyDescent="0.3">
      <c r="B20" s="10"/>
      <c r="C20" s="10"/>
      <c r="D20" s="17"/>
      <c r="E20" s="17"/>
      <c r="F20" s="17"/>
      <c r="G20" s="17"/>
      <c r="H20" s="17"/>
    </row>
    <row r="21" spans="2:8" x14ac:dyDescent="0.3">
      <c r="B21" s="8" t="s">
        <v>11</v>
      </c>
      <c r="C21">
        <v>500</v>
      </c>
      <c r="D21" t="s">
        <v>12</v>
      </c>
      <c r="E21">
        <v>15</v>
      </c>
      <c r="F21" t="s">
        <v>13</v>
      </c>
    </row>
    <row r="22" spans="2:8" x14ac:dyDescent="0.3">
      <c r="B22" t="s">
        <v>14</v>
      </c>
      <c r="C22" s="9">
        <v>0.01</v>
      </c>
    </row>
    <row r="23" spans="2:8" x14ac:dyDescent="0.3">
      <c r="B23" s="10" t="s">
        <v>15</v>
      </c>
      <c r="C23" s="9"/>
      <c r="D23" s="10">
        <f>C21</f>
        <v>500</v>
      </c>
      <c r="E23" s="10">
        <f>D23*(1+$C$22)</f>
        <v>505</v>
      </c>
      <c r="F23" s="11">
        <f t="shared" ref="F23:H23" si="2">E23*(1+$C$22)</f>
        <v>510.05</v>
      </c>
      <c r="G23" s="11">
        <f t="shared" si="2"/>
        <v>515.15049999999997</v>
      </c>
      <c r="H23" s="11">
        <f t="shared" si="2"/>
        <v>520.30200500000001</v>
      </c>
    </row>
    <row r="24" spans="2:8" x14ac:dyDescent="0.3">
      <c r="C24" s="9"/>
      <c r="F24" s="18"/>
      <c r="G24" s="18"/>
      <c r="H24" s="18"/>
    </row>
    <row r="25" spans="2:8" x14ac:dyDescent="0.3">
      <c r="B25" s="8" t="s">
        <v>16</v>
      </c>
    </row>
    <row r="26" spans="2:8" x14ac:dyDescent="0.3">
      <c r="B26" s="19" t="s">
        <v>17</v>
      </c>
      <c r="C26" t="s">
        <v>18</v>
      </c>
      <c r="D26" s="17">
        <f>0.15*D19</f>
        <v>591300</v>
      </c>
      <c r="E26" s="17">
        <f t="shared" ref="E26:H26" si="3">0.15*E19</f>
        <v>784063.79999999993</v>
      </c>
      <c r="F26" s="17">
        <f t="shared" si="3"/>
        <v>861263.92800000007</v>
      </c>
      <c r="G26" s="17">
        <f t="shared" si="3"/>
        <v>1129486.1227200001</v>
      </c>
      <c r="H26" s="17">
        <f t="shared" si="3"/>
        <v>1216080.0587952</v>
      </c>
    </row>
    <row r="27" spans="2:8" x14ac:dyDescent="0.3">
      <c r="B27" s="19" t="s">
        <v>19</v>
      </c>
      <c r="C27" t="s">
        <v>20</v>
      </c>
      <c r="D27" s="17">
        <f>0.05*D19</f>
        <v>197100</v>
      </c>
      <c r="E27" s="17">
        <f t="shared" ref="E27:H27" si="4">0.05*E19</f>
        <v>261354.6</v>
      </c>
      <c r="F27" s="17">
        <f t="shared" si="4"/>
        <v>287087.97600000002</v>
      </c>
      <c r="G27" s="17">
        <f t="shared" si="4"/>
        <v>376495.37424000003</v>
      </c>
      <c r="H27" s="17">
        <f t="shared" si="4"/>
        <v>405360.01959840005</v>
      </c>
    </row>
    <row r="28" spans="2:8" x14ac:dyDescent="0.3">
      <c r="B28" s="19" t="s">
        <v>21</v>
      </c>
      <c r="C28" t="s">
        <v>22</v>
      </c>
      <c r="D28" s="17">
        <f>0.02*D19</f>
        <v>78840</v>
      </c>
      <c r="E28" s="17">
        <f t="shared" ref="E28:H28" si="5">0.02*E19</f>
        <v>104541.84</v>
      </c>
      <c r="F28" s="17">
        <f t="shared" si="5"/>
        <v>114835.19040000001</v>
      </c>
      <c r="G28" s="17">
        <f t="shared" si="5"/>
        <v>150598.14969600001</v>
      </c>
      <c r="H28" s="17">
        <f t="shared" si="5"/>
        <v>162144.00783936001</v>
      </c>
    </row>
    <row r="29" spans="2:8" x14ac:dyDescent="0.3">
      <c r="B29" s="19"/>
      <c r="D29" s="20"/>
      <c r="E29" s="20"/>
      <c r="F29" s="20"/>
      <c r="G29" s="20"/>
      <c r="H29" s="20"/>
    </row>
    <row r="30" spans="2:8" x14ac:dyDescent="0.3">
      <c r="B30" s="19"/>
      <c r="D30" s="20"/>
      <c r="E30" s="20"/>
      <c r="F30" s="20"/>
      <c r="G30" s="20"/>
      <c r="H30" s="20"/>
    </row>
    <row r="31" spans="2:8" x14ac:dyDescent="0.3">
      <c r="B31" s="19"/>
      <c r="D31" s="20"/>
      <c r="E31" s="20"/>
      <c r="F31" s="20"/>
      <c r="G31" s="20"/>
      <c r="H31" s="20"/>
    </row>
    <row r="32" spans="2:8" x14ac:dyDescent="0.3">
      <c r="B32" s="21" t="s">
        <v>23</v>
      </c>
      <c r="D32" s="20"/>
      <c r="E32" s="20"/>
      <c r="F32" s="20"/>
      <c r="G32" s="20"/>
      <c r="H32" s="20"/>
    </row>
    <row r="33" spans="2:8" x14ac:dyDescent="0.3">
      <c r="B33" s="19" t="s">
        <v>23</v>
      </c>
      <c r="C33" s="20">
        <v>1500000</v>
      </c>
      <c r="D33" t="s">
        <v>24</v>
      </c>
    </row>
    <row r="34" spans="2:8" x14ac:dyDescent="0.3">
      <c r="B34" s="19" t="s">
        <v>25</v>
      </c>
      <c r="C34" t="s">
        <v>26</v>
      </c>
      <c r="D34" s="17">
        <f>0.05*$C$33</f>
        <v>75000</v>
      </c>
      <c r="E34" s="17">
        <f t="shared" ref="E34:H34" si="6">0.05*$C$33</f>
        <v>75000</v>
      </c>
      <c r="F34" s="17">
        <f t="shared" si="6"/>
        <v>75000</v>
      </c>
      <c r="G34" s="17">
        <f t="shared" si="6"/>
        <v>75000</v>
      </c>
      <c r="H34" s="17">
        <f t="shared" si="6"/>
        <v>75000</v>
      </c>
    </row>
    <row r="38" spans="2:8" x14ac:dyDescent="0.3">
      <c r="B38" s="8" t="s">
        <v>27</v>
      </c>
      <c r="C38" s="9">
        <v>0.3</v>
      </c>
    </row>
    <row r="42" spans="2:8" s="23" customFormat="1" ht="18" x14ac:dyDescent="0.35">
      <c r="B42" s="22" t="s">
        <v>28</v>
      </c>
    </row>
    <row r="43" spans="2:8" x14ac:dyDescent="0.3">
      <c r="D43" s="36"/>
    </row>
    <row r="44" spans="2:8" x14ac:dyDescent="0.3">
      <c r="D44" s="24"/>
      <c r="E44" s="24"/>
      <c r="F44" s="24"/>
      <c r="G44" s="24"/>
      <c r="H44" s="24"/>
    </row>
    <row r="45" spans="2:8" s="27" customFormat="1" ht="23.4" customHeight="1" x14ac:dyDescent="0.3">
      <c r="B45" s="25" t="s">
        <v>29</v>
      </c>
      <c r="C45" s="26"/>
      <c r="D45" s="25">
        <v>1</v>
      </c>
      <c r="E45" s="25">
        <v>2</v>
      </c>
      <c r="F45" s="25">
        <v>3</v>
      </c>
      <c r="G45" s="25">
        <v>4</v>
      </c>
      <c r="H45" s="25">
        <v>5</v>
      </c>
    </row>
    <row r="46" spans="2:8" x14ac:dyDescent="0.3">
      <c r="C46" t="s">
        <v>30</v>
      </c>
      <c r="D46" s="17">
        <f>D19</f>
        <v>3942000</v>
      </c>
      <c r="E46" s="17">
        <f>E19</f>
        <v>5227092</v>
      </c>
      <c r="F46" s="17">
        <f>F19</f>
        <v>5741759.5200000005</v>
      </c>
      <c r="G46" s="17">
        <f>G19</f>
        <v>7529907.4848000007</v>
      </c>
      <c r="H46" s="17">
        <f>H19</f>
        <v>8107200.3919680007</v>
      </c>
    </row>
    <row r="47" spans="2:8" x14ac:dyDescent="0.3">
      <c r="C47" t="s">
        <v>31</v>
      </c>
      <c r="D47" s="17">
        <f>D23*$E$21*14</f>
        <v>105000</v>
      </c>
      <c r="E47" s="17">
        <f>E23*$E$21*14</f>
        <v>106050</v>
      </c>
      <c r="F47" s="17">
        <f>F23*$E$21*14</f>
        <v>107110.5</v>
      </c>
      <c r="G47" s="17">
        <f>G23*$E$21*14</f>
        <v>108181.605</v>
      </c>
      <c r="H47" s="17">
        <f>H23*$E$21*14</f>
        <v>109263.42105</v>
      </c>
    </row>
    <row r="48" spans="2:8" x14ac:dyDescent="0.3">
      <c r="C48" t="s">
        <v>32</v>
      </c>
      <c r="D48" s="17">
        <f t="shared" ref="D48:H50" si="7">D26</f>
        <v>591300</v>
      </c>
      <c r="E48" s="17">
        <f t="shared" si="7"/>
        <v>784063.79999999993</v>
      </c>
      <c r="F48" s="17">
        <f t="shared" si="7"/>
        <v>861263.92800000007</v>
      </c>
      <c r="G48" s="17">
        <f t="shared" si="7"/>
        <v>1129486.1227200001</v>
      </c>
      <c r="H48" s="17">
        <f t="shared" si="7"/>
        <v>1216080.0587952</v>
      </c>
    </row>
    <row r="49" spans="2:10" x14ac:dyDescent="0.3">
      <c r="C49" t="s">
        <v>33</v>
      </c>
      <c r="D49" s="17">
        <f t="shared" si="7"/>
        <v>197100</v>
      </c>
      <c r="E49" s="17">
        <f t="shared" si="7"/>
        <v>261354.6</v>
      </c>
      <c r="F49" s="17">
        <f t="shared" si="7"/>
        <v>287087.97600000002</v>
      </c>
      <c r="G49" s="17">
        <f t="shared" si="7"/>
        <v>376495.37424000003</v>
      </c>
      <c r="H49" s="17">
        <f t="shared" si="7"/>
        <v>405360.01959840005</v>
      </c>
    </row>
    <row r="50" spans="2:10" x14ac:dyDescent="0.3">
      <c r="C50" t="s">
        <v>34</v>
      </c>
      <c r="D50" s="17">
        <f t="shared" si="7"/>
        <v>78840</v>
      </c>
      <c r="E50" s="17">
        <f t="shared" si="7"/>
        <v>104541.84</v>
      </c>
      <c r="F50" s="17">
        <f t="shared" si="7"/>
        <v>114835.19040000001</v>
      </c>
      <c r="G50" s="17">
        <f t="shared" si="7"/>
        <v>150598.14969600001</v>
      </c>
      <c r="H50" s="17">
        <f t="shared" si="7"/>
        <v>162144.00783936001</v>
      </c>
    </row>
    <row r="51" spans="2:10" x14ac:dyDescent="0.3">
      <c r="C51" t="s">
        <v>35</v>
      </c>
      <c r="D51" s="17">
        <f>D34</f>
        <v>75000</v>
      </c>
      <c r="E51" s="17">
        <f>E34</f>
        <v>75000</v>
      </c>
      <c r="F51" s="17">
        <f>F34</f>
        <v>75000</v>
      </c>
      <c r="G51" s="17">
        <f>G34</f>
        <v>75000</v>
      </c>
      <c r="H51" s="17">
        <f>H34</f>
        <v>75000</v>
      </c>
    </row>
    <row r="52" spans="2:10" x14ac:dyDescent="0.3">
      <c r="C52" s="8" t="s">
        <v>36</v>
      </c>
      <c r="D52" s="28">
        <f>D46-D47-D48-D49-D50-D51</f>
        <v>2894760</v>
      </c>
      <c r="E52" s="28">
        <f t="shared" ref="E52:H52" si="8">E46-E47-E48-E49-E50-E51</f>
        <v>3896081.7600000002</v>
      </c>
      <c r="F52" s="28">
        <f t="shared" si="8"/>
        <v>4296461.9256000007</v>
      </c>
      <c r="G52" s="28">
        <f t="shared" si="8"/>
        <v>5690146.2331440002</v>
      </c>
      <c r="H52" s="28">
        <f t="shared" si="8"/>
        <v>6139352.8846850405</v>
      </c>
      <c r="I52" s="29" t="s">
        <v>37</v>
      </c>
    </row>
    <row r="53" spans="2:10" x14ac:dyDescent="0.3">
      <c r="C53" t="s">
        <v>38</v>
      </c>
      <c r="D53" s="17">
        <f>$C$38*D52</f>
        <v>868428</v>
      </c>
      <c r="E53" s="17">
        <f>$C$38*E52</f>
        <v>1168824.5279999999</v>
      </c>
      <c r="F53" s="17">
        <f>$C$38*F52</f>
        <v>1288938.5776800001</v>
      </c>
      <c r="G53" s="17">
        <f>$C$38*G52</f>
        <v>1707043.8699431999</v>
      </c>
      <c r="H53" s="17">
        <f>$C$38*H52</f>
        <v>1841805.865405512</v>
      </c>
    </row>
    <row r="54" spans="2:10" x14ac:dyDescent="0.3">
      <c r="C54" s="8" t="s">
        <v>39</v>
      </c>
      <c r="D54" s="28">
        <f>D52-D53</f>
        <v>2026332</v>
      </c>
      <c r="E54" s="28">
        <f t="shared" ref="E54:H54" si="9">E52-E53</f>
        <v>2727257.2320000003</v>
      </c>
      <c r="F54" s="28">
        <f t="shared" si="9"/>
        <v>3007523.3479200006</v>
      </c>
      <c r="G54" s="28">
        <f t="shared" si="9"/>
        <v>3983102.3632008005</v>
      </c>
      <c r="H54" s="28">
        <f t="shared" si="9"/>
        <v>4297547.0192795284</v>
      </c>
      <c r="I54" s="29" t="s">
        <v>40</v>
      </c>
    </row>
    <row r="56" spans="2:10" ht="15.6" x14ac:dyDescent="0.3">
      <c r="B56" s="25" t="s">
        <v>41</v>
      </c>
      <c r="C56" s="26"/>
      <c r="D56" s="25">
        <v>0</v>
      </c>
      <c r="E56" s="25">
        <v>1</v>
      </c>
      <c r="F56" s="25">
        <v>2</v>
      </c>
      <c r="G56" s="25">
        <v>3</v>
      </c>
      <c r="H56" s="25">
        <v>4</v>
      </c>
      <c r="I56" s="25">
        <v>5</v>
      </c>
    </row>
    <row r="57" spans="2:10" x14ac:dyDescent="0.3">
      <c r="C57" t="s">
        <v>42</v>
      </c>
      <c r="D57" s="20"/>
      <c r="E57" s="20">
        <f>D54</f>
        <v>2026332</v>
      </c>
      <c r="F57" s="20">
        <f t="shared" ref="F57:I57" si="10">E54</f>
        <v>2727257.2320000003</v>
      </c>
      <c r="G57" s="20">
        <f t="shared" si="10"/>
        <v>3007523.3479200006</v>
      </c>
      <c r="H57" s="20">
        <f t="shared" si="10"/>
        <v>3983102.3632008005</v>
      </c>
      <c r="I57" s="20">
        <f t="shared" si="10"/>
        <v>4297547.0192795284</v>
      </c>
    </row>
    <row r="58" spans="2:10" x14ac:dyDescent="0.3">
      <c r="C58" t="s">
        <v>35</v>
      </c>
      <c r="D58" s="20"/>
      <c r="E58" s="20">
        <f>D51</f>
        <v>75000</v>
      </c>
      <c r="F58" s="20">
        <f>E51</f>
        <v>75000</v>
      </c>
      <c r="G58" s="20">
        <f>F51</f>
        <v>75000</v>
      </c>
      <c r="H58" s="20">
        <f>G51</f>
        <v>75000</v>
      </c>
      <c r="I58" s="20">
        <f>H51</f>
        <v>75000</v>
      </c>
    </row>
    <row r="59" spans="2:10" x14ac:dyDescent="0.3">
      <c r="C59" t="s">
        <v>43</v>
      </c>
      <c r="D59" s="28"/>
      <c r="E59" s="28">
        <f>E57+E58</f>
        <v>2101332</v>
      </c>
      <c r="F59" s="28">
        <f t="shared" ref="F59:I59" si="11">F57+F58</f>
        <v>2802257.2320000003</v>
      </c>
      <c r="G59" s="28">
        <f t="shared" si="11"/>
        <v>3082523.3479200006</v>
      </c>
      <c r="H59" s="28">
        <f t="shared" si="11"/>
        <v>4058102.3632008005</v>
      </c>
      <c r="I59" s="28">
        <f t="shared" si="11"/>
        <v>4372547.0192795284</v>
      </c>
      <c r="J59" s="29" t="s">
        <v>44</v>
      </c>
    </row>
    <row r="60" spans="2:10" x14ac:dyDescent="0.3">
      <c r="C60" t="s">
        <v>45</v>
      </c>
      <c r="D60" s="20">
        <f>C33</f>
        <v>1500000</v>
      </c>
      <c r="E60" s="20"/>
      <c r="F60" s="20"/>
      <c r="G60" s="20"/>
      <c r="H60" s="20"/>
      <c r="I60" s="20"/>
    </row>
    <row r="61" spans="2:10" x14ac:dyDescent="0.3">
      <c r="C61" t="s">
        <v>46</v>
      </c>
      <c r="D61" s="20"/>
      <c r="E61" s="20"/>
      <c r="F61" s="20"/>
      <c r="G61" s="20"/>
      <c r="H61" s="20"/>
      <c r="I61" s="46">
        <f>F68</f>
        <v>1000000</v>
      </c>
    </row>
    <row r="62" spans="2:10" x14ac:dyDescent="0.3">
      <c r="C62" t="s">
        <v>47</v>
      </c>
      <c r="D62" s="28">
        <f>D59-D60+D61</f>
        <v>-1500000</v>
      </c>
      <c r="E62" s="28">
        <f t="shared" ref="E62:I62" si="12">E59-E60+E61</f>
        <v>2101332</v>
      </c>
      <c r="F62" s="28">
        <f t="shared" si="12"/>
        <v>2802257.2320000003</v>
      </c>
      <c r="G62" s="28">
        <f t="shared" si="12"/>
        <v>3082523.3479200006</v>
      </c>
      <c r="H62" s="28">
        <f t="shared" si="12"/>
        <v>4058102.3632008005</v>
      </c>
      <c r="I62" s="28">
        <f t="shared" si="12"/>
        <v>5372547.0192795284</v>
      </c>
      <c r="J62" s="29" t="s">
        <v>48</v>
      </c>
    </row>
    <row r="66" spans="2:8" x14ac:dyDescent="0.3">
      <c r="C66" t="s">
        <v>49</v>
      </c>
      <c r="F66" s="20">
        <f>+D60-SUM(E58:I58)</f>
        <v>1125000</v>
      </c>
      <c r="G66" s="29" t="s">
        <v>50</v>
      </c>
      <c r="H66" s="30"/>
    </row>
    <row r="67" spans="2:8" x14ac:dyDescent="0.3">
      <c r="F67" s="20"/>
    </row>
    <row r="68" spans="2:8" x14ac:dyDescent="0.3">
      <c r="C68" t="s">
        <v>51</v>
      </c>
      <c r="F68" s="20">
        <v>1000000</v>
      </c>
    </row>
    <row r="69" spans="2:8" x14ac:dyDescent="0.3">
      <c r="F69" s="20"/>
    </row>
    <row r="70" spans="2:8" x14ac:dyDescent="0.3">
      <c r="C70" t="s">
        <v>52</v>
      </c>
      <c r="F70" s="20">
        <f>F68-F66</f>
        <v>-125000</v>
      </c>
      <c r="G70" s="29" t="s">
        <v>53</v>
      </c>
      <c r="H70" s="30"/>
    </row>
    <row r="73" spans="2:8" s="23" customFormat="1" ht="18" x14ac:dyDescent="0.35">
      <c r="B73" s="22" t="s">
        <v>54</v>
      </c>
    </row>
    <row r="76" spans="2:8" x14ac:dyDescent="0.3">
      <c r="B76" s="31"/>
      <c r="C76" t="s">
        <v>55</v>
      </c>
    </row>
    <row r="77" spans="2:8" x14ac:dyDescent="0.3">
      <c r="C77" t="s">
        <v>56</v>
      </c>
      <c r="D77" s="32">
        <f>D78+D79</f>
        <v>0.1</v>
      </c>
    </row>
    <row r="78" spans="2:8" x14ac:dyDescent="0.3">
      <c r="C78" s="33" t="s">
        <v>57</v>
      </c>
      <c r="D78" s="9">
        <v>0.02</v>
      </c>
    </row>
    <row r="79" spans="2:8" x14ac:dyDescent="0.3">
      <c r="C79" s="33" t="s">
        <v>58</v>
      </c>
      <c r="D79" s="9">
        <v>0.08</v>
      </c>
      <c r="E79" t="s">
        <v>59</v>
      </c>
    </row>
    <row r="80" spans="2:8" x14ac:dyDescent="0.3">
      <c r="C80" t="s">
        <v>60</v>
      </c>
      <c r="D80">
        <v>1.6</v>
      </c>
      <c r="E80" s="34" t="s">
        <v>61</v>
      </c>
    </row>
    <row r="82" spans="2:10" x14ac:dyDescent="0.3">
      <c r="C82" t="s">
        <v>62</v>
      </c>
    </row>
    <row r="83" spans="2:10" x14ac:dyDescent="0.3">
      <c r="C83" t="s">
        <v>63</v>
      </c>
      <c r="D83" s="35">
        <f>D77</f>
        <v>0.1</v>
      </c>
    </row>
    <row r="84" spans="2:10" x14ac:dyDescent="0.3">
      <c r="D84" s="9"/>
    </row>
    <row r="86" spans="2:10" s="23" customFormat="1" ht="18" x14ac:dyDescent="0.35">
      <c r="B86" s="22" t="s">
        <v>64</v>
      </c>
    </row>
    <row r="88" spans="2:10" x14ac:dyDescent="0.3">
      <c r="B88" s="31"/>
    </row>
    <row r="89" spans="2:10" x14ac:dyDescent="0.3">
      <c r="C89" s="8" t="s">
        <v>65</v>
      </c>
    </row>
    <row r="90" spans="2:10" x14ac:dyDescent="0.3">
      <c r="C90" s="8"/>
    </row>
    <row r="91" spans="2:10" ht="15.6" x14ac:dyDescent="0.3">
      <c r="C91" s="26"/>
      <c r="D91" s="25">
        <v>0</v>
      </c>
      <c r="E91" s="25">
        <v>1</v>
      </c>
      <c r="F91" s="25">
        <v>2</v>
      </c>
      <c r="G91" s="25">
        <v>3</v>
      </c>
      <c r="H91" s="25">
        <v>4</v>
      </c>
      <c r="I91" s="25">
        <v>5</v>
      </c>
    </row>
    <row r="92" spans="2:10" x14ac:dyDescent="0.3">
      <c r="C92" t="s">
        <v>66</v>
      </c>
      <c r="D92" s="20">
        <f>D62</f>
        <v>-1500000</v>
      </c>
      <c r="E92" s="20">
        <f>E62</f>
        <v>2101332</v>
      </c>
      <c r="F92" s="20">
        <f>F62</f>
        <v>2802257.2320000003</v>
      </c>
      <c r="G92" s="20">
        <f>G62</f>
        <v>3082523.3479200006</v>
      </c>
      <c r="H92" s="20">
        <f>H62</f>
        <v>4058102.3632008005</v>
      </c>
      <c r="I92" s="20">
        <f>I62</f>
        <v>5372547.0192795284</v>
      </c>
      <c r="J92" s="29" t="s">
        <v>67</v>
      </c>
    </row>
    <row r="93" spans="2:10" x14ac:dyDescent="0.3">
      <c r="C93" t="s">
        <v>68</v>
      </c>
      <c r="D93" s="36">
        <f t="shared" ref="D93:I93" si="13">1/(1+$D$77)^D91</f>
        <v>1</v>
      </c>
      <c r="E93" s="36">
        <f t="shared" si="13"/>
        <v>0.90909090909090906</v>
      </c>
      <c r="F93" s="36">
        <f t="shared" si="13"/>
        <v>0.82644628099173545</v>
      </c>
      <c r="G93" s="36">
        <f t="shared" si="13"/>
        <v>0.75131480090157754</v>
      </c>
      <c r="H93" s="36">
        <f t="shared" si="13"/>
        <v>0.68301345536507052</v>
      </c>
      <c r="I93" s="36">
        <f t="shared" si="13"/>
        <v>0.62092132305915493</v>
      </c>
      <c r="J93" s="29" t="s">
        <v>69</v>
      </c>
    </row>
    <row r="94" spans="2:10" x14ac:dyDescent="0.3">
      <c r="C94" t="s">
        <v>70</v>
      </c>
      <c r="D94" s="17">
        <f>D92*D93</f>
        <v>-1500000</v>
      </c>
      <c r="E94" s="17">
        <f t="shared" ref="E94:I94" si="14">E92*E93</f>
        <v>1910301.8181818181</v>
      </c>
      <c r="F94" s="17">
        <f t="shared" si="14"/>
        <v>2315915.0677685952</v>
      </c>
      <c r="G94" s="17">
        <f t="shared" si="14"/>
        <v>2315945.4154169792</v>
      </c>
      <c r="H94" s="17">
        <f t="shared" si="14"/>
        <v>2771738.517314937</v>
      </c>
      <c r="I94" s="17">
        <f t="shared" si="14"/>
        <v>3335929.0034085638</v>
      </c>
      <c r="J94" s="29" t="s">
        <v>71</v>
      </c>
    </row>
    <row r="95" spans="2:10" x14ac:dyDescent="0.3">
      <c r="C95" s="8" t="s">
        <v>72</v>
      </c>
      <c r="D95" s="28">
        <f>SUM(D94:I94)</f>
        <v>11149829.822090894</v>
      </c>
      <c r="E95" s="20"/>
      <c r="F95" s="20"/>
      <c r="G95" s="20"/>
      <c r="H95" s="20"/>
      <c r="I95" s="20"/>
      <c r="J95" s="29" t="s">
        <v>73</v>
      </c>
    </row>
    <row r="96" spans="2:10" x14ac:dyDescent="0.3">
      <c r="D96" s="20"/>
      <c r="E96" s="20"/>
      <c r="F96" s="20"/>
      <c r="G96" s="20"/>
      <c r="H96" s="20"/>
      <c r="I96" s="20"/>
    </row>
    <row r="97" spans="1:10" x14ac:dyDescent="0.3">
      <c r="C97" s="8" t="s">
        <v>74</v>
      </c>
      <c r="D97" s="20"/>
      <c r="E97" s="20"/>
      <c r="F97" s="20"/>
      <c r="G97" s="20"/>
      <c r="H97" s="20"/>
      <c r="I97" s="20"/>
    </row>
    <row r="98" spans="1:10" x14ac:dyDescent="0.3">
      <c r="D98" s="20"/>
      <c r="E98" s="20"/>
      <c r="F98" s="20"/>
      <c r="G98" s="20"/>
      <c r="H98" s="20"/>
      <c r="I98" s="20"/>
    </row>
    <row r="99" spans="1:10" ht="13.2" customHeight="1" x14ac:dyDescent="0.3">
      <c r="C99" t="s">
        <v>77</v>
      </c>
      <c r="D99" s="20">
        <f>D94+NPV(D77,E92:I92)</f>
        <v>11149829.822090894</v>
      </c>
      <c r="E99" s="39" t="str">
        <f ca="1">_xlfn.FORMULATEXT(D99)</f>
        <v>=D94+VAL(D77;E92:I92)</v>
      </c>
      <c r="F99" s="20"/>
      <c r="G99" s="20"/>
      <c r="H99" s="20"/>
      <c r="I99" s="20"/>
    </row>
    <row r="100" spans="1:10" x14ac:dyDescent="0.3">
      <c r="D100" s="20"/>
      <c r="E100" s="20"/>
      <c r="F100" s="20"/>
      <c r="G100" s="20"/>
      <c r="H100" s="20"/>
      <c r="I100" s="20"/>
    </row>
    <row r="101" spans="1:10" x14ac:dyDescent="0.3">
      <c r="C101" s="37" t="s">
        <v>75</v>
      </c>
    </row>
    <row r="102" spans="1:10" x14ac:dyDescent="0.3">
      <c r="C102" s="37" t="s">
        <v>76</v>
      </c>
    </row>
    <row r="106" spans="1:10" s="43" customFormat="1" ht="41.4" customHeight="1" x14ac:dyDescent="0.3">
      <c r="A106" s="42"/>
      <c r="B106" s="45" t="s">
        <v>83</v>
      </c>
      <c r="C106" s="45"/>
      <c r="D106" s="45"/>
      <c r="E106" s="45"/>
      <c r="F106" s="45"/>
      <c r="G106" s="45"/>
      <c r="H106" s="45"/>
      <c r="I106" s="45"/>
      <c r="J106" s="45"/>
    </row>
    <row r="107" spans="1:10" x14ac:dyDescent="0.3">
      <c r="B107" s="44" t="s">
        <v>84</v>
      </c>
    </row>
    <row r="108" spans="1:10" x14ac:dyDescent="0.3">
      <c r="B108" s="44"/>
    </row>
    <row r="109" spans="1:10" x14ac:dyDescent="0.3">
      <c r="C109" t="s">
        <v>81</v>
      </c>
      <c r="D109" s="9">
        <v>0.05</v>
      </c>
    </row>
    <row r="111" spans="1:10" x14ac:dyDescent="0.3">
      <c r="C111" t="s">
        <v>78</v>
      </c>
      <c r="D111" s="40">
        <f>I94*(1+D109)/(D83-D109)</f>
        <v>70054509.071579844</v>
      </c>
      <c r="E111" s="39" t="str">
        <f ca="1">_xlfn.FORMULATEXT(D111)</f>
        <v>=I94*(1+D109)/(D83-D109)</v>
      </c>
    </row>
    <row r="113" spans="1:10" ht="18" x14ac:dyDescent="0.3">
      <c r="C113" s="38" t="s">
        <v>79</v>
      </c>
      <c r="D113" s="38">
        <f>+D111+D99</f>
        <v>81204338.893670738</v>
      </c>
      <c r="E113" s="39" t="str">
        <f ca="1">_xlfn.FORMULATEXT(D113)</f>
        <v>=+D111+D99</v>
      </c>
    </row>
    <row r="114" spans="1:10" x14ac:dyDescent="0.3">
      <c r="C114" s="41" t="s">
        <v>80</v>
      </c>
    </row>
    <row r="122" spans="1:10" s="43" customFormat="1" ht="15.6" customHeight="1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</row>
  </sheetData>
  <mergeCells count="1">
    <mergeCell ref="B106:J10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Caso prático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Bastiao</dc:creator>
  <cp:lastModifiedBy>Rita Bastiao</cp:lastModifiedBy>
  <dcterms:created xsi:type="dcterms:W3CDTF">2021-11-07T18:50:26Z</dcterms:created>
  <dcterms:modified xsi:type="dcterms:W3CDTF">2023-10-07T14:49:11Z</dcterms:modified>
</cp:coreProperties>
</file>