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  <sheet name="Next" sheetId="3" r:id="rId3"/>
  </sheets>
  <calcPr calcId="152511"/>
</workbook>
</file>

<file path=xl/calcChain.xml><?xml version="1.0" encoding="utf-8"?>
<calcChain xmlns="http://schemas.openxmlformats.org/spreadsheetml/2006/main">
  <c r="G33" i="1" l="1"/>
  <c r="A9" i="1"/>
  <c r="H21" i="1" l="1"/>
  <c r="H20" i="1"/>
  <c r="H9" i="1"/>
  <c r="E9" i="1"/>
  <c r="E8" i="1"/>
  <c r="E7" i="1"/>
  <c r="E6" i="1"/>
  <c r="E5" i="1"/>
  <c r="H4" i="1"/>
  <c r="H3" i="1"/>
  <c r="H2" i="1"/>
  <c r="H17" i="1" l="1"/>
  <c r="I19" i="1" l="1"/>
  <c r="J19" i="1" s="1"/>
  <c r="K19" i="1" s="1"/>
  <c r="A19" i="1"/>
  <c r="V19" i="1"/>
  <c r="Q19" i="1"/>
  <c r="O19" i="1"/>
  <c r="N19" i="1"/>
  <c r="M19" i="1"/>
  <c r="F19" i="1"/>
  <c r="D19" i="1"/>
  <c r="X19" i="1" l="1"/>
  <c r="H19" i="1"/>
  <c r="T19" i="1"/>
  <c r="U19" i="1"/>
  <c r="S19" i="1"/>
  <c r="V24" i="1"/>
  <c r="U24" i="1"/>
  <c r="T24" i="1"/>
  <c r="O24" i="1"/>
  <c r="N24" i="1"/>
  <c r="M24" i="1"/>
  <c r="J24" i="1" l="1"/>
  <c r="K24" i="1" s="1"/>
  <c r="X24" i="1"/>
  <c r="X27" i="1" l="1"/>
  <c r="X26" i="1"/>
  <c r="X25" i="1"/>
  <c r="X17" i="1"/>
  <c r="X10" i="1"/>
  <c r="X9" i="1"/>
  <c r="X8" i="1"/>
  <c r="X7" i="1"/>
  <c r="X6" i="1"/>
  <c r="X5" i="1"/>
  <c r="X4" i="1"/>
  <c r="X3" i="1"/>
  <c r="X2" i="1"/>
  <c r="S18" i="1" l="1"/>
  <c r="T18" i="1"/>
  <c r="H18" i="1"/>
  <c r="Q18" i="1" l="1"/>
  <c r="V18" i="1"/>
  <c r="O18" i="1"/>
  <c r="N18" i="1"/>
  <c r="M18" i="1"/>
  <c r="I18" i="1"/>
  <c r="J18" i="1" s="1"/>
  <c r="K18" i="1" s="1"/>
  <c r="G39" i="1" l="1"/>
  <c r="T39" i="1" l="1"/>
  <c r="Q39" i="1"/>
  <c r="P39" i="1"/>
  <c r="O39" i="1"/>
  <c r="N39" i="1"/>
  <c r="M39" i="1"/>
  <c r="J39" i="1"/>
  <c r="K39" i="1" s="1"/>
  <c r="H39" i="1"/>
  <c r="U39" i="1" s="1"/>
  <c r="F39" i="1"/>
  <c r="E39" i="1"/>
  <c r="D39" i="1"/>
  <c r="A39" i="1"/>
  <c r="X39" i="1" s="1"/>
  <c r="E29" i="1" l="1"/>
  <c r="D29" i="1"/>
  <c r="E28" i="1"/>
  <c r="D28" i="1"/>
  <c r="E38" i="1"/>
  <c r="D38" i="1"/>
  <c r="E37" i="1"/>
  <c r="D37" i="1"/>
  <c r="E34" i="1"/>
  <c r="D34" i="1"/>
  <c r="E32" i="1"/>
  <c r="D32" i="1"/>
  <c r="E31" i="1"/>
  <c r="D31" i="1"/>
  <c r="T29" i="1" l="1"/>
  <c r="T30" i="1"/>
  <c r="T31" i="1"/>
  <c r="T32" i="1"/>
  <c r="T33" i="1"/>
  <c r="T34" i="1"/>
  <c r="T35" i="1"/>
  <c r="T36" i="1"/>
  <c r="T37" i="1"/>
  <c r="T38" i="1"/>
  <c r="T28" i="1"/>
  <c r="T21" i="1"/>
  <c r="T20" i="1"/>
  <c r="T4" i="1"/>
  <c r="T3" i="1"/>
  <c r="T2" i="1"/>
  <c r="T12" i="1"/>
  <c r="T11" i="1"/>
  <c r="D36" i="1" l="1"/>
  <c r="D35" i="1"/>
  <c r="E35" i="1"/>
  <c r="E36" i="1" l="1"/>
  <c r="J12" i="1" l="1"/>
  <c r="O12" i="1"/>
  <c r="N12" i="1"/>
  <c r="M12" i="1"/>
  <c r="V11" i="1"/>
  <c r="Q11" i="1"/>
  <c r="J11" i="1"/>
  <c r="K11" i="1" s="1"/>
  <c r="A11" i="1"/>
  <c r="X11" i="1" s="1"/>
  <c r="Q12" i="1" l="1"/>
  <c r="V12" i="1"/>
  <c r="K12" i="1"/>
  <c r="A12" i="1"/>
  <c r="X12" i="1" s="1"/>
  <c r="Q21" i="1" l="1"/>
  <c r="Q20" i="1"/>
  <c r="Q9" i="1"/>
  <c r="Q29" i="1" l="1"/>
  <c r="Q30" i="1"/>
  <c r="Q31" i="1"/>
  <c r="Q32" i="1"/>
  <c r="Q33" i="1"/>
  <c r="Q34" i="1"/>
  <c r="Q35" i="1"/>
  <c r="Q36" i="1"/>
  <c r="Q37" i="1"/>
  <c r="Q38" i="1"/>
  <c r="Q28" i="1"/>
  <c r="O38" i="1" l="1"/>
  <c r="M37" i="1"/>
  <c r="O36" i="1"/>
  <c r="M35" i="1"/>
  <c r="O34" i="1"/>
  <c r="O32" i="1"/>
  <c r="M31" i="1"/>
  <c r="N30" i="1"/>
  <c r="N37" i="1"/>
  <c r="M36" i="1"/>
  <c r="N35" i="1"/>
  <c r="M34" i="1"/>
  <c r="O33" i="1"/>
  <c r="N33" i="1"/>
  <c r="M33" i="1"/>
  <c r="M32" i="1"/>
  <c r="N31" i="1"/>
  <c r="O30" i="1"/>
  <c r="O29" i="1"/>
  <c r="N29" i="1"/>
  <c r="M29" i="1"/>
  <c r="O28" i="1"/>
  <c r="N28" i="1"/>
  <c r="M28" i="1"/>
  <c r="G31" i="1"/>
  <c r="G37" i="1"/>
  <c r="G34" i="1"/>
  <c r="G32" i="1"/>
  <c r="O1" i="3"/>
  <c r="P1" i="3"/>
  <c r="Z1" i="3"/>
  <c r="Y1" i="3"/>
  <c r="X1" i="3"/>
  <c r="W1" i="3"/>
  <c r="V1" i="3"/>
  <c r="U1" i="3"/>
  <c r="T1" i="3"/>
  <c r="S1" i="3"/>
  <c r="R1" i="3"/>
  <c r="Q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O10" i="1"/>
  <c r="N10" i="1"/>
  <c r="M10" i="1"/>
  <c r="M38" i="1" l="1"/>
  <c r="N38" i="1"/>
  <c r="O37" i="1"/>
  <c r="N36" i="1"/>
  <c r="O35" i="1"/>
  <c r="N34" i="1"/>
  <c r="N32" i="1"/>
  <c r="O31" i="1"/>
  <c r="M30" i="1"/>
  <c r="F30" i="1"/>
  <c r="F31" i="1"/>
  <c r="F32" i="1"/>
  <c r="F33" i="1"/>
  <c r="F34" i="1"/>
  <c r="F35" i="1"/>
  <c r="F36" i="1"/>
  <c r="F37" i="1"/>
  <c r="F38" i="1"/>
  <c r="F29" i="1"/>
  <c r="H28" i="1" l="1"/>
  <c r="H29" i="1"/>
  <c r="H30" i="1"/>
  <c r="H31" i="1"/>
  <c r="U31" i="1" s="1"/>
  <c r="H32" i="1"/>
  <c r="U32" i="1" s="1"/>
  <c r="H33" i="1"/>
  <c r="H34" i="1"/>
  <c r="U34" i="1" s="1"/>
  <c r="H35" i="1"/>
  <c r="H36" i="1"/>
  <c r="H37" i="1"/>
  <c r="U37" i="1" s="1"/>
  <c r="H38" i="1"/>
  <c r="G35" i="1" l="1"/>
  <c r="U35" i="1"/>
  <c r="G30" i="1"/>
  <c r="U30" i="1"/>
  <c r="G38" i="1"/>
  <c r="U38" i="1"/>
  <c r="U33" i="1"/>
  <c r="G29" i="1"/>
  <c r="U29" i="1"/>
  <c r="G36" i="1"/>
  <c r="U36" i="1"/>
  <c r="G28" i="1"/>
  <c r="U28" i="1"/>
  <c r="Q6" i="1"/>
  <c r="Q8" i="1"/>
  <c r="Q7" i="1"/>
  <c r="Q3" i="1"/>
  <c r="Q2" i="1"/>
  <c r="Q4" i="1"/>
  <c r="Q5" i="1"/>
  <c r="P38" i="1"/>
  <c r="J38" i="1"/>
  <c r="K38" i="1" s="1"/>
  <c r="A38" i="1"/>
  <c r="X38" i="1" s="1"/>
  <c r="A29" i="1"/>
  <c r="X29" i="1" s="1"/>
  <c r="A30" i="1"/>
  <c r="X30" i="1" s="1"/>
  <c r="A31" i="1"/>
  <c r="X31" i="1" s="1"/>
  <c r="A32" i="1"/>
  <c r="X32" i="1" s="1"/>
  <c r="A33" i="1"/>
  <c r="X33" i="1" s="1"/>
  <c r="A34" i="1"/>
  <c r="X34" i="1" s="1"/>
  <c r="A35" i="1"/>
  <c r="X35" i="1" s="1"/>
  <c r="A36" i="1"/>
  <c r="X36" i="1" s="1"/>
  <c r="A37" i="1"/>
  <c r="X37" i="1" s="1"/>
  <c r="A28" i="1"/>
  <c r="X28" i="1" s="1"/>
  <c r="D9" i="1"/>
  <c r="D8" i="1"/>
  <c r="D7" i="1"/>
  <c r="D6" i="1"/>
  <c r="D5" i="1"/>
  <c r="D4" i="1"/>
  <c r="Q10" i="1"/>
  <c r="Q23" i="1"/>
  <c r="Q22" i="1"/>
  <c r="P37" i="1"/>
  <c r="J37" i="1"/>
  <c r="K37" i="1" s="1"/>
  <c r="Q17" i="1" l="1"/>
  <c r="Q16" i="1"/>
  <c r="Q15" i="1"/>
  <c r="Q14" i="1"/>
  <c r="Q13" i="1"/>
  <c r="J36" i="1"/>
  <c r="K36" i="1" s="1"/>
  <c r="P36" i="1"/>
  <c r="F15" i="1"/>
  <c r="F16" i="1"/>
  <c r="F17" i="1"/>
  <c r="F14" i="1"/>
  <c r="D15" i="1"/>
  <c r="D16" i="1"/>
  <c r="D17" i="1"/>
  <c r="D14" i="1"/>
  <c r="P30" i="1"/>
  <c r="P31" i="1"/>
  <c r="P32" i="1"/>
  <c r="P33" i="1"/>
  <c r="P34" i="1"/>
  <c r="P35" i="1"/>
  <c r="P29" i="1"/>
  <c r="B13" i="4" l="1"/>
  <c r="B39" i="1" s="1"/>
  <c r="V17" i="1"/>
  <c r="O17" i="1"/>
  <c r="N17" i="1"/>
  <c r="M17" i="1"/>
  <c r="J17" i="1"/>
  <c r="K17" i="1" s="1"/>
  <c r="U17" i="1" l="1"/>
  <c r="S17" i="1"/>
  <c r="T17" i="1"/>
  <c r="J35" i="1"/>
  <c r="K35" i="1" s="1"/>
  <c r="J34" i="1"/>
  <c r="J33" i="1"/>
  <c r="J32" i="1"/>
  <c r="K32" i="1" s="1"/>
  <c r="J31" i="1"/>
  <c r="K31" i="1" s="1"/>
  <c r="J30" i="1"/>
  <c r="K30" i="1" s="1"/>
  <c r="J29" i="1"/>
  <c r="J28" i="1"/>
  <c r="K28" i="1" s="1"/>
  <c r="J23" i="1"/>
  <c r="K23" i="1" s="1"/>
  <c r="J22" i="1"/>
  <c r="K22" i="1" s="1"/>
  <c r="J27" i="1"/>
  <c r="K29" i="1"/>
  <c r="K33" i="1"/>
  <c r="K34" i="1"/>
  <c r="J21" i="1" l="1"/>
  <c r="K21" i="1" s="1"/>
  <c r="J14" i="1"/>
  <c r="K14" i="1" s="1"/>
  <c r="J15" i="1"/>
  <c r="K15" i="1" s="1"/>
  <c r="J16" i="1"/>
  <c r="K16" i="1" s="1"/>
  <c r="J13" i="1"/>
  <c r="K13" i="1" s="1"/>
  <c r="J5" i="1"/>
  <c r="K5" i="1" s="1"/>
  <c r="J6" i="1"/>
  <c r="K6" i="1" s="1"/>
  <c r="J7" i="1"/>
  <c r="K7" i="1" s="1"/>
  <c r="J8" i="1"/>
  <c r="K8" i="1" s="1"/>
  <c r="K10" i="1"/>
  <c r="K27" i="1" l="1"/>
  <c r="I9" i="1" l="1"/>
  <c r="J9" i="1" s="1"/>
  <c r="K9" i="1" s="1"/>
  <c r="I20" i="1"/>
  <c r="J20" i="1" s="1"/>
  <c r="K20" i="1" s="1"/>
  <c r="V15" i="1" l="1"/>
  <c r="O15" i="1"/>
  <c r="N15" i="1"/>
  <c r="M15" i="1"/>
  <c r="A15" i="1"/>
  <c r="X15" i="1" l="1"/>
  <c r="H15" i="1"/>
  <c r="U15" i="1"/>
  <c r="S15" i="1"/>
  <c r="T15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0" i="1"/>
  <c r="N20" i="1"/>
  <c r="M20" i="1"/>
  <c r="O21" i="1"/>
  <c r="N21" i="1"/>
  <c r="M21" i="1"/>
  <c r="D21" i="1"/>
  <c r="D20" i="1"/>
  <c r="I2" i="1" l="1"/>
  <c r="J2" i="1" s="1"/>
  <c r="K2" i="1" s="1"/>
  <c r="T23" i="1"/>
  <c r="T22" i="1"/>
  <c r="T10" i="1"/>
  <c r="V21" i="1"/>
  <c r="A21" i="1"/>
  <c r="U21" i="1" l="1"/>
  <c r="X21" i="1"/>
  <c r="S23" i="1"/>
  <c r="S22" i="1"/>
  <c r="S10" i="1"/>
  <c r="V20" i="1" l="1"/>
  <c r="V23" i="1"/>
  <c r="V22" i="1"/>
  <c r="V16" i="1"/>
  <c r="V14" i="1"/>
  <c r="V13" i="1"/>
  <c r="V10" i="1"/>
  <c r="V4" i="1"/>
  <c r="V3" i="1"/>
  <c r="U9" i="1" l="1"/>
  <c r="U10" i="1" s="1"/>
  <c r="U23" i="1"/>
  <c r="U22" i="1"/>
  <c r="U4" i="1"/>
  <c r="U3" i="1"/>
  <c r="O3" i="1" l="1"/>
  <c r="N3" i="1"/>
  <c r="M3" i="1"/>
  <c r="D3" i="1"/>
  <c r="L3" i="1" l="1"/>
  <c r="I3" i="1" s="1"/>
  <c r="J3" i="1" s="1"/>
  <c r="K3" i="1" s="1"/>
  <c r="B11" i="4" l="1"/>
  <c r="B37" i="1" s="1"/>
  <c r="B12" i="4"/>
  <c r="B38" i="1" s="1"/>
  <c r="B3" i="4"/>
  <c r="B29" i="1" s="1"/>
  <c r="B5" i="4"/>
  <c r="B31" i="1" s="1"/>
  <c r="B2" i="4"/>
  <c r="B28" i="1" s="1"/>
  <c r="B7" i="4"/>
  <c r="B33" i="1" s="1"/>
  <c r="B9" i="4"/>
  <c r="B35" i="1" s="1"/>
  <c r="B4" i="4"/>
  <c r="B30" i="1" s="1"/>
  <c r="B10" i="4"/>
  <c r="B36" i="1" s="1"/>
  <c r="B8" i="4"/>
  <c r="B34" i="1" s="1"/>
  <c r="B6" i="4"/>
  <c r="B32" i="1" s="1"/>
  <c r="O14" i="1" l="1"/>
  <c r="N14" i="1"/>
  <c r="M14" i="1"/>
  <c r="A14" i="1"/>
  <c r="H14" i="1" s="1"/>
  <c r="X14" i="1" l="1"/>
  <c r="T14" i="1"/>
  <c r="U14" i="1"/>
  <c r="S14" i="1"/>
  <c r="M4" i="1"/>
  <c r="O4" i="1"/>
  <c r="N4" i="1"/>
  <c r="L4" i="1" l="1"/>
  <c r="I4" i="1" s="1"/>
  <c r="J4" i="1" s="1"/>
  <c r="K4" i="1" s="1"/>
  <c r="O16" i="1" l="1"/>
  <c r="N16" i="1"/>
  <c r="M16" i="1"/>
  <c r="O13" i="1"/>
  <c r="N13" i="1"/>
  <c r="M13" i="1"/>
  <c r="A16" i="1"/>
  <c r="H16" i="1" s="1"/>
  <c r="A13" i="1"/>
  <c r="H13" i="1" s="1"/>
  <c r="X16" i="1" l="1"/>
  <c r="X13" i="1"/>
  <c r="T16" i="1"/>
  <c r="U16" i="1"/>
  <c r="T13" i="1"/>
  <c r="U13" i="1"/>
  <c r="S16" i="1"/>
  <c r="S13" i="1"/>
  <c r="A20" i="1" l="1"/>
  <c r="U20" i="1" l="1"/>
  <c r="X20" i="1"/>
  <c r="A23" i="1" l="1"/>
  <c r="X23" i="1" s="1"/>
  <c r="A22" i="1" l="1"/>
  <c r="X22" i="1" s="1"/>
</calcChain>
</file>

<file path=xl/sharedStrings.xml><?xml version="1.0" encoding="utf-8"?>
<sst xmlns="http://schemas.openxmlformats.org/spreadsheetml/2006/main" count="272" uniqueCount="161">
  <si>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</si>
  <si>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</si>
  <si>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</si>
  <si>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</si>
  <si>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</si>
  <si>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</si>
  <si>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</si>
  <si>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</si>
  <si>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</si>
  <si>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</si>
  <si>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</si>
  <si>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</si>
  <si>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</si>
  <si>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</si>
  <si>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</si>
  <si>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</si>
  <si>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</si>
  <si>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</si>
  <si>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</si>
  <si>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</si>
  <si>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</si>
  <si>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</si>
  <si>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</si>
  <si>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</si>
  <si>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</si>
  <si>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</si>
  <si>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</si>
  <si>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</si>
  <si>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</si>
  <si>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Reviews</t>
  </si>
  <si>
    <t>http://www.bontegames.com/2014/07/unlucky-unlock.html</t>
  </si>
  <si>
    <t>6e1e4c24d22dc93d9fdf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</si>
  <si>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</si>
  <si>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</si>
  <si>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</si>
  <si>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</si>
  <si>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</si>
  <si>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</si>
  <si>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</si>
  <si>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</si>
  <si>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«ARCHIVE-OF-TAGS»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</si>
  <si>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</si>
  <si>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</si>
  <si>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</si>
  <si>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</si>
  <si>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</si>
  <si>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</si>
  <si>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</si>
  <si>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</si>
  <si>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</si>
  <si>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</si>
  <si>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</si>
  <si>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</si>
  <si>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The purpose of this site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</si>
  <si>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</si>
  <si>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</si>
  <si>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</si>
  <si>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</si>
  <si>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</si>
  <si>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</si>
  <si>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</si>
  <si>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</si>
  <si>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</si>
  <si>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</si>
  <si>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</si>
  <si>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</si>
  <si>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</si>
  <si>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</si>
  <si>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</si>
  <si>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</si>
  <si>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</si>
  <si>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</si>
  <si>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</si>
  <si>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</si>
  <si>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</si>
  <si>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</si>
  <si>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</si>
  <si>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</si>
  <si>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https://youtu.be/O0bgxNeMX-o</t>
  </si>
  <si>
    <t>Trailer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</si>
  <si>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</si>
  <si>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</si>
  <si>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</si>
  <si>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</si>
  <si>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</si>
  <si>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</si>
  <si>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</si>
  <si>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</si>
  <si>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</si>
  <si>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</si>
  <si>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</si>
  <si>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</si>
  <si>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</si>
  <si>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</si>
  <si>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</si>
  <si>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</si>
  <si>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</si>
  <si>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</si>
  <si>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</si>
  <si>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</si>
  <si>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</si>
  <si>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</si>
  <si>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</si>
  <si>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</si>
  <si>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</si>
  <si>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</si>
  <si>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</si>
  <si>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</si>
  <si>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</si>
  <si>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</si>
  <si>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*Sitemap*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</si>
  <si>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</si>
  <si>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</si>
  <si>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</si>
  <si>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</si>
  <si>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</si>
  <si>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Forums</t>
  </si>
  <si>
    <t>jT5Gev7</t>
  </si>
  <si>
    <t>xncUgFx</t>
  </si>
  <si>
    <t>tYb7GTx</t>
  </si>
  <si>
    <t>8GmcCb</t>
  </si>
  <si>
    <t>Gg6FVk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</si>
  <si>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</si>
  <si>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</si>
  <si>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</si>
  <si>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</si>
  <si>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</si>
  <si>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</si>
  <si>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</si>
  <si>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</si>
  <si>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</si>
  <si>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</si>
  <si>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</si>
  <si>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</si>
  <si>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</si>
  <si>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RxUMt9V</t>
  </si>
  <si>
    <t>ukcmt7g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</si>
  <si>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</si>
  <si>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</si>
  <si>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</si>
  <si>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</si>
  <si>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</si>
  <si>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</si>
  <si>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</si>
  <si>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</si>
  <si>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</si>
  <si>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</si>
  <si>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</si>
  <si>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</si>
  <si>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</si>
  <si>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</si>
  <si>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</si>
  <si>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</si>
  <si>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</si>
  <si>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</si>
  <si>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</si>
  <si>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</si>
  <si>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«hall-of-fame-info»</t>
  </si>
  <si>
    <t>Support the «SITE-NAME»</t>
  </si>
  <si>
    <t>«SITE-NAME»</t>
  </si>
  <si>
    <t>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</si>
</sst>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6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34</v>
      </c>
      <c r="F1" s="5" t="s">
        <v>36</v>
      </c>
      <c r="G1" s="5" t="s">
        <v>0</v>
      </c>
      <c r="H1" s="5" t="s">
        <v>3</v>
      </c>
      <c r="I1" s="5" t="s">
        <v>85</v>
      </c>
      <c r="J1" s="5" t="s">
        <v>100</v>
      </c>
      <c r="K1" s="5" t="s">
        <v>97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71</v>
      </c>
      <c r="U1" s="5" t="s">
        <v>11</v>
      </c>
      <c r="V1" s="5" t="s">
        <v>56</v>
      </c>
      <c r="W1" s="5" t="s">
        <v>87</v>
      </c>
      <c r="X1" s="5" t="s">
        <v>130</v>
      </c>
      <c r="Y1" s="5" t="s">
        <v>43</v>
      </c>
      <c r="Z1" s="5" t="s">
        <v>79</v>
      </c>
      <c r="AA1" s="5" t="s">
        <v>29</v>
      </c>
      <c r="AB1" s="5" t="s">
        <v>91</v>
      </c>
      <c r="AC1" s="5" t="s">
        <v>116</v>
      </c>
      <c r="AD1" s="5" t="s">
        <v>140</v>
      </c>
      <c r="AE1" s="5" t="s">
        <v>141</v>
      </c>
      <c r="AF1" s="5" t="s">
        <v>142</v>
      </c>
    </row>
    <row r="2" spans="1:32" x14ac:dyDescent="0.35">
      <c r="A2" s="9" t="s">
        <v>50</v>
      </c>
      <c r="B2" s="2" t="s">
        <v>5</v>
      </c>
      <c r="D2" s="2" t="s">
        <v>35</v>
      </c>
      <c r="F2" s="2" t="s">
        <v>37</v>
      </c>
      <c r="G2" s="2" t="s">
        <v>53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1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45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7" si="2">"«SITE-HTTP»/"&amp;A2</f>
        <v>«SITE-HTTP»/2017-12-01-first-post</v>
      </c>
    </row>
    <row r="3" spans="1:32" x14ac:dyDescent="0.35">
      <c r="A3" s="9" t="s">
        <v>55</v>
      </c>
      <c r="B3" s="2" t="s">
        <v>5</v>
      </c>
      <c r="D3" s="7" t="str">
        <f>$D$2</f>
        <v>«PAGE-POST-MD»</v>
      </c>
      <c r="F3" s="2" t="s">
        <v>37</v>
      </c>
      <c r="G3" s="2" t="s">
        <v>158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45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47</v>
      </c>
      <c r="B4" s="2" t="s">
        <v>5</v>
      </c>
      <c r="D4" s="7" t="str">
        <f t="shared" ref="D4:D9" si="4">$D$2</f>
        <v>«PAGE-POST-MD»</v>
      </c>
      <c r="F4" s="2" t="s">
        <v>37</v>
      </c>
      <c r="G4" s="2" t="s">
        <v>51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Tags!$A$4</f>
        <v>Post</v>
      </c>
      <c r="R4" s="2" t="s">
        <v>5</v>
      </c>
      <c r="S4" s="7" t="s">
        <v>45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67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72</v>
      </c>
      <c r="G5" s="2" t="s">
        <v>64</v>
      </c>
      <c r="H5" s="9" t="s">
        <v>73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66</v>
      </c>
      <c r="Q5" s="2" t="str">
        <f>Tags!$A$7&amp;", "&amp;Tags!$A$8&amp;", "&amp;Tags!$A$9</f>
        <v>Mosaic, Travel, Wallpaper</v>
      </c>
      <c r="R5" s="2" t="s">
        <v>5</v>
      </c>
      <c r="S5" s="7" t="str">
        <f>LOWER(P5)&amp;"/"&amp;A5&amp;".png"</f>
        <v>mosaic/fleur-de-lis.png</v>
      </c>
      <c r="T5" s="9" t="s">
        <v>70</v>
      </c>
      <c r="U5" s="7" t="str">
        <f t="shared" si="1"/>
        <v>«fleur-de-lis:MarkShort»</v>
      </c>
      <c r="V5" s="9" t="s">
        <v>69</v>
      </c>
      <c r="W5" s="16"/>
      <c r="X5" s="16" t="str">
        <f t="shared" si="2"/>
        <v>«SITE-HTTP»/fleur-de-lis</v>
      </c>
      <c r="Y5" s="3">
        <v>42980</v>
      </c>
    </row>
    <row r="6" spans="1:32" x14ac:dyDescent="0.35">
      <c r="A6" s="16" t="s">
        <v>74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72</v>
      </c>
      <c r="G6" s="2" t="s">
        <v>75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Tags!$A$7&amp;", "&amp;Tags!$A$9</f>
        <v>Mosaic, Wallpaper</v>
      </c>
      <c r="R6" s="2" t="s">
        <v>6</v>
      </c>
      <c r="S6" s="7" t="str">
        <f>LOWER(P6)&amp;"/"&amp;A6&amp;".png"</f>
        <v>mosaic/scales.png</v>
      </c>
      <c r="T6" s="9" t="s">
        <v>76</v>
      </c>
      <c r="U6" s="7" t="str">
        <f t="shared" si="1"/>
        <v>«scales:MarkShort»</v>
      </c>
      <c r="V6" s="9" t="s">
        <v>69</v>
      </c>
      <c r="W6" s="16"/>
      <c r="X6" s="16" t="str">
        <f t="shared" si="2"/>
        <v>«SITE-HTTP»/scales</v>
      </c>
      <c r="Y6" s="3"/>
    </row>
    <row r="7" spans="1:32" x14ac:dyDescent="0.35">
      <c r="A7" s="16" t="s">
        <v>68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72</v>
      </c>
      <c r="G7" s="2" t="s">
        <v>65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66</v>
      </c>
      <c r="Q7" s="2" t="str">
        <f>Tags!$A$7&amp;", "&amp;Tags!$A$8&amp;", "&amp;Tags!$A$9</f>
        <v>Mosaic, Travel, Wallpaper</v>
      </c>
      <c r="R7" s="2" t="s">
        <v>5</v>
      </c>
      <c r="S7" s="7" t="str">
        <f>LOWER(P7)&amp;"/"&amp;A7&amp;".png"</f>
        <v>mosaic/veronese.png</v>
      </c>
      <c r="T7" s="9" t="s">
        <v>77</v>
      </c>
      <c r="U7" s="7" t="str">
        <f t="shared" si="1"/>
        <v>«veronese:MarkShort»</v>
      </c>
      <c r="V7" s="9" t="s">
        <v>69</v>
      </c>
      <c r="W7" s="16"/>
      <c r="X7" s="16" t="str">
        <f t="shared" si="2"/>
        <v>«SITE-HTTP»/veronese</v>
      </c>
      <c r="Y7" s="3">
        <v>42982</v>
      </c>
    </row>
    <row r="8" spans="1:32" x14ac:dyDescent="0.35">
      <c r="A8" s="16" t="s">
        <v>80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72</v>
      </c>
      <c r="G8" s="2" t="s">
        <v>81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66</v>
      </c>
      <c r="Q8" s="2" t="str">
        <f>Tags!$A$7&amp;", "&amp;Tags!$A$8&amp;", "&amp;Tags!$A$9</f>
        <v>Mosaic, Travel, Wallpaper</v>
      </c>
      <c r="R8" s="2" t="s">
        <v>5</v>
      </c>
      <c r="S8" s="7" t="str">
        <f>LOWER(P8)&amp;"/"&amp;A8&amp;".png"</f>
        <v>mosaic/viking-carpet.png</v>
      </c>
      <c r="T8" s="9" t="s">
        <v>82</v>
      </c>
      <c r="U8" s="7" t="str">
        <f t="shared" si="1"/>
        <v>«viking-carpet:MarkShort»</v>
      </c>
      <c r="V8" s="9" t="s">
        <v>69</v>
      </c>
      <c r="W8" s="16"/>
      <c r="X8" s="16" t="str">
        <f t="shared" si="2"/>
        <v>«SITE-HTTP»/viking-carpet</v>
      </c>
      <c r="Y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37</v>
      </c>
      <c r="G9" s="2" t="s">
        <v>160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58</v>
      </c>
      <c r="T9" s="9" t="s">
        <v>60</v>
      </c>
      <c r="U9" s="7" t="str">
        <f t="shared" si="1"/>
        <v>«about:MarkShort»</v>
      </c>
      <c r="V9" s="9" t="s">
        <v>57</v>
      </c>
      <c r="X9" s="7" t="str">
        <f t="shared" si="2"/>
        <v>«SITE-HTTP»/about</v>
      </c>
    </row>
    <row r="10" spans="1:32" x14ac:dyDescent="0.35">
      <c r="A10" s="9" t="s">
        <v>46</v>
      </c>
      <c r="B10" s="2" t="s">
        <v>6</v>
      </c>
      <c r="D10" s="2" t="s">
        <v>90</v>
      </c>
      <c r="E10" s="2" t="s">
        <v>138</v>
      </c>
      <c r="G10" s="2" t="s">
        <v>159</v>
      </c>
      <c r="I10" s="16"/>
      <c r="J10" s="23" t="s">
        <v>101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contact</v>
      </c>
      <c r="B11" s="2" t="s">
        <v>5</v>
      </c>
      <c r="C11" s="2">
        <v>2</v>
      </c>
      <c r="D11" s="2" t="s">
        <v>32</v>
      </c>
      <c r="E11" s="4" t="s">
        <v>33</v>
      </c>
      <c r="F11" s="4"/>
      <c r="G11" s="2" t="s">
        <v>13</v>
      </c>
      <c r="H11" s="8"/>
      <c r="I11" s="16"/>
      <c r="J11" s="24" t="str">
        <f>YEAR($J$10)&amp;TEXT("-"&amp;MONTH($J$10),"00")&amp;TEXT("-"&amp;DAY($J$10),"00")</f>
        <v>2018-03-02</v>
      </c>
      <c r="K11" s="10" t="str">
        <f t="shared" ca="1" si="0"/>
        <v>yearly</v>
      </c>
      <c r="L11" s="20"/>
      <c r="M11" s="13"/>
      <c r="P11" s="2" t="s">
        <v>13</v>
      </c>
      <c r="Q11" s="2" t="str">
        <f>Tags!$A$6</f>
        <v>Creative-Archive</v>
      </c>
      <c r="S11" s="7" t="s">
        <v>45</v>
      </c>
      <c r="T11" s="7" t="str">
        <f>$T$9</f>
        <v>Octaflower, the Creative Archive's logo. A geometric lotus flower composed of eight rows of eight petals in rainbow progression.</v>
      </c>
      <c r="U11" s="9" t="s">
        <v>129</v>
      </c>
      <c r="V11" s="7" t="str">
        <f>IF(P11="Post","article","website")</f>
        <v>website</v>
      </c>
      <c r="X11" s="7" t="str">
        <f t="shared" si="2"/>
        <v>«SITE-HTTP»/contact</v>
      </c>
    </row>
    <row r="12" spans="1:32" x14ac:dyDescent="0.35">
      <c r="A12" s="7" t="str">
        <f>SUBSTITUTE(LOWER(G12)," ","-")</f>
        <v>hall-of-fame</v>
      </c>
      <c r="B12" s="2" t="s">
        <v>6</v>
      </c>
      <c r="D12" s="2" t="s">
        <v>32</v>
      </c>
      <c r="E12" s="4" t="s">
        <v>112</v>
      </c>
      <c r="F12" s="4" t="s">
        <v>37</v>
      </c>
      <c r="G12" s="2" t="s">
        <v>113</v>
      </c>
      <c r="H12" s="9" t="s">
        <v>157</v>
      </c>
      <c r="I12" s="3">
        <v>43265</v>
      </c>
      <c r="J12" s="10" t="str">
        <f t="shared" ref="J12:J21" si="8">YEAR(I12)&amp;TEXT("-"&amp;MONTH(I12),"00")&amp;TEXT("-"&amp;DAY(I12),"00")</f>
        <v>2018-06-14</v>
      </c>
      <c r="K12" s="10" t="str">
        <f t="shared" ref="K12" ca="1" si="9">IF(TODAY()-DATEVALUE(J12)&lt;15,"weekly",IF(TODAY()-DATEVALUE(J12)&lt;60,"monthly","yearly"))</f>
        <v>monthly</v>
      </c>
      <c r="L12" s="3">
        <v>43185</v>
      </c>
      <c r="M12" s="13">
        <f>DAY(L12)</f>
        <v>26</v>
      </c>
      <c r="N12" s="6">
        <f>MONTH(L12)</f>
        <v>3</v>
      </c>
      <c r="O12" s="6">
        <f t="shared" ref="O12" si="10">YEAR(L12)</f>
        <v>2018</v>
      </c>
      <c r="P12" s="2" t="s">
        <v>113</v>
      </c>
      <c r="Q12" s="2" t="str">
        <f>Tags!$A$6</f>
        <v>Creative-Archive</v>
      </c>
      <c r="S12" s="7" t="s">
        <v>45</v>
      </c>
      <c r="T12" s="7" t="str">
        <f>$T$9</f>
        <v>Octaflower, the Creative Archive's logo. A geometric lotus flower composed of eight rows of eight petals in rainbow progression.</v>
      </c>
      <c r="U12" s="9" t="s">
        <v>128</v>
      </c>
      <c r="V12" s="7" t="str">
        <f>IF(P12="Post","article","website")</f>
        <v>website</v>
      </c>
      <c r="X12" s="7" t="str">
        <f t="shared" si="2"/>
        <v>«SITE-HTTP»/hall-of-fame</v>
      </c>
    </row>
    <row r="13" spans="1:32" x14ac:dyDescent="0.35">
      <c r="A13" s="7" t="str">
        <f t="shared" ref="A13:A16" si="11">SUBSTITUTE(LOWER(G13)," ","-")</f>
        <v>tetrastrophe</v>
      </c>
      <c r="B13" s="2" t="s">
        <v>6</v>
      </c>
      <c r="D13" s="2" t="s">
        <v>54</v>
      </c>
      <c r="E13" s="2" t="s">
        <v>42</v>
      </c>
      <c r="F13" s="2" t="s">
        <v>37</v>
      </c>
      <c r="G13" s="2" t="s">
        <v>26</v>
      </c>
      <c r="H13" s="7" t="str">
        <f>"«"&amp;A13&amp;"»"</f>
        <v>«tetrastrophe»</v>
      </c>
      <c r="I13" s="3">
        <v>43132</v>
      </c>
      <c r="J13" s="10" t="str">
        <f t="shared" si="8"/>
        <v>2018-02-01</v>
      </c>
      <c r="K13" s="10" t="str">
        <f t="shared" ref="K13:K18" ca="1" si="12">IF(TODAY()-DATEVALUE(J13)&lt;15,"weekly",IF(TODAY()-DATEVALUE(J13)&lt;60,"monthly","yearly"))</f>
        <v>yearly</v>
      </c>
      <c r="L13" s="3">
        <v>41773</v>
      </c>
      <c r="M13" s="13">
        <f>DAY(L13)</f>
        <v>14</v>
      </c>
      <c r="N13" s="6">
        <f>MONTH(L13)</f>
        <v>5</v>
      </c>
      <c r="O13" s="6">
        <f t="shared" ref="O13:O21" si="13">YEAR(L13)</f>
        <v>2014</v>
      </c>
      <c r="P13" s="2" t="s">
        <v>25</v>
      </c>
      <c r="Q13" s="2" t="str">
        <f>Tags!$A$10&amp;", "&amp;Tags!$A$2&amp;", "&amp;Tags!$A$3</f>
        <v>Game, Platformer, Puzzle</v>
      </c>
      <c r="R13" s="2" t="s">
        <v>5</v>
      </c>
      <c r="S13" s="7" t="str">
        <f>A13&amp;".png"</f>
        <v>tetrastrophe.png</v>
      </c>
      <c r="T13" s="7" t="str">
        <f>"A level of the "&amp;A13&amp;" game."</f>
        <v>A level of the tetrastrophe game.</v>
      </c>
      <c r="U13" s="7" t="str">
        <f>"«"&amp;A13&amp;":MarkShort»"</f>
        <v>«tetrastrophe:MarkShort»</v>
      </c>
      <c r="V13" s="7" t="str">
        <f t="shared" ref="V13:V18" si="14">IF(P13="Post","article",IF(P13="Game","game","website"))</f>
        <v>game</v>
      </c>
      <c r="X13" s="7" t="str">
        <f t="shared" si="2"/>
        <v>«SITE-HTTP»/tetrastrophe</v>
      </c>
      <c r="Y13" s="2" t="s">
        <v>27</v>
      </c>
      <c r="AC13" s="2" t="s">
        <v>120</v>
      </c>
      <c r="AD13" s="2" t="s">
        <v>149</v>
      </c>
      <c r="AE13" s="2" t="s">
        <v>151</v>
      </c>
      <c r="AF13" s="4" t="s">
        <v>150</v>
      </c>
    </row>
    <row r="14" spans="1:32" x14ac:dyDescent="0.35">
      <c r="A14" s="7" t="str">
        <f t="shared" si="11"/>
        <v>blockworks</v>
      </c>
      <c r="B14" s="2" t="s">
        <v>6</v>
      </c>
      <c r="D14" s="28" t="str">
        <f>$D$13</f>
        <v>«PAGE-GAME-FULLSCREEN»</v>
      </c>
      <c r="E14" s="2" t="s">
        <v>48</v>
      </c>
      <c r="F14" s="28" t="str">
        <f>$F$13</f>
        <v>prose</v>
      </c>
      <c r="G14" s="2" t="s">
        <v>49</v>
      </c>
      <c r="H14" s="7" t="str">
        <f>"«"&amp;A14&amp;"»"</f>
        <v>«blockworks»</v>
      </c>
      <c r="I14" s="3">
        <v>43150</v>
      </c>
      <c r="J14" s="10" t="str">
        <f t="shared" si="8"/>
        <v>2018-02-19</v>
      </c>
      <c r="K14" s="10" t="str">
        <f t="shared" ca="1" si="12"/>
        <v>yearly</v>
      </c>
      <c r="L14" s="3">
        <v>43135</v>
      </c>
      <c r="M14" s="13">
        <f t="shared" ref="M14" si="15">DAY(L14)</f>
        <v>4</v>
      </c>
      <c r="N14" s="6">
        <f t="shared" ref="N14" si="16">MONTH(L14)</f>
        <v>2</v>
      </c>
      <c r="O14" s="6">
        <f t="shared" si="13"/>
        <v>2018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blockworks.png</v>
      </c>
      <c r="T14" s="7" t="str">
        <f>"A level of the "&amp;A14&amp;" game."</f>
        <v>A level of the blockworks game.</v>
      </c>
      <c r="U14" s="7" t="str">
        <f>"«"&amp;A14&amp;":MarkShort»"</f>
        <v>«blockworks:MarkShort»</v>
      </c>
      <c r="V14" s="7" t="str">
        <f t="shared" si="14"/>
        <v>game</v>
      </c>
      <c r="X14" s="7" t="str">
        <f t="shared" si="2"/>
        <v>«SITE-HTTP»/blockworks</v>
      </c>
      <c r="Y14" s="2" t="s">
        <v>48</v>
      </c>
      <c r="Z14" t="s">
        <v>78</v>
      </c>
      <c r="AC14" s="2" t="s">
        <v>119</v>
      </c>
      <c r="AD14" s="2" t="s">
        <v>143</v>
      </c>
      <c r="AE14" s="2" t="s">
        <v>144</v>
      </c>
      <c r="AF14" s="4" t="s">
        <v>147</v>
      </c>
    </row>
    <row r="15" spans="1:32" x14ac:dyDescent="0.35">
      <c r="A15" s="7" t="str">
        <f t="shared" ref="A15" si="17">SUBSTITUTE(LOWER(G15)," ","-")</f>
        <v>whirlpuzzle</v>
      </c>
      <c r="B15" s="2" t="s">
        <v>6</v>
      </c>
      <c r="D15" s="28" t="str">
        <f t="shared" ref="D15:D19" si="18">$D$13</f>
        <v>«PAGE-GAME-FULLSCREEN»</v>
      </c>
      <c r="E15" s="2" t="s">
        <v>83</v>
      </c>
      <c r="F15" s="28" t="str">
        <f t="shared" ref="F15:F19" si="19">$F$13</f>
        <v>prose</v>
      </c>
      <c r="G15" s="2" t="s">
        <v>84</v>
      </c>
      <c r="H15" s="7" t="str">
        <f>"«"&amp;A15&amp;"»"</f>
        <v>«whirlpuzzle»</v>
      </c>
      <c r="I15" s="3">
        <v>43160</v>
      </c>
      <c r="J15" s="10" t="str">
        <f t="shared" si="8"/>
        <v>2018-03-01</v>
      </c>
      <c r="K15" s="10" t="str">
        <f t="shared" ca="1" si="12"/>
        <v>yearly</v>
      </c>
      <c r="L15" s="3">
        <v>43160</v>
      </c>
      <c r="M15" s="13">
        <f t="shared" ref="M15" si="20">DAY(L15)</f>
        <v>1</v>
      </c>
      <c r="N15" s="6">
        <f t="shared" ref="N15" si="21">MONTH(L15)</f>
        <v>3</v>
      </c>
      <c r="O15" s="6">
        <f t="shared" si="13"/>
        <v>2018</v>
      </c>
      <c r="P15" s="2" t="s">
        <v>25</v>
      </c>
      <c r="Q15" s="2" t="str">
        <f>Tags!$A$10&amp;", "&amp;Tags!$A$3</f>
        <v>Game, Puzzle</v>
      </c>
      <c r="R15" s="2" t="s">
        <v>6</v>
      </c>
      <c r="S15" s="7" t="str">
        <f>A15&amp;".png"</f>
        <v>whirlpuzzle.png</v>
      </c>
      <c r="T15" s="7" t="str">
        <f>"A level of the "&amp;A15&amp;" game."</f>
        <v>A level of the whirlpuzzle game.</v>
      </c>
      <c r="U15" s="7" t="str">
        <f>"«"&amp;A15&amp;":MarkShort»"</f>
        <v>«whirlpuzzle:MarkShort»</v>
      </c>
      <c r="V15" s="7" t="str">
        <f t="shared" si="14"/>
        <v>game</v>
      </c>
      <c r="X15" s="7" t="str">
        <f t="shared" si="2"/>
        <v>«SITE-HTTP»/whirlpuzzle</v>
      </c>
      <c r="Z15" s="18"/>
      <c r="AB15" s="2" t="s">
        <v>92</v>
      </c>
      <c r="AC15" s="2" t="s">
        <v>118</v>
      </c>
      <c r="AD15" s="2" t="s">
        <v>145</v>
      </c>
      <c r="AE15" s="2" t="s">
        <v>146</v>
      </c>
      <c r="AF15" s="4" t="s">
        <v>154</v>
      </c>
    </row>
    <row r="16" spans="1:32" x14ac:dyDescent="0.35">
      <c r="A16" s="7" t="str">
        <f t="shared" si="11"/>
        <v>unlucky-unlock</v>
      </c>
      <c r="B16" s="2" t="s">
        <v>6</v>
      </c>
      <c r="D16" s="28" t="str">
        <f t="shared" si="18"/>
        <v>«PAGE-GAME-FULLSCREEN»</v>
      </c>
      <c r="E16" s="2" t="s">
        <v>41</v>
      </c>
      <c r="F16" s="28" t="str">
        <f t="shared" si="19"/>
        <v>prose</v>
      </c>
      <c r="G16" s="2" t="s">
        <v>28</v>
      </c>
      <c r="H16" s="7" t="str">
        <f>"«"&amp;A16&amp;"»"</f>
        <v>«unlucky-unlock»</v>
      </c>
      <c r="I16" s="3">
        <v>43133</v>
      </c>
      <c r="J16" s="10" t="str">
        <f t="shared" si="8"/>
        <v>2018-02-02</v>
      </c>
      <c r="K16" s="10" t="str">
        <f t="shared" ca="1" si="12"/>
        <v>yearly</v>
      </c>
      <c r="L16" s="3">
        <v>41838</v>
      </c>
      <c r="M16" s="13">
        <f t="shared" ref="M16" si="22">DAY(L16)</f>
        <v>18</v>
      </c>
      <c r="N16" s="6">
        <f t="shared" ref="N16" si="23">MONTH(L16)</f>
        <v>7</v>
      </c>
      <c r="O16" s="6">
        <f t="shared" si="13"/>
        <v>2014</v>
      </c>
      <c r="P16" s="2" t="s">
        <v>25</v>
      </c>
      <c r="Q16" s="2" t="str">
        <f>Tags!$A$10&amp;", "&amp;Tags!$A$3</f>
        <v>Game, Puzzle</v>
      </c>
      <c r="R16" s="2" t="s">
        <v>6</v>
      </c>
      <c r="S16" s="7" t="str">
        <f>A16&amp;".png"</f>
        <v>unlucky-unlock.png</v>
      </c>
      <c r="T16" s="7" t="str">
        <f>"A level of the "&amp;A16&amp;" game."</f>
        <v>A level of the unlucky-unlock game.</v>
      </c>
      <c r="U16" s="7" t="str">
        <f>"«"&amp;A16&amp;":MarkShort»"</f>
        <v>«unlucky-unlock:MarkShort»</v>
      </c>
      <c r="V16" s="7" t="str">
        <f t="shared" si="14"/>
        <v>game</v>
      </c>
      <c r="X16" s="7" t="str">
        <f t="shared" si="2"/>
        <v>«SITE-HTTP»/unlucky-unlock</v>
      </c>
      <c r="Y16" s="2" t="s">
        <v>31</v>
      </c>
      <c r="AA16" s="2" t="s">
        <v>30</v>
      </c>
      <c r="AB16" s="2" t="s">
        <v>92</v>
      </c>
      <c r="AC16" s="2" t="s">
        <v>121</v>
      </c>
      <c r="AD16" s="2" t="s">
        <v>152</v>
      </c>
      <c r="AE16" s="2" t="s">
        <v>151</v>
      </c>
      <c r="AF16" s="4" t="s">
        <v>153</v>
      </c>
    </row>
    <row r="17" spans="1:32" x14ac:dyDescent="0.35">
      <c r="A17" s="9" t="s">
        <v>104</v>
      </c>
      <c r="B17" s="2" t="s">
        <v>6</v>
      </c>
      <c r="D17" s="28" t="str">
        <f t="shared" si="18"/>
        <v>«PAGE-GAME-FULLSCREEN»</v>
      </c>
      <c r="E17" s="2" t="s">
        <v>102</v>
      </c>
      <c r="F17" s="28" t="str">
        <f t="shared" si="19"/>
        <v>prose</v>
      </c>
      <c r="G17" s="2" t="s">
        <v>105</v>
      </c>
      <c r="H17" s="7" t="str">
        <f>"«"&amp;A17&amp;"»"</f>
        <v>«pmgrp»</v>
      </c>
      <c r="I17" s="3">
        <v>43179</v>
      </c>
      <c r="J17" s="10" t="str">
        <f t="shared" si="8"/>
        <v>2018-03-20</v>
      </c>
      <c r="K17" s="10" t="str">
        <f t="shared" ca="1" si="12"/>
        <v>yearly</v>
      </c>
      <c r="L17" s="3">
        <v>43179</v>
      </c>
      <c r="M17" s="13">
        <f t="shared" ref="M17" si="24">DAY(L17)</f>
        <v>20</v>
      </c>
      <c r="N17" s="6">
        <f t="shared" ref="N17" si="25">MONTH(L17)</f>
        <v>3</v>
      </c>
      <c r="O17" s="6">
        <f t="shared" si="13"/>
        <v>2018</v>
      </c>
      <c r="P17" s="2" t="s">
        <v>25</v>
      </c>
      <c r="Q17" s="2" t="str">
        <f>Tags!$A$10&amp;", "&amp;Tags!$A$2&amp;", "&amp;Tags!$A$3</f>
        <v>Game, Platformer, Puzzle</v>
      </c>
      <c r="R17" s="2" t="s">
        <v>6</v>
      </c>
      <c r="S17" s="7" t="str">
        <f>A17&amp;".png"</f>
        <v>pmgrp.png</v>
      </c>
      <c r="T17" s="7" t="str">
        <f>"A level of the "&amp;A17&amp;" game."</f>
        <v>A level of the pmgrp game.</v>
      </c>
      <c r="U17" s="7" t="str">
        <f>"«"&amp;A17&amp;":MarkShort»"</f>
        <v>«pmgrp:MarkShort»</v>
      </c>
      <c r="V17" s="7" t="str">
        <f t="shared" si="14"/>
        <v>game</v>
      </c>
      <c r="X17" s="7" t="str">
        <f t="shared" si="2"/>
        <v>«SITE-HTTP»/pmgrp</v>
      </c>
      <c r="AC17" s="2" t="s">
        <v>117</v>
      </c>
      <c r="AD17" s="2" t="s">
        <v>155</v>
      </c>
      <c r="AE17" s="2" t="s">
        <v>146</v>
      </c>
      <c r="AF17" s="4" t="s">
        <v>156</v>
      </c>
    </row>
    <row r="18" spans="1:32" x14ac:dyDescent="0.35">
      <c r="A18" s="31" t="s">
        <v>127</v>
      </c>
      <c r="B18" s="2" t="s">
        <v>5</v>
      </c>
      <c r="E18" s="2" t="s">
        <v>124</v>
      </c>
      <c r="F18" s="28" t="s">
        <v>37</v>
      </c>
      <c r="G18" s="2" t="s">
        <v>123</v>
      </c>
      <c r="H18" s="9" t="str">
        <f>"«combinatura»"</f>
        <v>«combinatura»</v>
      </c>
      <c r="I18" s="10">
        <f>L18</f>
        <v>43287</v>
      </c>
      <c r="J18" s="10" t="str">
        <f t="shared" si="8"/>
        <v>2018-07-06</v>
      </c>
      <c r="K18" s="10" t="str">
        <f t="shared" ca="1" si="12"/>
        <v>weekly</v>
      </c>
      <c r="L18" s="3">
        <v>43287</v>
      </c>
      <c r="M18" s="13">
        <f t="shared" ref="M18:M19" si="26">DAY(L18)</f>
        <v>6</v>
      </c>
      <c r="N18" s="6">
        <f t="shared" ref="N18:N19" si="27">MONTH(L18)</f>
        <v>7</v>
      </c>
      <c r="O18" s="6">
        <f t="shared" ref="O18:O19" si="28">YEAR(L18)</f>
        <v>2018</v>
      </c>
      <c r="P18" s="2" t="s">
        <v>25</v>
      </c>
      <c r="Q18" s="2" t="str">
        <f>Tags!$A$10&amp;", "&amp;Tags!$A$13&amp;", "&amp;Tags!$A$8</f>
        <v>Game, Nature, Travel</v>
      </c>
      <c r="R18" s="2" t="s">
        <v>6</v>
      </c>
      <c r="S18" s="7" t="str">
        <f>Y18&amp;".png"</f>
        <v>combinatura.png</v>
      </c>
      <c r="T18" s="7" t="str">
        <f>"The "&amp;Y18&amp;" game logo."</f>
        <v>The combinatura game logo.</v>
      </c>
      <c r="U18" s="9" t="s">
        <v>125</v>
      </c>
      <c r="V18" s="7" t="str">
        <f t="shared" si="14"/>
        <v>game</v>
      </c>
      <c r="X18" s="31" t="s">
        <v>131</v>
      </c>
      <c r="Y18" s="2" t="s">
        <v>126</v>
      </c>
      <c r="AC18" s="2" t="s">
        <v>135</v>
      </c>
    </row>
    <row r="19" spans="1:32" x14ac:dyDescent="0.35">
      <c r="A19" s="7" t="str">
        <f t="shared" ref="A19" si="29">SUBSTITUTE(LOWER(G19)," ","-")</f>
        <v>hastefulll</v>
      </c>
      <c r="B19" s="2" t="s">
        <v>6</v>
      </c>
      <c r="D19" s="28" t="str">
        <f t="shared" si="18"/>
        <v>«PAGE-GAME-FULLSCREEN»</v>
      </c>
      <c r="E19" s="2" t="s">
        <v>137</v>
      </c>
      <c r="F19" s="28" t="str">
        <f t="shared" si="19"/>
        <v>prose</v>
      </c>
      <c r="G19" s="2" t="s">
        <v>134</v>
      </c>
      <c r="H19" s="7" t="str">
        <f>"«"&amp;A19&amp;"»"</f>
        <v>«hastefulll»</v>
      </c>
      <c r="I19" s="10">
        <f>L19</f>
        <v>43293</v>
      </c>
      <c r="J19" s="10" t="str">
        <f t="shared" ref="J19" si="30">YEAR(I19)&amp;TEXT("-"&amp;MONTH(I19),"00")&amp;TEXT("-"&amp;DAY(I19),"00")</f>
        <v>2018-07-12</v>
      </c>
      <c r="K19" s="10" t="str">
        <f t="shared" ref="K19" ca="1" si="31">IF(TODAY()-DATEVALUE(J19)&lt;15,"weekly",IF(TODAY()-DATEVALUE(J19)&lt;60,"monthly","yearly"))</f>
        <v>weekly</v>
      </c>
      <c r="L19" s="3">
        <v>43293</v>
      </c>
      <c r="M19" s="13">
        <f t="shared" si="26"/>
        <v>12</v>
      </c>
      <c r="N19" s="6">
        <f t="shared" si="27"/>
        <v>7</v>
      </c>
      <c r="O19" s="6">
        <f t="shared" si="28"/>
        <v>2018</v>
      </c>
      <c r="P19" s="2" t="s">
        <v>25</v>
      </c>
      <c r="Q19" s="2" t="str">
        <f>Tags!$A$10&amp;", "&amp;Tags!$A$2&amp;", "&amp;Tags!$A$3</f>
        <v>Game, Platformer, Puzzle</v>
      </c>
      <c r="R19" s="2" t="s">
        <v>5</v>
      </c>
      <c r="S19" s="7" t="str">
        <f>A19&amp;".png"</f>
        <v>hastefulll.png</v>
      </c>
      <c r="T19" s="7" t="str">
        <f>"A level of the "&amp;A19&amp;" game."</f>
        <v>A level of the hastefulll game.</v>
      </c>
      <c r="U19" s="7" t="str">
        <f>"«"&amp;A19&amp;":MarkShort»"</f>
        <v>«hastefulll:MarkShort»</v>
      </c>
      <c r="V19" s="7" t="str">
        <f t="shared" ref="V19" si="32">IF(P19="Post","article",IF(P19="Game","game","website"))</f>
        <v>game</v>
      </c>
      <c r="X19" s="7" t="str">
        <f t="shared" ref="X19" si="33">"«SITE-HTTP»/"&amp;A19</f>
        <v>«SITE-HTTP»/hastefulll</v>
      </c>
      <c r="AC19" s="2" t="s">
        <v>136</v>
      </c>
      <c r="AD19" s="2" t="s">
        <v>148</v>
      </c>
      <c r="AE19" s="2" t="s">
        <v>144</v>
      </c>
      <c r="AF19" s="4" t="s">
        <v>147</v>
      </c>
    </row>
    <row r="20" spans="1:32" x14ac:dyDescent="0.35">
      <c r="A20" s="7" t="str">
        <f>SUBSTITUTE(LOWER(G20)," ","-")</f>
        <v>terms-of-use</v>
      </c>
      <c r="B20" s="2" t="s">
        <v>5</v>
      </c>
      <c r="D20" s="7" t="str">
        <f>$D$2</f>
        <v>«PAGE-POST-MD»</v>
      </c>
      <c r="F20" s="2" t="s">
        <v>37</v>
      </c>
      <c r="G20" s="2" t="s">
        <v>23</v>
      </c>
      <c r="H20" s="7" t="str">
        <f>"«"&amp;A20&amp;"»"</f>
        <v>«terms-of-use»</v>
      </c>
      <c r="I20" s="10">
        <f>L20</f>
        <v>43069</v>
      </c>
      <c r="J20" s="10" t="str">
        <f t="shared" si="8"/>
        <v>2017-11-30</v>
      </c>
      <c r="K20" s="10" t="str">
        <f ca="1">IF(TODAY()-DATEVALUE(J20)&lt;15,"weekly",IF(TODAY()-DATEVALUE(J20)&lt;60,"monthly","yearly"))</f>
        <v>yearly</v>
      </c>
      <c r="L20" s="3">
        <v>43069</v>
      </c>
      <c r="M20" s="13">
        <f t="shared" ref="M20" si="34">DAY(L20)</f>
        <v>30</v>
      </c>
      <c r="N20" s="6">
        <f t="shared" ref="N20" si="35">MONTH(L20)</f>
        <v>11</v>
      </c>
      <c r="O20" s="6">
        <f t="shared" si="13"/>
        <v>2017</v>
      </c>
      <c r="P20" s="2" t="s">
        <v>3</v>
      </c>
      <c r="Q20" s="2" t="str">
        <f>Tags!$A$6&amp;", "&amp;Tags!$A$4</f>
        <v>Creative-Archive, Post</v>
      </c>
      <c r="R20" s="2" t="s">
        <v>5</v>
      </c>
      <c r="S20" s="7" t="s">
        <v>45</v>
      </c>
      <c r="T20" s="7" t="str">
        <f>$T$9</f>
        <v>Octaflower, the Creative Archive's logo. A geometric lotus flower composed of eight rows of eight petals in rainbow progression.</v>
      </c>
      <c r="U20" s="7" t="str">
        <f>"«"&amp;A20&amp;":MarkShort»"</f>
        <v>«terms-of-use:MarkShort»</v>
      </c>
      <c r="V20" s="7" t="str">
        <f>IF(P20="Post","article",IF(P20="Game","game","website"))</f>
        <v>article</v>
      </c>
      <c r="X20" s="7" t="str">
        <f t="shared" ref="X20:X27" si="36">"«SITE-HTTP»/"&amp;A20</f>
        <v>«SITE-HTTP»/terms-of-use</v>
      </c>
    </row>
    <row r="21" spans="1:32" x14ac:dyDescent="0.35">
      <c r="A21" s="7" t="str">
        <f>SUBSTITUTE(LOWER(G21)," ","-")</f>
        <v>privacy-policy</v>
      </c>
      <c r="B21" s="2" t="s">
        <v>5</v>
      </c>
      <c r="D21" s="7" t="str">
        <f>$D$2</f>
        <v>«PAGE-POST-MD»</v>
      </c>
      <c r="F21" s="2" t="s">
        <v>37</v>
      </c>
      <c r="G21" s="2" t="s">
        <v>59</v>
      </c>
      <c r="H21" s="7" t="str">
        <f>"«"&amp;A21&amp;"»"</f>
        <v>«privacy-policy»</v>
      </c>
      <c r="I21" s="16">
        <v>43169</v>
      </c>
      <c r="J21" s="10" t="str">
        <f t="shared" si="8"/>
        <v>2018-03-10</v>
      </c>
      <c r="K21" s="10" t="str">
        <f t="shared" ref="K21:K35" ca="1" si="37">IF(TODAY()-DATEVALUE(J21)&lt;15,"weekly",IF(TODAY()-DATEVALUE(J21)&lt;60,"monthly","yearly"))</f>
        <v>yearly</v>
      </c>
      <c r="L21" s="3">
        <v>43141</v>
      </c>
      <c r="M21" s="13">
        <f t="shared" ref="M21" si="38">DAY(L21)</f>
        <v>10</v>
      </c>
      <c r="N21" s="6">
        <f t="shared" ref="N21" si="39">MONTH(L21)</f>
        <v>2</v>
      </c>
      <c r="O21" s="6">
        <f t="shared" si="13"/>
        <v>2018</v>
      </c>
      <c r="P21" s="2" t="s">
        <v>3</v>
      </c>
      <c r="Q21" s="2" t="str">
        <f>Tags!$A$6&amp;", "&amp;Tags!$A$4</f>
        <v>Creative-Archive, Post</v>
      </c>
      <c r="R21" s="2" t="s">
        <v>5</v>
      </c>
      <c r="S21" s="7" t="s">
        <v>45</v>
      </c>
      <c r="T21" s="7" t="str">
        <f>$T$9</f>
        <v>Octaflower, the Creative Archive's logo. A geometric lotus flower composed of eight rows of eight petals in rainbow progression.</v>
      </c>
      <c r="U21" s="7" t="str">
        <f>"«"&amp;A21&amp;":MarkShort»"</f>
        <v>«privacy-policy:MarkShort»</v>
      </c>
      <c r="V21" s="7" t="str">
        <f>IF(P21="Post","article",IF(P21="Game","game","website"))</f>
        <v>article</v>
      </c>
      <c r="X21" s="7" t="str">
        <f t="shared" si="36"/>
        <v>«SITE-HTTP»/privacy-policy</v>
      </c>
    </row>
    <row r="22" spans="1:32" x14ac:dyDescent="0.35">
      <c r="A22" s="7" t="str">
        <f>SUBSTITUTE(LOWER(G22)," ","-")</f>
        <v>posts-by-date</v>
      </c>
      <c r="B22" s="2" t="s">
        <v>5</v>
      </c>
      <c r="C22" s="2">
        <v>3</v>
      </c>
      <c r="D22" s="2" t="s">
        <v>22</v>
      </c>
      <c r="E22" s="2" t="s">
        <v>39</v>
      </c>
      <c r="F22" s="2" t="s">
        <v>38</v>
      </c>
      <c r="G22" s="2" t="s">
        <v>21</v>
      </c>
      <c r="I22" s="19"/>
      <c r="J22" s="24" t="str">
        <f>YEAR($J$10)&amp;TEXT("-"&amp;MONTH($J$10),"00")&amp;TEXT("-"&amp;DAY($J$10),"00")</f>
        <v>2018-03-02</v>
      </c>
      <c r="K22" s="10" t="str">
        <f ca="1">IF(TODAY()-DATEVALUE(J22)&lt;15,"weekly",IF(TODAY()-DATEVALUE(J22)&lt;60,"monthly","yearly"))</f>
        <v>yearly</v>
      </c>
      <c r="L22" s="20"/>
      <c r="M22" s="13"/>
      <c r="P22" s="2" t="s">
        <v>16</v>
      </c>
      <c r="Q22" s="2" t="str">
        <f>Tags!$A$11</f>
        <v>Sitemap</v>
      </c>
      <c r="S22" s="7" t="str">
        <f>$S$9</f>
        <v>logo.png</v>
      </c>
      <c r="T22" s="7" t="str">
        <f>$T$9</f>
        <v>Octaflower, the Creative Archive's logo. A geometric lotus flower composed of eight rows of eight petals in rainbow progression.</v>
      </c>
      <c r="U22" s="7" t="str">
        <f>"Archive of "&amp;G22</f>
        <v>Archive of Posts by date</v>
      </c>
      <c r="V22" s="7" t="str">
        <f>IF(P22="Post","article",IF(P22="Game","game","website"))</f>
        <v>website</v>
      </c>
      <c r="X22" s="7" t="str">
        <f t="shared" si="36"/>
        <v>«SITE-HTTP»/posts-by-date</v>
      </c>
    </row>
    <row r="23" spans="1:32" x14ac:dyDescent="0.35">
      <c r="A23" s="7" t="str">
        <f>SUBSTITUTE(LOWER(G23)," ","-")</f>
        <v>posts-by-tag</v>
      </c>
      <c r="B23" s="2" t="s">
        <v>5</v>
      </c>
      <c r="C23" s="2">
        <v>4</v>
      </c>
      <c r="D23" s="2" t="s">
        <v>22</v>
      </c>
      <c r="E23" s="2" t="s">
        <v>40</v>
      </c>
      <c r="F23" s="2" t="s">
        <v>38</v>
      </c>
      <c r="G23" s="2" t="s">
        <v>52</v>
      </c>
      <c r="I23" s="19"/>
      <c r="J23" s="24" t="str">
        <f>YEAR($J$10)&amp;TEXT("-"&amp;MONTH($J$10),"00")&amp;TEXT("-"&amp;DAY($J$10),"00")</f>
        <v>2018-03-02</v>
      </c>
      <c r="K23" s="10" t="str">
        <f ca="1">IF(TODAY()-DATEVALUE(J23)&lt;15,"weekly",IF(TODAY()-DATEVALUE(J23)&lt;60,"monthly","yearly"))</f>
        <v>yearly</v>
      </c>
      <c r="L23" s="20"/>
      <c r="M23" s="13"/>
      <c r="P23" s="2" t="s">
        <v>16</v>
      </c>
      <c r="Q23" s="2" t="str">
        <f>Tags!$A$11</f>
        <v>Sitemap</v>
      </c>
      <c r="S23" s="7" t="str">
        <f>$S$9</f>
        <v>logo.png</v>
      </c>
      <c r="T23" s="7" t="str">
        <f>$T$9</f>
        <v>Octaflower, the Creative Archive's logo. A geometric lotus flower composed of eight rows of eight petals in rainbow progression.</v>
      </c>
      <c r="U23" s="7" t="str">
        <f>"Archive of "&amp;G23</f>
        <v>Archive of Posts by tag</v>
      </c>
      <c r="V23" s="7" t="str">
        <f>IF(P23="Post","article",IF(P23="Game","game","website"))</f>
        <v>website</v>
      </c>
      <c r="X23" s="7" t="str">
        <f t="shared" si="36"/>
        <v>«SITE-HTTP»/posts-by-tag</v>
      </c>
    </row>
    <row r="24" spans="1:32" x14ac:dyDescent="0.35">
      <c r="A24" s="7" t="s">
        <v>132</v>
      </c>
      <c r="B24" s="2" t="s">
        <v>5</v>
      </c>
      <c r="C24" s="2">
        <v>5</v>
      </c>
      <c r="D24" s="2" t="s">
        <v>133</v>
      </c>
      <c r="E24" s="2" t="s">
        <v>139</v>
      </c>
      <c r="F24" s="2" t="s">
        <v>38</v>
      </c>
      <c r="G24" s="2" t="s">
        <v>24</v>
      </c>
      <c r="I24" s="10"/>
      <c r="J24" s="24" t="str">
        <f>YEAR($J$10)&amp;TEXT("-"&amp;MONTH($J$10),"00")&amp;TEXT("-"&amp;DAY($J$10),"00")</f>
        <v>2018-03-02</v>
      </c>
      <c r="K24" s="10" t="str">
        <f ca="1">IF(TODAY()-DATEVALUE(J24)&lt;15,"weekly",IF(TODAY()-DATEVALUE(J24)&lt;60,"monthly","yearly"))</f>
        <v>yearly</v>
      </c>
      <c r="L24" s="3">
        <v>43141</v>
      </c>
      <c r="M24" s="13">
        <f t="shared" ref="M24" si="40">DAY(L24)</f>
        <v>10</v>
      </c>
      <c r="N24" s="6">
        <f t="shared" ref="N24" si="41">MONTH(L24)</f>
        <v>2</v>
      </c>
      <c r="O24" s="6">
        <f t="shared" ref="O24" si="42">YEAR(L24)</f>
        <v>2018</v>
      </c>
      <c r="P24" s="2" t="s">
        <v>16</v>
      </c>
      <c r="Q24" s="2" t="s">
        <v>111</v>
      </c>
      <c r="R24" s="2" t="s">
        <v>5</v>
      </c>
      <c r="S24" s="7" t="s">
        <v>45</v>
      </c>
      <c r="T24" s="7" t="str">
        <f>$T$9</f>
        <v>Octaflower, the Creative Archive's logo. A geometric lotus flower composed of eight rows of eight petals in rainbow progression.</v>
      </c>
      <c r="U24" s="7" t="str">
        <f>"Archive of "&amp;G24</f>
        <v>Archive of Games</v>
      </c>
      <c r="V24" s="7" t="str">
        <f>IF(P24="Post","article",IF(P24="Game","game","website"))</f>
        <v>website</v>
      </c>
      <c r="X24" s="7" t="str">
        <f t="shared" si="36"/>
        <v>«SITE-HTTP»/games</v>
      </c>
    </row>
    <row r="25" spans="1:32" x14ac:dyDescent="0.35">
      <c r="A25" s="7" t="s">
        <v>94</v>
      </c>
      <c r="B25" s="2" t="s">
        <v>5</v>
      </c>
      <c r="D25" s="2" t="s">
        <v>95</v>
      </c>
      <c r="M25" s="14"/>
      <c r="W25" s="9" t="s">
        <v>96</v>
      </c>
      <c r="X25" s="9" t="str">
        <f t="shared" si="36"/>
        <v>«SITE-HTTP»/robots</v>
      </c>
    </row>
    <row r="26" spans="1:32" x14ac:dyDescent="0.35">
      <c r="A26" s="7" t="s">
        <v>93</v>
      </c>
      <c r="B26" s="2" t="s">
        <v>6</v>
      </c>
      <c r="D26" s="2" t="s">
        <v>98</v>
      </c>
      <c r="E26" s="2" t="s">
        <v>99</v>
      </c>
      <c r="M26" s="14"/>
      <c r="W26" s="9" t="s">
        <v>88</v>
      </c>
      <c r="X26" s="9" t="str">
        <f t="shared" si="36"/>
        <v>«SITE-HTTP»/sitemap</v>
      </c>
    </row>
    <row r="27" spans="1:32" x14ac:dyDescent="0.35">
      <c r="A27" s="7" t="s">
        <v>86</v>
      </c>
      <c r="B27" s="2" t="s">
        <v>6</v>
      </c>
      <c r="D27" s="2" t="s">
        <v>89</v>
      </c>
      <c r="I27" s="19"/>
      <c r="J27" s="24" t="str">
        <f>YEAR($J$10)&amp;TEXT("-"&amp;MONTH($J$10),"00")&amp;TEXT("-"&amp;DAY($J$10),"00")</f>
        <v>2018-03-02</v>
      </c>
      <c r="K27" s="10" t="str">
        <f t="shared" ref="K27" ca="1" si="43">IF(TODAY()-DATEVALUE(J27)&lt;15,"weekly",IF(TODAY()-DATEVALUE(J27)&lt;60,"monthly","yearly"))</f>
        <v>yearly</v>
      </c>
      <c r="L27" s="21"/>
      <c r="M27" s="14"/>
      <c r="W27" s="9" t="s">
        <v>88</v>
      </c>
      <c r="X27" s="9" t="str">
        <f t="shared" si="36"/>
        <v>«SITE-HTTP»/rss</v>
      </c>
    </row>
    <row r="28" spans="1:32" x14ac:dyDescent="0.35">
      <c r="A28" s="11" t="str">
        <f>"tag-"&amp;SUBSTITUTE(Tags!$A2," ","-")</f>
        <v>tag-Platformer</v>
      </c>
      <c r="B28" s="25" t="str">
        <f>Tags!$B2</f>
        <v>Yes</v>
      </c>
      <c r="C28" s="25"/>
      <c r="D28" s="11" t="str">
        <f>D$33</f>
        <v>«PAGE-FEATURED-EMPTY»</v>
      </c>
      <c r="E28" s="11" t="str">
        <f>$E$33</f>
        <v>«FEATURED-ITEM:Filter{"Tags"-&gt;_?(StringMatchQ[#,___~~"«POST:Load»"~~___]&amp;),"Type"-&gt;_,"Day"-&gt;_?NumberQ,"Month"-&gt;_?NumberQ,"Year"-&gt;_?NumberQ}»</v>
      </c>
      <c r="F28" s="12" t="s">
        <v>38</v>
      </c>
      <c r="G28" s="11" t="str">
        <f>"All"&amp;" "&amp;H28&amp;"s"</f>
        <v>All Platformers</v>
      </c>
      <c r="H28" s="11" t="str">
        <f>Tags!$A2</f>
        <v>Platformer</v>
      </c>
      <c r="I28" s="22"/>
      <c r="J28" s="22" t="str">
        <f t="shared" ref="J28:J39" si="44">YEAR($J$10)&amp;TEXT("-"&amp;MONTH($J$10),"00")&amp;TEXT("-"&amp;DAY($J$10),"00")</f>
        <v>2018-03-02</v>
      </c>
      <c r="K28" s="22" t="str">
        <f t="shared" ca="1" si="37"/>
        <v>yearly</v>
      </c>
      <c r="L28" s="29">
        <v>41773</v>
      </c>
      <c r="M28" s="15">
        <f t="shared" ref="M28:M38" si="45">DAY(L28)</f>
        <v>14</v>
      </c>
      <c r="N28" s="30">
        <f t="shared" ref="N28:N38" si="46">MONTH(L28)</f>
        <v>5</v>
      </c>
      <c r="O28" s="30">
        <f t="shared" ref="O28:O38" si="47">YEAR(L28)</f>
        <v>2014</v>
      </c>
      <c r="P28" s="12" t="s">
        <v>20</v>
      </c>
      <c r="Q28" s="25" t="str">
        <f>Tags!$A$12</f>
        <v>Class</v>
      </c>
      <c r="R28" s="12"/>
      <c r="S28" s="11" t="s">
        <v>45</v>
      </c>
      <c r="T28" s="11" t="str">
        <f>$T$9</f>
        <v>Octaflower, the Creative Archive's logo. A geometric lotus flower composed of eight rows of eight petals in rainbow progression.</v>
      </c>
      <c r="U28" s="11" t="str">
        <f>"All content classified under "&amp;H28</f>
        <v>All content classified under Platformer</v>
      </c>
      <c r="V28" s="12"/>
      <c r="W28" s="11"/>
      <c r="X28" s="11" t="str">
        <f t="shared" ref="X28:X39" si="48">"«SITE-HTTP»/"&amp;A28</f>
        <v>«SITE-HTTP»/tag-Platformer</v>
      </c>
      <c r="Y28" s="12"/>
      <c r="Z28" s="12"/>
      <c r="AA28" s="12"/>
      <c r="AB28" s="12"/>
      <c r="AC28" s="12"/>
      <c r="AD28" s="12"/>
      <c r="AE28" s="12"/>
      <c r="AF28" s="12"/>
    </row>
    <row r="29" spans="1:32" x14ac:dyDescent="0.35">
      <c r="A29" s="11" t="str">
        <f>"tag-"&amp;SUBSTITUTE(Tags!$A3," ","-")</f>
        <v>tag-Puzzle</v>
      </c>
      <c r="B29" s="25" t="str">
        <f>Tags!$B3</f>
        <v>Yes</v>
      </c>
      <c r="C29" s="25"/>
      <c r="D29" s="11" t="str">
        <f>D$33</f>
        <v>«PAGE-FEATURED-EMPTY»</v>
      </c>
      <c r="E29" s="11" t="str">
        <f>$E$33</f>
        <v>«FEATURED-ITEM:Filter{"Tags"-&gt;_?(StringMatchQ[#,___~~"«POST:Load»"~~___]&amp;),"Type"-&gt;_,"Day"-&gt;_?NumberQ,"Month"-&gt;_?NumberQ,"Year"-&gt;_?NumberQ}»</v>
      </c>
      <c r="F29" s="25" t="str">
        <f>F$28</f>
        <v>archive</v>
      </c>
      <c r="G29" s="11" t="str">
        <f>"All"&amp;" "&amp;H29&amp;"s"</f>
        <v>All Puzzles</v>
      </c>
      <c r="H29" s="11" t="str">
        <f>Tags!$A3</f>
        <v>Puzzle</v>
      </c>
      <c r="I29" s="22"/>
      <c r="J29" s="22" t="str">
        <f t="shared" si="44"/>
        <v>2018-03-02</v>
      </c>
      <c r="K29" s="22" t="str">
        <f t="shared" ca="1" si="37"/>
        <v>yearly</v>
      </c>
      <c r="L29" s="29">
        <v>41773</v>
      </c>
      <c r="M29" s="15">
        <f t="shared" si="45"/>
        <v>14</v>
      </c>
      <c r="N29" s="30">
        <f t="shared" si="46"/>
        <v>5</v>
      </c>
      <c r="O29" s="30">
        <f t="shared" si="47"/>
        <v>2014</v>
      </c>
      <c r="P29" s="25" t="str">
        <f>$P$28</f>
        <v>Tag</v>
      </c>
      <c r="Q29" s="25" t="str">
        <f>Tags!$A$12</f>
        <v>Class</v>
      </c>
      <c r="R29" s="12"/>
      <c r="S29" s="11" t="s">
        <v>45</v>
      </c>
      <c r="T29" s="11" t="str">
        <f t="shared" ref="T29:T39" si="49">$T$9</f>
        <v>Octaflower, the Creative Archive's logo. A geometric lotus flower composed of eight rows of eight petals in rainbow progression.</v>
      </c>
      <c r="U29" s="11" t="str">
        <f t="shared" ref="U29:U38" si="50">"All content classified under "&amp;H29</f>
        <v>All content classified under Puzzle</v>
      </c>
      <c r="V29" s="12"/>
      <c r="W29" s="11"/>
      <c r="X29" s="11" t="str">
        <f t="shared" si="48"/>
        <v>«SITE-HTTP»/tag-Puzzle</v>
      </c>
      <c r="Y29" s="12"/>
      <c r="Z29" s="12"/>
      <c r="AA29" s="12"/>
      <c r="AB29" s="12"/>
      <c r="AC29" s="12"/>
      <c r="AD29" s="12"/>
      <c r="AE29" s="12"/>
      <c r="AF29" s="12"/>
    </row>
    <row r="30" spans="1:32" x14ac:dyDescent="0.35">
      <c r="A30" s="11" t="str">
        <f>"tag-"&amp;SUBSTITUTE(Tags!$A4," ","-")</f>
        <v>tag-Post</v>
      </c>
      <c r="B30" s="25" t="str">
        <f>Tags!$B4</f>
        <v>No</v>
      </c>
      <c r="C30" s="25"/>
      <c r="D30" s="12" t="s">
        <v>22</v>
      </c>
      <c r="E30" s="12" t="s">
        <v>109</v>
      </c>
      <c r="F30" s="25" t="str">
        <f t="shared" ref="F30:F39" si="51">F$28</f>
        <v>archive</v>
      </c>
      <c r="G30" s="11" t="str">
        <f>"All"&amp;" "&amp;H30&amp;"s"</f>
        <v>All Posts</v>
      </c>
      <c r="H30" s="11" t="str">
        <f>Tags!$A4</f>
        <v>Post</v>
      </c>
      <c r="I30" s="22"/>
      <c r="J30" s="22" t="str">
        <f t="shared" si="44"/>
        <v>2018-03-02</v>
      </c>
      <c r="K30" s="22" t="str">
        <f t="shared" ca="1" si="37"/>
        <v>yearly</v>
      </c>
      <c r="L30" s="29">
        <v>43070</v>
      </c>
      <c r="M30" s="15">
        <f t="shared" si="45"/>
        <v>1</v>
      </c>
      <c r="N30" s="30">
        <f t="shared" si="46"/>
        <v>12</v>
      </c>
      <c r="O30" s="30">
        <f t="shared" si="47"/>
        <v>2017</v>
      </c>
      <c r="P30" s="25" t="str">
        <f t="shared" ref="P30:P39" si="52">$P$28</f>
        <v>Tag</v>
      </c>
      <c r="Q30" s="25" t="str">
        <f>Tags!$A$12</f>
        <v>Class</v>
      </c>
      <c r="R30" s="12"/>
      <c r="S30" s="11" t="s">
        <v>45</v>
      </c>
      <c r="T30" s="11" t="str">
        <f t="shared" si="49"/>
        <v>Octaflower, the Creative Archive's logo. A geometric lotus flower composed of eight rows of eight petals in rainbow progression.</v>
      </c>
      <c r="U30" s="11" t="str">
        <f t="shared" si="50"/>
        <v>All content classified under Post</v>
      </c>
      <c r="V30" s="12"/>
      <c r="W30" s="11"/>
      <c r="X30" s="11" t="str">
        <f t="shared" si="48"/>
        <v>«SITE-HTTP»/tag-Post</v>
      </c>
      <c r="Y30" s="12"/>
      <c r="Z30" s="12"/>
      <c r="AA30" s="12"/>
      <c r="AB30" s="12"/>
      <c r="AC30" s="12"/>
      <c r="AD30" s="12"/>
      <c r="AE30" s="12"/>
      <c r="AF30" s="12"/>
    </row>
    <row r="31" spans="1:32" x14ac:dyDescent="0.35">
      <c r="A31" s="11" t="str">
        <f>"tag-"&amp;SUBSTITUTE(Tags!$A5," ","-")</f>
        <v>tag-Finance</v>
      </c>
      <c r="B31" s="25" t="str">
        <f>Tags!$B5</f>
        <v>No</v>
      </c>
      <c r="C31" s="25"/>
      <c r="D31" s="11" t="str">
        <f>$D$30</f>
        <v>«PAGE-SIMPLE»</v>
      </c>
      <c r="E31" s="11" t="str">
        <f>$E$30</f>
        <v>«TAGSELECT:Filter{"Tags"-&gt;_?(StringMatchQ[#,___~~"«POST:Load»"~~___]&amp;),"Type"-&gt;_,"Day"-&gt;_?NumberQ,"Month"-&gt;_?NumberQ,"Year"-&gt;_?NumberQ}»</v>
      </c>
      <c r="F31" s="25" t="str">
        <f t="shared" si="51"/>
        <v>archive</v>
      </c>
      <c r="G31" s="11" t="str">
        <f>"Classed as '"&amp;Tags!$A5&amp;"'"</f>
        <v>Classed as 'Finance'</v>
      </c>
      <c r="H31" s="11" t="str">
        <f>Tags!$A5</f>
        <v>Finance</v>
      </c>
      <c r="I31" s="22"/>
      <c r="J31" s="22" t="str">
        <f t="shared" si="44"/>
        <v>2018-03-02</v>
      </c>
      <c r="K31" s="22" t="str">
        <f t="shared" ca="1" si="37"/>
        <v>yearly</v>
      </c>
      <c r="L31" s="29">
        <v>43139</v>
      </c>
      <c r="M31" s="15">
        <f t="shared" si="45"/>
        <v>8</v>
      </c>
      <c r="N31" s="30">
        <f t="shared" si="46"/>
        <v>2</v>
      </c>
      <c r="O31" s="30">
        <f t="shared" si="47"/>
        <v>2018</v>
      </c>
      <c r="P31" s="25" t="str">
        <f t="shared" si="52"/>
        <v>Tag</v>
      </c>
      <c r="Q31" s="25" t="str">
        <f>Tags!$A$12</f>
        <v>Class</v>
      </c>
      <c r="R31" s="12"/>
      <c r="S31" s="11" t="s">
        <v>45</v>
      </c>
      <c r="T31" s="11" t="str">
        <f t="shared" si="49"/>
        <v>Octaflower, the Creative Archive's logo. A geometric lotus flower composed of eight rows of eight petals in rainbow progression.</v>
      </c>
      <c r="U31" s="11" t="str">
        <f t="shared" si="50"/>
        <v>All content classified under Finance</v>
      </c>
      <c r="V31" s="12"/>
      <c r="W31" s="11"/>
      <c r="X31" s="11" t="str">
        <f t="shared" si="48"/>
        <v>«SITE-HTTP»/tag-Finance</v>
      </c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11" t="str">
        <f>"tag-"&amp;SUBSTITUTE(Tags!$A6," ","-")</f>
        <v>tag-Creative-Archive</v>
      </c>
      <c r="B32" s="25" t="str">
        <f>Tags!$B6</f>
        <v>Yes</v>
      </c>
      <c r="C32" s="25"/>
      <c r="D32" s="11" t="str">
        <f>$D$30</f>
        <v>«PAGE-SIMPLE»</v>
      </c>
      <c r="E32" s="11" t="str">
        <f>$E$30</f>
        <v>«TAGSELECT:Filter{"Tags"-&gt;_?(StringMatchQ[#,___~~"«POST:Load»"~~___]&amp;),"Type"-&gt;_,"Day"-&gt;_?NumberQ,"Month"-&gt;_?NumberQ,"Year"-&gt;_?NumberQ}»</v>
      </c>
      <c r="F32" s="25" t="str">
        <f t="shared" si="51"/>
        <v>archive</v>
      </c>
      <c r="G32" s="11" t="str">
        <f>"Classed as '"&amp;Tags!$A6&amp;"'"</f>
        <v>Classed as 'Creative-Archive'</v>
      </c>
      <c r="H32" s="11" t="str">
        <f>Tags!$A6</f>
        <v>Creative-Archive</v>
      </c>
      <c r="I32" s="22"/>
      <c r="J32" s="22" t="str">
        <f t="shared" si="44"/>
        <v>2018-03-02</v>
      </c>
      <c r="K32" s="22" t="str">
        <f t="shared" ca="1" si="37"/>
        <v>yearly</v>
      </c>
      <c r="L32" s="29">
        <v>43069</v>
      </c>
      <c r="M32" s="15">
        <f t="shared" si="45"/>
        <v>30</v>
      </c>
      <c r="N32" s="30">
        <f t="shared" si="46"/>
        <v>11</v>
      </c>
      <c r="O32" s="30">
        <f t="shared" si="47"/>
        <v>2017</v>
      </c>
      <c r="P32" s="25" t="str">
        <f t="shared" si="52"/>
        <v>Tag</v>
      </c>
      <c r="Q32" s="25" t="str">
        <f>Tags!$A$12</f>
        <v>Class</v>
      </c>
      <c r="R32" s="12"/>
      <c r="S32" s="11" t="s">
        <v>45</v>
      </c>
      <c r="T32" s="11" t="str">
        <f t="shared" si="49"/>
        <v>Octaflower, the Creative Archive's logo. A geometric lotus flower composed of eight rows of eight petals in rainbow progression.</v>
      </c>
      <c r="U32" s="11" t="str">
        <f t="shared" si="50"/>
        <v>All content classified under Creative-Archive</v>
      </c>
      <c r="V32" s="12"/>
      <c r="W32" s="11"/>
      <c r="X32" s="11" t="str">
        <f t="shared" si="48"/>
        <v>«SITE-HTTP»/tag-Creative-Archive</v>
      </c>
      <c r="Y32" s="12"/>
      <c r="Z32" s="12"/>
      <c r="AA32" s="12"/>
      <c r="AB32" s="12"/>
      <c r="AC32" s="12"/>
      <c r="AD32" s="12"/>
      <c r="AE32" s="12"/>
      <c r="AF32" s="12"/>
    </row>
    <row r="33" spans="1:32" x14ac:dyDescent="0.35">
      <c r="A33" s="11" t="str">
        <f>"tag-"&amp;SUBSTITUTE(Tags!$A7," ","-")</f>
        <v>tag-Mosaic</v>
      </c>
      <c r="B33" s="25" t="str">
        <f>Tags!$B7</f>
        <v>No</v>
      </c>
      <c r="C33" s="25">
        <v>6</v>
      </c>
      <c r="D33" s="12" t="s">
        <v>115</v>
      </c>
      <c r="E33" s="12" t="s">
        <v>114</v>
      </c>
      <c r="F33" s="25" t="str">
        <f t="shared" si="51"/>
        <v>archive</v>
      </c>
      <c r="G33" s="11" t="str">
        <f>H33&amp;"s"</f>
        <v>Mosaics</v>
      </c>
      <c r="H33" s="11" t="str">
        <f>Tags!$A7</f>
        <v>Mosaic</v>
      </c>
      <c r="I33" s="22"/>
      <c r="J33" s="22" t="str">
        <f t="shared" si="44"/>
        <v>2018-03-02</v>
      </c>
      <c r="K33" s="22" t="str">
        <f t="shared" ca="1" si="37"/>
        <v>yearly</v>
      </c>
      <c r="L33" s="29">
        <v>43018</v>
      </c>
      <c r="M33" s="15">
        <f t="shared" si="45"/>
        <v>10</v>
      </c>
      <c r="N33" s="30">
        <f t="shared" si="46"/>
        <v>10</v>
      </c>
      <c r="O33" s="30">
        <f t="shared" si="47"/>
        <v>2017</v>
      </c>
      <c r="P33" s="25" t="str">
        <f t="shared" si="52"/>
        <v>Tag</v>
      </c>
      <c r="Q33" s="25" t="str">
        <f>Tags!$A$12</f>
        <v>Class</v>
      </c>
      <c r="R33" s="12"/>
      <c r="S33" s="11" t="s">
        <v>45</v>
      </c>
      <c r="T33" s="11" t="str">
        <f t="shared" si="49"/>
        <v>Octaflower, the Creative Archive's logo. A geometric lotus flower composed of eight rows of eight petals in rainbow progression.</v>
      </c>
      <c r="U33" s="11" t="str">
        <f t="shared" si="50"/>
        <v>All content classified under Mosaic</v>
      </c>
      <c r="V33" s="12"/>
      <c r="W33" s="11"/>
      <c r="X33" s="11" t="str">
        <f t="shared" si="48"/>
        <v>«SITE-HTTP»/tag-Mosaic</v>
      </c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11" t="str">
        <f>"tag-"&amp;SUBSTITUTE(Tags!$A8," ","-")</f>
        <v>tag-Travel</v>
      </c>
      <c r="B34" s="25" t="str">
        <f>Tags!$B8</f>
        <v>No</v>
      </c>
      <c r="C34" s="25"/>
      <c r="D34" s="11" t="str">
        <f>$D$30</f>
        <v>«PAGE-SIMPLE»</v>
      </c>
      <c r="E34" s="11" t="str">
        <f>$E$30</f>
        <v>«TAGSELECT:Filter{"Tags"-&gt;_?(StringMatchQ[#,___~~"«POST:Load»"~~___]&amp;),"Type"-&gt;_,"Day"-&gt;_?NumberQ,"Month"-&gt;_?NumberQ,"Year"-&gt;_?NumberQ}»</v>
      </c>
      <c r="F34" s="25" t="str">
        <f t="shared" si="51"/>
        <v>archive</v>
      </c>
      <c r="G34" s="11" t="str">
        <f>"Classed as '"&amp;Tags!$A8&amp;"'"</f>
        <v>Classed as 'Travel'</v>
      </c>
      <c r="H34" s="11" t="str">
        <f>Tags!$A8</f>
        <v>Travel</v>
      </c>
      <c r="I34" s="22"/>
      <c r="J34" s="22" t="str">
        <f t="shared" si="44"/>
        <v>2018-03-02</v>
      </c>
      <c r="K34" s="22" t="str">
        <f t="shared" ca="1" si="37"/>
        <v>yearly</v>
      </c>
      <c r="L34" s="29">
        <v>43018</v>
      </c>
      <c r="M34" s="15">
        <f t="shared" si="45"/>
        <v>10</v>
      </c>
      <c r="N34" s="30">
        <f t="shared" si="46"/>
        <v>10</v>
      </c>
      <c r="O34" s="30">
        <f t="shared" si="47"/>
        <v>2017</v>
      </c>
      <c r="P34" s="25" t="str">
        <f t="shared" si="52"/>
        <v>Tag</v>
      </c>
      <c r="Q34" s="25" t="str">
        <f>Tags!$A$12</f>
        <v>Class</v>
      </c>
      <c r="R34" s="12"/>
      <c r="S34" s="11" t="s">
        <v>45</v>
      </c>
      <c r="T34" s="11" t="str">
        <f t="shared" si="49"/>
        <v>Octaflower, the Creative Archive's logo. A geometric lotus flower composed of eight rows of eight petals in rainbow progression.</v>
      </c>
      <c r="U34" s="11" t="str">
        <f t="shared" si="50"/>
        <v>All content classified under Travel</v>
      </c>
      <c r="V34" s="12"/>
      <c r="W34" s="11"/>
      <c r="X34" s="11" t="str">
        <f t="shared" si="48"/>
        <v>«SITE-HTTP»/tag-Travel</v>
      </c>
      <c r="Y34" s="12"/>
      <c r="Z34" s="12"/>
      <c r="AA34" s="12"/>
      <c r="AB34" s="12"/>
      <c r="AC34" s="12"/>
      <c r="AD34" s="12"/>
      <c r="AE34" s="12"/>
      <c r="AF34" s="12"/>
    </row>
    <row r="35" spans="1:32" x14ac:dyDescent="0.35">
      <c r="A35" s="11" t="str">
        <f>"tag-"&amp;SUBSTITUTE(Tags!$A9," ","-")</f>
        <v>tag-Wallpaper</v>
      </c>
      <c r="B35" s="25" t="str">
        <f>Tags!$B9</f>
        <v>No</v>
      </c>
      <c r="C35" s="25"/>
      <c r="D35" s="11" t="str">
        <f>D$33</f>
        <v>«PAGE-FEATURED-EMPTY»</v>
      </c>
      <c r="E35" s="11" t="str">
        <f>E$33</f>
        <v>«FEATURED-ITEM:Filter{"Tags"-&gt;_?(StringMatchQ[#,___~~"«POST:Load»"~~___]&amp;),"Type"-&gt;_,"Day"-&gt;_?NumberQ,"Month"-&gt;_?NumberQ,"Year"-&gt;_?NumberQ}»</v>
      </c>
      <c r="F35" s="25" t="str">
        <f t="shared" si="51"/>
        <v>archive</v>
      </c>
      <c r="G35" s="11" t="str">
        <f>"All"&amp;" "&amp;H35&amp;"s"</f>
        <v>All Wallpapers</v>
      </c>
      <c r="H35" s="11" t="str">
        <f>Tags!$A9</f>
        <v>Wallpaper</v>
      </c>
      <c r="I35" s="22"/>
      <c r="J35" s="22" t="str">
        <f t="shared" si="44"/>
        <v>2018-03-02</v>
      </c>
      <c r="K35" s="22" t="str">
        <f t="shared" ca="1" si="37"/>
        <v>yearly</v>
      </c>
      <c r="L35" s="29">
        <v>43018</v>
      </c>
      <c r="M35" s="15">
        <f t="shared" si="45"/>
        <v>10</v>
      </c>
      <c r="N35" s="30">
        <f t="shared" si="46"/>
        <v>10</v>
      </c>
      <c r="O35" s="30">
        <f t="shared" si="47"/>
        <v>2017</v>
      </c>
      <c r="P35" s="25" t="str">
        <f t="shared" si="52"/>
        <v>Tag</v>
      </c>
      <c r="Q35" s="25" t="str">
        <f>Tags!$A$12</f>
        <v>Class</v>
      </c>
      <c r="R35" s="12"/>
      <c r="S35" s="11" t="s">
        <v>45</v>
      </c>
      <c r="T35" s="11" t="str">
        <f t="shared" si="49"/>
        <v>Octaflower, the Creative Archive's logo. A geometric lotus flower composed of eight rows of eight petals in rainbow progression.</v>
      </c>
      <c r="U35" s="11" t="str">
        <f t="shared" si="50"/>
        <v>All content classified under Wallpaper</v>
      </c>
      <c r="V35" s="12"/>
      <c r="W35" s="11"/>
      <c r="X35" s="11" t="str">
        <f t="shared" si="48"/>
        <v>«SITE-HTTP»/tag-Wallpaper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"tag-"&amp;SUBSTITUTE(Tags!$A10," ","-")</f>
        <v>tag-Game</v>
      </c>
      <c r="B36" s="25" t="str">
        <f>Tags!$B10</f>
        <v>Yes</v>
      </c>
      <c r="C36" s="25"/>
      <c r="D36" s="11" t="str">
        <f>D$33</f>
        <v>«PAGE-FEATURED-EMPTY»</v>
      </c>
      <c r="E36" s="11" t="str">
        <f>$E$33</f>
        <v>«FEATURED-ITEM:Filter{"Tags"-&gt;_?(StringMatchQ[#,___~~"«POST:Load»"~~___]&amp;),"Type"-&gt;_,"Day"-&gt;_?NumberQ,"Month"-&gt;_?NumberQ,"Year"-&gt;_?NumberQ}»</v>
      </c>
      <c r="F36" s="25" t="str">
        <f t="shared" si="51"/>
        <v>archive</v>
      </c>
      <c r="G36" s="11" t="str">
        <f>"All"&amp;" "&amp;H36&amp;"s"</f>
        <v>All Games</v>
      </c>
      <c r="H36" s="11" t="str">
        <f>Tags!$A10</f>
        <v>Game</v>
      </c>
      <c r="I36" s="22"/>
      <c r="J36" s="22" t="str">
        <f t="shared" si="44"/>
        <v>2018-03-02</v>
      </c>
      <c r="K36" s="22" t="str">
        <f t="shared" ref="K36" ca="1" si="53">IF(TODAY()-DATEVALUE(J36)&lt;15,"weekly",IF(TODAY()-DATEVALUE(J36)&lt;60,"monthly","yearly"))</f>
        <v>yearly</v>
      </c>
      <c r="L36" s="29">
        <v>41773</v>
      </c>
      <c r="M36" s="15">
        <f t="shared" si="45"/>
        <v>14</v>
      </c>
      <c r="N36" s="30">
        <f t="shared" si="46"/>
        <v>5</v>
      </c>
      <c r="O36" s="30">
        <f t="shared" si="47"/>
        <v>2014</v>
      </c>
      <c r="P36" s="25" t="str">
        <f t="shared" si="52"/>
        <v>Tag</v>
      </c>
      <c r="Q36" s="25" t="str">
        <f>Tags!$A$12</f>
        <v>Class</v>
      </c>
      <c r="R36" s="12"/>
      <c r="S36" s="11" t="s">
        <v>45</v>
      </c>
      <c r="T36" s="11" t="str">
        <f t="shared" si="49"/>
        <v>Octaflower, the Creative Archive's logo. A geometric lotus flower composed of eight rows of eight petals in rainbow progression.</v>
      </c>
      <c r="U36" s="11" t="str">
        <f t="shared" si="50"/>
        <v>All content classified under Game</v>
      </c>
      <c r="V36" s="12"/>
      <c r="W36" s="11"/>
      <c r="X36" s="11" t="str">
        <f t="shared" si="48"/>
        <v>«SITE-HTTP»/tag-Game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"tag-"&amp;SUBSTITUTE(Tags!$A11," ","-")</f>
        <v>tag-Sitemap</v>
      </c>
      <c r="B37" s="25" t="str">
        <f>Tags!$B11</f>
        <v>Yes</v>
      </c>
      <c r="C37" s="25"/>
      <c r="D37" s="11" t="str">
        <f>$D$30</f>
        <v>«PAGE-SIMPLE»</v>
      </c>
      <c r="E37" s="11" t="str">
        <f>$E$30</f>
        <v>«TAGSELECT:Filter{"Tags"-&gt;_?(StringMatchQ[#,___~~"«POST:Load»"~~___]&amp;),"Type"-&gt;_,"Day"-&gt;_?NumberQ,"Month"-&gt;_?NumberQ,"Year"-&gt;_?NumberQ}»</v>
      </c>
      <c r="F37" s="25" t="str">
        <f t="shared" si="51"/>
        <v>archive</v>
      </c>
      <c r="G37" s="11" t="str">
        <f>"Classed as '"&amp;Tags!$A11&amp;"'"</f>
        <v>Classed as 'Sitemap'</v>
      </c>
      <c r="H37" s="11" t="str">
        <f>Tags!$A11</f>
        <v>Sitemap</v>
      </c>
      <c r="I37" s="22"/>
      <c r="J37" s="22" t="str">
        <f t="shared" si="44"/>
        <v>2018-03-02</v>
      </c>
      <c r="K37" s="22" t="str">
        <f t="shared" ref="K37" ca="1" si="54">IF(TODAY()-DATEVALUE(J37)&lt;15,"weekly",IF(TODAY()-DATEVALUE(J37)&lt;60,"monthly","yearly"))</f>
        <v>yearly</v>
      </c>
      <c r="L37" s="29">
        <v>43070</v>
      </c>
      <c r="M37" s="15">
        <f t="shared" si="45"/>
        <v>1</v>
      </c>
      <c r="N37" s="30">
        <f t="shared" si="46"/>
        <v>12</v>
      </c>
      <c r="O37" s="30">
        <f t="shared" si="47"/>
        <v>2017</v>
      </c>
      <c r="P37" s="25" t="str">
        <f t="shared" si="52"/>
        <v>Tag</v>
      </c>
      <c r="Q37" s="25" t="str">
        <f>Tags!$A$12</f>
        <v>Class</v>
      </c>
      <c r="R37" s="12"/>
      <c r="S37" s="11" t="s">
        <v>45</v>
      </c>
      <c r="T37" s="11" t="str">
        <f t="shared" si="49"/>
        <v>Octaflower, the Creative Archive's logo. A geometric lotus flower composed of eight rows of eight petals in rainbow progression.</v>
      </c>
      <c r="U37" s="11" t="str">
        <f t="shared" si="50"/>
        <v>All content classified under Sitemap</v>
      </c>
      <c r="V37" s="12"/>
      <c r="W37" s="11"/>
      <c r="X37" s="11" t="str">
        <f t="shared" si="48"/>
        <v>«SITE-HTTP»/tag-Sitemap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"tag-"&amp;SUBSTITUTE(Tags!$A12," ","-")</f>
        <v>tag-Class</v>
      </c>
      <c r="B38" s="25" t="str">
        <f>Tags!$B12</f>
        <v>No</v>
      </c>
      <c r="C38" s="25"/>
      <c r="D38" s="11" t="str">
        <f>$D$30</f>
        <v>«PAGE-SIMPLE»</v>
      </c>
      <c r="E38" s="11" t="str">
        <f>$E$30</f>
        <v>«TAGSELECT:Filter{"Tags"-&gt;_?(StringMatchQ[#,___~~"«POST:Load»"~~___]&amp;),"Type"-&gt;_,"Day"-&gt;_?NumberQ,"Month"-&gt;_?NumberQ,"Year"-&gt;_?NumberQ}»</v>
      </c>
      <c r="F38" s="25" t="str">
        <f t="shared" si="51"/>
        <v>archive</v>
      </c>
      <c r="G38" s="11" t="str">
        <f>"All"&amp;" "&amp;H38&amp;"es"</f>
        <v>All Classes</v>
      </c>
      <c r="H38" s="11" t="str">
        <f>Tags!$A12</f>
        <v>Class</v>
      </c>
      <c r="I38" s="22"/>
      <c r="J38" s="22" t="str">
        <f t="shared" si="44"/>
        <v>2018-03-02</v>
      </c>
      <c r="K38" s="22" t="str">
        <f t="shared" ref="K38" ca="1" si="55">IF(TODAY()-DATEVALUE(J38)&lt;15,"weekly",IF(TODAY()-DATEVALUE(J38)&lt;60,"monthly","yearly"))</f>
        <v>yearly</v>
      </c>
      <c r="L38" s="29">
        <v>41773</v>
      </c>
      <c r="M38" s="15">
        <f t="shared" si="45"/>
        <v>14</v>
      </c>
      <c r="N38" s="30">
        <f t="shared" si="46"/>
        <v>5</v>
      </c>
      <c r="O38" s="30">
        <f t="shared" si="47"/>
        <v>2014</v>
      </c>
      <c r="P38" s="25" t="str">
        <f t="shared" si="52"/>
        <v>Tag</v>
      </c>
      <c r="Q38" s="25" t="str">
        <f>Tags!$A$12</f>
        <v>Class</v>
      </c>
      <c r="R38" s="12"/>
      <c r="S38" s="11" t="s">
        <v>45</v>
      </c>
      <c r="T38" s="11" t="str">
        <f t="shared" si="49"/>
        <v>Octaflower, the Creative Archive's logo. A geometric lotus flower composed of eight rows of eight petals in rainbow progression.</v>
      </c>
      <c r="U38" s="11" t="str">
        <f t="shared" si="50"/>
        <v>All content classified under Class</v>
      </c>
      <c r="V38" s="12"/>
      <c r="W38" s="11"/>
      <c r="X38" s="11" t="str">
        <f t="shared" si="48"/>
        <v>«SITE-HTTP»/tag-Class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"tag-"&amp;SUBSTITUTE(Tags!$A13," ","-")</f>
        <v>tag-Nature</v>
      </c>
      <c r="B39" s="25" t="str">
        <f>Tags!$B13</f>
        <v>No</v>
      </c>
      <c r="C39" s="25"/>
      <c r="D39" s="11" t="str">
        <f>$D$30</f>
        <v>«PAGE-SIMPLE»</v>
      </c>
      <c r="E39" s="11" t="str">
        <f>$E$30</f>
        <v>«TAGSELECT:Filter{"Tags"-&gt;_?(StringMatchQ[#,___~~"«POST:Load»"~~___]&amp;),"Type"-&gt;_,"Day"-&gt;_?NumberQ,"Month"-&gt;_?NumberQ,"Year"-&gt;_?NumberQ}»</v>
      </c>
      <c r="F39" s="25" t="str">
        <f t="shared" si="51"/>
        <v>archive</v>
      </c>
      <c r="G39" s="11" t="str">
        <f>"Classed as '"&amp;Tags!$A13&amp;"'"</f>
        <v>Classed as 'Nature'</v>
      </c>
      <c r="H39" s="11" t="str">
        <f>Tags!$A13</f>
        <v>Nature</v>
      </c>
      <c r="I39" s="22"/>
      <c r="J39" s="22" t="str">
        <f t="shared" si="44"/>
        <v>2018-03-02</v>
      </c>
      <c r="K39" s="22" t="str">
        <f t="shared" ref="K39" ca="1" si="56">IF(TODAY()-DATEVALUE(J39)&lt;15,"weekly",IF(TODAY()-DATEVALUE(J39)&lt;60,"monthly","yearly"))</f>
        <v>yearly</v>
      </c>
      <c r="L39" s="29">
        <v>43225</v>
      </c>
      <c r="M39" s="15">
        <f t="shared" ref="M39" si="57">DAY(L39)</f>
        <v>5</v>
      </c>
      <c r="N39" s="30">
        <f t="shared" ref="N39" si="58">MONTH(L39)</f>
        <v>5</v>
      </c>
      <c r="O39" s="30">
        <f t="shared" ref="O39" si="59">YEAR(L39)</f>
        <v>2018</v>
      </c>
      <c r="P39" s="25" t="str">
        <f t="shared" si="52"/>
        <v>Tag</v>
      </c>
      <c r="Q39" s="25" t="str">
        <f>Tags!$A$12</f>
        <v>Class</v>
      </c>
      <c r="R39" s="12"/>
      <c r="S39" s="11" t="s">
        <v>45</v>
      </c>
      <c r="T39" s="11" t="str">
        <f t="shared" si="49"/>
        <v>Octaflower, the Creative Archive's logo. A geometric lotus flower composed of eight rows of eight petals in rainbow progression.</v>
      </c>
      <c r="U39" s="11" t="str">
        <f t="shared" ref="U39" si="60">"All content classified under "&amp;H39</f>
        <v>All content classified under Nature</v>
      </c>
      <c r="V39" s="12"/>
      <c r="W39" s="11"/>
      <c r="X39" s="11" t="str">
        <f t="shared" si="48"/>
        <v>«SITE-HTTP»/tag-Nature</v>
      </c>
      <c r="Y39" s="12"/>
      <c r="Z39" s="12"/>
      <c r="AA39" s="12"/>
      <c r="AB39" s="12"/>
      <c r="AC39" s="12"/>
      <c r="AD39" s="12"/>
      <c r="AE39" s="12"/>
      <c r="AF39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4" sqref="A14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106</v>
      </c>
    </row>
    <row r="2" spans="1:2" x14ac:dyDescent="0.35">
      <c r="A2" t="s">
        <v>103</v>
      </c>
      <c r="B2" s="26" t="str">
        <f>IF(COUNTIFS(EN!$Q$1:$Q$21,"*"&amp;Tags!$A2&amp;"*",EN!$B$1:$B$21,"Yes")&gt;0,"Yes","No")</f>
        <v>Yes</v>
      </c>
    </row>
    <row r="3" spans="1:2" x14ac:dyDescent="0.35">
      <c r="A3" t="s">
        <v>44</v>
      </c>
      <c r="B3" s="26" t="str">
        <f>IF(COUNTIFS(EN!$Q$1:$Q$21,"*"&amp;Tags!$A3&amp;"*",EN!$B$1:$B$21,"Yes")&gt;0,"Yes","No")</f>
        <v>Yes</v>
      </c>
    </row>
    <row r="4" spans="1:2" x14ac:dyDescent="0.35">
      <c r="A4" t="s">
        <v>3</v>
      </c>
      <c r="B4" s="26" t="str">
        <f>IF(COUNTIFS(EN!$Q$1:$Q$21,"*"&amp;Tags!$A4&amp;"*",EN!$B$1:$B$21,"Yes")&gt;0,"Yes","No")</f>
        <v>No</v>
      </c>
    </row>
    <row r="5" spans="1:2" x14ac:dyDescent="0.35">
      <c r="A5" t="s">
        <v>108</v>
      </c>
      <c r="B5" s="26" t="str">
        <f>IF(COUNTIFS(EN!$Q$1:$Q$21,"*"&amp;Tags!$A5&amp;"*",EN!$B$1:$B$21,"Yes")&gt;0,"Yes","No")</f>
        <v>No</v>
      </c>
    </row>
    <row r="6" spans="1:2" x14ac:dyDescent="0.35">
      <c r="A6" t="s">
        <v>61</v>
      </c>
      <c r="B6" s="26" t="str">
        <f>IF(COUNTIFS(EN!$Q$1:$Q$21,"*"&amp;Tags!$A6&amp;"*",EN!$B$1:$B$21,"Yes")&gt;0,"Yes","No")</f>
        <v>Yes</v>
      </c>
    </row>
    <row r="7" spans="1:2" x14ac:dyDescent="0.35">
      <c r="A7" t="s">
        <v>66</v>
      </c>
      <c r="B7" s="26" t="str">
        <f>IF(COUNTIFS(EN!$Q$1:$Q$21,"*"&amp;Tags!$A7&amp;"*",EN!$B$1:$B$21,"Yes")&gt;0,"Yes","No")</f>
        <v>No</v>
      </c>
    </row>
    <row r="8" spans="1:2" x14ac:dyDescent="0.35">
      <c r="A8" t="s">
        <v>63</v>
      </c>
      <c r="B8" s="26" t="str">
        <f>IF(COUNTIFS(EN!$Q$1:$Q$21,"*"&amp;Tags!$A8&amp;"*",EN!$B$1:$B$21,"Yes")&gt;0,"Yes","No")</f>
        <v>No</v>
      </c>
    </row>
    <row r="9" spans="1:2" x14ac:dyDescent="0.35">
      <c r="A9" t="s">
        <v>62</v>
      </c>
      <c r="B9" s="26" t="str">
        <f>IF(COUNTIFS(EN!$Q$1:$Q$21,"*"&amp;Tags!$A9&amp;"*",EN!$B$1:$B$21,"Yes")&gt;0,"Yes","No")</f>
        <v>No</v>
      </c>
    </row>
    <row r="10" spans="1:2" x14ac:dyDescent="0.35">
      <c r="A10" t="s">
        <v>25</v>
      </c>
      <c r="B10" s="26" t="str">
        <f>IF(COUNTIFS(EN!$Q$1:$Q$21,"*"&amp;Tags!$A10&amp;"*",EN!$B$1:$B$21,"Yes")&gt;0,"Yes","No")</f>
        <v>Yes</v>
      </c>
    </row>
    <row r="11" spans="1:2" x14ac:dyDescent="0.35">
      <c r="A11" t="s">
        <v>107</v>
      </c>
      <c r="B11" s="26" t="str">
        <f>IF(COUNTIFS(EN!$Q$1:$Q$21,"*"&amp;Tags!$A11&amp;"*",EN!$B$1:$B$21,"Yes")&gt;0,"Yes","No")</f>
        <v>Yes</v>
      </c>
    </row>
    <row r="12" spans="1:2" x14ac:dyDescent="0.35">
      <c r="A12" t="s">
        <v>111</v>
      </c>
      <c r="B12" s="26" t="str">
        <f>IF(COUNTIFS(EN!$Q$1:$Q$21,"*"&amp;Tags!$A12&amp;"*",EN!$B$1:$B$21,"Yes")&gt;0,"Yes","No")</f>
        <v>No</v>
      </c>
    </row>
    <row r="13" spans="1:2" x14ac:dyDescent="0.35">
      <c r="A13" t="s">
        <v>122</v>
      </c>
      <c r="B13" s="26" t="str">
        <f>IF(COUNTIFS(EN!$Q$1:$Q$21,"*"&amp;Tags!$A13&amp;"*",EN!$B$1:$B$21,"Yes")&gt;0,"Yes","No")</f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activeCell="A8" sqref="A8"/>
    </sheetView>
  </sheetViews>
  <sheetFormatPr defaultRowHeight="14.5" x14ac:dyDescent="0.35"/>
  <sheetData>
    <row r="1" spans="1:26" s="1" customFormat="1" x14ac:dyDescent="0.35">
      <c r="A1" s="5" t="str">
        <f>EN!A1</f>
        <v>Link</v>
      </c>
      <c r="B1" s="5" t="str">
        <f>EN!B1</f>
        <v>New</v>
      </c>
      <c r="C1" s="5" t="str">
        <f>EN!D1</f>
        <v>Page</v>
      </c>
      <c r="D1" s="5" t="str">
        <f>EN!E1</f>
        <v>Content</v>
      </c>
      <c r="E1" s="5" t="str">
        <f>EN!F1</f>
        <v>Style</v>
      </c>
      <c r="F1" s="5" t="str">
        <f>EN!G1</f>
        <v>Title</v>
      </c>
      <c r="G1" s="5" t="str">
        <f>EN!H1</f>
        <v>Post</v>
      </c>
      <c r="H1" s="5" t="str">
        <f>EN!I1</f>
        <v>Update</v>
      </c>
      <c r="I1" s="5" t="str">
        <f>EN!J1</f>
        <v>Up-da-te</v>
      </c>
      <c r="J1" s="5" t="str">
        <f>EN!K1</f>
        <v>Freq</v>
      </c>
      <c r="K1" s="5" t="str">
        <f>EN!L1</f>
        <v>Date</v>
      </c>
      <c r="L1" s="5" t="str">
        <f>EN!M1</f>
        <v>Day</v>
      </c>
      <c r="M1" s="5" t="str">
        <f>EN!N1</f>
        <v>Month</v>
      </c>
      <c r="N1" s="5" t="str">
        <f>EN!O1</f>
        <v>Year</v>
      </c>
      <c r="O1" s="5" t="str">
        <f>EN!P1</f>
        <v>Type</v>
      </c>
      <c r="P1" s="5" t="str">
        <f>EN!Q1</f>
        <v>Tags</v>
      </c>
      <c r="Q1" s="5" t="str">
        <f>EN!R1</f>
        <v>Featured</v>
      </c>
      <c r="R1" s="5" t="str">
        <f>EN!S1</f>
        <v>Image</v>
      </c>
      <c r="S1" s="5" t="str">
        <f>EN!T1</f>
        <v>Imagealt</v>
      </c>
      <c r="T1" s="5" t="str">
        <f>EN!U1</f>
        <v>Description</v>
      </c>
      <c r="U1" s="5" t="str">
        <f>EN!V1</f>
        <v>Typegraph</v>
      </c>
      <c r="V1" s="5" t="str">
        <f>EN!W1</f>
        <v>Ext</v>
      </c>
      <c r="W1" s="5" t="str">
        <f>EN!Y1</f>
        <v>Comment</v>
      </c>
      <c r="X1" s="5" t="str">
        <f>EN!Z1</f>
        <v>Trailer</v>
      </c>
      <c r="Y1" s="5" t="str">
        <f>EN!AA1</f>
        <v>Reviews</v>
      </c>
      <c r="Z1" s="5" t="str">
        <f>EN!AB1</f>
        <v>Controls</v>
      </c>
    </row>
    <row r="2" spans="1:26" x14ac:dyDescent="0.35">
      <c r="P2" t="s">
        <v>110</v>
      </c>
    </row>
    <row r="6" spans="1:26" x14ac:dyDescent="0.35">
      <c r="A6" s="7"/>
      <c r="B6" s="2"/>
      <c r="C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</vt:lpstr>
      <vt:lpstr>Tags</vt:lpstr>
      <vt:lpstr>Next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2018-07-20T11:54:27Z</dcterms:modified>
</cp:coreProperties>
</file>