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0560" windowHeight="6620"/>
  </bookViews>
  <sheets>
    <sheet name="EN" sheetId="1" r:id="rId1"/>
    <sheet name="Tags" sheetId="4" r:id="rId2"/>
    <sheet name="Next" sheetId="3" r:id="rId3"/>
  </sheets>
  <calcPr calcId="152511"/>
</workbook>
</file>

<file path=xl/calcChain.xml><?xml version="1.0" encoding="utf-8"?>
<calcChain xmlns="http://schemas.openxmlformats.org/spreadsheetml/2006/main">
  <c r="T10" i="1" l="1"/>
  <c r="T11" i="1"/>
  <c r="T12" i="1"/>
  <c r="T13" i="1"/>
  <c r="T15" i="1"/>
  <c r="T16" i="1"/>
  <c r="T17" i="1"/>
  <c r="T18" i="1"/>
  <c r="T19" i="1"/>
  <c r="T20" i="1"/>
  <c r="T21" i="1"/>
  <c r="T22" i="1"/>
  <c r="T23" i="1"/>
  <c r="T14" i="1"/>
  <c r="Q21" i="1" l="1"/>
  <c r="Q23" i="1"/>
  <c r="Q8" i="1"/>
  <c r="Q7" i="1"/>
  <c r="Q6" i="1"/>
  <c r="Q5" i="1"/>
  <c r="G46" i="1"/>
  <c r="U46" i="1"/>
  <c r="T46" i="1"/>
  <c r="Q46" i="1"/>
  <c r="P46" i="1"/>
  <c r="O46" i="1"/>
  <c r="N46" i="1"/>
  <c r="M46" i="1"/>
  <c r="J46" i="1"/>
  <c r="K46" i="1" s="1"/>
  <c r="H46" i="1"/>
  <c r="F46" i="1"/>
  <c r="E46" i="1"/>
  <c r="D46" i="1"/>
  <c r="A46" i="1"/>
  <c r="X46" i="1" s="1"/>
  <c r="V23" i="1"/>
  <c r="O23" i="1"/>
  <c r="N23" i="1"/>
  <c r="M23" i="1"/>
  <c r="I23" i="1"/>
  <c r="J23" i="1" s="1"/>
  <c r="K23" i="1" s="1"/>
  <c r="F23" i="1"/>
  <c r="D23" i="1"/>
  <c r="A23" i="1"/>
  <c r="U23" i="1" l="1"/>
  <c r="H23" i="1"/>
  <c r="S23" i="1"/>
  <c r="X23" i="1"/>
  <c r="Q22" i="1"/>
  <c r="B16" i="4" s="1"/>
  <c r="B46" i="1" s="1"/>
  <c r="O22" i="1"/>
  <c r="N22" i="1"/>
  <c r="M22" i="1"/>
  <c r="E45" i="1"/>
  <c r="D45" i="1"/>
  <c r="T45" i="1"/>
  <c r="Q45" i="1"/>
  <c r="P45" i="1"/>
  <c r="O45" i="1"/>
  <c r="N45" i="1"/>
  <c r="M45" i="1"/>
  <c r="J45" i="1"/>
  <c r="K45" i="1" s="1"/>
  <c r="H45" i="1"/>
  <c r="U45" i="1" s="1"/>
  <c r="F45" i="1"/>
  <c r="A45" i="1"/>
  <c r="X45" i="1" s="1"/>
  <c r="S22" i="1"/>
  <c r="I22" i="1"/>
  <c r="J22" i="1" s="1"/>
  <c r="K22" i="1" s="1"/>
  <c r="A22" i="1"/>
  <c r="H22" i="1" s="1"/>
  <c r="V22" i="1"/>
  <c r="G45" i="1" l="1"/>
  <c r="U22" i="1"/>
  <c r="X22" i="1"/>
  <c r="E44" i="1" l="1"/>
  <c r="D44" i="1"/>
  <c r="T44" i="1"/>
  <c r="Q44" i="1"/>
  <c r="P44" i="1"/>
  <c r="O44" i="1"/>
  <c r="N44" i="1"/>
  <c r="M44" i="1"/>
  <c r="J44" i="1"/>
  <c r="K44" i="1" s="1"/>
  <c r="H44" i="1"/>
  <c r="U44" i="1" s="1"/>
  <c r="G44" i="1"/>
  <c r="F44" i="1"/>
  <c r="A44" i="1"/>
  <c r="X44" i="1" s="1"/>
  <c r="A21" i="1"/>
  <c r="V20" i="1"/>
  <c r="Q20" i="1"/>
  <c r="O20" i="1"/>
  <c r="N20" i="1"/>
  <c r="M20" i="1"/>
  <c r="I20" i="1"/>
  <c r="J20" i="1" s="1"/>
  <c r="K20" i="1" s="1"/>
  <c r="D20" i="1"/>
  <c r="A20" i="1"/>
  <c r="X20" i="1" l="1"/>
  <c r="Z21" i="1"/>
  <c r="U20" i="1"/>
  <c r="H20" i="1"/>
  <c r="S20" i="1"/>
  <c r="J11" i="1" l="1"/>
  <c r="K11" i="1" s="1"/>
  <c r="J12" i="1" l="1"/>
  <c r="V11" i="1"/>
  <c r="Q11" i="1"/>
  <c r="A11" i="1"/>
  <c r="X11" i="1" l="1"/>
  <c r="H11" i="1"/>
  <c r="Q4" i="1"/>
  <c r="A9" i="1" l="1"/>
  <c r="H9" i="1" l="1"/>
  <c r="E9" i="1"/>
  <c r="E8" i="1"/>
  <c r="E7" i="1"/>
  <c r="E6" i="1"/>
  <c r="E5" i="1"/>
  <c r="H4" i="1"/>
  <c r="H3" i="1"/>
  <c r="H2" i="1"/>
  <c r="H18" i="1" l="1"/>
  <c r="I21" i="1" l="1"/>
  <c r="J21" i="1" s="1"/>
  <c r="K21" i="1" s="1"/>
  <c r="V21" i="1"/>
  <c r="O21" i="1"/>
  <c r="N21" i="1"/>
  <c r="M21" i="1"/>
  <c r="D21" i="1"/>
  <c r="X21" i="1" l="1"/>
  <c r="H21" i="1"/>
  <c r="U21" i="1"/>
  <c r="S21" i="1"/>
  <c r="V28" i="1"/>
  <c r="U28" i="1"/>
  <c r="T28" i="1"/>
  <c r="O28" i="1"/>
  <c r="N28" i="1"/>
  <c r="M28" i="1"/>
  <c r="J28" i="1" l="1"/>
  <c r="K28" i="1" s="1"/>
  <c r="X28" i="1"/>
  <c r="X31" i="1" l="1"/>
  <c r="X30" i="1"/>
  <c r="X29" i="1"/>
  <c r="X18" i="1"/>
  <c r="X10" i="1"/>
  <c r="X9" i="1"/>
  <c r="X8" i="1"/>
  <c r="X7" i="1"/>
  <c r="X6" i="1"/>
  <c r="X5" i="1"/>
  <c r="X4" i="1"/>
  <c r="X3" i="1"/>
  <c r="X2" i="1"/>
  <c r="S19" i="1" l="1"/>
  <c r="H19" i="1"/>
  <c r="Q19" i="1" l="1"/>
  <c r="V19" i="1"/>
  <c r="O19" i="1"/>
  <c r="N19" i="1"/>
  <c r="M19" i="1"/>
  <c r="I19" i="1"/>
  <c r="J19" i="1" s="1"/>
  <c r="K19" i="1" s="1"/>
  <c r="G43" i="1" l="1"/>
  <c r="T43" i="1" l="1"/>
  <c r="Q43" i="1"/>
  <c r="P43" i="1"/>
  <c r="O43" i="1"/>
  <c r="N43" i="1"/>
  <c r="M43" i="1"/>
  <c r="J43" i="1"/>
  <c r="K43" i="1" s="1"/>
  <c r="H43" i="1"/>
  <c r="U43" i="1" s="1"/>
  <c r="F43" i="1"/>
  <c r="E43" i="1"/>
  <c r="D43" i="1"/>
  <c r="A43" i="1"/>
  <c r="X43" i="1" s="1"/>
  <c r="E33" i="1" l="1"/>
  <c r="D33" i="1"/>
  <c r="E32" i="1"/>
  <c r="D32" i="1"/>
  <c r="E42" i="1"/>
  <c r="D42" i="1"/>
  <c r="E41" i="1"/>
  <c r="D41" i="1"/>
  <c r="E38" i="1"/>
  <c r="D38" i="1"/>
  <c r="E36" i="1"/>
  <c r="D36" i="1"/>
  <c r="E35" i="1"/>
  <c r="D35" i="1"/>
  <c r="T33" i="1" l="1"/>
  <c r="T34" i="1"/>
  <c r="T35" i="1"/>
  <c r="T36" i="1"/>
  <c r="T37" i="1"/>
  <c r="T38" i="1"/>
  <c r="T39" i="1"/>
  <c r="T40" i="1"/>
  <c r="T41" i="1"/>
  <c r="T42" i="1"/>
  <c r="T32" i="1"/>
  <c r="T25" i="1"/>
  <c r="T24" i="1"/>
  <c r="T4" i="1"/>
  <c r="T3" i="1"/>
  <c r="T2" i="1"/>
  <c r="D40" i="1" l="1"/>
  <c r="D39" i="1"/>
  <c r="E39" i="1"/>
  <c r="E40" i="1" l="1"/>
  <c r="J13" i="1" l="1"/>
  <c r="O13" i="1"/>
  <c r="N13" i="1"/>
  <c r="M13" i="1"/>
  <c r="V12" i="1"/>
  <c r="Q12" i="1"/>
  <c r="K12" i="1"/>
  <c r="A12" i="1"/>
  <c r="X12" i="1" s="1"/>
  <c r="Q13" i="1" l="1"/>
  <c r="V13" i="1"/>
  <c r="K13" i="1"/>
  <c r="A13" i="1"/>
  <c r="X13" i="1" l="1"/>
  <c r="H13" i="1"/>
  <c r="Q25" i="1"/>
  <c r="Q24" i="1"/>
  <c r="Q9" i="1"/>
  <c r="Q33" i="1" l="1"/>
  <c r="Q34" i="1"/>
  <c r="Q35" i="1"/>
  <c r="Q36" i="1"/>
  <c r="Q37" i="1"/>
  <c r="Q38" i="1"/>
  <c r="Q39" i="1"/>
  <c r="Q40" i="1"/>
  <c r="Q41" i="1"/>
  <c r="Q42" i="1"/>
  <c r="Q32" i="1"/>
  <c r="O42" i="1" l="1"/>
  <c r="M41" i="1"/>
  <c r="O40" i="1"/>
  <c r="M39" i="1"/>
  <c r="O38" i="1"/>
  <c r="O36" i="1"/>
  <c r="M35" i="1"/>
  <c r="N34" i="1"/>
  <c r="N41" i="1"/>
  <c r="M40" i="1"/>
  <c r="N39" i="1"/>
  <c r="M38" i="1"/>
  <c r="O37" i="1"/>
  <c r="N37" i="1"/>
  <c r="M37" i="1"/>
  <c r="M36" i="1"/>
  <c r="N35" i="1"/>
  <c r="O34" i="1"/>
  <c r="O33" i="1"/>
  <c r="N33" i="1"/>
  <c r="M33" i="1"/>
  <c r="O32" i="1"/>
  <c r="N32" i="1"/>
  <c r="M32" i="1"/>
  <c r="G35" i="1"/>
  <c r="G41" i="1"/>
  <c r="G38" i="1"/>
  <c r="G36" i="1"/>
  <c r="O1" i="3"/>
  <c r="P1" i="3"/>
  <c r="Z1" i="3"/>
  <c r="Y1" i="3"/>
  <c r="X1" i="3"/>
  <c r="W1" i="3"/>
  <c r="V1" i="3"/>
  <c r="U1" i="3"/>
  <c r="T1" i="3"/>
  <c r="S1" i="3"/>
  <c r="R1" i="3"/>
  <c r="Q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O10" i="1"/>
  <c r="N10" i="1"/>
  <c r="M10" i="1"/>
  <c r="M42" i="1" l="1"/>
  <c r="N42" i="1"/>
  <c r="O41" i="1"/>
  <c r="N40" i="1"/>
  <c r="O39" i="1"/>
  <c r="N38" i="1"/>
  <c r="N36" i="1"/>
  <c r="O35" i="1"/>
  <c r="M34" i="1"/>
  <c r="F34" i="1"/>
  <c r="F35" i="1"/>
  <c r="F36" i="1"/>
  <c r="F37" i="1"/>
  <c r="F38" i="1"/>
  <c r="F39" i="1"/>
  <c r="F40" i="1"/>
  <c r="F41" i="1"/>
  <c r="F42" i="1"/>
  <c r="F33" i="1"/>
  <c r="H32" i="1" l="1"/>
  <c r="H33" i="1"/>
  <c r="H34" i="1"/>
  <c r="H35" i="1"/>
  <c r="U35" i="1" s="1"/>
  <c r="H36" i="1"/>
  <c r="U36" i="1" s="1"/>
  <c r="H37" i="1"/>
  <c r="G37" i="1" s="1"/>
  <c r="H38" i="1"/>
  <c r="U38" i="1" s="1"/>
  <c r="H39" i="1"/>
  <c r="H40" i="1"/>
  <c r="H41" i="1"/>
  <c r="U41" i="1" s="1"/>
  <c r="H42" i="1"/>
  <c r="G39" i="1" l="1"/>
  <c r="U39" i="1"/>
  <c r="G34" i="1"/>
  <c r="U34" i="1"/>
  <c r="G42" i="1"/>
  <c r="U42" i="1"/>
  <c r="U37" i="1"/>
  <c r="G33" i="1"/>
  <c r="U33" i="1"/>
  <c r="G40" i="1"/>
  <c r="U40" i="1"/>
  <c r="G32" i="1"/>
  <c r="U32" i="1"/>
  <c r="Q3" i="1"/>
  <c r="Q2" i="1"/>
  <c r="P42" i="1"/>
  <c r="J42" i="1"/>
  <c r="K42" i="1" s="1"/>
  <c r="A42" i="1"/>
  <c r="X42" i="1" s="1"/>
  <c r="A33" i="1"/>
  <c r="X33" i="1" s="1"/>
  <c r="A34" i="1"/>
  <c r="X34" i="1" s="1"/>
  <c r="A35" i="1"/>
  <c r="X35" i="1" s="1"/>
  <c r="A36" i="1"/>
  <c r="X36" i="1" s="1"/>
  <c r="A37" i="1"/>
  <c r="X37" i="1" s="1"/>
  <c r="A38" i="1"/>
  <c r="X38" i="1" s="1"/>
  <c r="A39" i="1"/>
  <c r="X39" i="1" s="1"/>
  <c r="A40" i="1"/>
  <c r="X40" i="1" s="1"/>
  <c r="A41" i="1"/>
  <c r="X41" i="1" s="1"/>
  <c r="A32" i="1"/>
  <c r="X32" i="1" s="1"/>
  <c r="D9" i="1"/>
  <c r="D8" i="1"/>
  <c r="D7" i="1"/>
  <c r="D6" i="1"/>
  <c r="D5" i="1"/>
  <c r="D4" i="1"/>
  <c r="Q10" i="1"/>
  <c r="Q27" i="1"/>
  <c r="Q26" i="1"/>
  <c r="P41" i="1"/>
  <c r="J41" i="1"/>
  <c r="K41" i="1" s="1"/>
  <c r="Q18" i="1" l="1"/>
  <c r="Q17" i="1"/>
  <c r="Q16" i="1"/>
  <c r="Q15" i="1"/>
  <c r="B14" i="4" s="1"/>
  <c r="B44" i="1" s="1"/>
  <c r="Q14" i="1"/>
  <c r="J40" i="1"/>
  <c r="K40" i="1" s="1"/>
  <c r="P40" i="1"/>
  <c r="D16" i="1"/>
  <c r="D17" i="1"/>
  <c r="D18" i="1"/>
  <c r="D15" i="1"/>
  <c r="P34" i="1"/>
  <c r="P35" i="1"/>
  <c r="P36" i="1"/>
  <c r="P37" i="1"/>
  <c r="P38" i="1"/>
  <c r="P39" i="1"/>
  <c r="P33" i="1"/>
  <c r="B15" i="4" l="1"/>
  <c r="B45" i="1" s="1"/>
  <c r="B13" i="4"/>
  <c r="B43" i="1" s="1"/>
  <c r="V18" i="1"/>
  <c r="O18" i="1"/>
  <c r="N18" i="1"/>
  <c r="M18" i="1"/>
  <c r="J18" i="1"/>
  <c r="K18" i="1" s="1"/>
  <c r="U18" i="1" l="1"/>
  <c r="S18" i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27" i="1"/>
  <c r="K27" i="1" s="1"/>
  <c r="J26" i="1"/>
  <c r="K26" i="1" s="1"/>
  <c r="J31" i="1"/>
  <c r="J25" i="1" l="1"/>
  <c r="K25" i="1" s="1"/>
  <c r="J15" i="1"/>
  <c r="K15" i="1" s="1"/>
  <c r="J16" i="1"/>
  <c r="K16" i="1" s="1"/>
  <c r="J17" i="1"/>
  <c r="K17" i="1" s="1"/>
  <c r="J14" i="1"/>
  <c r="K14" i="1" s="1"/>
  <c r="J5" i="1"/>
  <c r="K5" i="1" s="1"/>
  <c r="J6" i="1"/>
  <c r="K6" i="1" s="1"/>
  <c r="J7" i="1"/>
  <c r="K7" i="1" s="1"/>
  <c r="J8" i="1"/>
  <c r="K8" i="1" s="1"/>
  <c r="K10" i="1"/>
  <c r="K31" i="1" l="1"/>
  <c r="I9" i="1" l="1"/>
  <c r="J9" i="1" s="1"/>
  <c r="K9" i="1" s="1"/>
  <c r="I24" i="1"/>
  <c r="J24" i="1" s="1"/>
  <c r="K24" i="1" s="1"/>
  <c r="V16" i="1" l="1"/>
  <c r="O16" i="1"/>
  <c r="N16" i="1"/>
  <c r="M16" i="1"/>
  <c r="A16" i="1"/>
  <c r="X16" i="1" l="1"/>
  <c r="H16" i="1"/>
  <c r="U16" i="1"/>
  <c r="S16" i="1"/>
  <c r="U7" i="1" l="1"/>
  <c r="S7" i="1"/>
  <c r="O7" i="1"/>
  <c r="N7" i="1"/>
  <c r="M7" i="1"/>
  <c r="H7" i="1"/>
  <c r="P6" i="1" l="1"/>
  <c r="S6" i="1" s="1"/>
  <c r="O6" i="1"/>
  <c r="N6" i="1"/>
  <c r="M6" i="1"/>
  <c r="H6" i="1"/>
  <c r="U6" i="1"/>
  <c r="S8" i="1" l="1"/>
  <c r="S5" i="1"/>
  <c r="H8" i="1" l="1"/>
  <c r="O8" i="1"/>
  <c r="N8" i="1"/>
  <c r="M8" i="1"/>
  <c r="O5" i="1"/>
  <c r="N5" i="1"/>
  <c r="M5" i="1"/>
  <c r="U5" i="1"/>
  <c r="U8" i="1"/>
  <c r="M2" i="1"/>
  <c r="N2" i="1"/>
  <c r="O2" i="1"/>
  <c r="U2" i="1"/>
  <c r="V2" i="1"/>
  <c r="L2" i="1" l="1"/>
  <c r="O9" i="1"/>
  <c r="N9" i="1"/>
  <c r="M9" i="1"/>
  <c r="O24" i="1"/>
  <c r="N24" i="1"/>
  <c r="M24" i="1"/>
  <c r="O25" i="1"/>
  <c r="N25" i="1"/>
  <c r="M25" i="1"/>
  <c r="D25" i="1"/>
  <c r="D24" i="1"/>
  <c r="I2" i="1" l="1"/>
  <c r="J2" i="1" s="1"/>
  <c r="K2" i="1" s="1"/>
  <c r="T27" i="1"/>
  <c r="T26" i="1"/>
  <c r="V25" i="1"/>
  <c r="A25" i="1"/>
  <c r="H25" i="1" s="1"/>
  <c r="U25" i="1" l="1"/>
  <c r="X25" i="1"/>
  <c r="S27" i="1"/>
  <c r="S26" i="1"/>
  <c r="S10" i="1"/>
  <c r="V24" i="1" l="1"/>
  <c r="V27" i="1"/>
  <c r="V26" i="1"/>
  <c r="V17" i="1"/>
  <c r="V15" i="1"/>
  <c r="V14" i="1"/>
  <c r="V10" i="1"/>
  <c r="V4" i="1"/>
  <c r="V3" i="1"/>
  <c r="U9" i="1" l="1"/>
  <c r="U10" i="1" s="1"/>
  <c r="U27" i="1"/>
  <c r="U26" i="1"/>
  <c r="U4" i="1"/>
  <c r="U3" i="1"/>
  <c r="O3" i="1" l="1"/>
  <c r="N3" i="1"/>
  <c r="M3" i="1"/>
  <c r="D3" i="1"/>
  <c r="L3" i="1" l="1"/>
  <c r="I3" i="1" s="1"/>
  <c r="J3" i="1" s="1"/>
  <c r="K3" i="1" s="1"/>
  <c r="B11" i="4" l="1"/>
  <c r="B41" i="1" s="1"/>
  <c r="B12" i="4"/>
  <c r="B42" i="1" s="1"/>
  <c r="B3" i="4"/>
  <c r="B33" i="1" s="1"/>
  <c r="B5" i="4"/>
  <c r="B35" i="1" s="1"/>
  <c r="B2" i="4"/>
  <c r="B32" i="1" s="1"/>
  <c r="B7" i="4"/>
  <c r="B37" i="1" s="1"/>
  <c r="B9" i="4"/>
  <c r="B39" i="1" s="1"/>
  <c r="B4" i="4"/>
  <c r="B34" i="1" s="1"/>
  <c r="B10" i="4"/>
  <c r="B40" i="1" s="1"/>
  <c r="B8" i="4"/>
  <c r="B38" i="1" s="1"/>
  <c r="B6" i="4"/>
  <c r="B36" i="1" s="1"/>
  <c r="O15" i="1" l="1"/>
  <c r="N15" i="1"/>
  <c r="M15" i="1"/>
  <c r="A15" i="1"/>
  <c r="H15" i="1" l="1"/>
  <c r="X15" i="1"/>
  <c r="U15" i="1"/>
  <c r="S15" i="1"/>
  <c r="M4" i="1"/>
  <c r="O4" i="1"/>
  <c r="N4" i="1"/>
  <c r="L4" i="1" l="1"/>
  <c r="I4" i="1" s="1"/>
  <c r="J4" i="1" s="1"/>
  <c r="K4" i="1" s="1"/>
  <c r="O17" i="1" l="1"/>
  <c r="N17" i="1"/>
  <c r="M17" i="1"/>
  <c r="O14" i="1"/>
  <c r="N14" i="1"/>
  <c r="M14" i="1"/>
  <c r="A17" i="1"/>
  <c r="A14" i="1"/>
  <c r="H17" i="1" l="1"/>
  <c r="H14" i="1"/>
  <c r="X17" i="1"/>
  <c r="X14" i="1"/>
  <c r="U17" i="1"/>
  <c r="U14" i="1"/>
  <c r="S17" i="1"/>
  <c r="S14" i="1"/>
  <c r="A24" i="1" l="1"/>
  <c r="H24" i="1" s="1"/>
  <c r="U24" i="1" l="1"/>
  <c r="X24" i="1"/>
  <c r="A27" i="1" l="1"/>
  <c r="X27" i="1" s="1"/>
  <c r="A26" i="1" l="1"/>
  <c r="X26" i="1" s="1"/>
  <c r="N11" i="1"/>
  <c r="M11" i="1"/>
  <c r="O11" i="1"/>
  <c r="F17" i="1"/>
  <c r="F16" i="1"/>
  <c r="F15" i="1"/>
  <c r="F18" i="1"/>
  <c r="F20" i="1"/>
  <c r="F21" i="1"/>
</calcChain>
</file>

<file path=xl/sharedStrings.xml><?xml version="1.0" encoding="utf-8"?>
<sst xmlns="http://schemas.openxmlformats.org/spreadsheetml/2006/main" count="316" uniqueCount="175">
  <si>
    <t>Title</t>
  </si>
  <si>
    <t>Date</t>
  </si>
  <si>
    <t>Tags</t>
  </si>
  <si>
    <t>Post</t>
  </si>
  <si>
    <t>Featured</t>
  </si>
  <si>
    <t>No</t>
  </si>
  <si>
    <t>Yes</t>
  </si>
  <si>
    <t>Image</t>
  </si>
  <si>
    <t>Type</t>
  </si>
  <si>
    <t>Nav</t>
  </si>
  <si>
    <t>Link</t>
  </si>
  <si>
    <t>Description</t>
  </si>
  <si>
    <t>Home</t>
  </si>
  <si>
    <t>Contact</t>
  </si>
  <si>
    <t>New</t>
  </si>
  <si>
    <t>Page</t>
  </si>
  <si>
    <t>Archive</t>
  </si>
  <si>
    <t>Year</t>
  </si>
  <si>
    <t>Month</t>
  </si>
  <si>
    <t>Day</t>
  </si>
  <si>
    <t>Tag</t>
  </si>
  <si>
    <t>Posts by date</t>
  </si>
  <si>
    <t>«PAGE-SIMPLE»</t>
  </si>
  <si>
    <t>Terms of use</t>
  </si>
  <si>
    <t>Games</t>
  </si>
  <si>
    <t>Game</t>
  </si>
  <si>
    <t>Tetrastrophe</t>
  </si>
  <si>
    <t>773ec39e12295db4fc50</t>
  </si>
  <si>
    <t>Unlucky Unlock</t>
  </si>
  <si>
    <t>6e1e4c24d22dc93d9fdf</t>
  </si>
  <si>
    <t>«PAGE-BARE»</t>
  </si>
  <si>
    <t>«CONTACTAREA»</t>
  </si>
  <si>
    <t>Content</t>
  </si>
  <si>
    <t>«PAGE-POST-MD»</t>
  </si>
  <si>
    <t>Style</t>
  </si>
  <si>
    <t>prose</t>
  </si>
  <si>
    <t>archive</t>
  </si>
  <si>
    <t>«ARCHIVE-OF-POST-BY-DATE»</t>
  </si>
  <si>
    <t>21e9fc4a7638c2740034c679365b75d1</t>
  </si>
  <si>
    <t>8ba52402a0c0443a03e8271767648e16</t>
  </si>
  <si>
    <t>Comment</t>
  </si>
  <si>
    <t>Puzzle</t>
  </si>
  <si>
    <t>«PLACEHOLDER-IMAGE»</t>
  </si>
  <si>
    <t>index</t>
  </si>
  <si>
    <t>2018-01-04-wikipedia-donation</t>
  </si>
  <si>
    <t>89a07c1d361064c3dbde881afec9ef2a</t>
  </si>
  <si>
    <t>Blockworks</t>
  </si>
  <si>
    <t>2017-12-01-first-post</t>
  </si>
  <si>
    <t>My first wikipedia donation</t>
  </si>
  <si>
    <t>Posts by tag</t>
  </si>
  <si>
    <t>«PAGE-GAME-FULLSCREEN»</t>
  </si>
  <si>
    <t>2018-02-08-support-the-archive</t>
  </si>
  <si>
    <t>Typegraph</t>
  </si>
  <si>
    <t>profile</t>
  </si>
  <si>
    <t>logo.png</t>
  </si>
  <si>
    <t>Privacy Policy</t>
  </si>
  <si>
    <t>Octaflower, the Creative Archive's logo. A geometric lotus flower composed of eight rows of eight petals in rainbow progression.</t>
  </si>
  <si>
    <t>Creative-Archive</t>
  </si>
  <si>
    <t>Wallpaper</t>
  </si>
  <si>
    <t>Travel</t>
  </si>
  <si>
    <t>Fleur de Lis - Navy Gold</t>
  </si>
  <si>
    <t>Veronese - Tricolor</t>
  </si>
  <si>
    <t>Mosaic</t>
  </si>
  <si>
    <t>fleur-de-lis</t>
  </si>
  <si>
    <t>veronese</t>
  </si>
  <si>
    <t>image</t>
  </si>
  <si>
    <t>Fleur de lis wallpaper in Navy Gold</t>
  </si>
  <si>
    <t>Imagealt</t>
  </si>
  <si>
    <t>visual</t>
  </si>
  <si>
    <t>«FIGURE-MOSAIC»</t>
  </si>
  <si>
    <t>scales</t>
  </si>
  <si>
    <t>Scales - Grayed</t>
  </si>
  <si>
    <t>Scales wallpaper</t>
  </si>
  <si>
    <t>Veronese tricolor wallpaper</t>
  </si>
  <si>
    <t>viking-carpet</t>
  </si>
  <si>
    <t>Viking Carpet - Gold over Red</t>
  </si>
  <si>
    <t>Viking red and gold wallpaper</t>
  </si>
  <si>
    <t>0f0061142d351594194d10fc48406ec8</t>
  </si>
  <si>
    <t>Whirlpuzzle</t>
  </si>
  <si>
    <t>Update</t>
  </si>
  <si>
    <t>rss</t>
  </si>
  <si>
    <t>Ext</t>
  </si>
  <si>
    <t>xml</t>
  </si>
  <si>
    <t>«RSS»</t>
  </si>
  <si>
    <t>«PAGE-INDEX»</t>
  </si>
  <si>
    <t>Controls</t>
  </si>
  <si>
    <t>«UNDO-TOUCH-TEXT»</t>
  </si>
  <si>
    <t>sitemap</t>
  </si>
  <si>
    <t>robots</t>
  </si>
  <si>
    <t>«ROBOTS»</t>
  </si>
  <si>
    <t>txt</t>
  </si>
  <si>
    <t>Freq</t>
  </si>
  <si>
    <t>«SITEMAP»</t>
  </si>
  <si>
    <t>«SITEMAP-ITEM:FilterSort{"Freq","All"}»</t>
  </si>
  <si>
    <t>Up-da-te</t>
  </si>
  <si>
    <t>2018-03-02</t>
  </si>
  <si>
    <t>de00799ea3c9bfb0be74d1030a04c142</t>
  </si>
  <si>
    <t>Platformer</t>
  </si>
  <si>
    <t>pmgrp</t>
  </si>
  <si>
    <t>Play Mini Gemini Replay (PMGRP)</t>
  </si>
  <si>
    <t>Update?</t>
  </si>
  <si>
    <t>Sitemap</t>
  </si>
  <si>
    <t>Finance</t>
  </si>
  <si>
    <t>«TAGSELECT:Filter{"Tags"-&gt;_?(StringMatchQ[#,___~~"«POST:Load»"~~___]&amp;),"Type"-&gt;_,"Day"-&gt;_?NumberQ,"Month"-&gt;_?NumberQ,"Year"-&gt;_?NumberQ}»</t>
  </si>
  <si>
    <t>*Sitemap*</t>
  </si>
  <si>
    <t>Class</t>
  </si>
  <si>
    <t>«HALL-OF-FAME-AREA»</t>
  </si>
  <si>
    <t>Hall of Fame</t>
  </si>
  <si>
    <t>«FEATURED-ITEM:Filter{"Tags"-&gt;_?(StringMatchQ[#,___~~"«POST:Load»"~~___]&amp;),"Type"-&gt;_,"Day"-&gt;_?NumberQ,"Month"-&gt;_?NumberQ,"Year"-&gt;_?NumberQ}»</t>
  </si>
  <si>
    <t>«PAGE-FEATURED-EMPTY»</t>
  </si>
  <si>
    <t>Forums</t>
  </si>
  <si>
    <t>jT5Gev7</t>
  </si>
  <si>
    <t>xncUgFx</t>
  </si>
  <si>
    <t>tYb7GTx</t>
  </si>
  <si>
    <t>8GmcCb</t>
  </si>
  <si>
    <t>Gg6FVk</t>
  </si>
  <si>
    <t>Nature</t>
  </si>
  <si>
    <t>Combinatura</t>
  </si>
  <si>
    <t>«COMBINATURA-GAME»</t>
  </si>
  <si>
    <t>Combinatura, a game of exploration.</t>
  </si>
  <si>
    <t>combinatura</t>
  </si>
  <si>
    <t>https://combinatura.github.io/index</t>
  </si>
  <si>
    <t>Hall of fame: winners of «NAME»'s challenges.</t>
  </si>
  <si>
    <t>Leave a message to «NAME»</t>
  </si>
  <si>
    <t>Rsslink</t>
  </si>
  <si>
    <t>http://combinatura.github.io/index</t>
  </si>
  <si>
    <t>games</t>
  </si>
  <si>
    <t>«PAGE-FEATURED»</t>
  </si>
  <si>
    <t>Hastefulll</t>
  </si>
  <si>
    <t>RxUMt9V</t>
  </si>
  <si>
    <t>ukcmt7g</t>
  </si>
  <si>
    <t>8b10ae059158c0c4a93c05c9437d0706</t>
  </si>
  <si>
    <t>«FEATURED-ITEM:Filter{"Type"-&gt;"Post"|"Game"|"Mosaic","Featured"-&gt;"Yes","Day"-&gt;_,"Month"-&gt;_,"Year"-&gt;_,"Type"-&gt;_}»</t>
  </si>
  <si>
    <t>«FEATURED-ITEM:Filter{"Type"-&gt;"Game","Day"-&gt;_,"Month"-&gt;_,"Year"-&gt;_,"Type"-&gt;_}»</t>
  </si>
  <si>
    <t>Music-title</t>
  </si>
  <si>
    <t>Music-author</t>
  </si>
  <si>
    <t>Music-link</t>
  </si>
  <si>
    <t>Nowhere land</t>
  </si>
  <si>
    <t>Kevin McLeod</t>
  </si>
  <si>
    <t>I'm in space</t>
  </si>
  <si>
    <t>Tim Beek</t>
  </si>
  <si>
    <t>https://incompetech.com/</t>
  </si>
  <si>
    <t>Music Garden</t>
  </si>
  <si>
    <t>Arpology 1: Frantic Sax Version</t>
  </si>
  <si>
    <t>https://longzijun.wordpress.com/</t>
  </si>
  <si>
    <t>Longzijun</t>
  </si>
  <si>
    <t>Chillvolution</t>
  </si>
  <si>
    <t>https://longzijun.wordpress.com/2012/10/18/chillvolution-new-song-in-background-music-series/</t>
  </si>
  <si>
    <t>http://timbeek.com/royalty-free-music/genre/ambient/</t>
  </si>
  <si>
    <t>Space Flight</t>
  </si>
  <si>
    <t>http://timbeek.com/royalty-free-music/genre/electronic/</t>
  </si>
  <si>
    <t>Support the «SITE-NAME»</t>
  </si>
  <si>
    <t>«SITE-NAME»</t>
  </si>
  <si>
    <t>About</t>
  </si>
  <si>
    <t>«ARCHIVE-OF-CLASS»</t>
  </si>
  <si>
    <t>The purpose of the «SITE-NAME»</t>
  </si>
  <si>
    <t>Guestbook</t>
  </si>
  <si>
    <t>The Guestbook of the «SITE-NAME»</t>
  </si>
  <si>
    <t>«GUESTBOOK-AREA»</t>
  </si>
  <si>
    <t>Whitesand</t>
  </si>
  <si>
    <t>Legend of The King</t>
  </si>
  <si>
    <t>https://twitter.com/martynlaur</t>
  </si>
  <si>
    <t>Role-playing</t>
  </si>
  <si>
    <t>04e9b3dc13d2708e64a0adc4ddb916a0</t>
  </si>
  <si>
    <t>Tiaradventur</t>
  </si>
  <si>
    <t>GN</t>
  </si>
  <si>
    <t>«GAME-NAVIGATION»</t>
  </si>
  <si>
    <t xml:space="preserve"> </t>
  </si>
  <si>
    <t>Honours</t>
  </si>
  <si>
    <t>NomadPage</t>
  </si>
  <si>
    <t>https://addons.mozilla.org/en-US/firefox/addon/nomadpage/</t>
  </si>
  <si>
    <t>Abxtract Tractx</t>
  </si>
  <si>
    <t>Art</t>
  </si>
  <si>
    <t>Add-on</t>
  </si>
  <si>
    <t>44de3ef66dcfdce30c1eec78c3ea201c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</si>
</sst>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14" fontId="0" fillId="0" borderId="0" xfId="0" applyNumberFormat="1" applyAlignment="1"/>
    <xf numFmtId="0" fontId="0" fillId="0" borderId="0" xfId="0" quotePrefix="1" applyAlignment="1"/>
    <xf numFmtId="0" fontId="1" fillId="2" borderId="1" xfId="0" applyFont="1" applyFill="1" applyBorder="1" applyAlignment="1"/>
    <xf numFmtId="0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3" fillId="0" borderId="0" xfId="0" applyFont="1" applyAlignment="1"/>
    <xf numFmtId="14" fontId="2" fillId="0" borderId="0" xfId="0" applyNumberFormat="1" applyFont="1" applyAlignment="1"/>
    <xf numFmtId="0" fontId="2" fillId="3" borderId="0" xfId="0" applyFont="1" applyFill="1" applyAlignment="1"/>
    <xf numFmtId="0" fontId="0" fillId="3" borderId="0" xfId="0" applyFill="1" applyAlignment="1"/>
    <xf numFmtId="1" fontId="2" fillId="0" borderId="0" xfId="0" applyNumberFormat="1" applyFont="1" applyAlignment="1"/>
    <xf numFmtId="1" fontId="4" fillId="0" borderId="0" xfId="0" applyNumberFormat="1" applyFont="1" applyAlignment="1"/>
    <xf numFmtId="1" fontId="2" fillId="3" borderId="0" xfId="0" applyNumberFormat="1" applyFont="1" applyFill="1" applyAlignment="1"/>
    <xf numFmtId="14" fontId="3" fillId="0" borderId="0" xfId="0" applyNumberFormat="1" applyFont="1" applyAlignment="1"/>
    <xf numFmtId="49" fontId="2" fillId="0" borderId="0" xfId="0" applyNumberFormat="1" applyFont="1" applyAlignment="1">
      <alignment horizontal="right"/>
    </xf>
    <xf numFmtId="0" fontId="5" fillId="0" borderId="0" xfId="1" applyAlignment="1"/>
    <xf numFmtId="14" fontId="6" fillId="0" borderId="0" xfId="0" applyNumberFormat="1" applyFont="1" applyAlignment="1"/>
    <xf numFmtId="14" fontId="7" fillId="0" borderId="0" xfId="0" applyNumberFormat="1" applyFont="1" applyAlignment="1"/>
    <xf numFmtId="14" fontId="0" fillId="0" borderId="0" xfId="0" applyNumberFormat="1" applyAlignment="1">
      <alignment horizontal="right"/>
    </xf>
    <xf numFmtId="14" fontId="2" fillId="3" borderId="0" xfId="0" applyNumberFormat="1" applyFont="1" applyFill="1" applyAlignment="1"/>
    <xf numFmtId="49" fontId="3" fillId="0" borderId="0" xfId="0" applyNumberFormat="1" applyFont="1" applyFill="1" applyAlignment="1"/>
    <xf numFmtId="14" fontId="2" fillId="0" borderId="0" xfId="0" applyNumberFormat="1" applyFont="1" applyFill="1" applyAlignment="1"/>
    <xf numFmtId="0" fontId="8" fillId="3" borderId="0" xfId="0" applyFont="1" applyFill="1" applyAlignment="1"/>
    <xf numFmtId="0" fontId="8" fillId="0" borderId="0" xfId="0" applyFont="1"/>
    <xf numFmtId="0" fontId="9" fillId="2" borderId="1" xfId="0" applyFont="1" applyFill="1" applyBorder="1" applyAlignment="1"/>
    <xf numFmtId="0" fontId="8" fillId="0" borderId="0" xfId="0" applyFont="1" applyAlignment="1"/>
    <xf numFmtId="14" fontId="0" fillId="3" borderId="0" xfId="0" applyNumberFormat="1" applyFill="1" applyAlignment="1"/>
    <xf numFmtId="0" fontId="2" fillId="3" borderId="0" xfId="0" applyNumberFormat="1" applyFont="1" applyFill="1" applyAlignment="1"/>
    <xf numFmtId="0" fontId="3" fillId="0" borderId="0" xfId="0" quotePrefix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tabSelected="1" zoomScaleNormal="100" workbookViewId="0">
      <pane xSplit="1" ySplit="1" topLeftCell="Y11" activePane="bottomRight" state="frozen"/>
      <selection pane="topRight" activeCell="B1" sqref="B1"/>
      <selection pane="bottomLeft" activeCell="A2" sqref="A2"/>
      <selection pane="bottomRight" activeCell="AA23" sqref="AA23"/>
    </sheetView>
  </sheetViews>
  <sheetFormatPr defaultColWidth="15.90625" defaultRowHeight="14.5" x14ac:dyDescent="0.35"/>
  <cols>
    <col min="1" max="1" width="19.6328125" style="7" customWidth="1"/>
    <col min="2" max="2" width="4.90625" style="2" bestFit="1" customWidth="1"/>
    <col min="3" max="3" width="4" style="2" bestFit="1" customWidth="1"/>
    <col min="4" max="4" width="25.36328125" style="2" customWidth="1"/>
    <col min="5" max="5" width="39.90625" style="2" customWidth="1"/>
    <col min="6" max="6" width="6.90625" style="2" bestFit="1" customWidth="1"/>
    <col min="7" max="7" width="16.26953125" style="2" customWidth="1"/>
    <col min="8" max="8" width="21.6328125" style="7" customWidth="1"/>
    <col min="9" max="9" width="11.6328125" style="7" customWidth="1"/>
    <col min="10" max="10" width="9.7265625" style="7" customWidth="1"/>
    <col min="11" max="11" width="7.26953125" style="7" bestFit="1" customWidth="1"/>
    <col min="12" max="12" width="11.6328125" style="2" bestFit="1" customWidth="1"/>
    <col min="13" max="13" width="6.36328125" style="7" bestFit="1" customWidth="1"/>
    <col min="14" max="14" width="8" style="7" bestFit="1" customWidth="1"/>
    <col min="15" max="15" width="6.81640625" style="7" customWidth="1"/>
    <col min="16" max="16" width="7.26953125" style="2" bestFit="1" customWidth="1"/>
    <col min="17" max="17" width="25.453125" style="2" customWidth="1"/>
    <col min="18" max="18" width="8.6328125" style="2" bestFit="1" customWidth="1"/>
    <col min="19" max="19" width="22.54296875" style="7" customWidth="1"/>
    <col min="20" max="20" width="31.08984375" style="7" customWidth="1"/>
    <col min="21" max="21" width="22.26953125" style="2" customWidth="1"/>
    <col min="22" max="22" width="15.90625" style="2"/>
    <col min="23" max="23" width="4.453125" style="7" customWidth="1"/>
    <col min="24" max="24" width="22.1796875" style="7" customWidth="1"/>
    <col min="25" max="25" width="15.90625" style="2"/>
    <col min="26" max="26" width="25.36328125" style="2" bestFit="1" customWidth="1"/>
    <col min="27" max="31" width="15.90625" style="2"/>
    <col min="32" max="32" width="23.1796875" style="2" bestFit="1" customWidth="1"/>
    <col min="33" max="16384" width="15.90625" style="2"/>
  </cols>
  <sheetData>
    <row r="1" spans="1:32" s="1" customFormat="1" x14ac:dyDescent="0.35">
      <c r="A1" s="5" t="s">
        <v>10</v>
      </c>
      <c r="B1" s="5" t="s">
        <v>14</v>
      </c>
      <c r="C1" s="5" t="s">
        <v>9</v>
      </c>
      <c r="D1" s="5" t="s">
        <v>15</v>
      </c>
      <c r="E1" s="5" t="s">
        <v>32</v>
      </c>
      <c r="F1" s="5" t="s">
        <v>34</v>
      </c>
      <c r="G1" s="5" t="s">
        <v>0</v>
      </c>
      <c r="H1" s="5" t="s">
        <v>3</v>
      </c>
      <c r="I1" s="5" t="s">
        <v>79</v>
      </c>
      <c r="J1" s="5" t="s">
        <v>94</v>
      </c>
      <c r="K1" s="5" t="s">
        <v>91</v>
      </c>
      <c r="L1" s="5" t="s">
        <v>1</v>
      </c>
      <c r="M1" s="5" t="s">
        <v>19</v>
      </c>
      <c r="N1" s="5" t="s">
        <v>18</v>
      </c>
      <c r="O1" s="5" t="s">
        <v>17</v>
      </c>
      <c r="P1" s="5" t="s">
        <v>8</v>
      </c>
      <c r="Q1" s="5" t="s">
        <v>2</v>
      </c>
      <c r="R1" s="5" t="s">
        <v>4</v>
      </c>
      <c r="S1" s="5" t="s">
        <v>7</v>
      </c>
      <c r="T1" s="5" t="s">
        <v>67</v>
      </c>
      <c r="U1" s="5" t="s">
        <v>11</v>
      </c>
      <c r="V1" s="5" t="s">
        <v>52</v>
      </c>
      <c r="W1" s="5" t="s">
        <v>81</v>
      </c>
      <c r="X1" s="5" t="s">
        <v>124</v>
      </c>
      <c r="Y1" s="5" t="s">
        <v>40</v>
      </c>
      <c r="Z1" s="5" t="s">
        <v>168</v>
      </c>
      <c r="AA1" s="5" t="s">
        <v>165</v>
      </c>
      <c r="AB1" s="5" t="s">
        <v>85</v>
      </c>
      <c r="AC1" s="5" t="s">
        <v>110</v>
      </c>
      <c r="AD1" s="5" t="s">
        <v>134</v>
      </c>
      <c r="AE1" s="5" t="s">
        <v>135</v>
      </c>
      <c r="AF1" s="5" t="s">
        <v>136</v>
      </c>
    </row>
    <row r="2" spans="1:32" x14ac:dyDescent="0.35">
      <c r="A2" s="9" t="s">
        <v>47</v>
      </c>
      <c r="B2" s="2" t="s">
        <v>5</v>
      </c>
      <c r="D2" s="2" t="s">
        <v>33</v>
      </c>
      <c r="F2" s="2" t="s">
        <v>35</v>
      </c>
      <c r="G2" s="2" t="s">
        <v>155</v>
      </c>
      <c r="H2" s="7" t="str">
        <f>"«"&amp;A2&amp;"»"</f>
        <v>«2017-12-01-first-post»</v>
      </c>
      <c r="I2" s="10">
        <f>L2</f>
        <v>43070</v>
      </c>
      <c r="J2" s="10" t="str">
        <f>YEAR(I2)&amp;TEXT("-"&amp;MONTH(I2),"00")&amp;TEXT("-"&amp;DAY(I2),"00")</f>
        <v>2017-12-01</v>
      </c>
      <c r="K2" s="10" t="str">
        <f t="shared" ref="K2:K12" ca="1" si="0">IF(TODAY()-DATEVALUE(J2)&lt;15,"weekly",IF(TODAY()-DATEVALUE(J2)&lt;60,"monthly","yearly"))</f>
        <v>yearly</v>
      </c>
      <c r="L2" s="10">
        <f>DATE(O2,N2,M2)</f>
        <v>43070</v>
      </c>
      <c r="M2" s="17">
        <f>_xlfn.NUMBERVALUE(RIGHT(LEFT(A2,10),2))</f>
        <v>1</v>
      </c>
      <c r="N2" s="17">
        <f>_xlfn.NUMBERVALUE(RIGHT(LEFT(A2,7),2))</f>
        <v>12</v>
      </c>
      <c r="O2" s="17">
        <f>_xlfn.NUMBERVALUE(LEFT(A2,4))</f>
        <v>2017</v>
      </c>
      <c r="P2" s="2" t="s">
        <v>3</v>
      </c>
      <c r="Q2" s="2" t="str">
        <f>Tags!$A$6&amp;", "&amp;Tags!$A$4</f>
        <v>Creative-Archive, Post</v>
      </c>
      <c r="R2" s="2" t="s">
        <v>5</v>
      </c>
      <c r="S2" s="7" t="s">
        <v>42</v>
      </c>
      <c r="T2" s="7" t="str">
        <f>$T$9</f>
        <v>Octaflower, the Creative Archive's logo. A geometric lotus flower composed of eight rows of eight petals in rainbow progression.</v>
      </c>
      <c r="U2" s="7" t="str">
        <f t="shared" ref="U2:U9" si="1">"«"&amp;A2&amp;":MarkShort»"</f>
        <v>«2017-12-01-first-post:MarkShort»</v>
      </c>
      <c r="V2" s="7" t="str">
        <f>IF(P2="Post","article","site")</f>
        <v>article</v>
      </c>
      <c r="W2" s="9"/>
      <c r="X2" s="9" t="str">
        <f t="shared" ref="X2:X18" si="2">"«SITE-HTTP»/"&amp;A2</f>
        <v>«SITE-HTTP»/2017-12-01-first-post</v>
      </c>
    </row>
    <row r="3" spans="1:32" x14ac:dyDescent="0.35">
      <c r="A3" s="9" t="s">
        <v>51</v>
      </c>
      <c r="B3" s="2" t="s">
        <v>5</v>
      </c>
      <c r="D3" s="7" t="str">
        <f>$D$2</f>
        <v>«PAGE-POST-MD»</v>
      </c>
      <c r="F3" s="2" t="s">
        <v>35</v>
      </c>
      <c r="G3" s="2" t="s">
        <v>151</v>
      </c>
      <c r="H3" s="7" t="str">
        <f>"«"&amp;A3&amp;"»"</f>
        <v>«2018-02-08-support-the-archive»</v>
      </c>
      <c r="I3" s="10">
        <f>L3</f>
        <v>43139</v>
      </c>
      <c r="J3" s="10" t="str">
        <f t="shared" ref="J3:J9" si="3">YEAR(I3)&amp;TEXT("-"&amp;MONTH(I3),"00")&amp;TEXT("-"&amp;DAY(I3),"00")</f>
        <v>2018-02-08</v>
      </c>
      <c r="K3" s="10" t="str">
        <f t="shared" ca="1" si="0"/>
        <v>yearly</v>
      </c>
      <c r="L3" s="10">
        <f>DATE(O3,N3,M3)</f>
        <v>43139</v>
      </c>
      <c r="M3" s="17">
        <f>_xlfn.NUMBERVALUE(RIGHT(LEFT(A3,10),2))</f>
        <v>8</v>
      </c>
      <c r="N3" s="17">
        <f>_xlfn.NUMBERVALUE(RIGHT(LEFT(A3,7),2))</f>
        <v>2</v>
      </c>
      <c r="O3" s="17">
        <f>_xlfn.NUMBERVALUE(LEFT(A3,4))</f>
        <v>2018</v>
      </c>
      <c r="P3" s="2" t="s">
        <v>3</v>
      </c>
      <c r="Q3" s="2" t="str">
        <f>Tags!$A$6&amp;", "&amp;Tags!$A$5&amp;", "&amp;Tags!$A$4</f>
        <v>Creative-Archive, Finance, Post</v>
      </c>
      <c r="R3" s="2" t="s">
        <v>5</v>
      </c>
      <c r="S3" s="7" t="s">
        <v>42</v>
      </c>
      <c r="T3" s="7" t="str">
        <f>$T$9</f>
        <v>Octaflower, the Creative Archive's logo. A geometric lotus flower composed of eight rows of eight petals in rainbow progression.</v>
      </c>
      <c r="U3" s="7" t="str">
        <f t="shared" si="1"/>
        <v>«2018-02-08-support-the-archive:MarkShort»</v>
      </c>
      <c r="V3" s="7" t="str">
        <f>IF(P3="Post","article","site")</f>
        <v>article</v>
      </c>
      <c r="W3" s="9"/>
      <c r="X3" s="9" t="str">
        <f t="shared" si="2"/>
        <v>«SITE-HTTP»/2018-02-08-support-the-archive</v>
      </c>
    </row>
    <row r="4" spans="1:32" x14ac:dyDescent="0.35">
      <c r="A4" s="9" t="s">
        <v>44</v>
      </c>
      <c r="B4" s="2" t="s">
        <v>5</v>
      </c>
      <c r="D4" s="7" t="str">
        <f t="shared" ref="D4:D9" si="4">$D$2</f>
        <v>«PAGE-POST-MD»</v>
      </c>
      <c r="F4" s="2" t="s">
        <v>35</v>
      </c>
      <c r="G4" s="2" t="s">
        <v>48</v>
      </c>
      <c r="H4" s="7" t="str">
        <f>"«"&amp;A4&amp;"»"</f>
        <v>«2018-01-04-wikipedia-donation»</v>
      </c>
      <c r="I4" s="10">
        <f>L4</f>
        <v>43104</v>
      </c>
      <c r="J4" s="10" t="str">
        <f t="shared" si="3"/>
        <v>2018-01-04</v>
      </c>
      <c r="K4" s="10" t="str">
        <f t="shared" ca="1" si="0"/>
        <v>yearly</v>
      </c>
      <c r="L4" s="10">
        <f>DATE(O4,N4,M4)</f>
        <v>43104</v>
      </c>
      <c r="M4" s="17">
        <f>_xlfn.NUMBERVALUE(RIGHT(LEFT(A4,10),2))</f>
        <v>4</v>
      </c>
      <c r="N4" s="17">
        <f>_xlfn.NUMBERVALUE(RIGHT(LEFT(A4,7),2))</f>
        <v>1</v>
      </c>
      <c r="O4" s="17">
        <f>_xlfn.NUMBERVALUE(LEFT(A4,4))</f>
        <v>2018</v>
      </c>
      <c r="P4" s="2" t="s">
        <v>3</v>
      </c>
      <c r="Q4" s="2" t="str">
        <f>Tags!$A$5&amp;", "&amp;Tags!$A$4</f>
        <v>Finance, Post</v>
      </c>
      <c r="R4" s="2" t="s">
        <v>5</v>
      </c>
      <c r="S4" s="7" t="s">
        <v>42</v>
      </c>
      <c r="T4" s="7" t="str">
        <f>$T$9</f>
        <v>Octaflower, the Creative Archive's logo. A geometric lotus flower composed of eight rows of eight petals in rainbow progression.</v>
      </c>
      <c r="U4" s="7" t="str">
        <f t="shared" si="1"/>
        <v>«2018-01-04-wikipedia-donation:MarkShort»</v>
      </c>
      <c r="V4" s="7" t="str">
        <f>IF(P4="Post","article","site")</f>
        <v>article</v>
      </c>
      <c r="W4" s="9"/>
      <c r="X4" s="9" t="str">
        <f t="shared" si="2"/>
        <v>«SITE-HTTP»/2018-01-04-wikipedia-donation</v>
      </c>
    </row>
    <row r="5" spans="1:32" x14ac:dyDescent="0.35">
      <c r="A5" s="16" t="s">
        <v>63</v>
      </c>
      <c r="B5" s="2" t="s">
        <v>5</v>
      </c>
      <c r="D5" s="7" t="str">
        <f t="shared" si="4"/>
        <v>«PAGE-POST-MD»</v>
      </c>
      <c r="E5" s="7" t="str">
        <f>"«"&amp;A5&amp;"»"</f>
        <v>«fleur-de-lis»</v>
      </c>
      <c r="F5" s="2" t="s">
        <v>68</v>
      </c>
      <c r="G5" s="2" t="s">
        <v>60</v>
      </c>
      <c r="H5" s="9" t="s">
        <v>69</v>
      </c>
      <c r="I5" s="16">
        <v>43145</v>
      </c>
      <c r="J5" s="10" t="str">
        <f t="shared" si="3"/>
        <v>2018-02-14</v>
      </c>
      <c r="K5" s="10" t="str">
        <f t="shared" ca="1" si="0"/>
        <v>yearly</v>
      </c>
      <c r="L5" s="3">
        <v>43145</v>
      </c>
      <c r="M5" s="13">
        <f t="shared" ref="M5:M10" si="5">DAY(L5)</f>
        <v>14</v>
      </c>
      <c r="N5" s="6">
        <f t="shared" ref="N5:N10" si="6">MONTH(L5)</f>
        <v>2</v>
      </c>
      <c r="O5" s="6">
        <f t="shared" ref="O5:O10" si="7">YEAR(L5)</f>
        <v>2018</v>
      </c>
      <c r="P5" s="2" t="s">
        <v>62</v>
      </c>
      <c r="Q5" s="2" t="str">
        <f>Tags!$A$16&amp;", "&amp;Tags!$A$7&amp;", "&amp;Tags!$A$8&amp;", "&amp;Tags!$A$9</f>
        <v>Art, Mosaic, Travel, Wallpaper</v>
      </c>
      <c r="R5" s="2" t="s">
        <v>5</v>
      </c>
      <c r="S5" s="7" t="str">
        <f>LOWER(P5)&amp;"/"&amp;A5&amp;".png"</f>
        <v>mosaic/fleur-de-lis.png</v>
      </c>
      <c r="T5" s="9" t="s">
        <v>66</v>
      </c>
      <c r="U5" s="7" t="str">
        <f t="shared" si="1"/>
        <v>«fleur-de-lis:MarkShort»</v>
      </c>
      <c r="V5" s="9" t="s">
        <v>65</v>
      </c>
      <c r="W5" s="16"/>
      <c r="X5" s="16" t="str">
        <f t="shared" si="2"/>
        <v>«SITE-HTTP»/fleur-de-lis</v>
      </c>
      <c r="Y5" s="3">
        <v>42980</v>
      </c>
    </row>
    <row r="6" spans="1:32" x14ac:dyDescent="0.35">
      <c r="A6" s="16" t="s">
        <v>70</v>
      </c>
      <c r="B6" s="2" t="s">
        <v>5</v>
      </c>
      <c r="D6" s="7" t="str">
        <f t="shared" si="4"/>
        <v>«PAGE-POST-MD»</v>
      </c>
      <c r="E6" s="7" t="str">
        <f>"«"&amp;A6&amp;"»"</f>
        <v>«scales»</v>
      </c>
      <c r="F6" s="2" t="s">
        <v>68</v>
      </c>
      <c r="G6" s="2" t="s">
        <v>71</v>
      </c>
      <c r="H6" s="7" t="str">
        <f>$H$5</f>
        <v>«FIGURE-MOSAIC»</v>
      </c>
      <c r="I6" s="16">
        <v>43145</v>
      </c>
      <c r="J6" s="10" t="str">
        <f t="shared" si="3"/>
        <v>2018-02-14</v>
      </c>
      <c r="K6" s="10" t="str">
        <f t="shared" ca="1" si="0"/>
        <v>yearly</v>
      </c>
      <c r="L6" s="3">
        <v>43063</v>
      </c>
      <c r="M6" s="13">
        <f t="shared" si="5"/>
        <v>24</v>
      </c>
      <c r="N6" s="6">
        <f t="shared" si="6"/>
        <v>11</v>
      </c>
      <c r="O6" s="6">
        <f t="shared" si="7"/>
        <v>2017</v>
      </c>
      <c r="P6" s="2" t="str">
        <f>P5</f>
        <v>Mosaic</v>
      </c>
      <c r="Q6" s="2" t="str">
        <f>Tags!$A$16&amp;", "&amp;Tags!$A$7&amp;", "&amp;Tags!$A$9</f>
        <v>Art, Mosaic, Wallpaper</v>
      </c>
      <c r="R6" s="2" t="s">
        <v>6</v>
      </c>
      <c r="S6" s="7" t="str">
        <f>LOWER(P6)&amp;"/"&amp;A6&amp;".png"</f>
        <v>mosaic/scales.png</v>
      </c>
      <c r="T6" s="9" t="s">
        <v>72</v>
      </c>
      <c r="U6" s="7" t="str">
        <f t="shared" si="1"/>
        <v>«scales:MarkShort»</v>
      </c>
      <c r="V6" s="9" t="s">
        <v>65</v>
      </c>
      <c r="W6" s="16"/>
      <c r="X6" s="16" t="str">
        <f t="shared" si="2"/>
        <v>«SITE-HTTP»/scales</v>
      </c>
      <c r="Y6" s="3"/>
    </row>
    <row r="7" spans="1:32" x14ac:dyDescent="0.35">
      <c r="A7" s="16" t="s">
        <v>64</v>
      </c>
      <c r="B7" s="2" t="s">
        <v>5</v>
      </c>
      <c r="D7" s="7" t="str">
        <f t="shared" si="4"/>
        <v>«PAGE-POST-MD»</v>
      </c>
      <c r="E7" s="7" t="str">
        <f>"«"&amp;A7&amp;"»"</f>
        <v>«veronese»</v>
      </c>
      <c r="F7" s="2" t="s">
        <v>68</v>
      </c>
      <c r="G7" s="2" t="s">
        <v>61</v>
      </c>
      <c r="H7" s="7" t="str">
        <f>$H$5</f>
        <v>«FIGURE-MOSAIC»</v>
      </c>
      <c r="I7" s="16">
        <v>43145</v>
      </c>
      <c r="J7" s="10" t="str">
        <f t="shared" si="3"/>
        <v>2018-02-14</v>
      </c>
      <c r="K7" s="10" t="str">
        <f t="shared" ca="1" si="0"/>
        <v>yearly</v>
      </c>
      <c r="L7" s="3">
        <v>43137</v>
      </c>
      <c r="M7" s="13">
        <f t="shared" si="5"/>
        <v>6</v>
      </c>
      <c r="N7" s="6">
        <f t="shared" si="6"/>
        <v>2</v>
      </c>
      <c r="O7" s="6">
        <f t="shared" si="7"/>
        <v>2018</v>
      </c>
      <c r="P7" s="2" t="s">
        <v>62</v>
      </c>
      <c r="Q7" s="2" t="str">
        <f>Tags!$A$16&amp;", "&amp;Tags!$A$7&amp;", "&amp;Tags!$A$8&amp;", "&amp;Tags!$A$9</f>
        <v>Art, Mosaic, Travel, Wallpaper</v>
      </c>
      <c r="R7" s="2" t="s">
        <v>5</v>
      </c>
      <c r="S7" s="7" t="str">
        <f>LOWER(P7)&amp;"/"&amp;A7&amp;".png"</f>
        <v>mosaic/veronese.png</v>
      </c>
      <c r="T7" s="9" t="s">
        <v>73</v>
      </c>
      <c r="U7" s="7" t="str">
        <f t="shared" si="1"/>
        <v>«veronese:MarkShort»</v>
      </c>
      <c r="V7" s="9" t="s">
        <v>65</v>
      </c>
      <c r="W7" s="16"/>
      <c r="X7" s="16" t="str">
        <f t="shared" si="2"/>
        <v>«SITE-HTTP»/veronese</v>
      </c>
      <c r="Y7" s="3">
        <v>42982</v>
      </c>
    </row>
    <row r="8" spans="1:32" x14ac:dyDescent="0.35">
      <c r="A8" s="16" t="s">
        <v>74</v>
      </c>
      <c r="B8" s="2" t="s">
        <v>5</v>
      </c>
      <c r="D8" s="7" t="str">
        <f t="shared" si="4"/>
        <v>«PAGE-POST-MD»</v>
      </c>
      <c r="E8" s="7" t="str">
        <f>"«"&amp;A8&amp;"»"</f>
        <v>«viking-carpet»</v>
      </c>
      <c r="F8" s="2" t="s">
        <v>68</v>
      </c>
      <c r="G8" s="2" t="s">
        <v>75</v>
      </c>
      <c r="H8" s="7" t="str">
        <f>$H$5</f>
        <v>«FIGURE-MOSAIC»</v>
      </c>
      <c r="I8" s="16">
        <v>43154</v>
      </c>
      <c r="J8" s="10" t="str">
        <f t="shared" si="3"/>
        <v>2018-02-23</v>
      </c>
      <c r="K8" s="10" t="str">
        <f t="shared" ca="1" si="0"/>
        <v>yearly</v>
      </c>
      <c r="L8" s="3">
        <v>43018</v>
      </c>
      <c r="M8" s="13">
        <f t="shared" si="5"/>
        <v>10</v>
      </c>
      <c r="N8" s="6">
        <f t="shared" si="6"/>
        <v>10</v>
      </c>
      <c r="O8" s="6">
        <f t="shared" si="7"/>
        <v>2017</v>
      </c>
      <c r="P8" s="2" t="s">
        <v>62</v>
      </c>
      <c r="Q8" s="2" t="str">
        <f>Tags!$A$16&amp;", "&amp;Tags!$A$7&amp;", "&amp;Tags!$A$8&amp;", "&amp;Tags!$A$9</f>
        <v>Art, Mosaic, Travel, Wallpaper</v>
      </c>
      <c r="R8" s="2" t="s">
        <v>5</v>
      </c>
      <c r="S8" s="7" t="str">
        <f>LOWER(P8)&amp;"/"&amp;A8&amp;".png"</f>
        <v>mosaic/viking-carpet.png</v>
      </c>
      <c r="T8" s="9" t="s">
        <v>76</v>
      </c>
      <c r="U8" s="7" t="str">
        <f t="shared" si="1"/>
        <v>«viking-carpet:MarkShort»</v>
      </c>
      <c r="V8" s="9" t="s">
        <v>65</v>
      </c>
      <c r="W8" s="16"/>
      <c r="X8" s="16" t="str">
        <f t="shared" si="2"/>
        <v>«SITE-HTTP»/viking-carpet</v>
      </c>
      <c r="Y8" s="3"/>
    </row>
    <row r="9" spans="1:32" x14ac:dyDescent="0.35">
      <c r="A9" s="7" t="str">
        <f>SUBSTITUTE(LOWER(G9)," ","-")</f>
        <v>about</v>
      </c>
      <c r="B9" s="2" t="s">
        <v>5</v>
      </c>
      <c r="C9" s="2">
        <v>1</v>
      </c>
      <c r="D9" s="7" t="str">
        <f t="shared" si="4"/>
        <v>«PAGE-POST-MD»</v>
      </c>
      <c r="E9" s="7" t="str">
        <f>"«"&amp;A9&amp;"»"</f>
        <v>«about»</v>
      </c>
      <c r="F9" s="2" t="s">
        <v>35</v>
      </c>
      <c r="G9" s="2" t="s">
        <v>153</v>
      </c>
      <c r="H9" s="7" t="str">
        <f>"«"&amp;A9&amp;"»"</f>
        <v>«about»</v>
      </c>
      <c r="I9" s="10">
        <f>L9</f>
        <v>43133</v>
      </c>
      <c r="J9" s="10" t="str">
        <f t="shared" si="3"/>
        <v>2018-02-02</v>
      </c>
      <c r="K9" s="10" t="str">
        <f t="shared" ca="1" si="0"/>
        <v>yearly</v>
      </c>
      <c r="L9" s="3">
        <v>43133</v>
      </c>
      <c r="M9" s="13">
        <f t="shared" si="5"/>
        <v>2</v>
      </c>
      <c r="N9" s="6">
        <f t="shared" si="6"/>
        <v>2</v>
      </c>
      <c r="O9" s="6">
        <f t="shared" si="7"/>
        <v>2018</v>
      </c>
      <c r="P9" s="2" t="s">
        <v>3</v>
      </c>
      <c r="Q9" s="2" t="str">
        <f>Tags!$A$6&amp;", "&amp;Tags!$A$4</f>
        <v>Creative-Archive, Post</v>
      </c>
      <c r="R9" s="2" t="s">
        <v>5</v>
      </c>
      <c r="S9" s="9" t="s">
        <v>54</v>
      </c>
      <c r="T9" s="9" t="s">
        <v>56</v>
      </c>
      <c r="U9" s="7" t="str">
        <f t="shared" si="1"/>
        <v>«about:MarkShort»</v>
      </c>
      <c r="V9" s="9" t="s">
        <v>53</v>
      </c>
      <c r="X9" s="7" t="str">
        <f t="shared" si="2"/>
        <v>«SITE-HTTP»/about</v>
      </c>
    </row>
    <row r="10" spans="1:32" x14ac:dyDescent="0.35">
      <c r="A10" s="9" t="s">
        <v>43</v>
      </c>
      <c r="B10" s="2" t="s">
        <v>6</v>
      </c>
      <c r="D10" s="2" t="s">
        <v>84</v>
      </c>
      <c r="E10" s="2" t="s">
        <v>132</v>
      </c>
      <c r="G10" s="2" t="s">
        <v>152</v>
      </c>
      <c r="I10" s="16"/>
      <c r="J10" s="23" t="s">
        <v>95</v>
      </c>
      <c r="K10" s="10" t="str">
        <f t="shared" ca="1" si="0"/>
        <v>yearly</v>
      </c>
      <c r="L10" s="16">
        <v>43070</v>
      </c>
      <c r="M10" s="13">
        <f t="shared" si="5"/>
        <v>1</v>
      </c>
      <c r="N10" s="6">
        <f t="shared" si="6"/>
        <v>12</v>
      </c>
      <c r="O10" s="6">
        <f t="shared" si="7"/>
        <v>2017</v>
      </c>
      <c r="P10" s="2" t="s">
        <v>12</v>
      </c>
      <c r="Q10" s="2" t="str">
        <f>Tags!$A$11</f>
        <v>Sitemap</v>
      </c>
      <c r="S10" s="7" t="str">
        <f>$S$9</f>
        <v>logo.png</v>
      </c>
      <c r="T10" s="7" t="str">
        <f>$T$9</f>
        <v>Octaflower, the Creative Archive's logo. A geometric lotus flower composed of eight rows of eight petals in rainbow progression.</v>
      </c>
      <c r="U10" s="9" t="str">
        <f>U9</f>
        <v>«about:MarkShort»</v>
      </c>
      <c r="V10" s="7" t="str">
        <f>IF(P10="Post","article","website")</f>
        <v>website</v>
      </c>
      <c r="X10" s="7" t="str">
        <f t="shared" si="2"/>
        <v>«SITE-HTTP»/index</v>
      </c>
    </row>
    <row r="11" spans="1:32" x14ac:dyDescent="0.35">
      <c r="A11" s="7" t="str">
        <f>SUBSTITUTE(LOWER(G11)," ","-")</f>
        <v>guestbook</v>
      </c>
      <c r="B11" s="2" t="s">
        <v>6</v>
      </c>
      <c r="C11" s="2">
        <v>3</v>
      </c>
      <c r="D11" s="2" t="s">
        <v>30</v>
      </c>
      <c r="E11" s="4" t="s">
        <v>158</v>
      </c>
      <c r="F11" s="4" t="s">
        <v>35</v>
      </c>
      <c r="G11" s="2" t="s">
        <v>156</v>
      </c>
      <c r="H11" s="7" t="str">
        <f t="shared" ref="H11:H18" si="8">"«"&amp;A11&amp;"»"</f>
        <v>«guestbook»</v>
      </c>
      <c r="I11" s="3">
        <v>43303</v>
      </c>
      <c r="J11" s="10" t="str">
        <f t="shared" ref="J11" si="9">YEAR(I11)&amp;TEXT("-"&amp;MONTH(I11),"00")&amp;TEXT("-"&amp;DAY(I11),"00")</f>
        <v>2018-07-22</v>
      </c>
      <c r="K11" s="10" t="str">
        <f t="shared" ca="1" si="0"/>
        <v>yearly</v>
      </c>
      <c r="L11" s="3">
        <v>43303</v>
      </c>
      <c r="M11" s="13">
        <f t="shared" ref="M11" si="10">DAY(L11)</f>
        <v>22</v>
      </c>
      <c r="N11" s="6">
        <f t="shared" ref="N11" si="11">MONTH(L11)</f>
        <v>7</v>
      </c>
      <c r="O11" s="6">
        <f t="shared" ref="O11" si="12">YEAR(L11)</f>
        <v>2018</v>
      </c>
      <c r="P11" s="2" t="s">
        <v>156</v>
      </c>
      <c r="Q11" s="2" t="str">
        <f>Tags!$A$6</f>
        <v>Creative-Archive</v>
      </c>
      <c r="R11" s="2" t="s">
        <v>5</v>
      </c>
      <c r="S11" s="7" t="s">
        <v>42</v>
      </c>
      <c r="T11" s="7" t="str">
        <f>$T$9</f>
        <v>Octaflower, the Creative Archive's logo. A geometric lotus flower composed of eight rows of eight petals in rainbow progression.</v>
      </c>
      <c r="U11" s="9" t="s">
        <v>157</v>
      </c>
      <c r="V11" s="7" t="str">
        <f>IF(P11="Post","article","website")</f>
        <v>website</v>
      </c>
      <c r="X11" s="7" t="str">
        <f t="shared" ref="X11" si="13">"«SITE-HTTP»/"&amp;A11</f>
        <v>«SITE-HTTP»/guestbook</v>
      </c>
    </row>
    <row r="12" spans="1:32" x14ac:dyDescent="0.35">
      <c r="A12" s="7" t="str">
        <f>SUBSTITUTE(LOWER(G12)," ","-")</f>
        <v>contact</v>
      </c>
      <c r="B12" s="2" t="s">
        <v>5</v>
      </c>
      <c r="C12" s="2">
        <v>2</v>
      </c>
      <c r="D12" s="2" t="s">
        <v>30</v>
      </c>
      <c r="E12" s="4" t="s">
        <v>31</v>
      </c>
      <c r="F12" s="4"/>
      <c r="G12" s="2" t="s">
        <v>13</v>
      </c>
      <c r="H12" s="8"/>
      <c r="I12" s="16"/>
      <c r="J12" s="24" t="str">
        <f>YEAR($J$10)&amp;TEXT("-"&amp;MONTH($J$10),"00")&amp;TEXT("-"&amp;DAY($J$10),"00")</f>
        <v>2018-03-02</v>
      </c>
      <c r="K12" s="10" t="str">
        <f t="shared" ca="1" si="0"/>
        <v>yearly</v>
      </c>
      <c r="L12" s="20"/>
      <c r="M12" s="13"/>
      <c r="P12" s="2" t="s">
        <v>13</v>
      </c>
      <c r="Q12" s="2" t="str">
        <f>Tags!$A$6</f>
        <v>Creative-Archive</v>
      </c>
      <c r="S12" s="7" t="s">
        <v>42</v>
      </c>
      <c r="T12" s="7" t="str">
        <f>$T$9</f>
        <v>Octaflower, the Creative Archive's logo. A geometric lotus flower composed of eight rows of eight petals in rainbow progression.</v>
      </c>
      <c r="U12" s="9" t="s">
        <v>123</v>
      </c>
      <c r="V12" s="7" t="str">
        <f>IF(P12="Post","article","website")</f>
        <v>website</v>
      </c>
      <c r="X12" s="7" t="str">
        <f t="shared" si="2"/>
        <v>«SITE-HTTP»/contact</v>
      </c>
    </row>
    <row r="13" spans="1:32" x14ac:dyDescent="0.35">
      <c r="A13" s="7" t="str">
        <f>SUBSTITUTE(LOWER(G13)," ","-")</f>
        <v>hall-of-fame</v>
      </c>
      <c r="B13" s="2" t="s">
        <v>5</v>
      </c>
      <c r="D13" s="2" t="s">
        <v>30</v>
      </c>
      <c r="E13" s="4" t="s">
        <v>106</v>
      </c>
      <c r="F13" s="4" t="s">
        <v>35</v>
      </c>
      <c r="G13" s="2" t="s">
        <v>107</v>
      </c>
      <c r="H13" s="7" t="str">
        <f t="shared" si="8"/>
        <v>«hall-of-fame»</v>
      </c>
      <c r="I13" s="3">
        <v>43265</v>
      </c>
      <c r="J13" s="10" t="str">
        <f t="shared" ref="J13:J25" si="14">YEAR(I13)&amp;TEXT("-"&amp;MONTH(I13),"00")&amp;TEXT("-"&amp;DAY(I13),"00")</f>
        <v>2018-06-14</v>
      </c>
      <c r="K13" s="10" t="str">
        <f t="shared" ref="K13" ca="1" si="15">IF(TODAY()-DATEVALUE(J13)&lt;15,"weekly",IF(TODAY()-DATEVALUE(J13)&lt;60,"monthly","yearly"))</f>
        <v>yearly</v>
      </c>
      <c r="L13" s="3">
        <v>43185</v>
      </c>
      <c r="M13" s="13">
        <f>DAY(L13)</f>
        <v>26</v>
      </c>
      <c r="N13" s="6">
        <f>MONTH(L13)</f>
        <v>3</v>
      </c>
      <c r="O13" s="6">
        <f t="shared" ref="O13" si="16">YEAR(L13)</f>
        <v>2018</v>
      </c>
      <c r="P13" s="2" t="s">
        <v>107</v>
      </c>
      <c r="Q13" s="2" t="str">
        <f>Tags!$A$6</f>
        <v>Creative-Archive</v>
      </c>
      <c r="R13" s="2" t="s">
        <v>5</v>
      </c>
      <c r="S13" s="7" t="s">
        <v>42</v>
      </c>
      <c r="T13" s="7" t="str">
        <f>$T$9</f>
        <v>Octaflower, the Creative Archive's logo. A geometric lotus flower composed of eight rows of eight petals in rainbow progression.</v>
      </c>
      <c r="U13" s="9" t="s">
        <v>122</v>
      </c>
      <c r="V13" s="7" t="str">
        <f>IF(P13="Post","article","website")</f>
        <v>website</v>
      </c>
      <c r="X13" s="7" t="str">
        <f t="shared" si="2"/>
        <v>«SITE-HTTP»/hall-of-fame</v>
      </c>
    </row>
    <row r="14" spans="1:32" x14ac:dyDescent="0.35">
      <c r="A14" s="7" t="str">
        <f t="shared" ref="A14:A17" si="17">SUBSTITUTE(LOWER(G14)," ","-")</f>
        <v>tetrastrophe</v>
      </c>
      <c r="B14" s="2" t="s">
        <v>5</v>
      </c>
      <c r="D14" s="2" t="s">
        <v>50</v>
      </c>
      <c r="E14" s="2" t="s">
        <v>39</v>
      </c>
      <c r="F14" s="2" t="s">
        <v>35</v>
      </c>
      <c r="G14" s="2" t="s">
        <v>26</v>
      </c>
      <c r="H14" s="7" t="str">
        <f t="shared" si="8"/>
        <v>«tetrastrophe»</v>
      </c>
      <c r="I14" s="3">
        <v>43132</v>
      </c>
      <c r="J14" s="10" t="str">
        <f t="shared" si="14"/>
        <v>2018-02-01</v>
      </c>
      <c r="K14" s="10" t="str">
        <f t="shared" ref="K14:K20" ca="1" si="18">IF(TODAY()-DATEVALUE(J14)&lt;15,"weekly",IF(TODAY()-DATEVALUE(J14)&lt;60,"monthly","yearly"))</f>
        <v>yearly</v>
      </c>
      <c r="L14" s="3">
        <v>41773</v>
      </c>
      <c r="M14" s="13">
        <f>DAY(L14)</f>
        <v>14</v>
      </c>
      <c r="N14" s="6">
        <f>MONTH(L14)</f>
        <v>5</v>
      </c>
      <c r="O14" s="6">
        <f t="shared" ref="O14:O25" si="19">YEAR(L14)</f>
        <v>2014</v>
      </c>
      <c r="P14" s="2" t="s">
        <v>25</v>
      </c>
      <c r="Q14" s="2" t="str">
        <f>Tags!$A$10&amp;", "&amp;Tags!$A$2&amp;", "&amp;Tags!$A$3</f>
        <v>Game, Platformer, Puzzle</v>
      </c>
      <c r="R14" s="2" t="s">
        <v>5</v>
      </c>
      <c r="S14" s="7" t="str">
        <f>A14&amp;".png"</f>
        <v>tetrastrophe.png</v>
      </c>
      <c r="T14" s="7" t="str">
        <f>G14</f>
        <v>Tetrastrophe</v>
      </c>
      <c r="U14" s="7" t="str">
        <f>"«"&amp;A14&amp;":MarkShort»"</f>
        <v>«tetrastrophe:MarkShort»</v>
      </c>
      <c r="V14" s="7" t="str">
        <f t="shared" ref="V14:V20" si="20">IF(P14="Post","article",IF(P14="Game","game","website"))</f>
        <v>game</v>
      </c>
      <c r="X14" s="7" t="str">
        <f t="shared" si="2"/>
        <v>«SITE-HTTP»/tetrastrophe</v>
      </c>
      <c r="Y14" s="2" t="s">
        <v>27</v>
      </c>
      <c r="AA14" s="2" t="s">
        <v>166</v>
      </c>
      <c r="AC14" s="2" t="s">
        <v>114</v>
      </c>
      <c r="AD14" s="2" t="s">
        <v>143</v>
      </c>
      <c r="AE14" s="2" t="s">
        <v>145</v>
      </c>
      <c r="AF14" s="4" t="s">
        <v>144</v>
      </c>
    </row>
    <row r="15" spans="1:32" x14ac:dyDescent="0.35">
      <c r="A15" s="7" t="str">
        <f t="shared" si="17"/>
        <v>blockworks</v>
      </c>
      <c r="B15" s="2" t="s">
        <v>5</v>
      </c>
      <c r="D15" s="28" t="str">
        <f>$D$14</f>
        <v>«PAGE-GAME-FULLSCREEN»</v>
      </c>
      <c r="E15" s="2" t="s">
        <v>45</v>
      </c>
      <c r="F15" s="28" t="str">
        <f>$F$14</f>
        <v>prose</v>
      </c>
      <c r="G15" s="2" t="s">
        <v>46</v>
      </c>
      <c r="H15" s="7" t="str">
        <f t="shared" si="8"/>
        <v>«blockworks»</v>
      </c>
      <c r="I15" s="3">
        <v>43150</v>
      </c>
      <c r="J15" s="10" t="str">
        <f t="shared" si="14"/>
        <v>2018-02-19</v>
      </c>
      <c r="K15" s="10" t="str">
        <f t="shared" ca="1" si="18"/>
        <v>yearly</v>
      </c>
      <c r="L15" s="3">
        <v>43135</v>
      </c>
      <c r="M15" s="13">
        <f t="shared" ref="M15" si="21">DAY(L15)</f>
        <v>4</v>
      </c>
      <c r="N15" s="6">
        <f t="shared" ref="N15" si="22">MONTH(L15)</f>
        <v>2</v>
      </c>
      <c r="O15" s="6">
        <f t="shared" si="19"/>
        <v>2018</v>
      </c>
      <c r="P15" s="2" t="s">
        <v>25</v>
      </c>
      <c r="Q15" s="2" t="str">
        <f>Tags!$A$10&amp;", "&amp;Tags!$A$2&amp;", "&amp;Tags!$A$3</f>
        <v>Game, Platformer, Puzzle</v>
      </c>
      <c r="R15" s="2" t="s">
        <v>5</v>
      </c>
      <c r="S15" s="7" t="str">
        <f>A15&amp;".png"</f>
        <v>blockworks.png</v>
      </c>
      <c r="T15" s="7" t="str">
        <f t="shared" ref="T15:T23" si="23">G15</f>
        <v>Blockworks</v>
      </c>
      <c r="U15" s="7" t="str">
        <f>"«"&amp;A15&amp;":MarkShort»"</f>
        <v>«blockworks:MarkShort»</v>
      </c>
      <c r="V15" s="7" t="str">
        <f t="shared" si="20"/>
        <v>game</v>
      </c>
      <c r="X15" s="7" t="str">
        <f t="shared" si="2"/>
        <v>«SITE-HTTP»/blockworks</v>
      </c>
      <c r="Y15" s="2" t="s">
        <v>45</v>
      </c>
      <c r="Z15"/>
      <c r="AA15" s="2" t="s">
        <v>166</v>
      </c>
      <c r="AC15" s="2" t="s">
        <v>113</v>
      </c>
      <c r="AD15" s="2" t="s">
        <v>137</v>
      </c>
      <c r="AE15" s="2" t="s">
        <v>138</v>
      </c>
      <c r="AF15" s="4" t="s">
        <v>141</v>
      </c>
    </row>
    <row r="16" spans="1:32" x14ac:dyDescent="0.35">
      <c r="A16" s="7" t="str">
        <f t="shared" ref="A16" si="24">SUBSTITUTE(LOWER(G16)," ","-")</f>
        <v>whirlpuzzle</v>
      </c>
      <c r="B16" s="2" t="s">
        <v>5</v>
      </c>
      <c r="D16" s="28" t="str">
        <f t="shared" ref="D16:D23" si="25">$D$14</f>
        <v>«PAGE-GAME-FULLSCREEN»</v>
      </c>
      <c r="E16" s="2" t="s">
        <v>77</v>
      </c>
      <c r="F16" s="28" t="str">
        <f t="shared" ref="F16:F23" si="26">$F$14</f>
        <v>prose</v>
      </c>
      <c r="G16" s="2" t="s">
        <v>78</v>
      </c>
      <c r="H16" s="7" t="str">
        <f t="shared" si="8"/>
        <v>«whirlpuzzle»</v>
      </c>
      <c r="I16" s="3">
        <v>43160</v>
      </c>
      <c r="J16" s="10" t="str">
        <f t="shared" si="14"/>
        <v>2018-03-01</v>
      </c>
      <c r="K16" s="10" t="str">
        <f t="shared" ca="1" si="18"/>
        <v>yearly</v>
      </c>
      <c r="L16" s="3">
        <v>43160</v>
      </c>
      <c r="M16" s="13">
        <f t="shared" ref="M16" si="27">DAY(L16)</f>
        <v>1</v>
      </c>
      <c r="N16" s="6">
        <f t="shared" ref="N16" si="28">MONTH(L16)</f>
        <v>3</v>
      </c>
      <c r="O16" s="6">
        <f t="shared" si="19"/>
        <v>2018</v>
      </c>
      <c r="P16" s="2" t="s">
        <v>25</v>
      </c>
      <c r="Q16" s="2" t="str">
        <f>Tags!$A$10&amp;", "&amp;Tags!$A$3</f>
        <v>Game, Puzzle</v>
      </c>
      <c r="R16" s="2" t="s">
        <v>6</v>
      </c>
      <c r="S16" s="7" t="str">
        <f>A16&amp;".png"</f>
        <v>whirlpuzzle.png</v>
      </c>
      <c r="T16" s="7" t="str">
        <f t="shared" si="23"/>
        <v>Whirlpuzzle</v>
      </c>
      <c r="U16" s="7" t="str">
        <f>"«"&amp;A16&amp;":MarkShort»"</f>
        <v>«whirlpuzzle:MarkShort»</v>
      </c>
      <c r="V16" s="7" t="str">
        <f t="shared" si="20"/>
        <v>game</v>
      </c>
      <c r="X16" s="7" t="str">
        <f t="shared" si="2"/>
        <v>«SITE-HTTP»/whirlpuzzle</v>
      </c>
      <c r="Z16" s="18"/>
      <c r="AA16" s="2" t="s">
        <v>166</v>
      </c>
      <c r="AB16" s="2" t="s">
        <v>86</v>
      </c>
      <c r="AC16" s="2" t="s">
        <v>112</v>
      </c>
      <c r="AD16" s="2" t="s">
        <v>139</v>
      </c>
      <c r="AE16" s="2" t="s">
        <v>140</v>
      </c>
      <c r="AF16" s="4" t="s">
        <v>148</v>
      </c>
    </row>
    <row r="17" spans="1:32" x14ac:dyDescent="0.35">
      <c r="A17" s="7" t="str">
        <f t="shared" si="17"/>
        <v>unlucky-unlock</v>
      </c>
      <c r="B17" s="2" t="s">
        <v>5</v>
      </c>
      <c r="D17" s="28" t="str">
        <f t="shared" si="25"/>
        <v>«PAGE-GAME-FULLSCREEN»</v>
      </c>
      <c r="E17" s="2" t="s">
        <v>38</v>
      </c>
      <c r="F17" s="28" t="str">
        <f t="shared" si="26"/>
        <v>prose</v>
      </c>
      <c r="G17" s="2" t="s">
        <v>28</v>
      </c>
      <c r="H17" s="7" t="str">
        <f t="shared" si="8"/>
        <v>«unlucky-unlock»</v>
      </c>
      <c r="I17" s="3">
        <v>43133</v>
      </c>
      <c r="J17" s="10" t="str">
        <f t="shared" si="14"/>
        <v>2018-02-02</v>
      </c>
      <c r="K17" s="10" t="str">
        <f t="shared" ca="1" si="18"/>
        <v>yearly</v>
      </c>
      <c r="L17" s="3">
        <v>41838</v>
      </c>
      <c r="M17" s="13">
        <f t="shared" ref="M17" si="29">DAY(L17)</f>
        <v>18</v>
      </c>
      <c r="N17" s="6">
        <f t="shared" ref="N17" si="30">MONTH(L17)</f>
        <v>7</v>
      </c>
      <c r="O17" s="6">
        <f t="shared" si="19"/>
        <v>2014</v>
      </c>
      <c r="P17" s="2" t="s">
        <v>25</v>
      </c>
      <c r="Q17" s="2" t="str">
        <f>Tags!$A$10&amp;", "&amp;Tags!$A$3</f>
        <v>Game, Puzzle</v>
      </c>
      <c r="R17" s="2" t="s">
        <v>6</v>
      </c>
      <c r="S17" s="7" t="str">
        <f>A17&amp;".png"</f>
        <v>unlucky-unlock.png</v>
      </c>
      <c r="T17" s="7" t="str">
        <f t="shared" si="23"/>
        <v>Unlucky Unlock</v>
      </c>
      <c r="U17" s="7" t="str">
        <f>"«"&amp;A17&amp;":MarkShort»"</f>
        <v>«unlucky-unlock:MarkShort»</v>
      </c>
      <c r="V17" s="7" t="str">
        <f t="shared" si="20"/>
        <v>game</v>
      </c>
      <c r="X17" s="7" t="str">
        <f t="shared" si="2"/>
        <v>«SITE-HTTP»/unlucky-unlock</v>
      </c>
      <c r="Y17" s="2" t="s">
        <v>29</v>
      </c>
      <c r="AA17" s="2" t="s">
        <v>166</v>
      </c>
      <c r="AB17" s="2" t="s">
        <v>86</v>
      </c>
      <c r="AC17" s="2" t="s">
        <v>115</v>
      </c>
      <c r="AD17" s="2" t="s">
        <v>146</v>
      </c>
      <c r="AE17" s="2" t="s">
        <v>145</v>
      </c>
      <c r="AF17" s="4" t="s">
        <v>147</v>
      </c>
    </row>
    <row r="18" spans="1:32" x14ac:dyDescent="0.35">
      <c r="A18" s="9" t="s">
        <v>98</v>
      </c>
      <c r="B18" s="2" t="s">
        <v>5</v>
      </c>
      <c r="D18" s="28" t="str">
        <f t="shared" si="25"/>
        <v>«PAGE-GAME-FULLSCREEN»</v>
      </c>
      <c r="E18" s="2" t="s">
        <v>96</v>
      </c>
      <c r="F18" s="28" t="str">
        <f t="shared" si="26"/>
        <v>prose</v>
      </c>
      <c r="G18" s="2" t="s">
        <v>99</v>
      </c>
      <c r="H18" s="7" t="str">
        <f t="shared" si="8"/>
        <v>«pmgrp»</v>
      </c>
      <c r="I18" s="3">
        <v>43179</v>
      </c>
      <c r="J18" s="10" t="str">
        <f t="shared" si="14"/>
        <v>2018-03-20</v>
      </c>
      <c r="K18" s="10" t="str">
        <f t="shared" ca="1" si="18"/>
        <v>yearly</v>
      </c>
      <c r="L18" s="3">
        <v>43179</v>
      </c>
      <c r="M18" s="13">
        <f t="shared" ref="M18" si="31">DAY(L18)</f>
        <v>20</v>
      </c>
      <c r="N18" s="6">
        <f t="shared" ref="N18" si="32">MONTH(L18)</f>
        <v>3</v>
      </c>
      <c r="O18" s="6">
        <f t="shared" si="19"/>
        <v>2018</v>
      </c>
      <c r="P18" s="2" t="s">
        <v>25</v>
      </c>
      <c r="Q18" s="2" t="str">
        <f>Tags!$A$10&amp;", "&amp;Tags!$A$2&amp;", "&amp;Tags!$A$3</f>
        <v>Game, Platformer, Puzzle</v>
      </c>
      <c r="R18" s="2" t="s">
        <v>6</v>
      </c>
      <c r="S18" s="7" t="str">
        <f>A18&amp;".png"</f>
        <v>pmgrp.png</v>
      </c>
      <c r="T18" s="7" t="str">
        <f t="shared" si="23"/>
        <v>Play Mini Gemini Replay (PMGRP)</v>
      </c>
      <c r="U18" s="7" t="str">
        <f>"«"&amp;A18&amp;":MarkShort»"</f>
        <v>«pmgrp:MarkShort»</v>
      </c>
      <c r="V18" s="7" t="str">
        <f t="shared" si="20"/>
        <v>game</v>
      </c>
      <c r="X18" s="7" t="str">
        <f t="shared" si="2"/>
        <v>«SITE-HTTP»/pmgrp</v>
      </c>
      <c r="AA18" s="2" t="s">
        <v>166</v>
      </c>
      <c r="AC18" s="2" t="s">
        <v>111</v>
      </c>
      <c r="AD18" s="2" t="s">
        <v>149</v>
      </c>
      <c r="AE18" s="2" t="s">
        <v>140</v>
      </c>
      <c r="AF18" s="4" t="s">
        <v>150</v>
      </c>
    </row>
    <row r="19" spans="1:32" x14ac:dyDescent="0.35">
      <c r="A19" s="31" t="s">
        <v>121</v>
      </c>
      <c r="B19" s="2" t="s">
        <v>5</v>
      </c>
      <c r="E19" s="2" t="s">
        <v>118</v>
      </c>
      <c r="F19" s="28" t="s">
        <v>35</v>
      </c>
      <c r="G19" s="2" t="s">
        <v>117</v>
      </c>
      <c r="H19" s="9" t="str">
        <f>"«combinatura»"</f>
        <v>«combinatura»</v>
      </c>
      <c r="I19" s="10">
        <f t="shared" ref="I19:I24" si="33">L19</f>
        <v>43287</v>
      </c>
      <c r="J19" s="10" t="str">
        <f t="shared" si="14"/>
        <v>2018-07-06</v>
      </c>
      <c r="K19" s="10" t="str">
        <f t="shared" ca="1" si="18"/>
        <v>yearly</v>
      </c>
      <c r="L19" s="3">
        <v>43287</v>
      </c>
      <c r="M19" s="13">
        <f t="shared" ref="M19:M21" si="34">DAY(L19)</f>
        <v>6</v>
      </c>
      <c r="N19" s="6">
        <f t="shared" ref="N19:N21" si="35">MONTH(L19)</f>
        <v>7</v>
      </c>
      <c r="O19" s="6">
        <f t="shared" ref="O19:O21" si="36">YEAR(L19)</f>
        <v>2018</v>
      </c>
      <c r="P19" s="2" t="s">
        <v>25</v>
      </c>
      <c r="Q19" s="2" t="str">
        <f>Tags!$A$10&amp;", "&amp;Tags!$A$13&amp;", "&amp;Tags!$A$8</f>
        <v>Game, Nature, Travel</v>
      </c>
      <c r="R19" s="2" t="s">
        <v>6</v>
      </c>
      <c r="S19" s="7" t="str">
        <f>Y19&amp;".png"</f>
        <v>combinatura.png</v>
      </c>
      <c r="T19" s="7" t="str">
        <f t="shared" si="23"/>
        <v>Combinatura</v>
      </c>
      <c r="U19" s="9" t="s">
        <v>119</v>
      </c>
      <c r="V19" s="7" t="str">
        <f t="shared" si="20"/>
        <v>game</v>
      </c>
      <c r="X19" s="31" t="s">
        <v>125</v>
      </c>
      <c r="Y19" s="2" t="s">
        <v>120</v>
      </c>
      <c r="AA19" s="2" t="s">
        <v>167</v>
      </c>
      <c r="AC19" s="2" t="s">
        <v>129</v>
      </c>
    </row>
    <row r="20" spans="1:32" x14ac:dyDescent="0.35">
      <c r="A20" s="7" t="str">
        <f t="shared" ref="A20:A22" si="37">SUBSTITUTE(LOWER(G20)," ","-")</f>
        <v>hastefulll</v>
      </c>
      <c r="B20" s="2" t="s">
        <v>6</v>
      </c>
      <c r="D20" s="28" t="str">
        <f t="shared" si="25"/>
        <v>«PAGE-GAME-FULLSCREEN»</v>
      </c>
      <c r="E20" s="2" t="s">
        <v>131</v>
      </c>
      <c r="F20" s="28" t="str">
        <f t="shared" si="26"/>
        <v>prose</v>
      </c>
      <c r="G20" s="2" t="s">
        <v>128</v>
      </c>
      <c r="H20" s="7" t="str">
        <f t="shared" ref="H20:H25" si="38">"«"&amp;A20&amp;"»"</f>
        <v>«hastefulll»</v>
      </c>
      <c r="I20" s="10">
        <f t="shared" si="33"/>
        <v>43293</v>
      </c>
      <c r="J20" s="10" t="str">
        <f t="shared" si="14"/>
        <v>2018-07-12</v>
      </c>
      <c r="K20" s="10" t="str">
        <f t="shared" ca="1" si="18"/>
        <v>yearly</v>
      </c>
      <c r="L20" s="3">
        <v>43293</v>
      </c>
      <c r="M20" s="13">
        <f t="shared" ref="M20" si="39">DAY(L20)</f>
        <v>12</v>
      </c>
      <c r="N20" s="6">
        <f t="shared" ref="N20" si="40">MONTH(L20)</f>
        <v>7</v>
      </c>
      <c r="O20" s="6">
        <f t="shared" ref="O20" si="41">YEAR(L20)</f>
        <v>2018</v>
      </c>
      <c r="P20" s="2" t="s">
        <v>25</v>
      </c>
      <c r="Q20" s="2" t="str">
        <f>Tags!$A$10&amp;", "&amp;Tags!$A$2&amp;", "&amp;Tags!$A$3</f>
        <v>Game, Platformer, Puzzle</v>
      </c>
      <c r="R20" s="2" t="s">
        <v>5</v>
      </c>
      <c r="S20" s="7" t="str">
        <f>A20&amp;".png"</f>
        <v>hastefulll.png</v>
      </c>
      <c r="T20" s="7" t="str">
        <f t="shared" si="23"/>
        <v>Hastefulll</v>
      </c>
      <c r="U20" s="7" t="str">
        <f>"«"&amp;A20&amp;":MarkShort»"</f>
        <v>«hastefulll:MarkShort»</v>
      </c>
      <c r="V20" s="7" t="str">
        <f t="shared" si="20"/>
        <v>game</v>
      </c>
      <c r="X20" s="7" t="str">
        <f t="shared" ref="X20" si="42">"«SITE-HTTP»/"&amp;A20</f>
        <v>«SITE-HTTP»/hastefulll</v>
      </c>
      <c r="AA20" s="2" t="s">
        <v>166</v>
      </c>
      <c r="AC20" s="2" t="s">
        <v>130</v>
      </c>
      <c r="AD20" s="2" t="s">
        <v>142</v>
      </c>
      <c r="AE20" s="2" t="s">
        <v>138</v>
      </c>
      <c r="AF20" s="4" t="s">
        <v>141</v>
      </c>
    </row>
    <row r="21" spans="1:32" x14ac:dyDescent="0.35">
      <c r="A21" s="7" t="str">
        <f t="shared" si="37"/>
        <v>tiaradventur</v>
      </c>
      <c r="B21" s="2" t="s">
        <v>6</v>
      </c>
      <c r="D21" s="28" t="str">
        <f t="shared" si="25"/>
        <v>«PAGE-GAME-FULLSCREEN»</v>
      </c>
      <c r="E21" s="2" t="s">
        <v>163</v>
      </c>
      <c r="F21" s="28" t="str">
        <f t="shared" si="26"/>
        <v>prose</v>
      </c>
      <c r="G21" s="2" t="s">
        <v>164</v>
      </c>
      <c r="H21" s="7" t="str">
        <f t="shared" si="38"/>
        <v>«tiaradventur»</v>
      </c>
      <c r="I21" s="10">
        <f t="shared" si="33"/>
        <v>43340</v>
      </c>
      <c r="J21" s="10" t="str">
        <f t="shared" ref="J21" si="43">YEAR(I21)&amp;TEXT("-"&amp;MONTH(I21),"00")&amp;TEXT("-"&amp;DAY(I21),"00")</f>
        <v>2018-08-28</v>
      </c>
      <c r="K21" s="10" t="str">
        <f t="shared" ref="K21" ca="1" si="44">IF(TODAY()-DATEVALUE(J21)&lt;15,"weekly",IF(TODAY()-DATEVALUE(J21)&lt;60,"monthly","yearly"))</f>
        <v>monthly</v>
      </c>
      <c r="L21" s="3">
        <v>43340</v>
      </c>
      <c r="M21" s="13">
        <f t="shared" si="34"/>
        <v>28</v>
      </c>
      <c r="N21" s="6">
        <f t="shared" si="35"/>
        <v>8</v>
      </c>
      <c r="O21" s="6">
        <f t="shared" si="36"/>
        <v>2018</v>
      </c>
      <c r="P21" s="2" t="s">
        <v>25</v>
      </c>
      <c r="Q21" s="2" t="str">
        <f>Tags!$A$10&amp;",  "&amp;Tags!$A$3&amp;", "&amp;Tags!$A$14</f>
        <v>Game,  Puzzle, Role-playing</v>
      </c>
      <c r="R21" s="2" t="s">
        <v>6</v>
      </c>
      <c r="S21" s="7" t="str">
        <f>A21&amp;".png"</f>
        <v>tiaradventur.png</v>
      </c>
      <c r="T21" s="7" t="str">
        <f t="shared" si="23"/>
        <v>Tiaradventur</v>
      </c>
      <c r="U21" s="7" t="str">
        <f>"«"&amp;A21&amp;":MarkShort»"</f>
        <v>«tiaradventur:MarkShort»</v>
      </c>
      <c r="V21" s="7" t="str">
        <f t="shared" ref="V21" si="45">IF(P21="Post","article",IF(P21="Game","game","website"))</f>
        <v>game</v>
      </c>
      <c r="X21" s="7" t="str">
        <f t="shared" ref="X21:X22" si="46">"«SITE-HTTP»/"&amp;A21</f>
        <v>«SITE-HTTP»/tiaradventur</v>
      </c>
      <c r="Z21" s="28" t="str">
        <f>"«HONOURS-"&amp;UPPER(A21)&amp;"»"</f>
        <v>«HONOURS-TIARADVENTUR»</v>
      </c>
      <c r="AA21" s="2" t="s">
        <v>167</v>
      </c>
      <c r="AC21" t="s">
        <v>129</v>
      </c>
      <c r="AD21" s="2" t="s">
        <v>160</v>
      </c>
      <c r="AE21" s="2" t="s">
        <v>159</v>
      </c>
      <c r="AF21" s="4" t="s">
        <v>161</v>
      </c>
    </row>
    <row r="22" spans="1:32" x14ac:dyDescent="0.35">
      <c r="A22" s="7" t="str">
        <f t="shared" si="37"/>
        <v>nomadpage</v>
      </c>
      <c r="B22" s="2" t="s">
        <v>5</v>
      </c>
      <c r="D22" s="2" t="s">
        <v>33</v>
      </c>
      <c r="E22" s="4" t="s">
        <v>170</v>
      </c>
      <c r="F22" s="4" t="s">
        <v>35</v>
      </c>
      <c r="G22" s="2" t="s">
        <v>169</v>
      </c>
      <c r="H22" s="7" t="str">
        <f t="shared" si="38"/>
        <v>«nomadpage»</v>
      </c>
      <c r="I22" s="10">
        <f t="shared" si="33"/>
        <v>43349</v>
      </c>
      <c r="J22" s="10" t="str">
        <f t="shared" ref="J22:J23" si="47">YEAR(I22)&amp;TEXT("-"&amp;MONTH(I22),"00")&amp;TEXT("-"&amp;DAY(I22),"00")</f>
        <v>2018-09-06</v>
      </c>
      <c r="K22" s="10" t="str">
        <f t="shared" ref="K22:K23" ca="1" si="48">IF(TODAY()-DATEVALUE(J22)&lt;15,"weekly",IF(TODAY()-DATEVALUE(J22)&lt;60,"monthly","yearly"))</f>
        <v>monthly</v>
      </c>
      <c r="L22" s="3">
        <v>43349</v>
      </c>
      <c r="M22" s="13">
        <f t="shared" ref="M22:M23" si="49">DAY(L22)</f>
        <v>6</v>
      </c>
      <c r="N22" s="6">
        <f t="shared" ref="N22:N23" si="50">MONTH(L22)</f>
        <v>9</v>
      </c>
      <c r="O22" s="6">
        <f t="shared" ref="O22:O23" si="51">YEAR(L22)</f>
        <v>2018</v>
      </c>
      <c r="P22" s="2" t="s">
        <v>3</v>
      </c>
      <c r="Q22" s="2" t="str">
        <f>Tags!$A$15</f>
        <v>Add-on</v>
      </c>
      <c r="R22" s="2" t="s">
        <v>5</v>
      </c>
      <c r="S22" s="7" t="str">
        <f>A22&amp;".png"</f>
        <v>nomadpage.png</v>
      </c>
      <c r="T22" s="7" t="str">
        <f t="shared" si="23"/>
        <v>NomadPage</v>
      </c>
      <c r="U22" s="7" t="str">
        <f t="shared" ref="U22" si="52">"«"&amp;A22&amp;":MarkShort»"</f>
        <v>«nomadpage:MarkShort»</v>
      </c>
      <c r="V22" s="7" t="str">
        <f>IF(P22="Post","article","site")</f>
        <v>article</v>
      </c>
      <c r="W22" s="9"/>
      <c r="X22" s="9" t="str">
        <f t="shared" si="46"/>
        <v>«SITE-HTTP»/nomadpage</v>
      </c>
    </row>
    <row r="23" spans="1:32" x14ac:dyDescent="0.35">
      <c r="A23" s="7" t="str">
        <f t="shared" ref="A23" si="53">SUBSTITUTE(LOWER(G23)," ","-")</f>
        <v>abxtract-tractx</v>
      </c>
      <c r="B23" s="2" t="s">
        <v>6</v>
      </c>
      <c r="D23" s="28" t="str">
        <f t="shared" si="25"/>
        <v>«PAGE-GAME-FULLSCREEN»</v>
      </c>
      <c r="E23" s="2" t="s">
        <v>174</v>
      </c>
      <c r="F23" s="28" t="str">
        <f t="shared" si="26"/>
        <v>prose</v>
      </c>
      <c r="G23" s="2" t="s">
        <v>171</v>
      </c>
      <c r="H23" s="7" t="str">
        <f t="shared" si="38"/>
        <v>«abxtract-tractx»</v>
      </c>
      <c r="I23" s="10">
        <f t="shared" si="33"/>
        <v>43377</v>
      </c>
      <c r="J23" s="10" t="str">
        <f t="shared" si="47"/>
        <v>2018-10-04</v>
      </c>
      <c r="K23" s="10" t="str">
        <f t="shared" ca="1" si="48"/>
        <v>weekly</v>
      </c>
      <c r="L23" s="3">
        <v>43377</v>
      </c>
      <c r="M23" s="13">
        <f t="shared" si="49"/>
        <v>4</v>
      </c>
      <c r="N23" s="6">
        <f t="shared" si="50"/>
        <v>10</v>
      </c>
      <c r="O23" s="6">
        <f t="shared" si="51"/>
        <v>2018</v>
      </c>
      <c r="P23" s="2" t="s">
        <v>25</v>
      </c>
      <c r="Q23" s="2" t="str">
        <f>Tags!$A$16&amp;", "&amp;Tags!$A$10&amp;", "&amp;Tags!$A$3</f>
        <v>Art, Game, Puzzle</v>
      </c>
      <c r="R23" s="2" t="s">
        <v>6</v>
      </c>
      <c r="S23" s="7" t="str">
        <f>A23&amp;".png"</f>
        <v>abxtract-tractx.png</v>
      </c>
      <c r="T23" s="7" t="str">
        <f t="shared" si="23"/>
        <v>Abxtract Tractx</v>
      </c>
      <c r="U23" s="7" t="str">
        <f>"«"&amp;A23&amp;":MarkShort»"</f>
        <v>«abxtract-tractx:MarkShort»</v>
      </c>
      <c r="V23" s="7" t="str">
        <f t="shared" ref="V23" si="54">IF(P23="Post","article",IF(P23="Game","game","website"))</f>
        <v>game</v>
      </c>
      <c r="X23" s="7" t="str">
        <f t="shared" ref="X23" si="55">"«SITE-HTTP»/"&amp;A23</f>
        <v>«SITE-HTTP»/abxtract-tractx</v>
      </c>
      <c r="Z23" s="28"/>
      <c r="AA23" s="2" t="s">
        <v>166</v>
      </c>
      <c r="AC23" t="s">
        <v>129</v>
      </c>
      <c r="AF23" s="4"/>
    </row>
    <row r="24" spans="1:32" x14ac:dyDescent="0.35">
      <c r="A24" s="7" t="str">
        <f>SUBSTITUTE(LOWER(G24)," ","-")</f>
        <v>terms-of-use</v>
      </c>
      <c r="B24" s="2" t="s">
        <v>6</v>
      </c>
      <c r="D24" s="7" t="str">
        <f>$D$2</f>
        <v>«PAGE-POST-MD»</v>
      </c>
      <c r="F24" s="4" t="s">
        <v>35</v>
      </c>
      <c r="G24" s="2" t="s">
        <v>23</v>
      </c>
      <c r="H24" s="7" t="str">
        <f t="shared" si="38"/>
        <v>«terms-of-use»</v>
      </c>
      <c r="I24" s="10">
        <f t="shared" si="33"/>
        <v>43069</v>
      </c>
      <c r="J24" s="10" t="str">
        <f t="shared" si="14"/>
        <v>2017-11-30</v>
      </c>
      <c r="K24" s="10" t="str">
        <f ca="1">IF(TODAY()-DATEVALUE(J24)&lt;15,"weekly",IF(TODAY()-DATEVALUE(J24)&lt;60,"monthly","yearly"))</f>
        <v>yearly</v>
      </c>
      <c r="L24" s="3">
        <v>43069</v>
      </c>
      <c r="M24" s="13">
        <f t="shared" ref="M24" si="56">DAY(L24)</f>
        <v>30</v>
      </c>
      <c r="N24" s="6">
        <f t="shared" ref="N24" si="57">MONTH(L24)</f>
        <v>11</v>
      </c>
      <c r="O24" s="6">
        <f t="shared" si="19"/>
        <v>2017</v>
      </c>
      <c r="P24" s="2" t="s">
        <v>3</v>
      </c>
      <c r="Q24" s="2" t="str">
        <f>Tags!$A$6&amp;", "&amp;Tags!$A$4</f>
        <v>Creative-Archive, Post</v>
      </c>
      <c r="R24" s="2" t="s">
        <v>5</v>
      </c>
      <c r="S24" s="7" t="s">
        <v>42</v>
      </c>
      <c r="T24" s="7" t="str">
        <f>$T$9</f>
        <v>Octaflower, the Creative Archive's logo. A geometric lotus flower composed of eight rows of eight petals in rainbow progression.</v>
      </c>
      <c r="U24" s="7" t="str">
        <f>"«"&amp;A24&amp;":MarkShort»"</f>
        <v>«terms-of-use:MarkShort»</v>
      </c>
      <c r="V24" s="7" t="str">
        <f>IF(P24="Post","article",IF(P24="Game","game","website"))</f>
        <v>article</v>
      </c>
      <c r="X24" s="7" t="str">
        <f t="shared" ref="X24:X31" si="58">"«SITE-HTTP»/"&amp;A24</f>
        <v>«SITE-HTTP»/terms-of-use</v>
      </c>
    </row>
    <row r="25" spans="1:32" x14ac:dyDescent="0.35">
      <c r="A25" s="7" t="str">
        <f>SUBSTITUTE(LOWER(G25)," ","-")</f>
        <v>privacy-policy</v>
      </c>
      <c r="B25" s="2" t="s">
        <v>5</v>
      </c>
      <c r="D25" s="7" t="str">
        <f>$D$2</f>
        <v>«PAGE-POST-MD»</v>
      </c>
      <c r="F25" s="4" t="s">
        <v>35</v>
      </c>
      <c r="G25" s="2" t="s">
        <v>55</v>
      </c>
      <c r="H25" s="7" t="str">
        <f t="shared" si="38"/>
        <v>«privacy-policy»</v>
      </c>
      <c r="I25" s="16">
        <v>43169</v>
      </c>
      <c r="J25" s="10" t="str">
        <f t="shared" si="14"/>
        <v>2018-03-10</v>
      </c>
      <c r="K25" s="10" t="str">
        <f t="shared" ref="K25:K39" ca="1" si="59">IF(TODAY()-DATEVALUE(J25)&lt;15,"weekly",IF(TODAY()-DATEVALUE(J25)&lt;60,"monthly","yearly"))</f>
        <v>yearly</v>
      </c>
      <c r="L25" s="3">
        <v>43141</v>
      </c>
      <c r="M25" s="13">
        <f t="shared" ref="M25" si="60">DAY(L25)</f>
        <v>10</v>
      </c>
      <c r="N25" s="6">
        <f t="shared" ref="N25" si="61">MONTH(L25)</f>
        <v>2</v>
      </c>
      <c r="O25" s="6">
        <f t="shared" si="19"/>
        <v>2018</v>
      </c>
      <c r="P25" s="2" t="s">
        <v>3</v>
      </c>
      <c r="Q25" s="2" t="str">
        <f>Tags!$A$6&amp;", "&amp;Tags!$A$4</f>
        <v>Creative-Archive, Post</v>
      </c>
      <c r="R25" s="2" t="s">
        <v>5</v>
      </c>
      <c r="S25" s="7" t="s">
        <v>42</v>
      </c>
      <c r="T25" s="7" t="str">
        <f>$T$9</f>
        <v>Octaflower, the Creative Archive's logo. A geometric lotus flower composed of eight rows of eight petals in rainbow progression.</v>
      </c>
      <c r="U25" s="7" t="str">
        <f>"«"&amp;A25&amp;":MarkShort»"</f>
        <v>«privacy-policy:MarkShort»</v>
      </c>
      <c r="V25" s="7" t="str">
        <f>IF(P25="Post","article",IF(P25="Game","game","website"))</f>
        <v>article</v>
      </c>
      <c r="X25" s="7" t="str">
        <f t="shared" si="58"/>
        <v>«SITE-HTTP»/privacy-policy</v>
      </c>
    </row>
    <row r="26" spans="1:32" x14ac:dyDescent="0.35">
      <c r="A26" s="7" t="str">
        <f>SUBSTITUTE(LOWER(G26)," ","-")</f>
        <v>posts-by-date</v>
      </c>
      <c r="B26" s="2" t="s">
        <v>5</v>
      </c>
      <c r="C26" s="2">
        <v>4</v>
      </c>
      <c r="D26" s="2" t="s">
        <v>22</v>
      </c>
      <c r="E26" s="2" t="s">
        <v>37</v>
      </c>
      <c r="F26" s="2" t="s">
        <v>36</v>
      </c>
      <c r="G26" s="2" t="s">
        <v>21</v>
      </c>
      <c r="I26" s="19"/>
      <c r="J26" s="24" t="str">
        <f>YEAR($J$10)&amp;TEXT("-"&amp;MONTH($J$10),"00")&amp;TEXT("-"&amp;DAY($J$10),"00")</f>
        <v>2018-03-02</v>
      </c>
      <c r="K26" s="10" t="str">
        <f ca="1">IF(TODAY()-DATEVALUE(J26)&lt;15,"weekly",IF(TODAY()-DATEVALUE(J26)&lt;60,"monthly","yearly"))</f>
        <v>yearly</v>
      </c>
      <c r="L26" s="20"/>
      <c r="M26" s="13"/>
      <c r="P26" s="2" t="s">
        <v>16</v>
      </c>
      <c r="Q26" s="2" t="str">
        <f>Tags!$A$11</f>
        <v>Sitemap</v>
      </c>
      <c r="S26" s="7" t="str">
        <f>$S$9</f>
        <v>logo.png</v>
      </c>
      <c r="T26" s="7" t="str">
        <f>$T$9</f>
        <v>Octaflower, the Creative Archive's logo. A geometric lotus flower composed of eight rows of eight petals in rainbow progression.</v>
      </c>
      <c r="U26" s="7" t="str">
        <f>"Archive of "&amp;G26</f>
        <v>Archive of Posts by date</v>
      </c>
      <c r="V26" s="7" t="str">
        <f>IF(P26="Post","article",IF(P26="Game","game","website"))</f>
        <v>website</v>
      </c>
      <c r="X26" s="7" t="str">
        <f t="shared" si="58"/>
        <v>«SITE-HTTP»/posts-by-date</v>
      </c>
    </row>
    <row r="27" spans="1:32" x14ac:dyDescent="0.35">
      <c r="A27" s="7" t="str">
        <f>SUBSTITUTE(LOWER(G27)," ","-")</f>
        <v>posts-by-tag</v>
      </c>
      <c r="B27" s="2" t="s">
        <v>5</v>
      </c>
      <c r="C27" s="2">
        <v>5</v>
      </c>
      <c r="D27" s="2" t="s">
        <v>22</v>
      </c>
      <c r="E27" s="2" t="s">
        <v>154</v>
      </c>
      <c r="F27" s="2" t="s">
        <v>36</v>
      </c>
      <c r="G27" s="2" t="s">
        <v>49</v>
      </c>
      <c r="I27" s="19"/>
      <c r="J27" s="24" t="str">
        <f>YEAR($J$10)&amp;TEXT("-"&amp;MONTH($J$10),"00")&amp;TEXT("-"&amp;DAY($J$10),"00")</f>
        <v>2018-03-02</v>
      </c>
      <c r="K27" s="10" t="str">
        <f ca="1">IF(TODAY()-DATEVALUE(J27)&lt;15,"weekly",IF(TODAY()-DATEVALUE(J27)&lt;60,"monthly","yearly"))</f>
        <v>yearly</v>
      </c>
      <c r="L27" s="20"/>
      <c r="M27" s="13"/>
      <c r="P27" s="2" t="s">
        <v>16</v>
      </c>
      <c r="Q27" s="2" t="str">
        <f>Tags!$A$11</f>
        <v>Sitemap</v>
      </c>
      <c r="S27" s="7" t="str">
        <f>$S$9</f>
        <v>logo.png</v>
      </c>
      <c r="T27" s="7" t="str">
        <f>$T$9</f>
        <v>Octaflower, the Creative Archive's logo. A geometric lotus flower composed of eight rows of eight petals in rainbow progression.</v>
      </c>
      <c r="U27" s="7" t="str">
        <f>"Archive of "&amp;G27</f>
        <v>Archive of Posts by tag</v>
      </c>
      <c r="V27" s="7" t="str">
        <f>IF(P27="Post","article",IF(P27="Game","game","website"))</f>
        <v>website</v>
      </c>
      <c r="X27" s="7" t="str">
        <f t="shared" si="58"/>
        <v>«SITE-HTTP»/posts-by-tag</v>
      </c>
    </row>
    <row r="28" spans="1:32" x14ac:dyDescent="0.35">
      <c r="A28" s="7" t="s">
        <v>126</v>
      </c>
      <c r="B28" s="2" t="s">
        <v>5</v>
      </c>
      <c r="C28" s="2">
        <v>6</v>
      </c>
      <c r="D28" s="2" t="s">
        <v>127</v>
      </c>
      <c r="E28" s="2" t="s">
        <v>133</v>
      </c>
      <c r="F28" s="2" t="s">
        <v>36</v>
      </c>
      <c r="G28" s="2" t="s">
        <v>24</v>
      </c>
      <c r="I28" s="10"/>
      <c r="J28" s="24" t="str">
        <f>YEAR($J$10)&amp;TEXT("-"&amp;MONTH($J$10),"00")&amp;TEXT("-"&amp;DAY($J$10),"00")</f>
        <v>2018-03-02</v>
      </c>
      <c r="K28" s="10" t="str">
        <f ca="1">IF(TODAY()-DATEVALUE(J28)&lt;15,"weekly",IF(TODAY()-DATEVALUE(J28)&lt;60,"monthly","yearly"))</f>
        <v>yearly</v>
      </c>
      <c r="L28" s="3">
        <v>43141</v>
      </c>
      <c r="M28" s="13">
        <f t="shared" ref="M28" si="62">DAY(L28)</f>
        <v>10</v>
      </c>
      <c r="N28" s="6">
        <f t="shared" ref="N28" si="63">MONTH(L28)</f>
        <v>2</v>
      </c>
      <c r="O28" s="6">
        <f t="shared" ref="O28" si="64">YEAR(L28)</f>
        <v>2018</v>
      </c>
      <c r="P28" s="2" t="s">
        <v>16</v>
      </c>
      <c r="Q28" s="2" t="s">
        <v>105</v>
      </c>
      <c r="R28" s="2" t="s">
        <v>5</v>
      </c>
      <c r="S28" s="7" t="s">
        <v>42</v>
      </c>
      <c r="T28" s="7" t="str">
        <f>$T$9</f>
        <v>Octaflower, the Creative Archive's logo. A geometric lotus flower composed of eight rows of eight petals in rainbow progression.</v>
      </c>
      <c r="U28" s="7" t="str">
        <f>"Archive of "&amp;G28</f>
        <v>Archive of Games</v>
      </c>
      <c r="V28" s="7" t="str">
        <f>IF(P28="Post","article",IF(P28="Game","game","website"))</f>
        <v>website</v>
      </c>
      <c r="X28" s="7" t="str">
        <f t="shared" si="58"/>
        <v>«SITE-HTTP»/games</v>
      </c>
    </row>
    <row r="29" spans="1:32" x14ac:dyDescent="0.35">
      <c r="A29" s="7" t="s">
        <v>88</v>
      </c>
      <c r="B29" s="2" t="s">
        <v>5</v>
      </c>
      <c r="D29" s="2" t="s">
        <v>89</v>
      </c>
      <c r="M29" s="14"/>
      <c r="W29" s="9" t="s">
        <v>90</v>
      </c>
      <c r="X29" s="9" t="str">
        <f t="shared" si="58"/>
        <v>«SITE-HTTP»/robots</v>
      </c>
    </row>
    <row r="30" spans="1:32" x14ac:dyDescent="0.35">
      <c r="A30" s="7" t="s">
        <v>87</v>
      </c>
      <c r="B30" s="2" t="s">
        <v>6</v>
      </c>
      <c r="D30" s="2" t="s">
        <v>92</v>
      </c>
      <c r="E30" s="2" t="s">
        <v>93</v>
      </c>
      <c r="M30" s="14"/>
      <c r="W30" s="9" t="s">
        <v>82</v>
      </c>
      <c r="X30" s="9" t="str">
        <f t="shared" si="58"/>
        <v>«SITE-HTTP»/sitemap</v>
      </c>
    </row>
    <row r="31" spans="1:32" x14ac:dyDescent="0.35">
      <c r="A31" s="7" t="s">
        <v>80</v>
      </c>
      <c r="B31" s="2" t="s">
        <v>6</v>
      </c>
      <c r="D31" s="2" t="s">
        <v>83</v>
      </c>
      <c r="I31" s="19"/>
      <c r="J31" s="24" t="str">
        <f>YEAR($J$10)&amp;TEXT("-"&amp;MONTH($J$10),"00")&amp;TEXT("-"&amp;DAY($J$10),"00")</f>
        <v>2018-03-02</v>
      </c>
      <c r="K31" s="10" t="str">
        <f t="shared" ref="K31" ca="1" si="65">IF(TODAY()-DATEVALUE(J31)&lt;15,"weekly",IF(TODAY()-DATEVALUE(J31)&lt;60,"monthly","yearly"))</f>
        <v>yearly</v>
      </c>
      <c r="L31" s="21"/>
      <c r="M31" s="14"/>
      <c r="W31" s="9" t="s">
        <v>82</v>
      </c>
      <c r="X31" s="9" t="str">
        <f t="shared" si="58"/>
        <v>«SITE-HTTP»/rss</v>
      </c>
    </row>
    <row r="32" spans="1:32" x14ac:dyDescent="0.35">
      <c r="A32" s="11" t="str">
        <f>"tag-"&amp;SUBSTITUTE(Tags!$A2," ","-")</f>
        <v>tag-Platformer</v>
      </c>
      <c r="B32" s="25" t="str">
        <f>Tags!$B2</f>
        <v>Yes</v>
      </c>
      <c r="C32" s="25"/>
      <c r="D32" s="11" t="str">
        <f>D$37</f>
        <v>«PAGE-FEATURED-EMPTY»</v>
      </c>
      <c r="E32" s="11" t="str">
        <f>$E$37</f>
        <v>«FEATURED-ITEM:Filter{"Tags"-&gt;_?(StringMatchQ[#,___~~"«POST:Load»"~~___]&amp;),"Type"-&gt;_,"Day"-&gt;_?NumberQ,"Month"-&gt;_?NumberQ,"Year"-&gt;_?NumberQ}»</v>
      </c>
      <c r="F32" s="12" t="s">
        <v>36</v>
      </c>
      <c r="G32" s="11" t="str">
        <f>"All"&amp;" "&amp;H32&amp;"s"</f>
        <v>All Platformers</v>
      </c>
      <c r="H32" s="11" t="str">
        <f>Tags!$A2</f>
        <v>Platformer</v>
      </c>
      <c r="I32" s="22"/>
      <c r="J32" s="22" t="str">
        <f t="shared" ref="J32:J46" si="66">YEAR($J$10)&amp;TEXT("-"&amp;MONTH($J$10),"00")&amp;TEXT("-"&amp;DAY($J$10),"00")</f>
        <v>2018-03-02</v>
      </c>
      <c r="K32" s="22" t="str">
        <f t="shared" ca="1" si="59"/>
        <v>yearly</v>
      </c>
      <c r="L32" s="29">
        <v>41773</v>
      </c>
      <c r="M32" s="15">
        <f t="shared" ref="M32:M42" si="67">DAY(L32)</f>
        <v>14</v>
      </c>
      <c r="N32" s="30">
        <f t="shared" ref="N32:N42" si="68">MONTH(L32)</f>
        <v>5</v>
      </c>
      <c r="O32" s="30">
        <f t="shared" ref="O32:O42" si="69">YEAR(L32)</f>
        <v>2014</v>
      </c>
      <c r="P32" s="12" t="s">
        <v>20</v>
      </c>
      <c r="Q32" s="25" t="str">
        <f>Tags!$A$12</f>
        <v>Class</v>
      </c>
      <c r="R32" s="12"/>
      <c r="S32" s="11" t="s">
        <v>42</v>
      </c>
      <c r="T32" s="11" t="str">
        <f>$T$9</f>
        <v>Octaflower, the Creative Archive's logo. A geometric lotus flower composed of eight rows of eight petals in rainbow progression.</v>
      </c>
      <c r="U32" s="11" t="str">
        <f>"All content classified under "&amp;H32</f>
        <v>All content classified under Platformer</v>
      </c>
      <c r="V32" s="12"/>
      <c r="W32" s="11"/>
      <c r="X32" s="11" t="str">
        <f t="shared" ref="X32:X43" si="70">"«SITE-HTTP»/"&amp;A32</f>
        <v>«SITE-HTTP»/tag-Platformer</v>
      </c>
      <c r="Y32" s="12"/>
      <c r="Z32" s="12"/>
      <c r="AA32" s="12"/>
      <c r="AB32" s="12"/>
      <c r="AC32" s="12"/>
      <c r="AD32" s="12"/>
      <c r="AE32" s="12"/>
      <c r="AF32" s="12"/>
    </row>
    <row r="33" spans="1:32" x14ac:dyDescent="0.35">
      <c r="A33" s="11" t="str">
        <f>"tag-"&amp;SUBSTITUTE(Tags!$A3," ","-")</f>
        <v>tag-Puzzle</v>
      </c>
      <c r="B33" s="25" t="str">
        <f>Tags!$B3</f>
        <v>Yes</v>
      </c>
      <c r="C33" s="25"/>
      <c r="D33" s="11" t="str">
        <f>D$37</f>
        <v>«PAGE-FEATURED-EMPTY»</v>
      </c>
      <c r="E33" s="11" t="str">
        <f>$E$37</f>
        <v>«FEATURED-ITEM:Filter{"Tags"-&gt;_?(StringMatchQ[#,___~~"«POST:Load»"~~___]&amp;),"Type"-&gt;_,"Day"-&gt;_?NumberQ,"Month"-&gt;_?NumberQ,"Year"-&gt;_?NumberQ}»</v>
      </c>
      <c r="F33" s="25" t="str">
        <f>F$32</f>
        <v>archive</v>
      </c>
      <c r="G33" s="11" t="str">
        <f>"All"&amp;" "&amp;H33&amp;"s"</f>
        <v>All Puzzles</v>
      </c>
      <c r="H33" s="11" t="str">
        <f>Tags!$A3</f>
        <v>Puzzle</v>
      </c>
      <c r="I33" s="22"/>
      <c r="J33" s="22" t="str">
        <f t="shared" si="66"/>
        <v>2018-03-02</v>
      </c>
      <c r="K33" s="22" t="str">
        <f t="shared" ca="1" si="59"/>
        <v>yearly</v>
      </c>
      <c r="L33" s="29">
        <v>41773</v>
      </c>
      <c r="M33" s="15">
        <f t="shared" si="67"/>
        <v>14</v>
      </c>
      <c r="N33" s="30">
        <f t="shared" si="68"/>
        <v>5</v>
      </c>
      <c r="O33" s="30">
        <f t="shared" si="69"/>
        <v>2014</v>
      </c>
      <c r="P33" s="25" t="str">
        <f>$P$32</f>
        <v>Tag</v>
      </c>
      <c r="Q33" s="25" t="str">
        <f>Tags!$A$12</f>
        <v>Class</v>
      </c>
      <c r="R33" s="12"/>
      <c r="S33" s="11" t="s">
        <v>42</v>
      </c>
      <c r="T33" s="11" t="str">
        <f t="shared" ref="T33:T46" si="71">$T$9</f>
        <v>Octaflower, the Creative Archive's logo. A geometric lotus flower composed of eight rows of eight petals in rainbow progression.</v>
      </c>
      <c r="U33" s="11" t="str">
        <f t="shared" ref="U33:U42" si="72">"All content classified under "&amp;H33</f>
        <v>All content classified under Puzzle</v>
      </c>
      <c r="V33" s="12"/>
      <c r="W33" s="11"/>
      <c r="X33" s="11" t="str">
        <f t="shared" si="70"/>
        <v>«SITE-HTTP»/tag-Puzzle</v>
      </c>
      <c r="Y33" s="12"/>
      <c r="Z33" s="12"/>
      <c r="AA33" s="12"/>
      <c r="AB33" s="12"/>
      <c r="AC33" s="12"/>
      <c r="AD33" s="12"/>
      <c r="AE33" s="12"/>
      <c r="AF33" s="12"/>
    </row>
    <row r="34" spans="1:32" x14ac:dyDescent="0.35">
      <c r="A34" s="11" t="str">
        <f>"tag-"&amp;SUBSTITUTE(Tags!$A4," ","-")</f>
        <v>tag-Post</v>
      </c>
      <c r="B34" s="25" t="str">
        <f>Tags!$B4</f>
        <v>Yes</v>
      </c>
      <c r="C34" s="25"/>
      <c r="D34" s="12" t="s">
        <v>22</v>
      </c>
      <c r="E34" s="12" t="s">
        <v>103</v>
      </c>
      <c r="F34" s="25" t="str">
        <f t="shared" ref="F34:F46" si="73">F$32</f>
        <v>archive</v>
      </c>
      <c r="G34" s="11" t="str">
        <f>"All"&amp;" "&amp;H34&amp;"s"</f>
        <v>All Posts</v>
      </c>
      <c r="H34" s="11" t="str">
        <f>Tags!$A4</f>
        <v>Post</v>
      </c>
      <c r="I34" s="22"/>
      <c r="J34" s="22" t="str">
        <f t="shared" si="66"/>
        <v>2018-03-02</v>
      </c>
      <c r="K34" s="22" t="str">
        <f t="shared" ca="1" si="59"/>
        <v>yearly</v>
      </c>
      <c r="L34" s="29">
        <v>43070</v>
      </c>
      <c r="M34" s="15">
        <f t="shared" si="67"/>
        <v>1</v>
      </c>
      <c r="N34" s="30">
        <f t="shared" si="68"/>
        <v>12</v>
      </c>
      <c r="O34" s="30">
        <f t="shared" si="69"/>
        <v>2017</v>
      </c>
      <c r="P34" s="25" t="str">
        <f t="shared" ref="P34:P46" si="74">$P$32</f>
        <v>Tag</v>
      </c>
      <c r="Q34" s="25" t="str">
        <f>Tags!$A$12</f>
        <v>Class</v>
      </c>
      <c r="R34" s="12"/>
      <c r="S34" s="11" t="s">
        <v>42</v>
      </c>
      <c r="T34" s="11" t="str">
        <f t="shared" si="71"/>
        <v>Octaflower, the Creative Archive's logo. A geometric lotus flower composed of eight rows of eight petals in rainbow progression.</v>
      </c>
      <c r="U34" s="11" t="str">
        <f t="shared" si="72"/>
        <v>All content classified under Post</v>
      </c>
      <c r="V34" s="12"/>
      <c r="W34" s="11"/>
      <c r="X34" s="11" t="str">
        <f t="shared" si="70"/>
        <v>«SITE-HTTP»/tag-Post</v>
      </c>
      <c r="Y34" s="12"/>
      <c r="Z34" s="12"/>
      <c r="AA34" s="12"/>
      <c r="AB34" s="12"/>
      <c r="AC34" s="12"/>
      <c r="AD34" s="12"/>
      <c r="AE34" s="12"/>
      <c r="AF34" s="12"/>
    </row>
    <row r="35" spans="1:32" x14ac:dyDescent="0.35">
      <c r="A35" s="11" t="str">
        <f>"tag-"&amp;SUBSTITUTE(Tags!$A5," ","-")</f>
        <v>tag-Finance</v>
      </c>
      <c r="B35" s="25" t="str">
        <f>Tags!$B5</f>
        <v>No</v>
      </c>
      <c r="C35" s="25"/>
      <c r="D35" s="11" t="str">
        <f>$D$34</f>
        <v>«PAGE-SIMPLE»</v>
      </c>
      <c r="E35" s="11" t="str">
        <f>$E$34</f>
        <v>«TAGSELECT:Filter{"Tags"-&gt;_?(StringMatchQ[#,___~~"«POST:Load»"~~___]&amp;),"Type"-&gt;_,"Day"-&gt;_?NumberQ,"Month"-&gt;_?NumberQ,"Year"-&gt;_?NumberQ}»</v>
      </c>
      <c r="F35" s="25" t="str">
        <f t="shared" si="73"/>
        <v>archive</v>
      </c>
      <c r="G35" s="11" t="str">
        <f>"Classed as '"&amp;Tags!$A5&amp;"'"</f>
        <v>Classed as 'Finance'</v>
      </c>
      <c r="H35" s="11" t="str">
        <f>Tags!$A5</f>
        <v>Finance</v>
      </c>
      <c r="I35" s="22"/>
      <c r="J35" s="22" t="str">
        <f t="shared" si="66"/>
        <v>2018-03-02</v>
      </c>
      <c r="K35" s="22" t="str">
        <f t="shared" ca="1" si="59"/>
        <v>yearly</v>
      </c>
      <c r="L35" s="29">
        <v>43139</v>
      </c>
      <c r="M35" s="15">
        <f t="shared" si="67"/>
        <v>8</v>
      </c>
      <c r="N35" s="30">
        <f t="shared" si="68"/>
        <v>2</v>
      </c>
      <c r="O35" s="30">
        <f t="shared" si="69"/>
        <v>2018</v>
      </c>
      <c r="P35" s="25" t="str">
        <f t="shared" si="74"/>
        <v>Tag</v>
      </c>
      <c r="Q35" s="25" t="str">
        <f>Tags!$A$12</f>
        <v>Class</v>
      </c>
      <c r="R35" s="12"/>
      <c r="S35" s="11" t="s">
        <v>42</v>
      </c>
      <c r="T35" s="11" t="str">
        <f t="shared" si="71"/>
        <v>Octaflower, the Creative Archive's logo. A geometric lotus flower composed of eight rows of eight petals in rainbow progression.</v>
      </c>
      <c r="U35" s="11" t="str">
        <f t="shared" si="72"/>
        <v>All content classified under Finance</v>
      </c>
      <c r="V35" s="12"/>
      <c r="W35" s="11"/>
      <c r="X35" s="11" t="str">
        <f t="shared" si="70"/>
        <v>«SITE-HTTP»/tag-Finance</v>
      </c>
      <c r="Y35" s="12"/>
      <c r="Z35" s="12"/>
      <c r="AA35" s="12"/>
      <c r="AB35" s="12"/>
      <c r="AC35" s="12"/>
      <c r="AD35" s="12"/>
      <c r="AE35" s="12"/>
      <c r="AF35" s="12"/>
    </row>
    <row r="36" spans="1:32" x14ac:dyDescent="0.35">
      <c r="A36" s="11" t="str">
        <f>"tag-"&amp;SUBSTITUTE(Tags!$A6," ","-")</f>
        <v>tag-Creative-Archive</v>
      </c>
      <c r="B36" s="25" t="str">
        <f>Tags!$B6</f>
        <v>Yes</v>
      </c>
      <c r="C36" s="25"/>
      <c r="D36" s="11" t="str">
        <f>$D$34</f>
        <v>«PAGE-SIMPLE»</v>
      </c>
      <c r="E36" s="11" t="str">
        <f>$E$34</f>
        <v>«TAGSELECT:Filter{"Tags"-&gt;_?(StringMatchQ[#,___~~"«POST:Load»"~~___]&amp;),"Type"-&gt;_,"Day"-&gt;_?NumberQ,"Month"-&gt;_?NumberQ,"Year"-&gt;_?NumberQ}»</v>
      </c>
      <c r="F36" s="25" t="str">
        <f t="shared" si="73"/>
        <v>archive</v>
      </c>
      <c r="G36" s="11" t="str">
        <f>"Classed as '"&amp;Tags!$A6&amp;"'"</f>
        <v>Classed as 'Creative-Archive'</v>
      </c>
      <c r="H36" s="11" t="str">
        <f>Tags!$A6</f>
        <v>Creative-Archive</v>
      </c>
      <c r="I36" s="22"/>
      <c r="J36" s="22" t="str">
        <f t="shared" si="66"/>
        <v>2018-03-02</v>
      </c>
      <c r="K36" s="22" t="str">
        <f t="shared" ca="1" si="59"/>
        <v>yearly</v>
      </c>
      <c r="L36" s="29">
        <v>43069</v>
      </c>
      <c r="M36" s="15">
        <f t="shared" si="67"/>
        <v>30</v>
      </c>
      <c r="N36" s="30">
        <f t="shared" si="68"/>
        <v>11</v>
      </c>
      <c r="O36" s="30">
        <f t="shared" si="69"/>
        <v>2017</v>
      </c>
      <c r="P36" s="25" t="str">
        <f t="shared" si="74"/>
        <v>Tag</v>
      </c>
      <c r="Q36" s="25" t="str">
        <f>Tags!$A$12</f>
        <v>Class</v>
      </c>
      <c r="R36" s="12"/>
      <c r="S36" s="11" t="s">
        <v>42</v>
      </c>
      <c r="T36" s="11" t="str">
        <f t="shared" si="71"/>
        <v>Octaflower, the Creative Archive's logo. A geometric lotus flower composed of eight rows of eight petals in rainbow progression.</v>
      </c>
      <c r="U36" s="11" t="str">
        <f t="shared" si="72"/>
        <v>All content classified under Creative-Archive</v>
      </c>
      <c r="V36" s="12"/>
      <c r="W36" s="11"/>
      <c r="X36" s="11" t="str">
        <f t="shared" si="70"/>
        <v>«SITE-HTTP»/tag-Creative-Archive</v>
      </c>
      <c r="Y36" s="12"/>
      <c r="Z36" s="12"/>
      <c r="AA36" s="12"/>
      <c r="AB36" s="12"/>
      <c r="AC36" s="12"/>
      <c r="AD36" s="12"/>
      <c r="AE36" s="12"/>
      <c r="AF36" s="12"/>
    </row>
    <row r="37" spans="1:32" x14ac:dyDescent="0.35">
      <c r="A37" s="11" t="str">
        <f>"tag-"&amp;SUBSTITUTE(Tags!$A7," ","-")</f>
        <v>tag-Mosaic</v>
      </c>
      <c r="B37" s="25" t="str">
        <f>Tags!$B7</f>
        <v>No</v>
      </c>
      <c r="C37" s="25">
        <v>6</v>
      </c>
      <c r="D37" s="12" t="s">
        <v>109</v>
      </c>
      <c r="E37" s="12" t="s">
        <v>108</v>
      </c>
      <c r="F37" s="25" t="str">
        <f t="shared" si="73"/>
        <v>archive</v>
      </c>
      <c r="G37" s="11" t="str">
        <f>H37&amp;"s"</f>
        <v>Mosaics</v>
      </c>
      <c r="H37" s="11" t="str">
        <f>Tags!$A7</f>
        <v>Mosaic</v>
      </c>
      <c r="I37" s="22"/>
      <c r="J37" s="22" t="str">
        <f t="shared" si="66"/>
        <v>2018-03-02</v>
      </c>
      <c r="K37" s="22" t="str">
        <f t="shared" ca="1" si="59"/>
        <v>yearly</v>
      </c>
      <c r="L37" s="29">
        <v>43018</v>
      </c>
      <c r="M37" s="15">
        <f t="shared" si="67"/>
        <v>10</v>
      </c>
      <c r="N37" s="30">
        <f t="shared" si="68"/>
        <v>10</v>
      </c>
      <c r="O37" s="30">
        <f t="shared" si="69"/>
        <v>2017</v>
      </c>
      <c r="P37" s="25" t="str">
        <f t="shared" si="74"/>
        <v>Tag</v>
      </c>
      <c r="Q37" s="25" t="str">
        <f>Tags!$A$12</f>
        <v>Class</v>
      </c>
      <c r="R37" s="12"/>
      <c r="S37" s="11" t="s">
        <v>42</v>
      </c>
      <c r="T37" s="11" t="str">
        <f t="shared" si="71"/>
        <v>Octaflower, the Creative Archive's logo. A geometric lotus flower composed of eight rows of eight petals in rainbow progression.</v>
      </c>
      <c r="U37" s="11" t="str">
        <f t="shared" si="72"/>
        <v>All content classified under Mosaic</v>
      </c>
      <c r="V37" s="12"/>
      <c r="W37" s="11"/>
      <c r="X37" s="11" t="str">
        <f t="shared" si="70"/>
        <v>«SITE-HTTP»/tag-Mosaic</v>
      </c>
      <c r="Y37" s="12"/>
      <c r="Z37" s="12"/>
      <c r="AA37" s="12"/>
      <c r="AB37" s="12"/>
      <c r="AC37" s="12"/>
      <c r="AD37" s="12"/>
      <c r="AE37" s="12"/>
      <c r="AF37" s="12"/>
    </row>
    <row r="38" spans="1:32" x14ac:dyDescent="0.35">
      <c r="A38" s="11" t="str">
        <f>"tag-"&amp;SUBSTITUTE(Tags!$A8," ","-")</f>
        <v>tag-Travel</v>
      </c>
      <c r="B38" s="25" t="str">
        <f>Tags!$B8</f>
        <v>No</v>
      </c>
      <c r="C38" s="25"/>
      <c r="D38" s="11" t="str">
        <f>$D$34</f>
        <v>«PAGE-SIMPLE»</v>
      </c>
      <c r="E38" s="11" t="str">
        <f>$E$34</f>
        <v>«TAGSELECT:Filter{"Tags"-&gt;_?(StringMatchQ[#,___~~"«POST:Load»"~~___]&amp;),"Type"-&gt;_,"Day"-&gt;_?NumberQ,"Month"-&gt;_?NumberQ,"Year"-&gt;_?NumberQ}»</v>
      </c>
      <c r="F38" s="25" t="str">
        <f t="shared" si="73"/>
        <v>archive</v>
      </c>
      <c r="G38" s="11" t="str">
        <f>"Classed as '"&amp;Tags!$A8&amp;"'"</f>
        <v>Classed as 'Travel'</v>
      </c>
      <c r="H38" s="11" t="str">
        <f>Tags!$A8</f>
        <v>Travel</v>
      </c>
      <c r="I38" s="22"/>
      <c r="J38" s="22" t="str">
        <f t="shared" si="66"/>
        <v>2018-03-02</v>
      </c>
      <c r="K38" s="22" t="str">
        <f t="shared" ca="1" si="59"/>
        <v>yearly</v>
      </c>
      <c r="L38" s="29">
        <v>43018</v>
      </c>
      <c r="M38" s="15">
        <f t="shared" si="67"/>
        <v>10</v>
      </c>
      <c r="N38" s="30">
        <f t="shared" si="68"/>
        <v>10</v>
      </c>
      <c r="O38" s="30">
        <f t="shared" si="69"/>
        <v>2017</v>
      </c>
      <c r="P38" s="25" t="str">
        <f t="shared" si="74"/>
        <v>Tag</v>
      </c>
      <c r="Q38" s="25" t="str">
        <f>Tags!$A$12</f>
        <v>Class</v>
      </c>
      <c r="R38" s="12"/>
      <c r="S38" s="11" t="s">
        <v>42</v>
      </c>
      <c r="T38" s="11" t="str">
        <f t="shared" si="71"/>
        <v>Octaflower, the Creative Archive's logo. A geometric lotus flower composed of eight rows of eight petals in rainbow progression.</v>
      </c>
      <c r="U38" s="11" t="str">
        <f t="shared" si="72"/>
        <v>All content classified under Travel</v>
      </c>
      <c r="V38" s="12"/>
      <c r="W38" s="11"/>
      <c r="X38" s="11" t="str">
        <f t="shared" si="70"/>
        <v>«SITE-HTTP»/tag-Travel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35">
      <c r="A39" s="11" t="str">
        <f>"tag-"&amp;SUBSTITUTE(Tags!$A9," ","-")</f>
        <v>tag-Wallpaper</v>
      </c>
      <c r="B39" s="25" t="str">
        <f>Tags!$B9</f>
        <v>No</v>
      </c>
      <c r="C39" s="25"/>
      <c r="D39" s="11" t="str">
        <f>D$37</f>
        <v>«PAGE-FEATURED-EMPTY»</v>
      </c>
      <c r="E39" s="11" t="str">
        <f>E$37</f>
        <v>«FEATURED-ITEM:Filter{"Tags"-&gt;_?(StringMatchQ[#,___~~"«POST:Load»"~~___]&amp;),"Type"-&gt;_,"Day"-&gt;_?NumberQ,"Month"-&gt;_?NumberQ,"Year"-&gt;_?NumberQ}»</v>
      </c>
      <c r="F39" s="25" t="str">
        <f t="shared" si="73"/>
        <v>archive</v>
      </c>
      <c r="G39" s="11" t="str">
        <f>"All"&amp;" "&amp;H39&amp;"s"</f>
        <v>All Wallpapers</v>
      </c>
      <c r="H39" s="11" t="str">
        <f>Tags!$A9</f>
        <v>Wallpaper</v>
      </c>
      <c r="I39" s="22"/>
      <c r="J39" s="22" t="str">
        <f t="shared" si="66"/>
        <v>2018-03-02</v>
      </c>
      <c r="K39" s="22" t="str">
        <f t="shared" ca="1" si="59"/>
        <v>yearly</v>
      </c>
      <c r="L39" s="29">
        <v>43018</v>
      </c>
      <c r="M39" s="15">
        <f t="shared" si="67"/>
        <v>10</v>
      </c>
      <c r="N39" s="30">
        <f t="shared" si="68"/>
        <v>10</v>
      </c>
      <c r="O39" s="30">
        <f t="shared" si="69"/>
        <v>2017</v>
      </c>
      <c r="P39" s="25" t="str">
        <f t="shared" si="74"/>
        <v>Tag</v>
      </c>
      <c r="Q39" s="25" t="str">
        <f>Tags!$A$12</f>
        <v>Class</v>
      </c>
      <c r="R39" s="12"/>
      <c r="S39" s="11" t="s">
        <v>42</v>
      </c>
      <c r="T39" s="11" t="str">
        <f t="shared" si="71"/>
        <v>Octaflower, the Creative Archive's logo. A geometric lotus flower composed of eight rows of eight petals in rainbow progression.</v>
      </c>
      <c r="U39" s="11" t="str">
        <f t="shared" si="72"/>
        <v>All content classified under Wallpaper</v>
      </c>
      <c r="V39" s="12"/>
      <c r="W39" s="11"/>
      <c r="X39" s="11" t="str">
        <f t="shared" si="70"/>
        <v>«SITE-HTTP»/tag-Wallpaper</v>
      </c>
      <c r="Y39" s="12"/>
      <c r="Z39" s="12"/>
      <c r="AA39" s="12"/>
      <c r="AB39" s="12"/>
      <c r="AC39" s="12"/>
      <c r="AD39" s="12"/>
      <c r="AE39" s="12"/>
      <c r="AF39" s="12"/>
    </row>
    <row r="40" spans="1:32" x14ac:dyDescent="0.35">
      <c r="A40" s="11" t="str">
        <f>"tag-"&amp;SUBSTITUTE(Tags!$A10," ","-")</f>
        <v>tag-Game</v>
      </c>
      <c r="B40" s="25" t="str">
        <f>Tags!$B10</f>
        <v>Yes</v>
      </c>
      <c r="C40" s="25"/>
      <c r="D40" s="11" t="str">
        <f>D$37</f>
        <v>«PAGE-FEATURED-EMPTY»</v>
      </c>
      <c r="E40" s="11" t="str">
        <f>$E$37</f>
        <v>«FEATURED-ITEM:Filter{"Tags"-&gt;_?(StringMatchQ[#,___~~"«POST:Load»"~~___]&amp;),"Type"-&gt;_,"Day"-&gt;_?NumberQ,"Month"-&gt;_?NumberQ,"Year"-&gt;_?NumberQ}»</v>
      </c>
      <c r="F40" s="25" t="str">
        <f t="shared" si="73"/>
        <v>archive</v>
      </c>
      <c r="G40" s="11" t="str">
        <f>"All"&amp;" "&amp;H40&amp;"s"</f>
        <v>All Games</v>
      </c>
      <c r="H40" s="11" t="str">
        <f>Tags!$A10</f>
        <v>Game</v>
      </c>
      <c r="I40" s="22"/>
      <c r="J40" s="22" t="str">
        <f t="shared" si="66"/>
        <v>2018-03-02</v>
      </c>
      <c r="K40" s="22" t="str">
        <f t="shared" ref="K40" ca="1" si="75">IF(TODAY()-DATEVALUE(J40)&lt;15,"weekly",IF(TODAY()-DATEVALUE(J40)&lt;60,"monthly","yearly"))</f>
        <v>yearly</v>
      </c>
      <c r="L40" s="29">
        <v>41773</v>
      </c>
      <c r="M40" s="15">
        <f t="shared" si="67"/>
        <v>14</v>
      </c>
      <c r="N40" s="30">
        <f t="shared" si="68"/>
        <v>5</v>
      </c>
      <c r="O40" s="30">
        <f t="shared" si="69"/>
        <v>2014</v>
      </c>
      <c r="P40" s="25" t="str">
        <f t="shared" si="74"/>
        <v>Tag</v>
      </c>
      <c r="Q40" s="25" t="str">
        <f>Tags!$A$12</f>
        <v>Class</v>
      </c>
      <c r="R40" s="12"/>
      <c r="S40" s="11" t="s">
        <v>42</v>
      </c>
      <c r="T40" s="11" t="str">
        <f t="shared" si="71"/>
        <v>Octaflower, the Creative Archive's logo. A geometric lotus flower composed of eight rows of eight petals in rainbow progression.</v>
      </c>
      <c r="U40" s="11" t="str">
        <f t="shared" si="72"/>
        <v>All content classified under Game</v>
      </c>
      <c r="V40" s="12"/>
      <c r="W40" s="11"/>
      <c r="X40" s="11" t="str">
        <f t="shared" si="70"/>
        <v>«SITE-HTTP»/tag-Game</v>
      </c>
      <c r="Y40" s="12"/>
      <c r="Z40" s="12"/>
      <c r="AA40" s="12"/>
      <c r="AB40" s="12"/>
      <c r="AC40" s="12"/>
      <c r="AD40" s="12"/>
      <c r="AE40" s="12"/>
      <c r="AF40" s="12"/>
    </row>
    <row r="41" spans="1:32" x14ac:dyDescent="0.35">
      <c r="A41" s="11" t="str">
        <f>"tag-"&amp;SUBSTITUTE(Tags!$A11," ","-")</f>
        <v>tag-Sitemap</v>
      </c>
      <c r="B41" s="25" t="str">
        <f>Tags!$B11</f>
        <v>Yes</v>
      </c>
      <c r="C41" s="25"/>
      <c r="D41" s="11" t="str">
        <f>$D$34</f>
        <v>«PAGE-SIMPLE»</v>
      </c>
      <c r="E41" s="11" t="str">
        <f>$E$34</f>
        <v>«TAGSELECT:Filter{"Tags"-&gt;_?(StringMatchQ[#,___~~"«POST:Load»"~~___]&amp;),"Type"-&gt;_,"Day"-&gt;_?NumberQ,"Month"-&gt;_?NumberQ,"Year"-&gt;_?NumberQ}»</v>
      </c>
      <c r="F41" s="25" t="str">
        <f t="shared" si="73"/>
        <v>archive</v>
      </c>
      <c r="G41" s="11" t="str">
        <f>"Classed as '"&amp;Tags!$A11&amp;"'"</f>
        <v>Classed as 'Sitemap'</v>
      </c>
      <c r="H41" s="11" t="str">
        <f>Tags!$A11</f>
        <v>Sitemap</v>
      </c>
      <c r="I41" s="22"/>
      <c r="J41" s="22" t="str">
        <f t="shared" si="66"/>
        <v>2018-03-02</v>
      </c>
      <c r="K41" s="22" t="str">
        <f t="shared" ref="K41" ca="1" si="76">IF(TODAY()-DATEVALUE(J41)&lt;15,"weekly",IF(TODAY()-DATEVALUE(J41)&lt;60,"monthly","yearly"))</f>
        <v>yearly</v>
      </c>
      <c r="L41" s="29">
        <v>43070</v>
      </c>
      <c r="M41" s="15">
        <f t="shared" si="67"/>
        <v>1</v>
      </c>
      <c r="N41" s="30">
        <f t="shared" si="68"/>
        <v>12</v>
      </c>
      <c r="O41" s="30">
        <f t="shared" si="69"/>
        <v>2017</v>
      </c>
      <c r="P41" s="25" t="str">
        <f t="shared" si="74"/>
        <v>Tag</v>
      </c>
      <c r="Q41" s="25" t="str">
        <f>Tags!$A$12</f>
        <v>Class</v>
      </c>
      <c r="R41" s="12"/>
      <c r="S41" s="11" t="s">
        <v>42</v>
      </c>
      <c r="T41" s="11" t="str">
        <f t="shared" si="71"/>
        <v>Octaflower, the Creative Archive's logo. A geometric lotus flower composed of eight rows of eight petals in rainbow progression.</v>
      </c>
      <c r="U41" s="11" t="str">
        <f t="shared" si="72"/>
        <v>All content classified under Sitemap</v>
      </c>
      <c r="V41" s="12"/>
      <c r="W41" s="11"/>
      <c r="X41" s="11" t="str">
        <f t="shared" si="70"/>
        <v>«SITE-HTTP»/tag-Sitemap</v>
      </c>
      <c r="Y41" s="12"/>
      <c r="Z41" s="12"/>
      <c r="AA41" s="12"/>
      <c r="AB41" s="12"/>
      <c r="AC41" s="12"/>
      <c r="AD41" s="12"/>
      <c r="AE41" s="12"/>
      <c r="AF41" s="12"/>
    </row>
    <row r="42" spans="1:32" x14ac:dyDescent="0.35">
      <c r="A42" s="11" t="str">
        <f>"tag-"&amp;SUBSTITUTE(Tags!$A12," ","-")</f>
        <v>tag-Class</v>
      </c>
      <c r="B42" s="25" t="str">
        <f>Tags!$B12</f>
        <v>No</v>
      </c>
      <c r="C42" s="25"/>
      <c r="D42" s="11" t="str">
        <f>$D$34</f>
        <v>«PAGE-SIMPLE»</v>
      </c>
      <c r="E42" s="11" t="str">
        <f>$E$34</f>
        <v>«TAGSELECT:Filter{"Tags"-&gt;_?(StringMatchQ[#,___~~"«POST:Load»"~~___]&amp;),"Type"-&gt;_,"Day"-&gt;_?NumberQ,"Month"-&gt;_?NumberQ,"Year"-&gt;_?NumberQ}»</v>
      </c>
      <c r="F42" s="25" t="str">
        <f t="shared" si="73"/>
        <v>archive</v>
      </c>
      <c r="G42" s="11" t="str">
        <f>"All"&amp;" "&amp;H42&amp;"es"</f>
        <v>All Classes</v>
      </c>
      <c r="H42" s="11" t="str">
        <f>Tags!$A12</f>
        <v>Class</v>
      </c>
      <c r="I42" s="22"/>
      <c r="J42" s="22" t="str">
        <f t="shared" si="66"/>
        <v>2018-03-02</v>
      </c>
      <c r="K42" s="22" t="str">
        <f t="shared" ref="K42" ca="1" si="77">IF(TODAY()-DATEVALUE(J42)&lt;15,"weekly",IF(TODAY()-DATEVALUE(J42)&lt;60,"monthly","yearly"))</f>
        <v>yearly</v>
      </c>
      <c r="L42" s="29">
        <v>41773</v>
      </c>
      <c r="M42" s="15">
        <f t="shared" si="67"/>
        <v>14</v>
      </c>
      <c r="N42" s="30">
        <f t="shared" si="68"/>
        <v>5</v>
      </c>
      <c r="O42" s="30">
        <f t="shared" si="69"/>
        <v>2014</v>
      </c>
      <c r="P42" s="25" t="str">
        <f t="shared" si="74"/>
        <v>Tag</v>
      </c>
      <c r="Q42" s="25" t="str">
        <f>Tags!$A$12</f>
        <v>Class</v>
      </c>
      <c r="R42" s="12"/>
      <c r="S42" s="11" t="s">
        <v>42</v>
      </c>
      <c r="T42" s="11" t="str">
        <f t="shared" si="71"/>
        <v>Octaflower, the Creative Archive's logo. A geometric lotus flower composed of eight rows of eight petals in rainbow progression.</v>
      </c>
      <c r="U42" s="11" t="str">
        <f t="shared" si="72"/>
        <v>All content classified under Class</v>
      </c>
      <c r="V42" s="12"/>
      <c r="W42" s="11"/>
      <c r="X42" s="11" t="str">
        <f t="shared" si="70"/>
        <v>«SITE-HTTP»/tag-Class</v>
      </c>
      <c r="Y42" s="12"/>
      <c r="Z42" s="12"/>
      <c r="AA42" s="12"/>
      <c r="AB42" s="12"/>
      <c r="AC42" s="12"/>
      <c r="AD42" s="12"/>
      <c r="AE42" s="12"/>
      <c r="AF42" s="12"/>
    </row>
    <row r="43" spans="1:32" x14ac:dyDescent="0.35">
      <c r="A43" s="11" t="str">
        <f>"tag-"&amp;SUBSTITUTE(Tags!$A13," ","-")</f>
        <v>tag-Nature</v>
      </c>
      <c r="B43" s="25" t="str">
        <f>Tags!$B13</f>
        <v>No</v>
      </c>
      <c r="C43" s="25"/>
      <c r="D43" s="11" t="str">
        <f>$D$34</f>
        <v>«PAGE-SIMPLE»</v>
      </c>
      <c r="E43" s="11" t="str">
        <f>$E$34</f>
        <v>«TAGSELECT:Filter{"Tags"-&gt;_?(StringMatchQ[#,___~~"«POST:Load»"~~___]&amp;),"Type"-&gt;_,"Day"-&gt;_?NumberQ,"Month"-&gt;_?NumberQ,"Year"-&gt;_?NumberQ}»</v>
      </c>
      <c r="F43" s="25" t="str">
        <f t="shared" si="73"/>
        <v>archive</v>
      </c>
      <c r="G43" s="11" t="str">
        <f>"Classed as '"&amp;Tags!$A13&amp;"'"</f>
        <v>Classed as 'Nature'</v>
      </c>
      <c r="H43" s="11" t="str">
        <f>Tags!$A13</f>
        <v>Nature</v>
      </c>
      <c r="I43" s="22"/>
      <c r="J43" s="22" t="str">
        <f t="shared" si="66"/>
        <v>2018-03-02</v>
      </c>
      <c r="K43" s="22" t="str">
        <f t="shared" ref="K43" ca="1" si="78">IF(TODAY()-DATEVALUE(J43)&lt;15,"weekly",IF(TODAY()-DATEVALUE(J43)&lt;60,"monthly","yearly"))</f>
        <v>yearly</v>
      </c>
      <c r="L43" s="29">
        <v>43225</v>
      </c>
      <c r="M43" s="15">
        <f t="shared" ref="M43" si="79">DAY(L43)</f>
        <v>5</v>
      </c>
      <c r="N43" s="30">
        <f t="shared" ref="N43" si="80">MONTH(L43)</f>
        <v>5</v>
      </c>
      <c r="O43" s="30">
        <f t="shared" ref="O43" si="81">YEAR(L43)</f>
        <v>2018</v>
      </c>
      <c r="P43" s="25" t="str">
        <f t="shared" si="74"/>
        <v>Tag</v>
      </c>
      <c r="Q43" s="25" t="str">
        <f>Tags!$A$12</f>
        <v>Class</v>
      </c>
      <c r="R43" s="12"/>
      <c r="S43" s="11" t="s">
        <v>42</v>
      </c>
      <c r="T43" s="11" t="str">
        <f t="shared" si="71"/>
        <v>Octaflower, the Creative Archive's logo. A geometric lotus flower composed of eight rows of eight petals in rainbow progression.</v>
      </c>
      <c r="U43" s="11" t="str">
        <f t="shared" ref="U43" si="82">"All content classified under "&amp;H43</f>
        <v>All content classified under Nature</v>
      </c>
      <c r="V43" s="12"/>
      <c r="W43" s="11"/>
      <c r="X43" s="11" t="str">
        <f t="shared" si="70"/>
        <v>«SITE-HTTP»/tag-Nature</v>
      </c>
      <c r="Y43" s="12"/>
      <c r="Z43" s="12"/>
      <c r="AA43" s="12"/>
      <c r="AB43" s="12"/>
      <c r="AC43" s="12"/>
      <c r="AD43" s="12"/>
      <c r="AE43" s="12"/>
      <c r="AF43" s="12"/>
    </row>
    <row r="44" spans="1:32" x14ac:dyDescent="0.35">
      <c r="A44" s="11" t="str">
        <f>"tag-"&amp;SUBSTITUTE(Tags!$A14," ","-")</f>
        <v>tag-Role-playing</v>
      </c>
      <c r="B44" s="25" t="str">
        <f>Tags!$B14</f>
        <v>Yes</v>
      </c>
      <c r="C44" s="25"/>
      <c r="D44" s="11" t="str">
        <f>D$37</f>
        <v>«PAGE-FEATURED-EMPTY»</v>
      </c>
      <c r="E44" s="11" t="str">
        <f>$E$37</f>
        <v>«FEATURED-ITEM:Filter{"Tags"-&gt;_?(StringMatchQ[#,___~~"«POST:Load»"~~___]&amp;),"Type"-&gt;_,"Day"-&gt;_?NumberQ,"Month"-&gt;_?NumberQ,"Year"-&gt;_?NumberQ}»</v>
      </c>
      <c r="F44" s="25" t="str">
        <f t="shared" si="73"/>
        <v>archive</v>
      </c>
      <c r="G44" s="11" t="str">
        <f>"Classed as '"&amp;Tags!$A14&amp;"'"</f>
        <v>Classed as 'Role-playing'</v>
      </c>
      <c r="H44" s="11" t="str">
        <f>Tags!$A14</f>
        <v>Role-playing</v>
      </c>
      <c r="I44" s="22"/>
      <c r="J44" s="22" t="str">
        <f t="shared" si="66"/>
        <v>2018-03-02</v>
      </c>
      <c r="K44" s="22" t="str">
        <f t="shared" ref="K44" ca="1" si="83">IF(TODAY()-DATEVALUE(J44)&lt;15,"weekly",IF(TODAY()-DATEVALUE(J44)&lt;60,"monthly","yearly"))</f>
        <v>yearly</v>
      </c>
      <c r="L44" s="29">
        <v>43320</v>
      </c>
      <c r="M44" s="15">
        <f t="shared" ref="M44" si="84">DAY(L44)</f>
        <v>8</v>
      </c>
      <c r="N44" s="30">
        <f t="shared" ref="N44" si="85">MONTH(L44)</f>
        <v>8</v>
      </c>
      <c r="O44" s="30">
        <f t="shared" ref="O44" si="86">YEAR(L44)</f>
        <v>2018</v>
      </c>
      <c r="P44" s="25" t="str">
        <f t="shared" si="74"/>
        <v>Tag</v>
      </c>
      <c r="Q44" s="25" t="str">
        <f>Tags!$A$12</f>
        <v>Class</v>
      </c>
      <c r="R44" s="12"/>
      <c r="S44" s="11" t="s">
        <v>42</v>
      </c>
      <c r="T44" s="11" t="str">
        <f t="shared" si="71"/>
        <v>Octaflower, the Creative Archive's logo. A geometric lotus flower composed of eight rows of eight petals in rainbow progression.</v>
      </c>
      <c r="U44" s="11" t="str">
        <f t="shared" ref="U44" si="87">"All content classified under "&amp;H44</f>
        <v>All content classified under Role-playing</v>
      </c>
      <c r="V44" s="12"/>
      <c r="W44" s="11"/>
      <c r="X44" s="11" t="str">
        <f t="shared" ref="X44" si="88">"«SITE-HTTP»/"&amp;A44</f>
        <v>«SITE-HTTP»/tag-Role-playing</v>
      </c>
      <c r="Y44" s="12"/>
      <c r="Z44" s="12"/>
      <c r="AA44" s="12"/>
      <c r="AB44" s="12"/>
      <c r="AC44" s="12"/>
      <c r="AD44" s="12"/>
      <c r="AE44" s="12"/>
      <c r="AF44" s="12"/>
    </row>
    <row r="45" spans="1:32" x14ac:dyDescent="0.35">
      <c r="A45" s="11" t="str">
        <f>"tag-"&amp;SUBSTITUTE(Tags!$A15," ","-")</f>
        <v>tag-Add-on</v>
      </c>
      <c r="B45" s="25" t="str">
        <f>Tags!$B15</f>
        <v>No</v>
      </c>
      <c r="C45" s="25"/>
      <c r="D45" s="11" t="str">
        <f>$D$34</f>
        <v>«PAGE-SIMPLE»</v>
      </c>
      <c r="E45" s="11" t="str">
        <f>$E$34</f>
        <v>«TAGSELECT:Filter{"Tags"-&gt;_?(StringMatchQ[#,___~~"«POST:Load»"~~___]&amp;),"Type"-&gt;_,"Day"-&gt;_?NumberQ,"Month"-&gt;_?NumberQ,"Year"-&gt;_?NumberQ}»</v>
      </c>
      <c r="F45" s="25" t="str">
        <f t="shared" si="73"/>
        <v>archive</v>
      </c>
      <c r="G45" s="11" t="str">
        <f>"All"&amp;" "&amp;H45&amp;"s"</f>
        <v>All Add-ons</v>
      </c>
      <c r="H45" s="11" t="str">
        <f>Tags!$A15</f>
        <v>Add-on</v>
      </c>
      <c r="I45" s="22"/>
      <c r="J45" s="22" t="str">
        <f t="shared" si="66"/>
        <v>2018-03-02</v>
      </c>
      <c r="K45" s="22" t="str">
        <f t="shared" ref="K45" ca="1" si="89">IF(TODAY()-DATEVALUE(J45)&lt;15,"weekly",IF(TODAY()-DATEVALUE(J45)&lt;60,"monthly","yearly"))</f>
        <v>yearly</v>
      </c>
      <c r="L45" s="29">
        <v>43349</v>
      </c>
      <c r="M45" s="15">
        <f t="shared" ref="M45" si="90">DAY(L45)</f>
        <v>6</v>
      </c>
      <c r="N45" s="30">
        <f t="shared" ref="N45" si="91">MONTH(L45)</f>
        <v>9</v>
      </c>
      <c r="O45" s="30">
        <f t="shared" ref="O45" si="92">YEAR(L45)</f>
        <v>2018</v>
      </c>
      <c r="P45" s="25" t="str">
        <f t="shared" si="74"/>
        <v>Tag</v>
      </c>
      <c r="Q45" s="25" t="str">
        <f>Tags!$A$12</f>
        <v>Class</v>
      </c>
      <c r="R45" s="12"/>
      <c r="S45" s="11" t="s">
        <v>42</v>
      </c>
      <c r="T45" s="11" t="str">
        <f t="shared" si="71"/>
        <v>Octaflower, the Creative Archive's logo. A geometric lotus flower composed of eight rows of eight petals in rainbow progression.</v>
      </c>
      <c r="U45" s="11" t="str">
        <f t="shared" ref="U45" si="93">"All content classified under "&amp;H45</f>
        <v>All content classified under Add-on</v>
      </c>
      <c r="V45" s="12"/>
      <c r="W45" s="11"/>
      <c r="X45" s="11" t="str">
        <f t="shared" ref="X45" si="94">"«SITE-HTTP»/"&amp;A45</f>
        <v>«SITE-HTTP»/tag-Add-on</v>
      </c>
      <c r="Y45" s="12"/>
      <c r="Z45" s="12"/>
      <c r="AA45" s="12"/>
      <c r="AB45" s="12"/>
      <c r="AC45" s="12"/>
      <c r="AD45" s="12"/>
      <c r="AE45" s="12"/>
      <c r="AF45" s="12"/>
    </row>
    <row r="46" spans="1:32" x14ac:dyDescent="0.35">
      <c r="A46" s="11" t="str">
        <f>"tag-"&amp;SUBSTITUTE(Tags!$A16," ","-")</f>
        <v>tag-Art</v>
      </c>
      <c r="B46" s="25" t="str">
        <f>Tags!$B16</f>
        <v>Yes</v>
      </c>
      <c r="C46" s="25"/>
      <c r="D46" s="11" t="str">
        <f>$D$34</f>
        <v>«PAGE-SIMPLE»</v>
      </c>
      <c r="E46" s="11" t="str">
        <f>$E$34</f>
        <v>«TAGSELECT:Filter{"Tags"-&gt;_?(StringMatchQ[#,___~~"«POST:Load»"~~___]&amp;),"Type"-&gt;_,"Day"-&gt;_?NumberQ,"Month"-&gt;_?NumberQ,"Year"-&gt;_?NumberQ}»</v>
      </c>
      <c r="F46" s="25" t="str">
        <f t="shared" si="73"/>
        <v>archive</v>
      </c>
      <c r="G46" s="11" t="str">
        <f>"All"&amp;" "&amp;H46</f>
        <v>All Art</v>
      </c>
      <c r="H46" s="11" t="str">
        <f>Tags!$A16</f>
        <v>Art</v>
      </c>
      <c r="I46" s="22"/>
      <c r="J46" s="22" t="str">
        <f t="shared" si="66"/>
        <v>2018-03-02</v>
      </c>
      <c r="K46" s="22" t="str">
        <f t="shared" ref="K46" ca="1" si="95">IF(TODAY()-DATEVALUE(J46)&lt;15,"weekly",IF(TODAY()-DATEVALUE(J46)&lt;60,"monthly","yearly"))</f>
        <v>yearly</v>
      </c>
      <c r="L46" s="29">
        <v>43377</v>
      </c>
      <c r="M46" s="15">
        <f t="shared" ref="M46" si="96">DAY(L46)</f>
        <v>4</v>
      </c>
      <c r="N46" s="30">
        <f t="shared" ref="N46" si="97">MONTH(L46)</f>
        <v>10</v>
      </c>
      <c r="O46" s="30">
        <f t="shared" ref="O46" si="98">YEAR(L46)</f>
        <v>2018</v>
      </c>
      <c r="P46" s="25" t="str">
        <f t="shared" si="74"/>
        <v>Tag</v>
      </c>
      <c r="Q46" s="25" t="str">
        <f>Tags!$A$12</f>
        <v>Class</v>
      </c>
      <c r="R46" s="12"/>
      <c r="S46" s="11" t="s">
        <v>42</v>
      </c>
      <c r="T46" s="11" t="str">
        <f t="shared" si="71"/>
        <v>Octaflower, the Creative Archive's logo. A geometric lotus flower composed of eight rows of eight petals in rainbow progression.</v>
      </c>
      <c r="U46" s="11" t="str">
        <f t="shared" ref="U46" si="99">"All content classified under "&amp;H46</f>
        <v>All content classified under Art</v>
      </c>
      <c r="V46" s="12"/>
      <c r="W46" s="11"/>
      <c r="X46" s="11" t="str">
        <f t="shared" ref="X46" si="100">"«SITE-HTTP»/"&amp;A46</f>
        <v>«SITE-HTTP»/tag-Art</v>
      </c>
      <c r="Y46" s="12"/>
      <c r="Z46" s="12"/>
      <c r="AA46" s="12"/>
      <c r="AB46" s="12"/>
      <c r="AC46" s="12"/>
      <c r="AD46" s="12"/>
      <c r="AE46" s="12"/>
      <c r="AF4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"/>
    </sheetView>
  </sheetViews>
  <sheetFormatPr defaultRowHeight="14.5" x14ac:dyDescent="0.35"/>
  <cols>
    <col min="1" max="1" width="14.54296875" bestFit="1" customWidth="1"/>
  </cols>
  <sheetData>
    <row r="1" spans="1:2" x14ac:dyDescent="0.35">
      <c r="A1" s="5" t="s">
        <v>2</v>
      </c>
      <c r="B1" s="27" t="s">
        <v>100</v>
      </c>
    </row>
    <row r="2" spans="1:2" x14ac:dyDescent="0.35">
      <c r="A2" t="s">
        <v>97</v>
      </c>
      <c r="B2" s="26" t="str">
        <f>IF(COUNTIFS(EN!$Q$1:$Q$25,"*"&amp;Tags!$A2&amp;"*",EN!$B$1:$B$25,"Yes")&gt;0,"Yes","No")</f>
        <v>Yes</v>
      </c>
    </row>
    <row r="3" spans="1:2" x14ac:dyDescent="0.35">
      <c r="A3" t="s">
        <v>41</v>
      </c>
      <c r="B3" s="26" t="str">
        <f>IF(COUNTIFS(EN!$Q$1:$Q$25,"*"&amp;Tags!$A3&amp;"*",EN!$B$1:$B$25,"Yes")&gt;0,"Yes","No")</f>
        <v>Yes</v>
      </c>
    </row>
    <row r="4" spans="1:2" x14ac:dyDescent="0.35">
      <c r="A4" t="s">
        <v>3</v>
      </c>
      <c r="B4" s="26" t="str">
        <f>IF(COUNTIFS(EN!$Q$1:$Q$25,"*"&amp;Tags!$A4&amp;"*",EN!$B$1:$B$25,"Yes")&gt;0,"Yes","No")</f>
        <v>Yes</v>
      </c>
    </row>
    <row r="5" spans="1:2" x14ac:dyDescent="0.35">
      <c r="A5" t="s">
        <v>102</v>
      </c>
      <c r="B5" s="26" t="str">
        <f>IF(COUNTIFS(EN!$Q$1:$Q$25,"*"&amp;Tags!$A5&amp;"*",EN!$B$1:$B$25,"Yes")&gt;0,"Yes","No")</f>
        <v>No</v>
      </c>
    </row>
    <row r="6" spans="1:2" x14ac:dyDescent="0.35">
      <c r="A6" t="s">
        <v>57</v>
      </c>
      <c r="B6" s="26" t="str">
        <f>IF(COUNTIFS(EN!$Q$1:$Q$25,"*"&amp;Tags!$A6&amp;"*",EN!$B$1:$B$25,"Yes")&gt;0,"Yes","No")</f>
        <v>Yes</v>
      </c>
    </row>
    <row r="7" spans="1:2" x14ac:dyDescent="0.35">
      <c r="A7" t="s">
        <v>62</v>
      </c>
      <c r="B7" s="26" t="str">
        <f>IF(COUNTIFS(EN!$Q$1:$Q$25,"*"&amp;Tags!$A7&amp;"*",EN!$B$1:$B$25,"Yes")&gt;0,"Yes","No")</f>
        <v>No</v>
      </c>
    </row>
    <row r="8" spans="1:2" x14ac:dyDescent="0.35">
      <c r="A8" t="s">
        <v>59</v>
      </c>
      <c r="B8" s="26" t="str">
        <f>IF(COUNTIFS(EN!$Q$1:$Q$25,"*"&amp;Tags!$A8&amp;"*",EN!$B$1:$B$25,"Yes")&gt;0,"Yes","No")</f>
        <v>No</v>
      </c>
    </row>
    <row r="9" spans="1:2" x14ac:dyDescent="0.35">
      <c r="A9" t="s">
        <v>58</v>
      </c>
      <c r="B9" s="26" t="str">
        <f>IF(COUNTIFS(EN!$Q$1:$Q$25,"*"&amp;Tags!$A9&amp;"*",EN!$B$1:$B$25,"Yes")&gt;0,"Yes","No")</f>
        <v>No</v>
      </c>
    </row>
    <row r="10" spans="1:2" x14ac:dyDescent="0.35">
      <c r="A10" t="s">
        <v>25</v>
      </c>
      <c r="B10" s="26" t="str">
        <f>IF(COUNTIFS(EN!$Q$1:$Q$25,"*"&amp;Tags!$A10&amp;"*",EN!$B$1:$B$25,"Yes")&gt;0,"Yes","No")</f>
        <v>Yes</v>
      </c>
    </row>
    <row r="11" spans="1:2" x14ac:dyDescent="0.35">
      <c r="A11" t="s">
        <v>101</v>
      </c>
      <c r="B11" s="26" t="str">
        <f>IF(COUNTIFS(EN!$Q$1:$Q$25,"*"&amp;Tags!$A11&amp;"*",EN!$B$1:$B$25,"Yes")&gt;0,"Yes","No")</f>
        <v>Yes</v>
      </c>
    </row>
    <row r="12" spans="1:2" x14ac:dyDescent="0.35">
      <c r="A12" t="s">
        <v>105</v>
      </c>
      <c r="B12" s="26" t="str">
        <f>IF(COUNTIFS(EN!$Q$1:$Q$25,"*"&amp;Tags!$A12&amp;"*",EN!$B$1:$B$25,"Yes")&gt;0,"Yes","No")</f>
        <v>No</v>
      </c>
    </row>
    <row r="13" spans="1:2" x14ac:dyDescent="0.35">
      <c r="A13" t="s">
        <v>116</v>
      </c>
      <c r="B13" s="26" t="str">
        <f>IF(COUNTIFS(EN!$Q$1:$Q$25,"*"&amp;Tags!$A13&amp;"*",EN!$B$1:$B$25,"Yes")&gt;0,"Yes","No")</f>
        <v>No</v>
      </c>
    </row>
    <row r="14" spans="1:2" x14ac:dyDescent="0.35">
      <c r="A14" t="s">
        <v>162</v>
      </c>
      <c r="B14" s="26" t="str">
        <f>IF(COUNTIFS(EN!$Q$1:$Q$25,"*"&amp;Tags!$A14&amp;"*",EN!$B$1:$B$25,"Yes")&gt;0,"Yes","No")</f>
        <v>Yes</v>
      </c>
    </row>
    <row r="15" spans="1:2" x14ac:dyDescent="0.35">
      <c r="A15" t="s">
        <v>173</v>
      </c>
      <c r="B15" s="26" t="str">
        <f>IF(COUNTIFS(EN!$Q$1:$Q$25,"*"&amp;Tags!$A15&amp;"*",EN!$B$1:$B$25,"Yes")&gt;0,"Yes","No")</f>
        <v>No</v>
      </c>
    </row>
    <row r="16" spans="1:2" x14ac:dyDescent="0.35">
      <c r="A16" t="s">
        <v>172</v>
      </c>
      <c r="B16" s="26" t="str">
        <f>IF(COUNTIFS(EN!$Q$1:$Q$25,"*"&amp;Tags!$A16&amp;"*",EN!$B$1:$B$25,"Yes")&gt;0,"Yes","No")</f>
        <v>Yes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selection activeCell="A8" sqref="A8"/>
    </sheetView>
  </sheetViews>
  <sheetFormatPr defaultRowHeight="14.5" x14ac:dyDescent="0.35"/>
  <sheetData>
    <row r="1" spans="1:26" s="1" customFormat="1" x14ac:dyDescent="0.35">
      <c r="A1" s="5" t="str">
        <f>EN!A1</f>
        <v>Link</v>
      </c>
      <c r="B1" s="5" t="str">
        <f>EN!B1</f>
        <v>New</v>
      </c>
      <c r="C1" s="5" t="str">
        <f>EN!D1</f>
        <v>Page</v>
      </c>
      <c r="D1" s="5" t="str">
        <f>EN!E1</f>
        <v>Content</v>
      </c>
      <c r="E1" s="5" t="str">
        <f>EN!F1</f>
        <v>Style</v>
      </c>
      <c r="F1" s="5" t="str">
        <f>EN!G1</f>
        <v>Title</v>
      </c>
      <c r="G1" s="5" t="str">
        <f>EN!H1</f>
        <v>Post</v>
      </c>
      <c r="H1" s="5" t="str">
        <f>EN!I1</f>
        <v>Update</v>
      </c>
      <c r="I1" s="5" t="str">
        <f>EN!J1</f>
        <v>Up-da-te</v>
      </c>
      <c r="J1" s="5" t="str">
        <f>EN!K1</f>
        <v>Freq</v>
      </c>
      <c r="K1" s="5" t="str">
        <f>EN!L1</f>
        <v>Date</v>
      </c>
      <c r="L1" s="5" t="str">
        <f>EN!M1</f>
        <v>Day</v>
      </c>
      <c r="M1" s="5" t="str">
        <f>EN!N1</f>
        <v>Month</v>
      </c>
      <c r="N1" s="5" t="str">
        <f>EN!O1</f>
        <v>Year</v>
      </c>
      <c r="O1" s="5" t="str">
        <f>EN!P1</f>
        <v>Type</v>
      </c>
      <c r="P1" s="5" t="str">
        <f>EN!Q1</f>
        <v>Tags</v>
      </c>
      <c r="Q1" s="5" t="str">
        <f>EN!R1</f>
        <v>Featured</v>
      </c>
      <c r="R1" s="5" t="str">
        <f>EN!S1</f>
        <v>Image</v>
      </c>
      <c r="S1" s="5" t="str">
        <f>EN!T1</f>
        <v>Imagealt</v>
      </c>
      <c r="T1" s="5" t="str">
        <f>EN!U1</f>
        <v>Description</v>
      </c>
      <c r="U1" s="5" t="str">
        <f>EN!V1</f>
        <v>Typegraph</v>
      </c>
      <c r="V1" s="5" t="str">
        <f>EN!W1</f>
        <v>Ext</v>
      </c>
      <c r="W1" s="5" t="str">
        <f>EN!Y1</f>
        <v>Comment</v>
      </c>
      <c r="X1" s="5" t="str">
        <f>EN!Z1</f>
        <v>Honours</v>
      </c>
      <c r="Y1" s="5" t="str">
        <f>EN!AA1</f>
        <v>GN</v>
      </c>
      <c r="Z1" s="5" t="str">
        <f>EN!AB1</f>
        <v>Controls</v>
      </c>
    </row>
    <row r="2" spans="1:26" x14ac:dyDescent="0.35">
      <c r="P2" t="s">
        <v>104</v>
      </c>
    </row>
    <row r="6" spans="1:26" x14ac:dyDescent="0.35">
      <c r="A6" s="7"/>
      <c r="B6" s="2"/>
      <c r="C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</vt:lpstr>
      <vt:lpstr>Tags</vt:lpstr>
      <vt:lpstr>Next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2018-10-09T10:59:14Z</dcterms:modified>
</cp:coreProperties>
</file>