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Versões anteriores/otimizador 0.1/"/>
    </mc:Choice>
  </mc:AlternateContent>
  <xr:revisionPtr revIDLastSave="138" documentId="8_{A5CC4340-661B-444B-A3FC-C0428C2CE179}" xr6:coauthVersionLast="47" xr6:coauthVersionMax="47" xr10:uidLastSave="{F3346E55-D971-4B3B-9263-B9B40385EE09}"/>
  <bookViews>
    <workbookView xWindow="-108" yWindow="-108" windowWidth="23256" windowHeight="12576" xr2:uid="{777EBE0C-23A4-4BEB-B19D-BC89EC1030CD}"/>
  </bookViews>
  <sheets>
    <sheet name="CBC" sheetId="56" r:id="rId1"/>
    <sheet name="SCIP" sheetId="58" r:id="rId2"/>
    <sheet name="confi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58" l="1"/>
  <c r="S35" i="58"/>
  <c r="S34" i="58"/>
  <c r="S33" i="58"/>
  <c r="S34" i="56"/>
  <c r="S35" i="56"/>
  <c r="S36" i="56"/>
  <c r="S33" i="56"/>
  <c r="F61" i="58"/>
  <c r="E61" i="58"/>
  <c r="D61" i="58"/>
  <c r="C61" i="58"/>
  <c r="B61" i="58"/>
  <c r="L60" i="58"/>
  <c r="K60" i="58"/>
  <c r="J60" i="58"/>
  <c r="I60" i="58"/>
  <c r="H60" i="58"/>
  <c r="L59" i="58"/>
  <c r="K59" i="58"/>
  <c r="J59" i="58"/>
  <c r="I59" i="58"/>
  <c r="H59" i="58"/>
  <c r="L58" i="58"/>
  <c r="K58" i="58"/>
  <c r="J58" i="58"/>
  <c r="I58" i="58"/>
  <c r="H58" i="58"/>
  <c r="L57" i="58"/>
  <c r="K57" i="58"/>
  <c r="J57" i="58"/>
  <c r="I57" i="58"/>
  <c r="H57" i="58"/>
  <c r="L56" i="58"/>
  <c r="K56" i="58"/>
  <c r="J56" i="58"/>
  <c r="I56" i="58"/>
  <c r="H56" i="58"/>
  <c r="L55" i="58"/>
  <c r="K55" i="58"/>
  <c r="J55" i="58"/>
  <c r="I55" i="58"/>
  <c r="H55" i="58"/>
  <c r="L54" i="58"/>
  <c r="K54" i="58"/>
  <c r="J54" i="58"/>
  <c r="I54" i="58"/>
  <c r="H54" i="58"/>
  <c r="L53" i="58"/>
  <c r="K53" i="58"/>
  <c r="J53" i="58"/>
  <c r="I53" i="58"/>
  <c r="H53" i="58"/>
  <c r="L52" i="58"/>
  <c r="K52" i="58"/>
  <c r="J52" i="58"/>
  <c r="I52" i="58"/>
  <c r="H52" i="58"/>
  <c r="L51" i="58"/>
  <c r="K51" i="58"/>
  <c r="J51" i="58"/>
  <c r="I51" i="58"/>
  <c r="H51" i="58"/>
  <c r="L50" i="58"/>
  <c r="K50" i="58"/>
  <c r="J50" i="58"/>
  <c r="I50" i="58"/>
  <c r="H50" i="58"/>
  <c r="L49" i="58"/>
  <c r="K49" i="58"/>
  <c r="J49" i="58"/>
  <c r="I49" i="58"/>
  <c r="H49" i="58"/>
  <c r="L48" i="58"/>
  <c r="K48" i="58"/>
  <c r="J48" i="58"/>
  <c r="I48" i="58"/>
  <c r="H48" i="58"/>
  <c r="L47" i="58"/>
  <c r="K47" i="58"/>
  <c r="J47" i="58"/>
  <c r="I47" i="58"/>
  <c r="H47" i="58"/>
  <c r="L46" i="58"/>
  <c r="K46" i="58"/>
  <c r="J46" i="58"/>
  <c r="I46" i="58"/>
  <c r="H46" i="58"/>
  <c r="L45" i="58"/>
  <c r="K45" i="58"/>
  <c r="J45" i="58"/>
  <c r="I45" i="58"/>
  <c r="H45" i="58"/>
  <c r="L44" i="58"/>
  <c r="K44" i="58"/>
  <c r="J44" i="58"/>
  <c r="I44" i="58"/>
  <c r="H44" i="58"/>
  <c r="L43" i="58"/>
  <c r="K43" i="58"/>
  <c r="J43" i="58"/>
  <c r="I43" i="58"/>
  <c r="H43" i="58"/>
  <c r="L42" i="58"/>
  <c r="K42" i="58"/>
  <c r="J42" i="58"/>
  <c r="I42" i="58"/>
  <c r="H42" i="58"/>
  <c r="L41" i="58"/>
  <c r="K41" i="58"/>
  <c r="J41" i="58"/>
  <c r="I41" i="58"/>
  <c r="H41" i="58"/>
  <c r="L40" i="58"/>
  <c r="K40" i="58"/>
  <c r="J40" i="58"/>
  <c r="I40" i="58"/>
  <c r="H40" i="58"/>
  <c r="L39" i="58"/>
  <c r="K39" i="58"/>
  <c r="J39" i="58"/>
  <c r="I39" i="58"/>
  <c r="H39" i="58"/>
  <c r="L38" i="58"/>
  <c r="K38" i="58"/>
  <c r="J38" i="58"/>
  <c r="I38" i="58"/>
  <c r="H38" i="58"/>
  <c r="L37" i="58"/>
  <c r="K37" i="58"/>
  <c r="J37" i="58"/>
  <c r="I37" i="58"/>
  <c r="H37" i="58"/>
  <c r="L36" i="58"/>
  <c r="K36" i="58"/>
  <c r="J36" i="58"/>
  <c r="I36" i="58"/>
  <c r="H36" i="58"/>
  <c r="L35" i="58"/>
  <c r="K35" i="58"/>
  <c r="J35" i="58"/>
  <c r="I35" i="58"/>
  <c r="H35" i="58"/>
  <c r="L34" i="58"/>
  <c r="K34" i="58"/>
  <c r="J34" i="58"/>
  <c r="I34" i="58"/>
  <c r="H34" i="58"/>
  <c r="U33" i="58"/>
  <c r="L33" i="58"/>
  <c r="K33" i="58"/>
  <c r="J33" i="58"/>
  <c r="I33" i="58"/>
  <c r="H33" i="58"/>
  <c r="R30" i="58"/>
  <c r="Q30" i="58"/>
  <c r="S30" i="58" s="1"/>
  <c r="I30" i="58"/>
  <c r="H30" i="58"/>
  <c r="G30" i="58"/>
  <c r="F30" i="58"/>
  <c r="E30" i="58"/>
  <c r="D30" i="58"/>
  <c r="C30" i="58"/>
  <c r="B30" i="58"/>
  <c r="R29" i="58"/>
  <c r="S29" i="58" s="1"/>
  <c r="Q29" i="58"/>
  <c r="L29" i="58"/>
  <c r="K29" i="58"/>
  <c r="J29" i="58"/>
  <c r="M29" i="58" s="1"/>
  <c r="R28" i="58"/>
  <c r="Q28" i="58"/>
  <c r="S28" i="58" s="1"/>
  <c r="M28" i="58"/>
  <c r="L28" i="58"/>
  <c r="K28" i="58"/>
  <c r="J28" i="58"/>
  <c r="R27" i="58"/>
  <c r="S27" i="58" s="1"/>
  <c r="Q27" i="58"/>
  <c r="L27" i="58"/>
  <c r="K27" i="58"/>
  <c r="J27" i="58"/>
  <c r="M27" i="58" s="1"/>
  <c r="R26" i="58"/>
  <c r="Q26" i="58"/>
  <c r="S26" i="58" s="1"/>
  <c r="L26" i="58"/>
  <c r="K26" i="58"/>
  <c r="J26" i="58"/>
  <c r="M26" i="58" s="1"/>
  <c r="R25" i="58"/>
  <c r="S25" i="58" s="1"/>
  <c r="Q25" i="58"/>
  <c r="L25" i="58"/>
  <c r="K25" i="58"/>
  <c r="J25" i="58"/>
  <c r="M25" i="58" s="1"/>
  <c r="R24" i="58"/>
  <c r="Q24" i="58"/>
  <c r="S24" i="58" s="1"/>
  <c r="M24" i="58"/>
  <c r="L24" i="58"/>
  <c r="K24" i="58"/>
  <c r="J24" i="58"/>
  <c r="R23" i="58"/>
  <c r="S23" i="58" s="1"/>
  <c r="Q23" i="58"/>
  <c r="L23" i="58"/>
  <c r="K23" i="58"/>
  <c r="J23" i="58"/>
  <c r="M23" i="58" s="1"/>
  <c r="R22" i="58"/>
  <c r="Q22" i="58"/>
  <c r="S22" i="58" s="1"/>
  <c r="L22" i="58"/>
  <c r="K22" i="58"/>
  <c r="J22" i="58"/>
  <c r="M22" i="58" s="1"/>
  <c r="R21" i="58"/>
  <c r="S21" i="58" s="1"/>
  <c r="Q21" i="58"/>
  <c r="L21" i="58"/>
  <c r="K21" i="58"/>
  <c r="J21" i="58"/>
  <c r="M21" i="58" s="1"/>
  <c r="R20" i="58"/>
  <c r="Q20" i="58"/>
  <c r="S20" i="58" s="1"/>
  <c r="M20" i="58"/>
  <c r="L20" i="58"/>
  <c r="K20" i="58"/>
  <c r="J20" i="58"/>
  <c r="R19" i="58"/>
  <c r="S19" i="58" s="1"/>
  <c r="Q19" i="58"/>
  <c r="L19" i="58"/>
  <c r="K19" i="58"/>
  <c r="J19" i="58"/>
  <c r="M19" i="58" s="1"/>
  <c r="R18" i="58"/>
  <c r="Q18" i="58"/>
  <c r="S18" i="58" s="1"/>
  <c r="L18" i="58"/>
  <c r="K18" i="58"/>
  <c r="J18" i="58"/>
  <c r="M18" i="58" s="1"/>
  <c r="R17" i="58"/>
  <c r="S17" i="58" s="1"/>
  <c r="Q17" i="58"/>
  <c r="L17" i="58"/>
  <c r="K17" i="58"/>
  <c r="J17" i="58"/>
  <c r="M17" i="58" s="1"/>
  <c r="R16" i="58"/>
  <c r="Q16" i="58"/>
  <c r="S16" i="58" s="1"/>
  <c r="M16" i="58"/>
  <c r="L16" i="58"/>
  <c r="K16" i="58"/>
  <c r="J16" i="58"/>
  <c r="R15" i="58"/>
  <c r="S15" i="58" s="1"/>
  <c r="Q15" i="58"/>
  <c r="L15" i="58"/>
  <c r="K15" i="58"/>
  <c r="J15" i="58"/>
  <c r="M15" i="58" s="1"/>
  <c r="R14" i="58"/>
  <c r="Q14" i="58"/>
  <c r="S14" i="58" s="1"/>
  <c r="L14" i="58"/>
  <c r="K14" i="58"/>
  <c r="J14" i="58"/>
  <c r="M14" i="58" s="1"/>
  <c r="R13" i="58"/>
  <c r="S13" i="58" s="1"/>
  <c r="Q13" i="58"/>
  <c r="L13" i="58"/>
  <c r="K13" i="58"/>
  <c r="J13" i="58"/>
  <c r="M13" i="58" s="1"/>
  <c r="R12" i="58"/>
  <c r="Q12" i="58"/>
  <c r="S12" i="58" s="1"/>
  <c r="M12" i="58"/>
  <c r="L12" i="58"/>
  <c r="K12" i="58"/>
  <c r="J12" i="58"/>
  <c r="R11" i="58"/>
  <c r="S11" i="58" s="1"/>
  <c r="Q11" i="58"/>
  <c r="L11" i="58"/>
  <c r="K11" i="58"/>
  <c r="J11" i="58"/>
  <c r="M11" i="58" s="1"/>
  <c r="R10" i="58"/>
  <c r="Q10" i="58"/>
  <c r="S10" i="58" s="1"/>
  <c r="L10" i="58"/>
  <c r="K10" i="58"/>
  <c r="J10" i="58"/>
  <c r="M10" i="58" s="1"/>
  <c r="R9" i="58"/>
  <c r="S9" i="58" s="1"/>
  <c r="Q9" i="58"/>
  <c r="L9" i="58"/>
  <c r="K9" i="58"/>
  <c r="J9" i="58"/>
  <c r="M9" i="58" s="1"/>
  <c r="R8" i="58"/>
  <c r="Q8" i="58"/>
  <c r="S8" i="58" s="1"/>
  <c r="M8" i="58"/>
  <c r="L8" i="58"/>
  <c r="K8" i="58"/>
  <c r="J8" i="58"/>
  <c r="R7" i="58"/>
  <c r="S7" i="58" s="1"/>
  <c r="Q7" i="58"/>
  <c r="L7" i="58"/>
  <c r="K7" i="58"/>
  <c r="J7" i="58"/>
  <c r="M7" i="58" s="1"/>
  <c r="R6" i="58"/>
  <c r="Q6" i="58"/>
  <c r="S6" i="58" s="1"/>
  <c r="L6" i="58"/>
  <c r="K6" i="58"/>
  <c r="J6" i="58"/>
  <c r="M6" i="58" s="1"/>
  <c r="R5" i="58"/>
  <c r="S5" i="58" s="1"/>
  <c r="Q5" i="58"/>
  <c r="L5" i="58"/>
  <c r="K5" i="58"/>
  <c r="J5" i="58"/>
  <c r="M5" i="58" s="1"/>
  <c r="R4" i="58"/>
  <c r="Q4" i="58"/>
  <c r="S4" i="58" s="1"/>
  <c r="M4" i="58"/>
  <c r="L4" i="58"/>
  <c r="K4" i="58"/>
  <c r="J4" i="58"/>
  <c r="R3" i="58"/>
  <c r="S3" i="58" s="1"/>
  <c r="Q3" i="58"/>
  <c r="L3" i="58"/>
  <c r="K3" i="58"/>
  <c r="J3" i="58"/>
  <c r="M3" i="58" s="1"/>
  <c r="R2" i="58"/>
  <c r="Q2" i="58"/>
  <c r="S2" i="58" s="1"/>
  <c r="L2" i="58"/>
  <c r="K2" i="58"/>
  <c r="J2" i="58"/>
  <c r="V1" i="58"/>
  <c r="F61" i="56"/>
  <c r="E61" i="56"/>
  <c r="D61" i="56"/>
  <c r="C61" i="56"/>
  <c r="R29" i="56"/>
  <c r="Q29" i="56"/>
  <c r="S29" i="56" s="1"/>
  <c r="R28" i="56"/>
  <c r="Q28" i="56"/>
  <c r="S28" i="56" s="1"/>
  <c r="R27" i="56"/>
  <c r="Q27" i="56"/>
  <c r="S27" i="56" s="1"/>
  <c r="P27" i="56" s="1"/>
  <c r="R26" i="56"/>
  <c r="Q26" i="56"/>
  <c r="S26" i="56" s="1"/>
  <c r="R25" i="56"/>
  <c r="Q25" i="56"/>
  <c r="R24" i="56"/>
  <c r="S24" i="56" s="1"/>
  <c r="Q24" i="56"/>
  <c r="R23" i="56"/>
  <c r="Q23" i="56"/>
  <c r="S23" i="56" s="1"/>
  <c r="R22" i="56"/>
  <c r="Q22" i="56"/>
  <c r="S22" i="56" s="1"/>
  <c r="R21" i="56"/>
  <c r="Q21" i="56"/>
  <c r="R20" i="56"/>
  <c r="Q20" i="56"/>
  <c r="S20" i="56" s="1"/>
  <c r="R19" i="56"/>
  <c r="Q19" i="56"/>
  <c r="S19" i="56" s="1"/>
  <c r="P19" i="56" s="1"/>
  <c r="R18" i="56"/>
  <c r="Q18" i="56"/>
  <c r="S18" i="56" s="1"/>
  <c r="R17" i="56"/>
  <c r="Q17" i="56"/>
  <c r="S17" i="56" s="1"/>
  <c r="P17" i="56" s="1"/>
  <c r="R16" i="56"/>
  <c r="Q16" i="56"/>
  <c r="R15" i="56"/>
  <c r="Q15" i="56"/>
  <c r="S14" i="56"/>
  <c r="P14" i="56" s="1"/>
  <c r="R14" i="56"/>
  <c r="Q14" i="56"/>
  <c r="R13" i="56"/>
  <c r="Q13" i="56"/>
  <c r="S13" i="56" s="1"/>
  <c r="R12" i="56"/>
  <c r="Q12" i="56"/>
  <c r="S12" i="56" s="1"/>
  <c r="S11" i="56"/>
  <c r="P11" i="56" s="1"/>
  <c r="R11" i="56"/>
  <c r="Q11" i="56"/>
  <c r="R10" i="56"/>
  <c r="Q10" i="56"/>
  <c r="R9" i="56"/>
  <c r="Q9" i="56"/>
  <c r="S9" i="56" s="1"/>
  <c r="P9" i="56" s="1"/>
  <c r="R8" i="56"/>
  <c r="S8" i="56" s="1"/>
  <c r="Q8" i="56"/>
  <c r="R7" i="56"/>
  <c r="Q7" i="56"/>
  <c r="S7" i="56" s="1"/>
  <c r="R6" i="56"/>
  <c r="Q6" i="56"/>
  <c r="S6" i="56" s="1"/>
  <c r="R4" i="56"/>
  <c r="Q4" i="56"/>
  <c r="S4" i="56" s="1"/>
  <c r="R3" i="56"/>
  <c r="Q3" i="56"/>
  <c r="S3" i="56" s="1"/>
  <c r="S2" i="56"/>
  <c r="R2" i="56"/>
  <c r="Q2" i="56"/>
  <c r="L60" i="56"/>
  <c r="K60" i="56"/>
  <c r="L59" i="56"/>
  <c r="K59" i="56"/>
  <c r="L58" i="56"/>
  <c r="K58" i="56"/>
  <c r="L57" i="56"/>
  <c r="K57" i="56"/>
  <c r="L56" i="56"/>
  <c r="K56" i="56"/>
  <c r="L55" i="56"/>
  <c r="K55" i="56"/>
  <c r="L54" i="56"/>
  <c r="K54" i="56"/>
  <c r="L53" i="56"/>
  <c r="K53" i="56"/>
  <c r="L52" i="56"/>
  <c r="K52" i="56"/>
  <c r="L51" i="56"/>
  <c r="K51" i="56"/>
  <c r="L50" i="56"/>
  <c r="K50" i="56"/>
  <c r="L49" i="56"/>
  <c r="K49" i="56"/>
  <c r="L48" i="56"/>
  <c r="K48" i="56"/>
  <c r="L47" i="56"/>
  <c r="K47" i="56"/>
  <c r="L46" i="56"/>
  <c r="K46" i="56"/>
  <c r="L45" i="56"/>
  <c r="K45" i="56"/>
  <c r="L44" i="56"/>
  <c r="K44" i="56"/>
  <c r="L43" i="56"/>
  <c r="K43" i="56"/>
  <c r="L42" i="56"/>
  <c r="K42" i="56"/>
  <c r="L41" i="56"/>
  <c r="K41" i="56"/>
  <c r="L40" i="56"/>
  <c r="K40" i="56"/>
  <c r="L39" i="56"/>
  <c r="K39" i="56"/>
  <c r="L38" i="56"/>
  <c r="K38" i="56"/>
  <c r="L37" i="56"/>
  <c r="K37" i="56"/>
  <c r="L36" i="56"/>
  <c r="K36" i="56"/>
  <c r="L35" i="56"/>
  <c r="K35" i="56"/>
  <c r="L34" i="56"/>
  <c r="K34" i="56"/>
  <c r="L33" i="56"/>
  <c r="K33" i="56"/>
  <c r="V1" i="56"/>
  <c r="K29" i="56"/>
  <c r="K28" i="56"/>
  <c r="K27" i="56"/>
  <c r="K26" i="56"/>
  <c r="K25" i="56"/>
  <c r="K24" i="56"/>
  <c r="K23" i="56"/>
  <c r="K22" i="56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K6" i="56"/>
  <c r="K5" i="56"/>
  <c r="K4" i="56"/>
  <c r="K3" i="56"/>
  <c r="K2" i="56"/>
  <c r="B61" i="56"/>
  <c r="U33" i="56" s="1"/>
  <c r="J60" i="56"/>
  <c r="I60" i="56"/>
  <c r="H60" i="56"/>
  <c r="J59" i="56"/>
  <c r="I59" i="56"/>
  <c r="H59" i="56"/>
  <c r="J58" i="56"/>
  <c r="I58" i="56"/>
  <c r="H58" i="56"/>
  <c r="J57" i="56"/>
  <c r="I57" i="56"/>
  <c r="H57" i="56"/>
  <c r="J56" i="56"/>
  <c r="I56" i="56"/>
  <c r="H56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I30" i="56"/>
  <c r="H30" i="56"/>
  <c r="G30" i="56"/>
  <c r="F30" i="56"/>
  <c r="E30" i="56"/>
  <c r="D30" i="56"/>
  <c r="C30" i="56"/>
  <c r="B30" i="56"/>
  <c r="L29" i="56"/>
  <c r="J29" i="56"/>
  <c r="M29" i="56" s="1"/>
  <c r="L28" i="56"/>
  <c r="J28" i="56"/>
  <c r="M28" i="56" s="1"/>
  <c r="L27" i="56"/>
  <c r="J27" i="56"/>
  <c r="M27" i="56" s="1"/>
  <c r="L26" i="56"/>
  <c r="J26" i="56"/>
  <c r="M26" i="56" s="1"/>
  <c r="L25" i="56"/>
  <c r="J25" i="56"/>
  <c r="M25" i="56" s="1"/>
  <c r="L24" i="56"/>
  <c r="J24" i="56"/>
  <c r="M24" i="56" s="1"/>
  <c r="L23" i="56"/>
  <c r="J23" i="56"/>
  <c r="M23" i="56" s="1"/>
  <c r="L22" i="56"/>
  <c r="J22" i="56"/>
  <c r="M22" i="56" s="1"/>
  <c r="L21" i="56"/>
  <c r="J21" i="56"/>
  <c r="M21" i="56" s="1"/>
  <c r="L20" i="56"/>
  <c r="J20" i="56"/>
  <c r="M20" i="56" s="1"/>
  <c r="L19" i="56"/>
  <c r="J19" i="56"/>
  <c r="M19" i="56" s="1"/>
  <c r="L18" i="56"/>
  <c r="J18" i="56"/>
  <c r="M18" i="56" s="1"/>
  <c r="L17" i="56"/>
  <c r="J17" i="56"/>
  <c r="M17" i="56" s="1"/>
  <c r="L16" i="56"/>
  <c r="J16" i="56"/>
  <c r="M16" i="56" s="1"/>
  <c r="L15" i="56"/>
  <c r="J15" i="56"/>
  <c r="M15" i="56" s="1"/>
  <c r="L14" i="56"/>
  <c r="J14" i="56"/>
  <c r="M14" i="56" s="1"/>
  <c r="L13" i="56"/>
  <c r="J13" i="56"/>
  <c r="M13" i="56" s="1"/>
  <c r="L12" i="56"/>
  <c r="J12" i="56"/>
  <c r="M12" i="56" s="1"/>
  <c r="L11" i="56"/>
  <c r="J11" i="56"/>
  <c r="M11" i="56" s="1"/>
  <c r="L10" i="56"/>
  <c r="J10" i="56"/>
  <c r="M10" i="56" s="1"/>
  <c r="L9" i="56"/>
  <c r="J9" i="56"/>
  <c r="M9" i="56" s="1"/>
  <c r="L8" i="56"/>
  <c r="J8" i="56"/>
  <c r="M8" i="56" s="1"/>
  <c r="L7" i="56"/>
  <c r="J7" i="56"/>
  <c r="M7" i="56" s="1"/>
  <c r="L6" i="56"/>
  <c r="J6" i="56"/>
  <c r="M6" i="56" s="1"/>
  <c r="R5" i="56"/>
  <c r="Q5" i="56"/>
  <c r="S5" i="56" s="1"/>
  <c r="L5" i="56"/>
  <c r="J5" i="56"/>
  <c r="M5" i="56" s="1"/>
  <c r="L4" i="56"/>
  <c r="J4" i="56"/>
  <c r="M4" i="56" s="1"/>
  <c r="L3" i="56"/>
  <c r="J3" i="56"/>
  <c r="M3" i="56" s="1"/>
  <c r="L2" i="56"/>
  <c r="J2" i="56"/>
  <c r="M2" i="56" s="1"/>
  <c r="J30" i="58" l="1"/>
  <c r="M30" i="58" s="1"/>
  <c r="K30" i="58"/>
  <c r="P34" i="58" s="1"/>
  <c r="Q34" i="58" s="1"/>
  <c r="L30" i="58"/>
  <c r="P35" i="58" s="1"/>
  <c r="Q35" i="58" s="1"/>
  <c r="P16" i="58"/>
  <c r="O16" i="58"/>
  <c r="P13" i="58"/>
  <c r="O13" i="58"/>
  <c r="O18" i="58"/>
  <c r="P18" i="58"/>
  <c r="P24" i="58"/>
  <c r="O24" i="58"/>
  <c r="P27" i="58"/>
  <c r="O27" i="58"/>
  <c r="O6" i="58"/>
  <c r="P12" i="58"/>
  <c r="O12" i="58"/>
  <c r="P15" i="58"/>
  <c r="O15" i="58"/>
  <c r="P21" i="58"/>
  <c r="O21" i="58"/>
  <c r="O22" i="58"/>
  <c r="P22" i="58"/>
  <c r="O19" i="58"/>
  <c r="P19" i="58"/>
  <c r="O4" i="58"/>
  <c r="P9" i="58"/>
  <c r="O9" i="58"/>
  <c r="O14" i="58"/>
  <c r="P14" i="58"/>
  <c r="P20" i="58"/>
  <c r="O20" i="58"/>
  <c r="P23" i="58"/>
  <c r="O23" i="58"/>
  <c r="P29" i="58"/>
  <c r="O29" i="58"/>
  <c r="O5" i="58"/>
  <c r="P28" i="58"/>
  <c r="O28" i="58"/>
  <c r="O10" i="58"/>
  <c r="P10" i="58"/>
  <c r="P25" i="58"/>
  <c r="O25" i="58"/>
  <c r="O7" i="58"/>
  <c r="P7" i="58"/>
  <c r="O3" i="58"/>
  <c r="O26" i="58"/>
  <c r="P26" i="58"/>
  <c r="O2" i="58"/>
  <c r="P8" i="58"/>
  <c r="O8" i="58"/>
  <c r="P11" i="58"/>
  <c r="O11" i="58"/>
  <c r="P17" i="58"/>
  <c r="O17" i="58"/>
  <c r="M2" i="58"/>
  <c r="P22" i="56"/>
  <c r="O22" i="56"/>
  <c r="S15" i="56"/>
  <c r="S25" i="56"/>
  <c r="S10" i="56"/>
  <c r="S16" i="56"/>
  <c r="O16" i="56" s="1"/>
  <c r="O14" i="56"/>
  <c r="S21" i="56"/>
  <c r="O21" i="56" s="1"/>
  <c r="O17" i="56"/>
  <c r="O9" i="56"/>
  <c r="O6" i="56"/>
  <c r="P8" i="56"/>
  <c r="O8" i="56"/>
  <c r="P20" i="56"/>
  <c r="O20" i="56"/>
  <c r="P23" i="56"/>
  <c r="O23" i="56"/>
  <c r="P12" i="56"/>
  <c r="O12" i="56"/>
  <c r="P15" i="56"/>
  <c r="O15" i="56"/>
  <c r="P21" i="56"/>
  <c r="P18" i="56"/>
  <c r="O18" i="56"/>
  <c r="P24" i="56"/>
  <c r="O24" i="56"/>
  <c r="P28" i="56"/>
  <c r="O28" i="56"/>
  <c r="P7" i="56"/>
  <c r="O7" i="56"/>
  <c r="P13" i="56"/>
  <c r="O13" i="56"/>
  <c r="O25" i="56"/>
  <c r="P25" i="56"/>
  <c r="O10" i="56"/>
  <c r="P10" i="56"/>
  <c r="P16" i="56"/>
  <c r="P29" i="56"/>
  <c r="O29" i="56"/>
  <c r="O3" i="56"/>
  <c r="O4" i="56"/>
  <c r="P26" i="56"/>
  <c r="O26" i="56"/>
  <c r="O2" i="56"/>
  <c r="O11" i="56"/>
  <c r="O19" i="56"/>
  <c r="O27" i="56"/>
  <c r="O5" i="56"/>
  <c r="J30" i="56"/>
  <c r="K30" i="56"/>
  <c r="P34" i="56" s="1"/>
  <c r="Q34" i="56" s="1"/>
  <c r="L30" i="56"/>
  <c r="P35" i="56" s="1"/>
  <c r="Q35" i="56" s="1"/>
  <c r="R30" i="56"/>
  <c r="Q30" i="56"/>
  <c r="N21" i="58" l="1"/>
  <c r="N7" i="58"/>
  <c r="N22" i="58"/>
  <c r="N23" i="58"/>
  <c r="N15" i="58"/>
  <c r="I31" i="58"/>
  <c r="P33" i="58"/>
  <c r="Q33" i="58" s="1"/>
  <c r="O30" i="58"/>
  <c r="P6" i="58" s="1"/>
  <c r="G31" i="58"/>
  <c r="J31" i="58"/>
  <c r="N2" i="58"/>
  <c r="N29" i="58"/>
  <c r="N12" i="58"/>
  <c r="N26" i="58"/>
  <c r="N28" i="58"/>
  <c r="N13" i="58"/>
  <c r="N27" i="58"/>
  <c r="N10" i="58"/>
  <c r="N5" i="58"/>
  <c r="N19" i="58"/>
  <c r="N18" i="58"/>
  <c r="N4" i="58"/>
  <c r="N8" i="58"/>
  <c r="N25" i="58"/>
  <c r="N17" i="58"/>
  <c r="N16" i="58"/>
  <c r="N6" i="58"/>
  <c r="N14" i="58"/>
  <c r="N9" i="58"/>
  <c r="N3" i="58"/>
  <c r="N20" i="58"/>
  <c r="N24" i="58"/>
  <c r="N11" i="58"/>
  <c r="S30" i="56"/>
  <c r="I31" i="56"/>
  <c r="M30" i="56"/>
  <c r="P33" i="56"/>
  <c r="Q33" i="56" s="1"/>
  <c r="G31" i="56"/>
  <c r="O30" i="56"/>
  <c r="P5" i="58" l="1"/>
  <c r="P2" i="58"/>
  <c r="P4" i="58"/>
  <c r="P3" i="58"/>
  <c r="P30" i="58"/>
  <c r="P36" i="58" s="1"/>
  <c r="Q36" i="58" s="1"/>
  <c r="Q37" i="58" s="1"/>
  <c r="N30" i="58"/>
  <c r="J31" i="56"/>
  <c r="P3" i="56"/>
  <c r="P6" i="56"/>
  <c r="P4" i="56"/>
  <c r="P2" i="56"/>
  <c r="P5" i="56"/>
  <c r="N29" i="56"/>
  <c r="N2" i="56"/>
  <c r="N25" i="56"/>
  <c r="N16" i="56"/>
  <c r="N26" i="56"/>
  <c r="N14" i="56"/>
  <c r="N11" i="56"/>
  <c r="N24" i="56"/>
  <c r="N15" i="56"/>
  <c r="N6" i="56"/>
  <c r="N13" i="56"/>
  <c r="N23" i="56"/>
  <c r="N3" i="56"/>
  <c r="N9" i="56"/>
  <c r="N27" i="56"/>
  <c r="N22" i="56"/>
  <c r="N5" i="56"/>
  <c r="N7" i="56"/>
  <c r="N28" i="56"/>
  <c r="N10" i="56"/>
  <c r="N19" i="56"/>
  <c r="N4" i="56"/>
  <c r="N21" i="56"/>
  <c r="N12" i="56"/>
  <c r="N17" i="56"/>
  <c r="N20" i="56"/>
  <c r="N8" i="56"/>
  <c r="N18" i="56"/>
  <c r="P30" i="56" l="1"/>
  <c r="P36" i="56" s="1"/>
  <c r="Q36" i="56" s="1"/>
  <c r="Q37" i="56" s="1"/>
  <c r="N30" i="56"/>
</calcChain>
</file>

<file path=xl/sharedStrings.xml><?xml version="1.0" encoding="utf-8"?>
<sst xmlns="http://schemas.openxmlformats.org/spreadsheetml/2006/main" count="119" uniqueCount="52">
  <si>
    <t>Unidade</t>
  </si>
  <si>
    <t>Total</t>
  </si>
  <si>
    <t>P-Eq</t>
  </si>
  <si>
    <t>Tempo</t>
  </si>
  <si>
    <t>CH média</t>
  </si>
  <si>
    <t>Professores</t>
  </si>
  <si>
    <t>peq</t>
  </si>
  <si>
    <t>tempo</t>
  </si>
  <si>
    <t>Aulas/semana</t>
  </si>
  <si>
    <t>horas orient</t>
  </si>
  <si>
    <t>n orient</t>
  </si>
  <si>
    <t>diretor</t>
  </si>
  <si>
    <t>coord</t>
  </si>
  <si>
    <t>P1</t>
  </si>
  <si>
    <t>P2</t>
  </si>
  <si>
    <t>P3</t>
  </si>
  <si>
    <t>P4</t>
  </si>
  <si>
    <t>P5</t>
  </si>
  <si>
    <t>P6</t>
  </si>
  <si>
    <t>P7</t>
  </si>
  <si>
    <t>P8</t>
  </si>
  <si>
    <t>aulas</t>
  </si>
  <si>
    <t>cap. Aulas</t>
  </si>
  <si>
    <t>n_orient</t>
  </si>
  <si>
    <t>h_orient</t>
  </si>
  <si>
    <t>cap. HO</t>
  </si>
  <si>
    <t>cap. NO</t>
  </si>
  <si>
    <t>critério</t>
  </si>
  <si>
    <t>pior</t>
  </si>
  <si>
    <t>melhor</t>
  </si>
  <si>
    <t>numero</t>
  </si>
  <si>
    <t>equilíbrio</t>
  </si>
  <si>
    <t>x</t>
  </si>
  <si>
    <t>peso</t>
  </si>
  <si>
    <t>mediacalc</t>
  </si>
  <si>
    <t>c</t>
  </si>
  <si>
    <t>d</t>
  </si>
  <si>
    <t>m</t>
  </si>
  <si>
    <t>chmin</t>
  </si>
  <si>
    <t>chmax</t>
  </si>
  <si>
    <t>desviocalc</t>
  </si>
  <si>
    <t>pontuação</t>
  </si>
  <si>
    <t>Final</t>
  </si>
  <si>
    <t>desvio</t>
  </si>
  <si>
    <t>n</t>
  </si>
  <si>
    <t>Máximo</t>
  </si>
  <si>
    <t>A</t>
  </si>
  <si>
    <t>B</t>
  </si>
  <si>
    <t>C</t>
  </si>
  <si>
    <t>D</t>
  </si>
  <si>
    <t>E</t>
  </si>
  <si>
    <t>pont*peso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</si>
</sst>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65" fontId="0" fillId="0" borderId="0" xfId="0" applyNumberFormat="1"/>
    <xf numFmtId="165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0" fillId="2" borderId="0" xfId="0" applyNumberFormat="1" applyFill="1"/>
    <xf numFmtId="165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orcentagem" xfId="1" builtinId="5"/>
  </cellStyles>
  <dxfs count="15"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6049-CD1E-4ACA-85A7-8ADC92DF362C}">
  <dimension ref="A1:V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8" sqref="M68"/>
    </sheetView>
  </sheetViews>
  <sheetFormatPr defaultRowHeight="14.4" x14ac:dyDescent="0.3"/>
  <cols>
    <col min="2" max="9" width="6.6640625" customWidth="1"/>
    <col min="10" max="10" width="10.5546875" bestFit="1" customWidth="1"/>
  </cols>
  <sheetData>
    <row r="1" spans="1:22" x14ac:dyDescent="0.3">
      <c r="A1" s="9" t="s">
        <v>0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5</v>
      </c>
      <c r="K1" s="10" t="s">
        <v>2</v>
      </c>
      <c r="L1" s="10" t="s">
        <v>3</v>
      </c>
      <c r="M1" s="10" t="s">
        <v>4</v>
      </c>
      <c r="N1" s="11" t="s">
        <v>43</v>
      </c>
      <c r="O1" s="12" t="s">
        <v>34</v>
      </c>
      <c r="P1" s="12" t="s">
        <v>40</v>
      </c>
      <c r="Q1" s="12" t="s">
        <v>35</v>
      </c>
      <c r="R1" s="12" t="s">
        <v>36</v>
      </c>
      <c r="S1" s="12" t="s">
        <v>37</v>
      </c>
      <c r="U1" s="12" t="s">
        <v>44</v>
      </c>
      <c r="V1">
        <f>COUNTA(A2:A29)</f>
        <v>5</v>
      </c>
    </row>
    <row r="2" spans="1:22" x14ac:dyDescent="0.3">
      <c r="A2" t="s">
        <v>46</v>
      </c>
      <c r="B2" s="13">
        <v>1</v>
      </c>
      <c r="C2" s="13">
        <v>2</v>
      </c>
      <c r="D2" s="13">
        <v>3</v>
      </c>
      <c r="E2" s="13">
        <v>6</v>
      </c>
      <c r="F2" s="13">
        <v>0</v>
      </c>
      <c r="G2" s="13">
        <v>0</v>
      </c>
      <c r="H2" s="13">
        <v>0</v>
      </c>
      <c r="I2" s="13">
        <v>0</v>
      </c>
      <c r="J2" s="11">
        <f>SUM(B2:I2)</f>
        <v>12</v>
      </c>
      <c r="K2" s="14">
        <f>SUMPRODUCT(B2:I2,config!$B$4:$I$4)</f>
        <v>19.799999999999997</v>
      </c>
      <c r="L2" s="13">
        <f>SUMPRODUCT(B2:I2,config!$B$5:$I$5)-C33</f>
        <v>111</v>
      </c>
      <c r="M2" s="15">
        <f>IFERROR(B33/J2,"")</f>
        <v>12.5</v>
      </c>
      <c r="N2" s="7">
        <f>IFERROR(ABS(M2-M$30),"")</f>
        <v>0.22641509433962348</v>
      </c>
      <c r="O2" s="19">
        <f>IF(S2="","",S2*J2+config!$K$2+config!$L$2)</f>
        <v>12.64</v>
      </c>
      <c r="P2" s="19">
        <f t="shared" ref="P2:P4" si="0">IF(S2="","",ABS(O2-O$30))</f>
        <v>0.28335126825518664</v>
      </c>
      <c r="Q2" s="8">
        <f>B33/config!$K$2</f>
        <v>12.5</v>
      </c>
      <c r="R2" s="8">
        <f>B33/config!$L$2</f>
        <v>9.375</v>
      </c>
      <c r="S2" s="8">
        <f>IFERROR((config!$K$2-config!$L$2)/(Q2-R2),"")</f>
        <v>-1.28</v>
      </c>
    </row>
    <row r="3" spans="1:22" x14ac:dyDescent="0.3">
      <c r="A3" t="s">
        <v>47</v>
      </c>
      <c r="B3" s="13">
        <v>1</v>
      </c>
      <c r="C3" s="13">
        <v>1</v>
      </c>
      <c r="D3" s="13">
        <v>13</v>
      </c>
      <c r="E3" s="13">
        <v>2</v>
      </c>
      <c r="F3" s="13">
        <v>0</v>
      </c>
      <c r="G3" s="13">
        <v>1</v>
      </c>
      <c r="H3" s="13">
        <v>0</v>
      </c>
      <c r="I3" s="13">
        <v>0</v>
      </c>
      <c r="J3" s="11">
        <f t="shared" ref="J3:J29" si="1">SUM(B3:I3)</f>
        <v>18</v>
      </c>
      <c r="K3" s="14">
        <f>SUMPRODUCT(B3:I3,config!$B$4:$I$4)</f>
        <v>29.7</v>
      </c>
      <c r="L3" s="13">
        <f>SUMPRODUCT(B3:I3,config!$B$5:$I$5)-C34</f>
        <v>243</v>
      </c>
      <c r="M3" s="15">
        <f t="shared" ref="M3:M29" si="2">IFERROR(B34/J3,"")</f>
        <v>12.222222222222221</v>
      </c>
      <c r="N3" s="7">
        <f t="shared" ref="N3:N29" si="3">IFERROR(ABS(M3-M$30),"")</f>
        <v>5.1362683438155088E-2</v>
      </c>
      <c r="O3" s="19">
        <f>IF(S3="","",S3*J3+config!$K$2+config!$L$2)</f>
        <v>12.290909090909087</v>
      </c>
      <c r="P3" s="19">
        <f t="shared" si="0"/>
        <v>6.5739640835726476E-2</v>
      </c>
      <c r="Q3" s="8">
        <f>B34/config!$K$2</f>
        <v>18.333333333333332</v>
      </c>
      <c r="R3" s="8">
        <f>B34/config!$L$2</f>
        <v>13.75</v>
      </c>
      <c r="S3" s="8">
        <f>IFERROR((config!$K$2-config!$L$2)/(Q3-R3),"")</f>
        <v>-0.87272727272727291</v>
      </c>
    </row>
    <row r="4" spans="1:22" x14ac:dyDescent="0.3">
      <c r="A4" t="s">
        <v>48</v>
      </c>
      <c r="B4" s="13">
        <v>1</v>
      </c>
      <c r="C4" s="13">
        <v>3</v>
      </c>
      <c r="D4" s="13">
        <v>28</v>
      </c>
      <c r="E4" s="13">
        <v>1</v>
      </c>
      <c r="F4" s="13">
        <v>0</v>
      </c>
      <c r="G4" s="13">
        <v>2</v>
      </c>
      <c r="H4" s="13">
        <v>0</v>
      </c>
      <c r="I4" s="13">
        <v>0</v>
      </c>
      <c r="J4" s="11">
        <f t="shared" si="1"/>
        <v>35</v>
      </c>
      <c r="K4" s="14">
        <f>SUMPRODUCT(B4:I4,config!$B$4:$I$4)</f>
        <v>57.749999999999993</v>
      </c>
      <c r="L4" s="13">
        <f>SUMPRODUCT(B4:I4,config!$B$5:$I$5)-C35</f>
        <v>480</v>
      </c>
      <c r="M4" s="15">
        <f t="shared" si="2"/>
        <v>12.285714285714286</v>
      </c>
      <c r="N4" s="7">
        <f t="shared" si="3"/>
        <v>1.2129380053909955E-2</v>
      </c>
      <c r="O4" s="19">
        <f>IF(S4="","",S4*J4+config!$K$2+config!$L$2)</f>
        <v>12.372093023255818</v>
      </c>
      <c r="P4" s="19">
        <f t="shared" si="0"/>
        <v>1.5444291511004238E-2</v>
      </c>
      <c r="Q4" s="8">
        <f>B35/config!$K$2</f>
        <v>35.833333333333336</v>
      </c>
      <c r="R4" s="8">
        <f>B35/config!$L$2</f>
        <v>26.875</v>
      </c>
      <c r="S4" s="8">
        <f>IFERROR((config!$K$2-config!$L$2)/(Q4-R4),"")</f>
        <v>-0.44651162790697663</v>
      </c>
    </row>
    <row r="5" spans="1:22" x14ac:dyDescent="0.3">
      <c r="A5" t="s">
        <v>49</v>
      </c>
      <c r="B5" s="13">
        <v>1</v>
      </c>
      <c r="C5" s="13">
        <v>1</v>
      </c>
      <c r="D5" s="13">
        <v>11</v>
      </c>
      <c r="E5" s="13">
        <v>2</v>
      </c>
      <c r="F5" s="13">
        <v>0</v>
      </c>
      <c r="G5" s="13">
        <v>1</v>
      </c>
      <c r="H5" s="13">
        <v>0</v>
      </c>
      <c r="I5" s="13">
        <v>0</v>
      </c>
      <c r="J5" s="11">
        <f t="shared" si="1"/>
        <v>16</v>
      </c>
      <c r="K5" s="14">
        <f>SUMPRODUCT(B5:I5,config!$B$4:$I$4)</f>
        <v>26.4</v>
      </c>
      <c r="L5" s="13">
        <f>SUMPRODUCT(B5:I5,config!$B$5:$I$5)-C36</f>
        <v>205.5</v>
      </c>
      <c r="M5" s="15">
        <f t="shared" si="2"/>
        <v>12.25</v>
      </c>
      <c r="N5" s="7">
        <f t="shared" si="3"/>
        <v>2.3584905660376521E-2</v>
      </c>
      <c r="O5" s="19">
        <f>IF(S5="","",S5*J5+config!$K$2+config!$L$2)</f>
        <v>12.326530612244893</v>
      </c>
      <c r="P5" s="19">
        <f>IF(S5="","",ABS(O5-O$30))</f>
        <v>3.0118119499920937E-2</v>
      </c>
      <c r="Q5" s="8">
        <f>B36/config!$K$2</f>
        <v>16.333333333333332</v>
      </c>
      <c r="R5" s="8">
        <f>B36/config!$L$2</f>
        <v>12.25</v>
      </c>
      <c r="S5" s="8">
        <f>IFERROR((config!$K$2-config!$L$2)/(Q5-R5),"")</f>
        <v>-0.97959183673469419</v>
      </c>
    </row>
    <row r="6" spans="1:22" x14ac:dyDescent="0.3">
      <c r="A6" t="s">
        <v>50</v>
      </c>
      <c r="B6" s="13">
        <v>1</v>
      </c>
      <c r="C6" s="13">
        <v>3</v>
      </c>
      <c r="D6" s="13">
        <v>15</v>
      </c>
      <c r="E6" s="13">
        <v>6</v>
      </c>
      <c r="F6" s="13">
        <v>0</v>
      </c>
      <c r="G6" s="13">
        <v>0</v>
      </c>
      <c r="H6" s="13">
        <v>0</v>
      </c>
      <c r="I6" s="13">
        <v>0</v>
      </c>
      <c r="J6" s="11">
        <f t="shared" si="1"/>
        <v>25</v>
      </c>
      <c r="K6" s="14">
        <f>SUMPRODUCT(B6:I6,config!$B$4:$I$4)</f>
        <v>41.25</v>
      </c>
      <c r="L6" s="13">
        <f>SUMPRODUCT(B6:I6,config!$B$5:$I$5)-C37</f>
        <v>299.5</v>
      </c>
      <c r="M6" s="15">
        <f t="shared" si="2"/>
        <v>12.2</v>
      </c>
      <c r="N6" s="7">
        <f t="shared" si="3"/>
        <v>7.3584905660377231E-2</v>
      </c>
      <c r="O6" s="19">
        <f>IF(S6="","",S6*J6+config!$K$2+config!$L$2)</f>
        <v>12.262295081967217</v>
      </c>
      <c r="P6" s="19">
        <f t="shared" ref="P6:P29" si="4">IF(S6="","",ABS(O6-O$30))</f>
        <v>9.4353649777596971E-2</v>
      </c>
      <c r="Q6" s="8">
        <f>B37/config!$K$2</f>
        <v>25.416666666666668</v>
      </c>
      <c r="R6" s="8">
        <f>B37/config!$L$2</f>
        <v>19.0625</v>
      </c>
      <c r="S6" s="8">
        <f>IFERROR((config!$K$2-config!$L$2)/(Q6-R6),"")</f>
        <v>-0.62950819672131131</v>
      </c>
    </row>
    <row r="7" spans="1:22" hidden="1" x14ac:dyDescent="0.3">
      <c r="B7" s="13"/>
      <c r="C7" s="13"/>
      <c r="D7" s="13"/>
      <c r="E7" s="13"/>
      <c r="F7" s="13"/>
      <c r="G7" s="13"/>
      <c r="H7" s="13"/>
      <c r="I7" s="13"/>
      <c r="J7" s="11">
        <f t="shared" si="1"/>
        <v>0</v>
      </c>
      <c r="K7" s="14">
        <f>SUMPRODUCT(B7:I7,config!$B$4:$I$4)</f>
        <v>0</v>
      </c>
      <c r="L7" s="13">
        <f>SUMPRODUCT(B7:I7,config!$B$5:$I$5)-C38</f>
        <v>0</v>
      </c>
      <c r="M7" s="15" t="str">
        <f t="shared" si="2"/>
        <v/>
      </c>
      <c r="N7" s="7" t="str">
        <f t="shared" si="3"/>
        <v/>
      </c>
      <c r="O7" s="19" t="str">
        <f>IF(S7="","",S7*J7+config!$K$2+config!$L$2)</f>
        <v/>
      </c>
      <c r="P7" s="19" t="str">
        <f t="shared" si="4"/>
        <v/>
      </c>
      <c r="Q7" s="8">
        <f>B38/config!$K$2</f>
        <v>0</v>
      </c>
      <c r="R7" s="8">
        <f>B38/config!$L$2</f>
        <v>0</v>
      </c>
      <c r="S7" s="8" t="str">
        <f>IFERROR((config!$K$2-config!$L$2)/(Q7-R7),"")</f>
        <v/>
      </c>
    </row>
    <row r="8" spans="1:22" hidden="1" x14ac:dyDescent="0.3">
      <c r="B8" s="13"/>
      <c r="C8" s="13"/>
      <c r="D8" s="13"/>
      <c r="E8" s="13"/>
      <c r="F8" s="13"/>
      <c r="G8" s="13"/>
      <c r="H8" s="13"/>
      <c r="I8" s="13"/>
      <c r="J8" s="11">
        <f>SUM(B8:I8)</f>
        <v>0</v>
      </c>
      <c r="K8" s="14">
        <f>SUMPRODUCT(B8:I8,config!$B$4:$I$4)</f>
        <v>0</v>
      </c>
      <c r="L8" s="13">
        <f>SUMPRODUCT(B8:I8,config!$B$5:$I$5)-C39</f>
        <v>0</v>
      </c>
      <c r="M8" s="15" t="str">
        <f t="shared" si="2"/>
        <v/>
      </c>
      <c r="N8" s="7" t="str">
        <f t="shared" si="3"/>
        <v/>
      </c>
      <c r="O8" s="19" t="str">
        <f>IF(S8="","",S8*J8+config!$K$2+config!$L$2)</f>
        <v/>
      </c>
      <c r="P8" s="19" t="str">
        <f t="shared" si="4"/>
        <v/>
      </c>
      <c r="Q8" s="8">
        <f>B39/config!$K$2</f>
        <v>0</v>
      </c>
      <c r="R8" s="8">
        <f>B39/config!$L$2</f>
        <v>0</v>
      </c>
      <c r="S8" s="8" t="str">
        <f>IFERROR((config!$K$2-config!$L$2)/(Q8-R8),"")</f>
        <v/>
      </c>
    </row>
    <row r="9" spans="1:22" hidden="1" x14ac:dyDescent="0.3">
      <c r="B9" s="13"/>
      <c r="C9" s="13"/>
      <c r="D9" s="13"/>
      <c r="E9" s="13"/>
      <c r="F9" s="13"/>
      <c r="G9" s="13"/>
      <c r="H9" s="13"/>
      <c r="I9" s="13"/>
      <c r="J9" s="11">
        <f t="shared" ref="J9:J19" si="5">SUM(B9:I9)</f>
        <v>0</v>
      </c>
      <c r="K9" s="14">
        <f>SUMPRODUCT(B9:I9,config!$B$4:$I$4)</f>
        <v>0</v>
      </c>
      <c r="L9" s="13">
        <f>SUMPRODUCT(B9:I9,config!$B$5:$I$5)-C40</f>
        <v>0</v>
      </c>
      <c r="M9" s="15" t="str">
        <f t="shared" si="2"/>
        <v/>
      </c>
      <c r="N9" s="7" t="str">
        <f t="shared" si="3"/>
        <v/>
      </c>
      <c r="O9" s="19" t="str">
        <f>IF(S9="","",S9*J9+config!$K$2+config!$L$2)</f>
        <v/>
      </c>
      <c r="P9" s="19" t="str">
        <f t="shared" si="4"/>
        <v/>
      </c>
      <c r="Q9" s="8">
        <f>B40/config!$K$2</f>
        <v>0</v>
      </c>
      <c r="R9" s="8">
        <f>B40/config!$L$2</f>
        <v>0</v>
      </c>
      <c r="S9" s="8" t="str">
        <f>IFERROR((config!$K$2-config!$L$2)/(Q9-R9),"")</f>
        <v/>
      </c>
    </row>
    <row r="10" spans="1:22" hidden="1" x14ac:dyDescent="0.3">
      <c r="B10" s="13"/>
      <c r="C10" s="13"/>
      <c r="D10" s="13"/>
      <c r="E10" s="13"/>
      <c r="F10" s="13"/>
      <c r="G10" s="13"/>
      <c r="H10" s="13"/>
      <c r="I10" s="13"/>
      <c r="J10" s="11">
        <f t="shared" si="5"/>
        <v>0</v>
      </c>
      <c r="K10" s="14">
        <f>SUMPRODUCT(B10:I10,config!$B$4:$I$4)</f>
        <v>0</v>
      </c>
      <c r="L10" s="13">
        <f>SUMPRODUCT(B10:I10,config!$B$5:$I$5)-C41</f>
        <v>0</v>
      </c>
      <c r="M10" s="15" t="str">
        <f t="shared" si="2"/>
        <v/>
      </c>
      <c r="N10" s="7" t="str">
        <f t="shared" si="3"/>
        <v/>
      </c>
      <c r="O10" s="19" t="str">
        <f>IF(S10="","",S10*J10+config!$K$2+config!$L$2)</f>
        <v/>
      </c>
      <c r="P10" s="19" t="str">
        <f t="shared" si="4"/>
        <v/>
      </c>
      <c r="Q10" s="8">
        <f>B41/config!$K$2</f>
        <v>0</v>
      </c>
      <c r="R10" s="8">
        <f>B41/config!$L$2</f>
        <v>0</v>
      </c>
      <c r="S10" s="8" t="str">
        <f>IFERROR((config!$K$2-config!$L$2)/(Q10-R10),"")</f>
        <v/>
      </c>
    </row>
    <row r="11" spans="1:22" hidden="1" x14ac:dyDescent="0.3">
      <c r="B11" s="13"/>
      <c r="C11" s="13"/>
      <c r="D11" s="13"/>
      <c r="E11" s="13"/>
      <c r="F11" s="13"/>
      <c r="G11" s="13"/>
      <c r="H11" s="13"/>
      <c r="I11" s="13"/>
      <c r="J11" s="11">
        <f t="shared" si="5"/>
        <v>0</v>
      </c>
      <c r="K11" s="14">
        <f>SUMPRODUCT(B11:I11,config!$B$4:$I$4)</f>
        <v>0</v>
      </c>
      <c r="L11" s="13">
        <f>SUMPRODUCT(B11:I11,config!$B$5:$I$5)-C42</f>
        <v>0</v>
      </c>
      <c r="M11" s="15" t="str">
        <f t="shared" si="2"/>
        <v/>
      </c>
      <c r="N11" s="7" t="str">
        <f t="shared" si="3"/>
        <v/>
      </c>
      <c r="O11" s="19" t="str">
        <f>IF(S11="","",S11*J11+config!$K$2+config!$L$2)</f>
        <v/>
      </c>
      <c r="P11" s="19" t="str">
        <f t="shared" si="4"/>
        <v/>
      </c>
      <c r="Q11" s="8">
        <f>B42/config!$K$2</f>
        <v>0</v>
      </c>
      <c r="R11" s="8">
        <f>B42/config!$L$2</f>
        <v>0</v>
      </c>
      <c r="S11" s="8" t="str">
        <f>IFERROR((config!$K$2-config!$L$2)/(Q11-R11),"")</f>
        <v/>
      </c>
    </row>
    <row r="12" spans="1:22" hidden="1" x14ac:dyDescent="0.3">
      <c r="B12" s="13"/>
      <c r="C12" s="13"/>
      <c r="D12" s="13"/>
      <c r="E12" s="13"/>
      <c r="F12" s="13"/>
      <c r="G12" s="13"/>
      <c r="H12" s="13"/>
      <c r="I12" s="13"/>
      <c r="J12" s="11">
        <f t="shared" si="5"/>
        <v>0</v>
      </c>
      <c r="K12" s="14">
        <f>SUMPRODUCT(B12:I12,config!$B$4:$I$4)</f>
        <v>0</v>
      </c>
      <c r="L12" s="13">
        <f>SUMPRODUCT(B12:I12,config!$B$5:$I$5)-C43</f>
        <v>0</v>
      </c>
      <c r="M12" s="15" t="str">
        <f t="shared" si="2"/>
        <v/>
      </c>
      <c r="N12" s="7" t="str">
        <f t="shared" si="3"/>
        <v/>
      </c>
      <c r="O12" s="19" t="str">
        <f>IF(S12="","",S12*J12+config!$K$2+config!$L$2)</f>
        <v/>
      </c>
      <c r="P12" s="19" t="str">
        <f t="shared" si="4"/>
        <v/>
      </c>
      <c r="Q12" s="8">
        <f>B43/config!$K$2</f>
        <v>0</v>
      </c>
      <c r="R12" s="8">
        <f>B43/config!$L$2</f>
        <v>0</v>
      </c>
      <c r="S12" s="8" t="str">
        <f>IFERROR((config!$K$2-config!$L$2)/(Q12-R12),"")</f>
        <v/>
      </c>
    </row>
    <row r="13" spans="1:22" hidden="1" x14ac:dyDescent="0.3">
      <c r="B13" s="13"/>
      <c r="C13" s="13"/>
      <c r="D13" s="13"/>
      <c r="E13" s="13"/>
      <c r="F13" s="13"/>
      <c r="G13" s="13"/>
      <c r="H13" s="13"/>
      <c r="I13" s="13"/>
      <c r="J13" s="11">
        <f t="shared" si="5"/>
        <v>0</v>
      </c>
      <c r="K13" s="14">
        <f>SUMPRODUCT(B13:I13,config!$B$4:$I$4)</f>
        <v>0</v>
      </c>
      <c r="L13" s="13">
        <f>SUMPRODUCT(B13:I13,config!$B$5:$I$5)-C44</f>
        <v>0</v>
      </c>
      <c r="M13" s="15" t="str">
        <f t="shared" si="2"/>
        <v/>
      </c>
      <c r="N13" s="7" t="str">
        <f t="shared" si="3"/>
        <v/>
      </c>
      <c r="O13" s="19" t="str">
        <f>IF(S13="","",S13*J13+config!$K$2+config!$L$2)</f>
        <v/>
      </c>
      <c r="P13" s="19" t="str">
        <f t="shared" si="4"/>
        <v/>
      </c>
      <c r="Q13" s="8">
        <f>B44/config!$K$2</f>
        <v>0</v>
      </c>
      <c r="R13" s="8">
        <f>B44/config!$L$2</f>
        <v>0</v>
      </c>
      <c r="S13" s="8" t="str">
        <f>IFERROR((config!$K$2-config!$L$2)/(Q13-R13),"")</f>
        <v/>
      </c>
    </row>
    <row r="14" spans="1:22" hidden="1" x14ac:dyDescent="0.3">
      <c r="B14" s="13"/>
      <c r="C14" s="13"/>
      <c r="D14" s="13"/>
      <c r="E14" s="13"/>
      <c r="F14" s="13"/>
      <c r="G14" s="13"/>
      <c r="H14" s="13"/>
      <c r="I14" s="13"/>
      <c r="J14" s="11">
        <f t="shared" si="5"/>
        <v>0</v>
      </c>
      <c r="K14" s="14">
        <f>SUMPRODUCT(B14:I14,config!$B$4:$I$4)</f>
        <v>0</v>
      </c>
      <c r="L14" s="13">
        <f>SUMPRODUCT(B14:I14,config!$B$5:$I$5)-C45</f>
        <v>0</v>
      </c>
      <c r="M14" s="15" t="str">
        <f t="shared" si="2"/>
        <v/>
      </c>
      <c r="N14" s="7" t="str">
        <f t="shared" si="3"/>
        <v/>
      </c>
      <c r="O14" s="19" t="str">
        <f>IF(S14="","",S14*J14+config!$K$2+config!$L$2)</f>
        <v/>
      </c>
      <c r="P14" s="19" t="str">
        <f t="shared" si="4"/>
        <v/>
      </c>
      <c r="Q14" s="8">
        <f>B45/config!$K$2</f>
        <v>0</v>
      </c>
      <c r="R14" s="8">
        <f>B45/config!$L$2</f>
        <v>0</v>
      </c>
      <c r="S14" s="8" t="str">
        <f>IFERROR((config!$K$2-config!$L$2)/(Q14-R14),"")</f>
        <v/>
      </c>
    </row>
    <row r="15" spans="1:22" hidden="1" x14ac:dyDescent="0.3">
      <c r="B15" s="13"/>
      <c r="C15" s="13"/>
      <c r="D15" s="13"/>
      <c r="E15" s="13"/>
      <c r="F15" s="13"/>
      <c r="G15" s="13"/>
      <c r="H15" s="13"/>
      <c r="I15" s="13"/>
      <c r="J15" s="11">
        <f t="shared" si="5"/>
        <v>0</v>
      </c>
      <c r="K15" s="14">
        <f>SUMPRODUCT(B15:I15,config!$B$4:$I$4)</f>
        <v>0</v>
      </c>
      <c r="L15" s="13">
        <f>SUMPRODUCT(B15:I15,config!$B$5:$I$5)-C46</f>
        <v>0</v>
      </c>
      <c r="M15" s="15" t="str">
        <f t="shared" si="2"/>
        <v/>
      </c>
      <c r="N15" s="7" t="str">
        <f t="shared" si="3"/>
        <v/>
      </c>
      <c r="O15" s="19" t="str">
        <f>IF(S15="","",S15*J15+config!$K$2+config!$L$2)</f>
        <v/>
      </c>
      <c r="P15" s="19" t="str">
        <f t="shared" si="4"/>
        <v/>
      </c>
      <c r="Q15" s="8">
        <f>B46/config!$K$2</f>
        <v>0</v>
      </c>
      <c r="R15" s="8">
        <f>B46/config!$L$2</f>
        <v>0</v>
      </c>
      <c r="S15" s="8" t="str">
        <f>IFERROR((config!$K$2-config!$L$2)/(Q15-R15),"")</f>
        <v/>
      </c>
    </row>
    <row r="16" spans="1:22" hidden="1" x14ac:dyDescent="0.3">
      <c r="B16" s="13"/>
      <c r="C16" s="13"/>
      <c r="D16" s="13"/>
      <c r="E16" s="13"/>
      <c r="F16" s="13"/>
      <c r="G16" s="13"/>
      <c r="H16" s="13"/>
      <c r="I16" s="13"/>
      <c r="J16" s="11">
        <f t="shared" si="5"/>
        <v>0</v>
      </c>
      <c r="K16" s="14">
        <f>SUMPRODUCT(B16:I16,config!$B$4:$I$4)</f>
        <v>0</v>
      </c>
      <c r="L16" s="13">
        <f>SUMPRODUCT(B16:I16,config!$B$5:$I$5)-C47</f>
        <v>0</v>
      </c>
      <c r="M16" s="15" t="str">
        <f t="shared" si="2"/>
        <v/>
      </c>
      <c r="N16" s="7" t="str">
        <f t="shared" si="3"/>
        <v/>
      </c>
      <c r="O16" s="19" t="str">
        <f>IF(S16="","",S16*J16+config!$K$2+config!$L$2)</f>
        <v/>
      </c>
      <c r="P16" s="19" t="str">
        <f t="shared" si="4"/>
        <v/>
      </c>
      <c r="Q16" s="8">
        <f>B47/config!$K$2</f>
        <v>0</v>
      </c>
      <c r="R16" s="8">
        <f>B47/config!$L$2</f>
        <v>0</v>
      </c>
      <c r="S16" s="8" t="str">
        <f>IFERROR((config!$K$2-config!$L$2)/(Q16-R16),"")</f>
        <v/>
      </c>
    </row>
    <row r="17" spans="1:19" hidden="1" x14ac:dyDescent="0.3">
      <c r="B17" s="13"/>
      <c r="C17" s="13"/>
      <c r="D17" s="13"/>
      <c r="E17" s="13"/>
      <c r="F17" s="13"/>
      <c r="G17" s="13"/>
      <c r="H17" s="13"/>
      <c r="I17" s="13"/>
      <c r="J17" s="11">
        <f t="shared" si="5"/>
        <v>0</v>
      </c>
      <c r="K17" s="14">
        <f>SUMPRODUCT(B17:I17,config!$B$4:$I$4)</f>
        <v>0</v>
      </c>
      <c r="L17" s="13">
        <f>SUMPRODUCT(B17:I17,config!$B$5:$I$5)-C48</f>
        <v>0</v>
      </c>
      <c r="M17" s="15" t="str">
        <f t="shared" si="2"/>
        <v/>
      </c>
      <c r="N17" s="7" t="str">
        <f t="shared" si="3"/>
        <v/>
      </c>
      <c r="O17" s="19" t="str">
        <f>IF(S17="","",S17*J17+config!$K$2+config!$L$2)</f>
        <v/>
      </c>
      <c r="P17" s="19" t="str">
        <f t="shared" si="4"/>
        <v/>
      </c>
      <c r="Q17" s="8">
        <f>B48/config!$K$2</f>
        <v>0</v>
      </c>
      <c r="R17" s="8">
        <f>B48/config!$L$2</f>
        <v>0</v>
      </c>
      <c r="S17" s="8" t="str">
        <f>IFERROR((config!$K$2-config!$L$2)/(Q17-R17),"")</f>
        <v/>
      </c>
    </row>
    <row r="18" spans="1:19" hidden="1" x14ac:dyDescent="0.3">
      <c r="B18" s="13"/>
      <c r="C18" s="13"/>
      <c r="D18" s="13"/>
      <c r="E18" s="13"/>
      <c r="F18" s="13"/>
      <c r="G18" s="13"/>
      <c r="H18" s="13"/>
      <c r="I18" s="13"/>
      <c r="J18" s="11">
        <f t="shared" si="5"/>
        <v>0</v>
      </c>
      <c r="K18" s="14">
        <f>SUMPRODUCT(B18:I18,config!$B$4:$I$4)</f>
        <v>0</v>
      </c>
      <c r="L18" s="13">
        <f>SUMPRODUCT(B18:I18,config!$B$5:$I$5)-C49</f>
        <v>0</v>
      </c>
      <c r="M18" s="15" t="str">
        <f t="shared" si="2"/>
        <v/>
      </c>
      <c r="N18" s="7" t="str">
        <f t="shared" si="3"/>
        <v/>
      </c>
      <c r="O18" s="19" t="str">
        <f>IF(S18="","",S18*J18+config!$K$2+config!$L$2)</f>
        <v/>
      </c>
      <c r="P18" s="19" t="str">
        <f t="shared" si="4"/>
        <v/>
      </c>
      <c r="Q18" s="8">
        <f>B49/config!$K$2</f>
        <v>0</v>
      </c>
      <c r="R18" s="8">
        <f>B49/config!$L$2</f>
        <v>0</v>
      </c>
      <c r="S18" s="8" t="str">
        <f>IFERROR((config!$K$2-config!$L$2)/(Q18-R18),"")</f>
        <v/>
      </c>
    </row>
    <row r="19" spans="1:19" hidden="1" x14ac:dyDescent="0.3">
      <c r="B19" s="13"/>
      <c r="C19" s="13"/>
      <c r="D19" s="13"/>
      <c r="E19" s="13"/>
      <c r="F19" s="13"/>
      <c r="G19" s="13"/>
      <c r="H19" s="13"/>
      <c r="I19" s="13"/>
      <c r="J19" s="11">
        <f t="shared" si="5"/>
        <v>0</v>
      </c>
      <c r="K19" s="14">
        <f>SUMPRODUCT(B19:I19,config!$B$4:$I$4)</f>
        <v>0</v>
      </c>
      <c r="L19" s="13">
        <f>SUMPRODUCT(B19:I19,config!$B$5:$I$5)-C50</f>
        <v>0</v>
      </c>
      <c r="M19" s="15" t="str">
        <f t="shared" si="2"/>
        <v/>
      </c>
      <c r="N19" s="7" t="str">
        <f t="shared" si="3"/>
        <v/>
      </c>
      <c r="O19" s="19" t="str">
        <f>IF(S19="","",S19*J19+config!$K$2+config!$L$2)</f>
        <v/>
      </c>
      <c r="P19" s="19" t="str">
        <f t="shared" si="4"/>
        <v/>
      </c>
      <c r="Q19" s="8">
        <f>B50/config!$K$2</f>
        <v>0</v>
      </c>
      <c r="R19" s="8">
        <f>B50/config!$L$2</f>
        <v>0</v>
      </c>
      <c r="S19" s="8" t="str">
        <f>IFERROR((config!$K$2-config!$L$2)/(Q19-R19),"")</f>
        <v/>
      </c>
    </row>
    <row r="20" spans="1:19" hidden="1" x14ac:dyDescent="0.3">
      <c r="B20" s="13"/>
      <c r="C20" s="13"/>
      <c r="D20" s="13"/>
      <c r="E20" s="13"/>
      <c r="F20" s="13"/>
      <c r="G20" s="13"/>
      <c r="H20" s="13"/>
      <c r="I20" s="13"/>
      <c r="J20" s="11">
        <f t="shared" si="1"/>
        <v>0</v>
      </c>
      <c r="K20" s="14">
        <f>SUMPRODUCT(B20:I20,config!$B$4:$I$4)</f>
        <v>0</v>
      </c>
      <c r="L20" s="13">
        <f>SUMPRODUCT(B20:I20,config!$B$5:$I$5)-C51</f>
        <v>0</v>
      </c>
      <c r="M20" s="15" t="str">
        <f t="shared" si="2"/>
        <v/>
      </c>
      <c r="N20" s="7" t="str">
        <f t="shared" si="3"/>
        <v/>
      </c>
      <c r="O20" s="19" t="str">
        <f>IF(S20="","",S20*J20+config!$K$2+config!$L$2)</f>
        <v/>
      </c>
      <c r="P20" s="19" t="str">
        <f t="shared" si="4"/>
        <v/>
      </c>
      <c r="Q20" s="8">
        <f>B51/config!$K$2</f>
        <v>0</v>
      </c>
      <c r="R20" s="8">
        <f>B51/config!$L$2</f>
        <v>0</v>
      </c>
      <c r="S20" s="8" t="str">
        <f>IFERROR((config!$K$2-config!$L$2)/(Q20-R20),"")</f>
        <v/>
      </c>
    </row>
    <row r="21" spans="1:19" hidden="1" x14ac:dyDescent="0.3">
      <c r="B21" s="13"/>
      <c r="C21" s="13"/>
      <c r="D21" s="13"/>
      <c r="E21" s="13"/>
      <c r="F21" s="13"/>
      <c r="G21" s="13"/>
      <c r="H21" s="13"/>
      <c r="I21" s="13"/>
      <c r="J21" s="11">
        <f t="shared" si="1"/>
        <v>0</v>
      </c>
      <c r="K21" s="14">
        <f>SUMPRODUCT(B21:I21,config!$B$4:$I$4)</f>
        <v>0</v>
      </c>
      <c r="L21" s="13">
        <f>SUMPRODUCT(B21:I21,config!$B$5:$I$5)-C52</f>
        <v>0</v>
      </c>
      <c r="M21" s="15" t="str">
        <f t="shared" si="2"/>
        <v/>
      </c>
      <c r="N21" s="7" t="str">
        <f t="shared" si="3"/>
        <v/>
      </c>
      <c r="O21" s="19" t="str">
        <f>IF(S21="","",S21*J21+config!$K$2+config!$L$2)</f>
        <v/>
      </c>
      <c r="P21" s="19" t="str">
        <f t="shared" si="4"/>
        <v/>
      </c>
      <c r="Q21" s="8">
        <f>B52/config!$K$2</f>
        <v>0</v>
      </c>
      <c r="R21" s="8">
        <f>B52/config!$L$2</f>
        <v>0</v>
      </c>
      <c r="S21" s="8" t="str">
        <f>IFERROR((config!$K$2-config!$L$2)/(Q21-R21),"")</f>
        <v/>
      </c>
    </row>
    <row r="22" spans="1:19" hidden="1" x14ac:dyDescent="0.3">
      <c r="B22" s="13"/>
      <c r="C22" s="13"/>
      <c r="D22" s="13"/>
      <c r="E22" s="13"/>
      <c r="F22" s="13"/>
      <c r="G22" s="13"/>
      <c r="H22" s="13"/>
      <c r="I22" s="13"/>
      <c r="J22" s="11">
        <f t="shared" si="1"/>
        <v>0</v>
      </c>
      <c r="K22" s="14">
        <f>SUMPRODUCT(B22:I22,config!$B$4:$I$4)</f>
        <v>0</v>
      </c>
      <c r="L22" s="13">
        <f>SUMPRODUCT(B22:I22,config!$B$5:$I$5)-C53</f>
        <v>0</v>
      </c>
      <c r="M22" s="15" t="str">
        <f t="shared" si="2"/>
        <v/>
      </c>
      <c r="N22" s="7" t="str">
        <f t="shared" si="3"/>
        <v/>
      </c>
      <c r="O22" s="19" t="str">
        <f>IF(S22="","",S22*J22+config!$K$2+config!$L$2)</f>
        <v/>
      </c>
      <c r="P22" s="19" t="str">
        <f t="shared" si="4"/>
        <v/>
      </c>
      <c r="Q22" s="8">
        <f>B53/config!$K$2</f>
        <v>0</v>
      </c>
      <c r="R22" s="8">
        <f>B53/config!$L$2</f>
        <v>0</v>
      </c>
      <c r="S22" s="8" t="str">
        <f>IFERROR((config!$K$2-config!$L$2)/(Q22-R22),"")</f>
        <v/>
      </c>
    </row>
    <row r="23" spans="1:19" hidden="1" x14ac:dyDescent="0.3">
      <c r="B23" s="13"/>
      <c r="C23" s="13"/>
      <c r="D23" s="13"/>
      <c r="E23" s="13"/>
      <c r="F23" s="13"/>
      <c r="G23" s="13"/>
      <c r="H23" s="13"/>
      <c r="I23" s="13"/>
      <c r="J23" s="11">
        <f t="shared" si="1"/>
        <v>0</v>
      </c>
      <c r="K23" s="14">
        <f>SUMPRODUCT(B23:I23,config!$B$4:$I$4)</f>
        <v>0</v>
      </c>
      <c r="L23" s="13">
        <f>SUMPRODUCT(B23:I23,config!$B$5:$I$5)-C54</f>
        <v>0</v>
      </c>
      <c r="M23" s="15" t="str">
        <f t="shared" si="2"/>
        <v/>
      </c>
      <c r="N23" s="7" t="str">
        <f t="shared" si="3"/>
        <v/>
      </c>
      <c r="O23" s="19" t="str">
        <f>IF(S23="","",S23*J23+config!$K$2+config!$L$2)</f>
        <v/>
      </c>
      <c r="P23" s="19" t="str">
        <f t="shared" si="4"/>
        <v/>
      </c>
      <c r="Q23" s="8">
        <f>B54/config!$K$2</f>
        <v>0</v>
      </c>
      <c r="R23" s="8">
        <f>B54/config!$L$2</f>
        <v>0</v>
      </c>
      <c r="S23" s="8" t="str">
        <f>IFERROR((config!$K$2-config!$L$2)/(Q23-R23),"")</f>
        <v/>
      </c>
    </row>
    <row r="24" spans="1:19" hidden="1" x14ac:dyDescent="0.3">
      <c r="B24" s="13"/>
      <c r="C24" s="13"/>
      <c r="D24" s="13"/>
      <c r="E24" s="13"/>
      <c r="F24" s="13"/>
      <c r="G24" s="13"/>
      <c r="H24" s="13"/>
      <c r="I24" s="13"/>
      <c r="J24" s="11">
        <f t="shared" si="1"/>
        <v>0</v>
      </c>
      <c r="K24" s="14">
        <f>SUMPRODUCT(B24:I24,config!$B$4:$I$4)</f>
        <v>0</v>
      </c>
      <c r="L24" s="13">
        <f>SUMPRODUCT(B24:I24,config!$B$5:$I$5)-C55</f>
        <v>0</v>
      </c>
      <c r="M24" s="15" t="str">
        <f t="shared" si="2"/>
        <v/>
      </c>
      <c r="N24" s="7" t="str">
        <f t="shared" si="3"/>
        <v/>
      </c>
      <c r="O24" s="19" t="str">
        <f>IF(S24="","",S24*J24+config!$K$2+config!$L$2)</f>
        <v/>
      </c>
      <c r="P24" s="19" t="str">
        <f t="shared" si="4"/>
        <v/>
      </c>
      <c r="Q24" s="8">
        <f>B55/config!$K$2</f>
        <v>0</v>
      </c>
      <c r="R24" s="8">
        <f>B55/config!$L$2</f>
        <v>0</v>
      </c>
      <c r="S24" s="8" t="str">
        <f>IFERROR((config!$K$2-config!$L$2)/(Q24-R24),"")</f>
        <v/>
      </c>
    </row>
    <row r="25" spans="1:19" hidden="1" x14ac:dyDescent="0.3">
      <c r="B25" s="13"/>
      <c r="C25" s="13"/>
      <c r="D25" s="13"/>
      <c r="E25" s="13"/>
      <c r="F25" s="13"/>
      <c r="G25" s="13"/>
      <c r="H25" s="13"/>
      <c r="I25" s="13"/>
      <c r="J25" s="11">
        <f t="shared" si="1"/>
        <v>0</v>
      </c>
      <c r="K25" s="14">
        <f>SUMPRODUCT(B25:I25,config!$B$4:$I$4)</f>
        <v>0</v>
      </c>
      <c r="L25" s="13">
        <f>SUMPRODUCT(B25:I25,config!$B$5:$I$5)-C56</f>
        <v>0</v>
      </c>
      <c r="M25" s="15" t="str">
        <f t="shared" si="2"/>
        <v/>
      </c>
      <c r="N25" s="7" t="str">
        <f t="shared" si="3"/>
        <v/>
      </c>
      <c r="O25" s="19" t="str">
        <f>IF(S25="","",S25*J25+config!$K$2+config!$L$2)</f>
        <v/>
      </c>
      <c r="P25" s="19" t="str">
        <f t="shared" si="4"/>
        <v/>
      </c>
      <c r="Q25" s="8">
        <f>B56/config!$K$2</f>
        <v>0</v>
      </c>
      <c r="R25" s="8">
        <f>B56/config!$L$2</f>
        <v>0</v>
      </c>
      <c r="S25" s="8" t="str">
        <f>IFERROR((config!$K$2-config!$L$2)/(Q25-R25),"")</f>
        <v/>
      </c>
    </row>
    <row r="26" spans="1:19" hidden="1" x14ac:dyDescent="0.3">
      <c r="B26" s="13"/>
      <c r="C26" s="13"/>
      <c r="D26" s="13"/>
      <c r="E26" s="13"/>
      <c r="F26" s="13"/>
      <c r="G26" s="13"/>
      <c r="H26" s="13"/>
      <c r="I26" s="13"/>
      <c r="J26" s="11">
        <f t="shared" si="1"/>
        <v>0</v>
      </c>
      <c r="K26" s="14">
        <f>SUMPRODUCT(B26:I26,config!$B$4:$I$4)</f>
        <v>0</v>
      </c>
      <c r="L26" s="13">
        <f>SUMPRODUCT(B26:I26,config!$B$5:$I$5)-C57</f>
        <v>0</v>
      </c>
      <c r="M26" s="15" t="str">
        <f t="shared" si="2"/>
        <v/>
      </c>
      <c r="N26" s="7" t="str">
        <f t="shared" si="3"/>
        <v/>
      </c>
      <c r="O26" s="19" t="str">
        <f>IF(S26="","",S26*J26+config!$K$2+config!$L$2)</f>
        <v/>
      </c>
      <c r="P26" s="19" t="str">
        <f t="shared" si="4"/>
        <v/>
      </c>
      <c r="Q26" s="8">
        <f>B57/config!$K$2</f>
        <v>0</v>
      </c>
      <c r="R26" s="8">
        <f>B57/config!$L$2</f>
        <v>0</v>
      </c>
      <c r="S26" s="8" t="str">
        <f>IFERROR((config!$K$2-config!$L$2)/(Q26-R26),"")</f>
        <v/>
      </c>
    </row>
    <row r="27" spans="1:19" hidden="1" x14ac:dyDescent="0.3">
      <c r="B27" s="13"/>
      <c r="C27" s="13"/>
      <c r="D27" s="13"/>
      <c r="E27" s="13"/>
      <c r="F27" s="13"/>
      <c r="G27" s="13"/>
      <c r="H27" s="13"/>
      <c r="I27" s="13"/>
      <c r="J27" s="11">
        <f t="shared" si="1"/>
        <v>0</v>
      </c>
      <c r="K27" s="14">
        <f>SUMPRODUCT(B27:I27,config!$B$4:$I$4)</f>
        <v>0</v>
      </c>
      <c r="L27" s="13">
        <f>SUMPRODUCT(B27:I27,config!$B$5:$I$5)-C58</f>
        <v>0</v>
      </c>
      <c r="M27" s="15" t="str">
        <f t="shared" si="2"/>
        <v/>
      </c>
      <c r="N27" s="7" t="str">
        <f t="shared" si="3"/>
        <v/>
      </c>
      <c r="O27" s="19" t="str">
        <f>IF(S27="","",S27*J27+config!$K$2+config!$L$2)</f>
        <v/>
      </c>
      <c r="P27" s="19" t="str">
        <f t="shared" si="4"/>
        <v/>
      </c>
      <c r="Q27" s="8">
        <f>B58/config!$K$2</f>
        <v>0</v>
      </c>
      <c r="R27" s="8">
        <f>B58/config!$L$2</f>
        <v>0</v>
      </c>
      <c r="S27" s="8" t="str">
        <f>IFERROR((config!$K$2-config!$L$2)/(Q27-R27),"")</f>
        <v/>
      </c>
    </row>
    <row r="28" spans="1:19" hidden="1" x14ac:dyDescent="0.3">
      <c r="B28" s="13"/>
      <c r="C28" s="13"/>
      <c r="D28" s="13"/>
      <c r="E28" s="13"/>
      <c r="F28" s="13"/>
      <c r="G28" s="13"/>
      <c r="H28" s="13"/>
      <c r="I28" s="13"/>
      <c r="J28" s="11">
        <f t="shared" si="1"/>
        <v>0</v>
      </c>
      <c r="K28" s="14">
        <f>SUMPRODUCT(B28:I28,config!$B$4:$I$4)</f>
        <v>0</v>
      </c>
      <c r="L28" s="13">
        <f>SUMPRODUCT(B28:I28,config!$B$5:$I$5)-C59</f>
        <v>0</v>
      </c>
      <c r="M28" s="15" t="str">
        <f t="shared" si="2"/>
        <v/>
      </c>
      <c r="N28" s="7" t="str">
        <f t="shared" si="3"/>
        <v/>
      </c>
      <c r="O28" s="19" t="str">
        <f>IF(S28="","",S28*J28+config!$K$2+config!$L$2)</f>
        <v/>
      </c>
      <c r="P28" s="19" t="str">
        <f t="shared" si="4"/>
        <v/>
      </c>
      <c r="Q28" s="8">
        <f>B59/config!$K$2</f>
        <v>0</v>
      </c>
      <c r="R28" s="8">
        <f>B59/config!$L$2</f>
        <v>0</v>
      </c>
      <c r="S28" s="8" t="str">
        <f>IFERROR((config!$K$2-config!$L$2)/(Q28-R28),"")</f>
        <v/>
      </c>
    </row>
    <row r="29" spans="1:19" hidden="1" x14ac:dyDescent="0.3">
      <c r="B29" s="13"/>
      <c r="C29" s="13"/>
      <c r="D29" s="13"/>
      <c r="E29" s="13"/>
      <c r="F29" s="13"/>
      <c r="G29" s="13"/>
      <c r="H29" s="13"/>
      <c r="I29" s="13"/>
      <c r="J29" s="11">
        <f t="shared" si="1"/>
        <v>0</v>
      </c>
      <c r="K29" s="14">
        <f>SUMPRODUCT(B29:I29,config!$B$4:$I$4)</f>
        <v>0</v>
      </c>
      <c r="L29" s="13">
        <f>SUMPRODUCT(B29:I29,config!$B$5:$I$5)-C60</f>
        <v>0</v>
      </c>
      <c r="M29" s="15" t="str">
        <f t="shared" si="2"/>
        <v/>
      </c>
      <c r="N29" s="7" t="str">
        <f t="shared" si="3"/>
        <v/>
      </c>
      <c r="O29" s="19" t="str">
        <f>IF(S29="","",S29*J29+config!$K$2+config!$L$2)</f>
        <v/>
      </c>
      <c r="P29" s="19" t="str">
        <f t="shared" si="4"/>
        <v/>
      </c>
      <c r="Q29" s="8">
        <f>B60/config!$K$2</f>
        <v>0</v>
      </c>
      <c r="R29" s="8">
        <f>B60/config!$L$2</f>
        <v>0</v>
      </c>
      <c r="S29" s="8" t="str">
        <f>IFERROR((config!$K$2-config!$L$2)/(Q29-R29),"")</f>
        <v/>
      </c>
    </row>
    <row r="30" spans="1:19" x14ac:dyDescent="0.3">
      <c r="A30" s="1" t="s">
        <v>1</v>
      </c>
      <c r="B30" s="11">
        <f t="shared" ref="B30:L30" si="6">SUM(B2:B29)</f>
        <v>5</v>
      </c>
      <c r="C30" s="11">
        <f t="shared" si="6"/>
        <v>10</v>
      </c>
      <c r="D30" s="11">
        <f t="shared" si="6"/>
        <v>70</v>
      </c>
      <c r="E30" s="11">
        <f t="shared" si="6"/>
        <v>17</v>
      </c>
      <c r="F30" s="11">
        <f t="shared" si="6"/>
        <v>0</v>
      </c>
      <c r="G30" s="11">
        <f t="shared" si="6"/>
        <v>4</v>
      </c>
      <c r="H30" s="11">
        <f t="shared" si="6"/>
        <v>0</v>
      </c>
      <c r="I30" s="11">
        <f t="shared" si="6"/>
        <v>0</v>
      </c>
      <c r="J30" s="11">
        <f t="shared" si="6"/>
        <v>106</v>
      </c>
      <c r="K30" s="16">
        <f t="shared" si="6"/>
        <v>174.9</v>
      </c>
      <c r="L30" s="11">
        <f t="shared" si="6"/>
        <v>1339</v>
      </c>
      <c r="M30" s="17">
        <f>IFERROR(B61/J30,0)</f>
        <v>12.273584905660377</v>
      </c>
      <c r="N30" s="18">
        <f>AVERAGE(N2:N29)</f>
        <v>7.7415393830488455E-2</v>
      </c>
      <c r="O30" s="20">
        <f>S30*J30+config!$K$2+config!$L$2</f>
        <v>12.356648731744814</v>
      </c>
      <c r="P30" s="20">
        <f>AVERAGE(P2:P29)</f>
        <v>9.7801393975887052E-2</v>
      </c>
      <c r="Q30" s="21">
        <f>B61/config!$K$2</f>
        <v>108.41666666666667</v>
      </c>
      <c r="R30" s="21">
        <f>B61/config!$L$2</f>
        <v>81.3125</v>
      </c>
      <c r="S30" s="21">
        <f>IFERROR((config!$K$2-config!$L$2)/(Q30-R30),0)</f>
        <v>-0.14757878554957723</v>
      </c>
    </row>
    <row r="31" spans="1:19" x14ac:dyDescent="0.3">
      <c r="F31" s="8"/>
      <c r="G31" s="2">
        <f>SUM(F30:G30)/J30</f>
        <v>3.7735849056603772E-2</v>
      </c>
      <c r="H31" s="3"/>
      <c r="I31" s="3">
        <f>SUM(H30:I30)/J30</f>
        <v>0</v>
      </c>
      <c r="J31" s="4">
        <f>I31+G31</f>
        <v>3.7735849056603772E-2</v>
      </c>
    </row>
    <row r="32" spans="1:19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H32" t="s">
        <v>22</v>
      </c>
      <c r="I32" t="s">
        <v>25</v>
      </c>
      <c r="J32" t="s">
        <v>26</v>
      </c>
      <c r="K32" t="s">
        <v>11</v>
      </c>
      <c r="L32" t="s">
        <v>12</v>
      </c>
      <c r="M32" t="s">
        <v>27</v>
      </c>
      <c r="N32" t="s">
        <v>28</v>
      </c>
      <c r="O32" t="s">
        <v>29</v>
      </c>
      <c r="P32" t="s">
        <v>32</v>
      </c>
      <c r="Q32" t="s">
        <v>41</v>
      </c>
      <c r="R32" t="s">
        <v>33</v>
      </c>
      <c r="S32" t="s">
        <v>51</v>
      </c>
    </row>
    <row r="33" spans="1:21" x14ac:dyDescent="0.3">
      <c r="A33" t="s">
        <v>46</v>
      </c>
      <c r="B33">
        <v>150</v>
      </c>
      <c r="C33">
        <v>15</v>
      </c>
      <c r="D33">
        <v>30</v>
      </c>
      <c r="E33">
        <v>1</v>
      </c>
      <c r="F33">
        <v>2</v>
      </c>
      <c r="H33">
        <f>SUMPRODUCT(B2:I2,config!$B$1:$I$1)-B33</f>
        <v>2</v>
      </c>
      <c r="I33">
        <f>SUMPRODUCT(B2:I2,config!$B$2:$I$2)-C33</f>
        <v>75</v>
      </c>
      <c r="J33">
        <f>SUMPRODUCT(B2:I2,config!$B$3:$I$3)-D33</f>
        <v>42</v>
      </c>
      <c r="K33">
        <f>B2-E33</f>
        <v>0</v>
      </c>
      <c r="L33">
        <f t="shared" ref="L33:L60" si="7">C2-F33</f>
        <v>0</v>
      </c>
      <c r="M33" t="s">
        <v>30</v>
      </c>
      <c r="N33">
        <v>108</v>
      </c>
      <c r="O33">
        <v>84</v>
      </c>
      <c r="P33">
        <f>J30</f>
        <v>106</v>
      </c>
      <c r="Q33" s="5">
        <f>(P33-N33)/(O33-N33)*100</f>
        <v>8.3333333333333321</v>
      </c>
      <c r="R33">
        <v>0.13619152859074701</v>
      </c>
      <c r="S33">
        <f>Q33*R33</f>
        <v>1.1349294049228915</v>
      </c>
      <c r="T33" s="1" t="s">
        <v>45</v>
      </c>
      <c r="U33" s="1">
        <f>INT(B61/config!K2)</f>
        <v>108</v>
      </c>
    </row>
    <row r="34" spans="1:21" x14ac:dyDescent="0.3">
      <c r="A34" t="s">
        <v>47</v>
      </c>
      <c r="B34">
        <v>220</v>
      </c>
      <c r="C34">
        <v>15</v>
      </c>
      <c r="D34">
        <v>30</v>
      </c>
      <c r="E34">
        <v>1</v>
      </c>
      <c r="F34">
        <v>1</v>
      </c>
      <c r="H34">
        <f>SUMPRODUCT(B3:I3,config!$B$1:$I$1)-B34</f>
        <v>2</v>
      </c>
      <c r="I34">
        <f>SUMPRODUCT(B3:I3,config!$B$2:$I$2)-C34</f>
        <v>135</v>
      </c>
      <c r="J34">
        <f>SUMPRODUCT(B3:I3,config!$B$3:$I$3)-D34</f>
        <v>90</v>
      </c>
      <c r="K34">
        <f t="shared" ref="K34:K60" si="8">B3-E34</f>
        <v>0</v>
      </c>
      <c r="L34">
        <f t="shared" si="7"/>
        <v>0</v>
      </c>
      <c r="M34" t="s">
        <v>6</v>
      </c>
      <c r="N34">
        <v>178.2</v>
      </c>
      <c r="O34">
        <v>98.4</v>
      </c>
      <c r="P34">
        <f>K30</f>
        <v>174.9</v>
      </c>
      <c r="Q34" s="5">
        <f>(P34-N34)/(O34-N34)*100</f>
        <v>4.1353383458646409</v>
      </c>
      <c r="R34">
        <v>6.2556310969295995E-2</v>
      </c>
      <c r="S34">
        <f t="shared" ref="S34:S36" si="9">Q34*R34</f>
        <v>0.25869151152716258</v>
      </c>
    </row>
    <row r="35" spans="1:21" x14ac:dyDescent="0.3">
      <c r="A35" t="s">
        <v>48</v>
      </c>
      <c r="B35">
        <v>430</v>
      </c>
      <c r="C35">
        <v>36</v>
      </c>
      <c r="D35">
        <v>57</v>
      </c>
      <c r="E35">
        <v>1</v>
      </c>
      <c r="F35">
        <v>3</v>
      </c>
      <c r="H35">
        <f>SUMPRODUCT(B4:I4,config!$B$1:$I$1)-B35</f>
        <v>0</v>
      </c>
      <c r="I35">
        <f>SUMPRODUCT(B4:I4,config!$B$2:$I$2)-C35</f>
        <v>254</v>
      </c>
      <c r="J35">
        <f>SUMPRODUCT(B4:I4,config!$B$3:$I$3)-D35</f>
        <v>175</v>
      </c>
      <c r="K35">
        <f t="shared" si="8"/>
        <v>0</v>
      </c>
      <c r="L35">
        <f t="shared" si="7"/>
        <v>0</v>
      </c>
      <c r="M35" t="s">
        <v>7</v>
      </c>
      <c r="N35">
        <v>2</v>
      </c>
      <c r="O35">
        <v>1411</v>
      </c>
      <c r="P35">
        <f>L30</f>
        <v>1339</v>
      </c>
      <c r="Q35" s="5">
        <f>(P35-N35)/(O35-N35)*100</f>
        <v>94.889992902767915</v>
      </c>
      <c r="R35">
        <v>0.30930635570252701</v>
      </c>
      <c r="S35">
        <f t="shared" si="9"/>
        <v>29.350077897393795</v>
      </c>
    </row>
    <row r="36" spans="1:21" x14ac:dyDescent="0.3">
      <c r="A36" t="s">
        <v>49</v>
      </c>
      <c r="B36">
        <v>196</v>
      </c>
      <c r="C36">
        <v>16.5</v>
      </c>
      <c r="D36">
        <v>33</v>
      </c>
      <c r="E36">
        <v>1</v>
      </c>
      <c r="F36">
        <v>1</v>
      </c>
      <c r="H36">
        <f>SUMPRODUCT(B5:I5,config!$B$1:$I$1)-B36</f>
        <v>2</v>
      </c>
      <c r="I36">
        <f>SUMPRODUCT(B5:I5,config!$B$2:$I$2)-C36</f>
        <v>113.5</v>
      </c>
      <c r="J36">
        <f>SUMPRODUCT(B5:I5,config!$B$3:$I$3)-D36</f>
        <v>71</v>
      </c>
      <c r="K36">
        <f t="shared" si="8"/>
        <v>0</v>
      </c>
      <c r="L36">
        <f t="shared" si="7"/>
        <v>0</v>
      </c>
      <c r="M36" t="s">
        <v>31</v>
      </c>
      <c r="N36">
        <v>3.4331</v>
      </c>
      <c r="O36">
        <v>9.7799999999999998E-2</v>
      </c>
      <c r="P36" s="5">
        <f>P30</f>
        <v>9.7801393975887052E-2</v>
      </c>
      <c r="Q36" s="5">
        <f>(P36-N36)/(O36-N36)*100</f>
        <v>99.999958205382214</v>
      </c>
      <c r="R36">
        <v>0.49194580473742799</v>
      </c>
      <c r="S36">
        <f t="shared" si="9"/>
        <v>49.194559913055919</v>
      </c>
    </row>
    <row r="37" spans="1:21" x14ac:dyDescent="0.3">
      <c r="A37" t="s">
        <v>50</v>
      </c>
      <c r="B37">
        <v>305</v>
      </c>
      <c r="C37">
        <v>42.5</v>
      </c>
      <c r="D37">
        <v>70</v>
      </c>
      <c r="E37">
        <v>1</v>
      </c>
      <c r="F37">
        <v>3</v>
      </c>
      <c r="H37">
        <f>SUMPRODUCT(B6:I6,config!$B$1:$I$1)-B37</f>
        <v>1</v>
      </c>
      <c r="I37">
        <f>SUMPRODUCT(B6:I6,config!$B$2:$I$2)-C37</f>
        <v>167.5</v>
      </c>
      <c r="J37">
        <f>SUMPRODUCT(B6:I6,config!$B$3:$I$3)-D37</f>
        <v>98</v>
      </c>
      <c r="K37">
        <f t="shared" si="8"/>
        <v>0</v>
      </c>
      <c r="L37">
        <f t="shared" si="7"/>
        <v>0</v>
      </c>
      <c r="P37" s="1" t="s">
        <v>42</v>
      </c>
      <c r="Q37" s="6">
        <f>SUMPRODUCT(Q33:Q36,R33:R36)</f>
        <v>79.938258726899761</v>
      </c>
    </row>
    <row r="38" spans="1:21" hidden="1" x14ac:dyDescent="0.3">
      <c r="H38">
        <f>SUMPRODUCT(B7:I7,config!$B$1:$I$1)-B38</f>
        <v>0</v>
      </c>
      <c r="I38">
        <f>SUMPRODUCT(B7:I7,config!$B$2:$I$2)-C38</f>
        <v>0</v>
      </c>
      <c r="J38">
        <f>SUMPRODUCT(B7:I7,config!$B$3:$I$3)-D38</f>
        <v>0</v>
      </c>
      <c r="K38">
        <f t="shared" si="8"/>
        <v>0</v>
      </c>
      <c r="L38">
        <f t="shared" si="7"/>
        <v>0</v>
      </c>
    </row>
    <row r="39" spans="1:21" hidden="1" x14ac:dyDescent="0.3">
      <c r="H39">
        <f>SUMPRODUCT(B8:I8,config!$B$1:$I$1)-B39</f>
        <v>0</v>
      </c>
      <c r="I39">
        <f>SUMPRODUCT(B8:I8,config!$B$2:$I$2)-C39</f>
        <v>0</v>
      </c>
      <c r="J39">
        <f>SUMPRODUCT(B8:I8,config!$B$3:$I$3)-D39</f>
        <v>0</v>
      </c>
      <c r="K39">
        <f t="shared" si="8"/>
        <v>0</v>
      </c>
      <c r="L39">
        <f t="shared" si="7"/>
        <v>0</v>
      </c>
    </row>
    <row r="40" spans="1:21" hidden="1" x14ac:dyDescent="0.3">
      <c r="H40">
        <f>SUMPRODUCT(B9:I9,config!$B$1:$I$1)-B40</f>
        <v>0</v>
      </c>
      <c r="I40">
        <f>SUMPRODUCT(B9:I9,config!$B$2:$I$2)-C40</f>
        <v>0</v>
      </c>
      <c r="J40">
        <f>SUMPRODUCT(B9:I9,config!$B$3:$I$3)-D40</f>
        <v>0</v>
      </c>
      <c r="K40">
        <f t="shared" si="8"/>
        <v>0</v>
      </c>
      <c r="L40">
        <f t="shared" si="7"/>
        <v>0</v>
      </c>
    </row>
    <row r="41" spans="1:21" hidden="1" x14ac:dyDescent="0.3">
      <c r="H41">
        <f>SUMPRODUCT(B10:I10,config!$B$1:$I$1)-B41</f>
        <v>0</v>
      </c>
      <c r="I41">
        <f>SUMPRODUCT(B10:I10,config!$B$2:$I$2)-C41</f>
        <v>0</v>
      </c>
      <c r="J41">
        <f>SUMPRODUCT(B10:I10,config!$B$3:$I$3)-D41</f>
        <v>0</v>
      </c>
      <c r="K41">
        <f t="shared" si="8"/>
        <v>0</v>
      </c>
      <c r="L41">
        <f t="shared" si="7"/>
        <v>0</v>
      </c>
    </row>
    <row r="42" spans="1:21" hidden="1" x14ac:dyDescent="0.3">
      <c r="H42">
        <f>SUMPRODUCT(B11:I11,config!$B$1:$I$1)-B42</f>
        <v>0</v>
      </c>
      <c r="I42">
        <f>SUMPRODUCT(B11:I11,config!$B$2:$I$2)-C42</f>
        <v>0</v>
      </c>
      <c r="J42">
        <f>SUMPRODUCT(B11:I11,config!$B$3:$I$3)-D42</f>
        <v>0</v>
      </c>
      <c r="K42">
        <f t="shared" si="8"/>
        <v>0</v>
      </c>
      <c r="L42">
        <f t="shared" si="7"/>
        <v>0</v>
      </c>
    </row>
    <row r="43" spans="1:21" hidden="1" x14ac:dyDescent="0.3">
      <c r="H43">
        <f>SUMPRODUCT(B12:I12,config!$B$1:$I$1)-B43</f>
        <v>0</v>
      </c>
      <c r="I43">
        <f>SUMPRODUCT(B12:I12,config!$B$2:$I$2)-C43</f>
        <v>0</v>
      </c>
      <c r="J43">
        <f>SUMPRODUCT(B12:I12,config!$B$3:$I$3)-D43</f>
        <v>0</v>
      </c>
      <c r="K43">
        <f t="shared" si="8"/>
        <v>0</v>
      </c>
      <c r="L43">
        <f t="shared" si="7"/>
        <v>0</v>
      </c>
    </row>
    <row r="44" spans="1:21" hidden="1" x14ac:dyDescent="0.3">
      <c r="H44">
        <f>SUMPRODUCT(B13:I13,config!$B$1:$I$1)-B44</f>
        <v>0</v>
      </c>
      <c r="I44">
        <f>SUMPRODUCT(B13:I13,config!$B$2:$I$2)-C44</f>
        <v>0</v>
      </c>
      <c r="J44">
        <f>SUMPRODUCT(B13:I13,config!$B$3:$I$3)-D44</f>
        <v>0</v>
      </c>
      <c r="K44">
        <f t="shared" si="8"/>
        <v>0</v>
      </c>
      <c r="L44">
        <f t="shared" si="7"/>
        <v>0</v>
      </c>
    </row>
    <row r="45" spans="1:21" hidden="1" x14ac:dyDescent="0.3">
      <c r="H45">
        <f>SUMPRODUCT(B14:I14,config!$B$1:$I$1)-B45</f>
        <v>0</v>
      </c>
      <c r="I45">
        <f>SUMPRODUCT(B14:I14,config!$B$2:$I$2)-C45</f>
        <v>0</v>
      </c>
      <c r="J45">
        <f>SUMPRODUCT(B14:I14,config!$B$3:$I$3)-D45</f>
        <v>0</v>
      </c>
      <c r="K45">
        <f t="shared" si="8"/>
        <v>0</v>
      </c>
      <c r="L45">
        <f t="shared" si="7"/>
        <v>0</v>
      </c>
    </row>
    <row r="46" spans="1:21" hidden="1" x14ac:dyDescent="0.3">
      <c r="H46">
        <f>SUMPRODUCT(B15:I15,config!$B$1:$I$1)-B46</f>
        <v>0</v>
      </c>
      <c r="I46">
        <f>SUMPRODUCT(B15:I15,config!$B$2:$I$2)-C46</f>
        <v>0</v>
      </c>
      <c r="J46">
        <f>SUMPRODUCT(B15:I15,config!$B$3:$I$3)-D46</f>
        <v>0</v>
      </c>
      <c r="K46">
        <f t="shared" si="8"/>
        <v>0</v>
      </c>
      <c r="L46">
        <f t="shared" si="7"/>
        <v>0</v>
      </c>
    </row>
    <row r="47" spans="1:21" hidden="1" x14ac:dyDescent="0.3">
      <c r="H47">
        <f>SUMPRODUCT(B16:I16,config!$B$1:$I$1)-B47</f>
        <v>0</v>
      </c>
      <c r="I47">
        <f>SUMPRODUCT(B16:I16,config!$B$2:$I$2)-C47</f>
        <v>0</v>
      </c>
      <c r="J47">
        <f>SUMPRODUCT(B16:I16,config!$B$3:$I$3)-D47</f>
        <v>0</v>
      </c>
      <c r="K47">
        <f t="shared" si="8"/>
        <v>0</v>
      </c>
      <c r="L47">
        <f t="shared" si="7"/>
        <v>0</v>
      </c>
    </row>
    <row r="48" spans="1:21" hidden="1" x14ac:dyDescent="0.3">
      <c r="H48">
        <f>SUMPRODUCT(B17:I17,config!$B$1:$I$1)-B48</f>
        <v>0</v>
      </c>
      <c r="I48">
        <f>SUMPRODUCT(B17:I17,config!$B$2:$I$2)-C48</f>
        <v>0</v>
      </c>
      <c r="J48">
        <f>SUMPRODUCT(B17:I17,config!$B$3:$I$3)-D48</f>
        <v>0</v>
      </c>
      <c r="K48">
        <f t="shared" si="8"/>
        <v>0</v>
      </c>
      <c r="L48">
        <f t="shared" si="7"/>
        <v>0</v>
      </c>
    </row>
    <row r="49" spans="1:12" hidden="1" x14ac:dyDescent="0.3">
      <c r="H49">
        <f>SUMPRODUCT(B18:I18,config!$B$1:$I$1)-B49</f>
        <v>0</v>
      </c>
      <c r="I49">
        <f>SUMPRODUCT(B18:I18,config!$B$2:$I$2)-C49</f>
        <v>0</v>
      </c>
      <c r="J49">
        <f>SUMPRODUCT(B18:I18,config!$B$3:$I$3)-D49</f>
        <v>0</v>
      </c>
      <c r="K49">
        <f t="shared" si="8"/>
        <v>0</v>
      </c>
      <c r="L49">
        <f t="shared" si="7"/>
        <v>0</v>
      </c>
    </row>
    <row r="50" spans="1:12" hidden="1" x14ac:dyDescent="0.3">
      <c r="H50">
        <f>SUMPRODUCT(B19:I19,config!$B$1:$I$1)-B50</f>
        <v>0</v>
      </c>
      <c r="I50">
        <f>SUMPRODUCT(B19:I19,config!$B$2:$I$2)-C50</f>
        <v>0</v>
      </c>
      <c r="J50">
        <f>SUMPRODUCT(B19:I19,config!$B$3:$I$3)-D50</f>
        <v>0</v>
      </c>
      <c r="K50">
        <f t="shared" si="8"/>
        <v>0</v>
      </c>
      <c r="L50">
        <f t="shared" si="7"/>
        <v>0</v>
      </c>
    </row>
    <row r="51" spans="1:12" hidden="1" x14ac:dyDescent="0.3">
      <c r="H51">
        <f>SUMPRODUCT(B20:I20,config!$B$1:$I$1)-B51</f>
        <v>0</v>
      </c>
      <c r="I51">
        <f>SUMPRODUCT(B20:I20,config!$B$2:$I$2)-C51</f>
        <v>0</v>
      </c>
      <c r="J51">
        <f>SUMPRODUCT(B20:I20,config!$B$3:$I$3)-D51</f>
        <v>0</v>
      </c>
      <c r="K51">
        <f t="shared" si="8"/>
        <v>0</v>
      </c>
      <c r="L51">
        <f t="shared" si="7"/>
        <v>0</v>
      </c>
    </row>
    <row r="52" spans="1:12" hidden="1" x14ac:dyDescent="0.3">
      <c r="H52">
        <f>SUMPRODUCT(B21:I21,config!$B$1:$I$1)-B52</f>
        <v>0</v>
      </c>
      <c r="I52">
        <f>SUMPRODUCT(B21:I21,config!$B$2:$I$2)-C52</f>
        <v>0</v>
      </c>
      <c r="J52">
        <f>SUMPRODUCT(B21:I21,config!$B$3:$I$3)-D52</f>
        <v>0</v>
      </c>
      <c r="K52">
        <f t="shared" si="8"/>
        <v>0</v>
      </c>
      <c r="L52">
        <f t="shared" si="7"/>
        <v>0</v>
      </c>
    </row>
    <row r="53" spans="1:12" hidden="1" x14ac:dyDescent="0.3">
      <c r="H53">
        <f>SUMPRODUCT(B22:I22,config!$B$1:$I$1)-B53</f>
        <v>0</v>
      </c>
      <c r="I53">
        <f>SUMPRODUCT(B22:I22,config!$B$2:$I$2)-C53</f>
        <v>0</v>
      </c>
      <c r="J53">
        <f>SUMPRODUCT(B22:I22,config!$B$3:$I$3)-D53</f>
        <v>0</v>
      </c>
      <c r="K53">
        <f t="shared" si="8"/>
        <v>0</v>
      </c>
      <c r="L53">
        <f t="shared" si="7"/>
        <v>0</v>
      </c>
    </row>
    <row r="54" spans="1:12" hidden="1" x14ac:dyDescent="0.3">
      <c r="H54">
        <f>SUMPRODUCT(B23:I23,config!$B$1:$I$1)-B54</f>
        <v>0</v>
      </c>
      <c r="I54">
        <f>SUMPRODUCT(B23:I23,config!$B$2:$I$2)-C54</f>
        <v>0</v>
      </c>
      <c r="J54">
        <f>SUMPRODUCT(B23:I23,config!$B$3:$I$3)-D54</f>
        <v>0</v>
      </c>
      <c r="K54">
        <f t="shared" si="8"/>
        <v>0</v>
      </c>
      <c r="L54">
        <f t="shared" si="7"/>
        <v>0</v>
      </c>
    </row>
    <row r="55" spans="1:12" hidden="1" x14ac:dyDescent="0.3">
      <c r="H55">
        <f>SUMPRODUCT(B24:I24,config!$B$1:$I$1)-B55</f>
        <v>0</v>
      </c>
      <c r="I55">
        <f>SUMPRODUCT(B24:I24,config!$B$2:$I$2)-C55</f>
        <v>0</v>
      </c>
      <c r="J55">
        <f>SUMPRODUCT(B24:I24,config!$B$3:$I$3)-D55</f>
        <v>0</v>
      </c>
      <c r="K55">
        <f t="shared" si="8"/>
        <v>0</v>
      </c>
      <c r="L55">
        <f t="shared" si="7"/>
        <v>0</v>
      </c>
    </row>
    <row r="56" spans="1:12" hidden="1" x14ac:dyDescent="0.3">
      <c r="H56">
        <f>SUMPRODUCT(B25:I25,config!$B$1:$I$1)-B56</f>
        <v>0</v>
      </c>
      <c r="I56">
        <f>SUMPRODUCT(B25:I25,config!$B$2:$I$2)-C56</f>
        <v>0</v>
      </c>
      <c r="J56">
        <f>SUMPRODUCT(B25:I25,config!$B$3:$I$3)-D56</f>
        <v>0</v>
      </c>
      <c r="K56">
        <f t="shared" si="8"/>
        <v>0</v>
      </c>
      <c r="L56">
        <f t="shared" si="7"/>
        <v>0</v>
      </c>
    </row>
    <row r="57" spans="1:12" hidden="1" x14ac:dyDescent="0.3">
      <c r="H57">
        <f>SUMPRODUCT(B26:I26,config!$B$1:$I$1)-B57</f>
        <v>0</v>
      </c>
      <c r="I57">
        <f>SUMPRODUCT(B26:I26,config!$B$2:$I$2)-C57</f>
        <v>0</v>
      </c>
      <c r="J57">
        <f>SUMPRODUCT(B26:I26,config!$B$3:$I$3)-D57</f>
        <v>0</v>
      </c>
      <c r="K57">
        <f t="shared" si="8"/>
        <v>0</v>
      </c>
      <c r="L57">
        <f t="shared" si="7"/>
        <v>0</v>
      </c>
    </row>
    <row r="58" spans="1:12" hidden="1" x14ac:dyDescent="0.3">
      <c r="H58">
        <f>SUMPRODUCT(B27:I27,config!$B$1:$I$1)-B58</f>
        <v>0</v>
      </c>
      <c r="I58">
        <f>SUMPRODUCT(B27:I27,config!$B$2:$I$2)-C58</f>
        <v>0</v>
      </c>
      <c r="J58">
        <f>SUMPRODUCT(B27:I27,config!$B$3:$I$3)-D58</f>
        <v>0</v>
      </c>
      <c r="K58">
        <f t="shared" si="8"/>
        <v>0</v>
      </c>
      <c r="L58">
        <f t="shared" si="7"/>
        <v>0</v>
      </c>
    </row>
    <row r="59" spans="1:12" hidden="1" x14ac:dyDescent="0.3">
      <c r="H59">
        <f>SUMPRODUCT(B28:I28,config!$B$1:$I$1)-B59</f>
        <v>0</v>
      </c>
      <c r="I59">
        <f>SUMPRODUCT(B28:I28,config!$B$2:$I$2)-C59</f>
        <v>0</v>
      </c>
      <c r="J59">
        <f>SUMPRODUCT(B28:I28,config!$B$3:$I$3)-D59</f>
        <v>0</v>
      </c>
      <c r="K59">
        <f t="shared" si="8"/>
        <v>0</v>
      </c>
      <c r="L59">
        <f t="shared" si="7"/>
        <v>0</v>
      </c>
    </row>
    <row r="60" spans="1:12" hidden="1" x14ac:dyDescent="0.3">
      <c r="H60">
        <f>SUMPRODUCT(B29:I29,config!$B$1:$I$1)-B60</f>
        <v>0</v>
      </c>
      <c r="I60">
        <f>SUMPRODUCT(B29:I29,config!$B$2:$I$2)-C60</f>
        <v>0</v>
      </c>
      <c r="J60">
        <f>SUMPRODUCT(B29:I29,config!$B$3:$I$3)-D60</f>
        <v>0</v>
      </c>
      <c r="K60">
        <f t="shared" si="8"/>
        <v>0</v>
      </c>
      <c r="L60">
        <f t="shared" si="7"/>
        <v>0</v>
      </c>
    </row>
    <row r="61" spans="1:12" x14ac:dyDescent="0.3">
      <c r="A61" s="1" t="s">
        <v>1</v>
      </c>
      <c r="B61" s="1">
        <f>SUM(B33:B60)</f>
        <v>1301</v>
      </c>
      <c r="C61" s="1">
        <f>SUM(C33:C60)</f>
        <v>125</v>
      </c>
      <c r="D61" s="1">
        <f>SUM(D33:D60)</f>
        <v>220</v>
      </c>
      <c r="E61" s="1">
        <f>SUM(E33:E60)</f>
        <v>5</v>
      </c>
      <c r="F61" s="1">
        <f>SUM(F33:F60)</f>
        <v>10</v>
      </c>
    </row>
  </sheetData>
  <conditionalFormatting sqref="H33:L60">
    <cfRule type="cellIs" dxfId="5" priority="6" operator="greaterThanOrEqual">
      <formula>0</formula>
    </cfRule>
    <cfRule type="cellIs" dxfId="4" priority="7" operator="lessThan">
      <formula>0</formula>
    </cfRule>
  </conditionalFormatting>
  <conditionalFormatting sqref="J30">
    <cfRule type="cellIs" dxfId="3" priority="10" operator="greaterThan">
      <formula>$U$33</formula>
    </cfRule>
  </conditionalFormatting>
  <conditionalFormatting sqref="M2:M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{75D06EA4-CF78-4105-9B95-C4BE559DD66C}</x14:id>
        </ext>
      </extLst>
    </cfRule>
  </conditionalFormatting>
  <conditionalFormatting sqref="Q33:Q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{5DDE0E62-6123-4A18-A54A-659B1ED83E7B}</x14:id>
        </ext>
      </extLst>
    </cfRule>
  </conditionalFormatting>
  <conditionalFormatting sqref="S33:S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{1B9694C4-2421-4914-B2AF-54FEC0AC9E26}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06EA4-CF78-4105-9B95-C4BE559DD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N2:N29</xm:sqref>
        </x14:conditionalFormatting>
        <x14:conditionalFormatting xmlns:xm="http://schemas.microsoft.com/office/excel/2006/main">
          <x14:cfRule type="dataBar" id="{5DDE0E62-6123-4A18-A54A-659B1ED83E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Q33:Q37</xm:sqref>
        </x14:conditionalFormatting>
        <x14:conditionalFormatting xmlns:xm="http://schemas.microsoft.com/office/excel/2006/main">
          <x14:cfRule type="dataBar" id="{1B9694C4-2421-4914-B2AF-54FEC0AC9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S33:S36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3A33-D920-439C-ACCB-6C24DC26213C}">
  <dimension ref="A1:V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7" sqref="S37"/>
    </sheetView>
  </sheetViews>
  <sheetFormatPr defaultRowHeight="14.4" x14ac:dyDescent="0.3"/>
  <cols>
    <col min="2" max="9" width="6.6640625" customWidth="1"/>
    <col min="10" max="10" width="10.5546875" bestFit="1" customWidth="1"/>
  </cols>
  <sheetData>
    <row r="1" spans="1:22" x14ac:dyDescent="0.3">
      <c r="A1" s="9" t="s">
        <v>0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5</v>
      </c>
      <c r="K1" s="10" t="s">
        <v>2</v>
      </c>
      <c r="L1" s="10" t="s">
        <v>3</v>
      </c>
      <c r="M1" s="10" t="s">
        <v>4</v>
      </c>
      <c r="N1" s="11" t="s">
        <v>43</v>
      </c>
      <c r="O1" s="12" t="s">
        <v>34</v>
      </c>
      <c r="P1" s="12" t="s">
        <v>40</v>
      </c>
      <c r="Q1" s="12" t="s">
        <v>35</v>
      </c>
      <c r="R1" s="12" t="s">
        <v>36</v>
      </c>
      <c r="S1" s="12" t="s">
        <v>37</v>
      </c>
      <c r="U1" s="12" t="s">
        <v>44</v>
      </c>
      <c r="V1">
        <f>COUNTA(A2:A29)</f>
        <v>5</v>
      </c>
    </row>
    <row r="2" spans="1:22" x14ac:dyDescent="0.3">
      <c r="A2" t="s">
        <v>46</v>
      </c>
      <c r="B2" s="13">
        <v>1</v>
      </c>
      <c r="C2" s="13">
        <v>2</v>
      </c>
      <c r="D2" s="13">
        <v>7</v>
      </c>
      <c r="E2" s="13">
        <v>0</v>
      </c>
      <c r="F2" s="13">
        <v>0</v>
      </c>
      <c r="G2" s="13">
        <v>2</v>
      </c>
      <c r="H2" s="13">
        <v>0</v>
      </c>
      <c r="I2" s="13">
        <v>0</v>
      </c>
      <c r="J2" s="11">
        <f>SUM(B2:I2)</f>
        <v>12</v>
      </c>
      <c r="K2" s="14">
        <f>SUMPRODUCT(B2:I2,config!$B$4:$I$4)</f>
        <v>19.8</v>
      </c>
      <c r="L2" s="13">
        <f>SUMPRODUCT(B2:I2,config!$B$5:$I$5)-C33</f>
        <v>111</v>
      </c>
      <c r="M2" s="15">
        <f>IFERROR(B33/J2,"")</f>
        <v>12.5</v>
      </c>
      <c r="N2" s="7">
        <f>IFERROR(ABS(M2-M$30),"")</f>
        <v>0.22641509433962348</v>
      </c>
      <c r="O2" s="19">
        <f>IF(S2="","",S2*J2+config!$K$2+config!$L$2)</f>
        <v>12.64</v>
      </c>
      <c r="P2" s="19">
        <f t="shared" ref="P2:P4" si="0">IF(S2="","",ABS(O2-O$30))</f>
        <v>0.28335126825518664</v>
      </c>
      <c r="Q2" s="8">
        <f>B33/config!$K$2</f>
        <v>12.5</v>
      </c>
      <c r="R2" s="8">
        <f>B33/config!$L$2</f>
        <v>9.375</v>
      </c>
      <c r="S2" s="8">
        <f>IFERROR((config!$K$2-config!$L$2)/(Q2-R2),"")</f>
        <v>-1.28</v>
      </c>
    </row>
    <row r="3" spans="1:22" x14ac:dyDescent="0.3">
      <c r="A3" t="s">
        <v>47</v>
      </c>
      <c r="B3" s="13">
        <v>1</v>
      </c>
      <c r="C3" s="13">
        <v>1</v>
      </c>
      <c r="D3" s="13">
        <v>11</v>
      </c>
      <c r="E3" s="13">
        <v>5</v>
      </c>
      <c r="F3" s="13">
        <v>0</v>
      </c>
      <c r="G3" s="13">
        <v>0</v>
      </c>
      <c r="H3" s="13">
        <v>0</v>
      </c>
      <c r="I3" s="13">
        <v>0</v>
      </c>
      <c r="J3" s="11">
        <f t="shared" ref="J3:J29" si="1">SUM(B3:I3)</f>
        <v>18</v>
      </c>
      <c r="K3" s="14">
        <f>SUMPRODUCT(B3:I3,config!$B$4:$I$4)</f>
        <v>29.7</v>
      </c>
      <c r="L3" s="13">
        <f>SUMPRODUCT(B3:I3,config!$B$5:$I$5)-C34</f>
        <v>243</v>
      </c>
      <c r="M3" s="15">
        <f t="shared" ref="M3:M29" si="2">IFERROR(B34/J3,"")</f>
        <v>12.222222222222221</v>
      </c>
      <c r="N3" s="7">
        <f t="shared" ref="N3:N29" si="3">IFERROR(ABS(M3-M$30),"")</f>
        <v>5.1362683438155088E-2</v>
      </c>
      <c r="O3" s="19">
        <f>IF(S3="","",S3*J3+config!$K$2+config!$L$2)</f>
        <v>12.290909090909087</v>
      </c>
      <c r="P3" s="19">
        <f t="shared" si="0"/>
        <v>6.5739640835726476E-2</v>
      </c>
      <c r="Q3" s="8">
        <f>B34/config!$K$2</f>
        <v>18.333333333333332</v>
      </c>
      <c r="R3" s="8">
        <f>B34/config!$L$2</f>
        <v>13.75</v>
      </c>
      <c r="S3" s="8">
        <f>IFERROR((config!$K$2-config!$L$2)/(Q3-R3),"")</f>
        <v>-0.87272727272727291</v>
      </c>
    </row>
    <row r="4" spans="1:22" x14ac:dyDescent="0.3">
      <c r="A4" t="s">
        <v>48</v>
      </c>
      <c r="B4" s="13">
        <v>1</v>
      </c>
      <c r="C4" s="13">
        <v>3</v>
      </c>
      <c r="D4" s="13">
        <v>28</v>
      </c>
      <c r="E4" s="13">
        <v>1</v>
      </c>
      <c r="F4" s="13">
        <v>0</v>
      </c>
      <c r="G4" s="13">
        <v>2</v>
      </c>
      <c r="H4" s="13">
        <v>0</v>
      </c>
      <c r="I4" s="13">
        <v>0</v>
      </c>
      <c r="J4" s="11">
        <f t="shared" si="1"/>
        <v>35</v>
      </c>
      <c r="K4" s="14">
        <f>SUMPRODUCT(B4:I4,config!$B$4:$I$4)</f>
        <v>57.749999999999993</v>
      </c>
      <c r="L4" s="13">
        <f>SUMPRODUCT(B4:I4,config!$B$5:$I$5)-C35</f>
        <v>480</v>
      </c>
      <c r="M4" s="15">
        <f t="shared" si="2"/>
        <v>12.285714285714286</v>
      </c>
      <c r="N4" s="7">
        <f t="shared" si="3"/>
        <v>1.2129380053909955E-2</v>
      </c>
      <c r="O4" s="19">
        <f>IF(S4="","",S4*J4+config!$K$2+config!$L$2)</f>
        <v>12.372093023255818</v>
      </c>
      <c r="P4" s="19">
        <f t="shared" si="0"/>
        <v>1.5444291511004238E-2</v>
      </c>
      <c r="Q4" s="8">
        <f>B35/config!$K$2</f>
        <v>35.833333333333336</v>
      </c>
      <c r="R4" s="8">
        <f>B35/config!$L$2</f>
        <v>26.875</v>
      </c>
      <c r="S4" s="8">
        <f>IFERROR((config!$K$2-config!$L$2)/(Q4-R4),"")</f>
        <v>-0.44651162790697663</v>
      </c>
    </row>
    <row r="5" spans="1:22" x14ac:dyDescent="0.3">
      <c r="A5" t="s">
        <v>49</v>
      </c>
      <c r="B5" s="13">
        <v>1</v>
      </c>
      <c r="C5" s="13">
        <v>1</v>
      </c>
      <c r="D5" s="13">
        <v>11</v>
      </c>
      <c r="E5" s="13">
        <v>2</v>
      </c>
      <c r="F5" s="13">
        <v>0</v>
      </c>
      <c r="G5" s="13">
        <v>1</v>
      </c>
      <c r="H5" s="13">
        <v>0</v>
      </c>
      <c r="I5" s="13">
        <v>0</v>
      </c>
      <c r="J5" s="11">
        <f t="shared" si="1"/>
        <v>16</v>
      </c>
      <c r="K5" s="14">
        <f>SUMPRODUCT(B5:I5,config!$B$4:$I$4)</f>
        <v>26.4</v>
      </c>
      <c r="L5" s="13">
        <f>SUMPRODUCT(B5:I5,config!$B$5:$I$5)-C36</f>
        <v>205.5</v>
      </c>
      <c r="M5" s="15">
        <f t="shared" si="2"/>
        <v>12.25</v>
      </c>
      <c r="N5" s="7">
        <f t="shared" si="3"/>
        <v>2.3584905660376521E-2</v>
      </c>
      <c r="O5" s="19">
        <f>IF(S5="","",S5*J5+config!$K$2+config!$L$2)</f>
        <v>12.326530612244893</v>
      </c>
      <c r="P5" s="19">
        <f>IF(S5="","",ABS(O5-O$30))</f>
        <v>3.0118119499920937E-2</v>
      </c>
      <c r="Q5" s="8">
        <f>B36/config!$K$2</f>
        <v>16.333333333333332</v>
      </c>
      <c r="R5" s="8">
        <f>B36/config!$L$2</f>
        <v>12.25</v>
      </c>
      <c r="S5" s="8">
        <f>IFERROR((config!$K$2-config!$L$2)/(Q5-R5),"")</f>
        <v>-0.97959183673469419</v>
      </c>
    </row>
    <row r="6" spans="1:22" x14ac:dyDescent="0.3">
      <c r="A6" t="s">
        <v>50</v>
      </c>
      <c r="B6" s="13">
        <v>1</v>
      </c>
      <c r="C6" s="13">
        <v>3</v>
      </c>
      <c r="D6" s="13">
        <v>15</v>
      </c>
      <c r="E6" s="13">
        <v>6</v>
      </c>
      <c r="F6" s="13">
        <v>0</v>
      </c>
      <c r="G6" s="13">
        <v>0</v>
      </c>
      <c r="H6" s="13">
        <v>0</v>
      </c>
      <c r="I6" s="13">
        <v>0</v>
      </c>
      <c r="J6" s="11">
        <f t="shared" si="1"/>
        <v>25</v>
      </c>
      <c r="K6" s="14">
        <f>SUMPRODUCT(B6:I6,config!$B$4:$I$4)</f>
        <v>41.25</v>
      </c>
      <c r="L6" s="13">
        <f>SUMPRODUCT(B6:I6,config!$B$5:$I$5)-C37</f>
        <v>299.5</v>
      </c>
      <c r="M6" s="15">
        <f t="shared" si="2"/>
        <v>12.2</v>
      </c>
      <c r="N6" s="7">
        <f t="shared" si="3"/>
        <v>7.3584905660377231E-2</v>
      </c>
      <c r="O6" s="19">
        <f>IF(S6="","",S6*J6+config!$K$2+config!$L$2)</f>
        <v>12.262295081967217</v>
      </c>
      <c r="P6" s="19">
        <f t="shared" ref="P6:P29" si="4">IF(S6="","",ABS(O6-O$30))</f>
        <v>9.4353649777596971E-2</v>
      </c>
      <c r="Q6" s="8">
        <f>B37/config!$K$2</f>
        <v>25.416666666666668</v>
      </c>
      <c r="R6" s="8">
        <f>B37/config!$L$2</f>
        <v>19.0625</v>
      </c>
      <c r="S6" s="8">
        <f>IFERROR((config!$K$2-config!$L$2)/(Q6-R6),"")</f>
        <v>-0.62950819672131131</v>
      </c>
    </row>
    <row r="7" spans="1:22" hidden="1" x14ac:dyDescent="0.3">
      <c r="B7" s="13"/>
      <c r="C7" s="13"/>
      <c r="D7" s="13"/>
      <c r="E7" s="13"/>
      <c r="F7" s="13"/>
      <c r="G7" s="13"/>
      <c r="H7" s="13"/>
      <c r="I7" s="13"/>
      <c r="J7" s="11">
        <f t="shared" si="1"/>
        <v>0</v>
      </c>
      <c r="K7" s="14">
        <f>SUMPRODUCT(B7:I7,config!$B$4:$I$4)</f>
        <v>0</v>
      </c>
      <c r="L7" s="13">
        <f>SUMPRODUCT(B7:I7,config!$B$5:$I$5)-C38</f>
        <v>0</v>
      </c>
      <c r="M7" s="15" t="str">
        <f t="shared" si="2"/>
        <v/>
      </c>
      <c r="N7" s="7" t="str">
        <f t="shared" si="3"/>
        <v/>
      </c>
      <c r="O7" s="19" t="str">
        <f>IF(S7="","",S7*J7+config!$K$2+config!$L$2)</f>
        <v/>
      </c>
      <c r="P7" s="19" t="str">
        <f t="shared" si="4"/>
        <v/>
      </c>
      <c r="Q7" s="8">
        <f>B38/config!$K$2</f>
        <v>0</v>
      </c>
      <c r="R7" s="8">
        <f>B38/config!$L$2</f>
        <v>0</v>
      </c>
      <c r="S7" s="8" t="str">
        <f>IFERROR((config!$K$2-config!$L$2)/(Q7-R7),"")</f>
        <v/>
      </c>
    </row>
    <row r="8" spans="1:22" hidden="1" x14ac:dyDescent="0.3">
      <c r="B8" s="13"/>
      <c r="C8" s="13"/>
      <c r="D8" s="13"/>
      <c r="E8" s="13"/>
      <c r="F8" s="13"/>
      <c r="G8" s="13"/>
      <c r="H8" s="13"/>
      <c r="I8" s="13"/>
      <c r="J8" s="11">
        <f>SUM(B8:I8)</f>
        <v>0</v>
      </c>
      <c r="K8" s="14">
        <f>SUMPRODUCT(B8:I8,config!$B$4:$I$4)</f>
        <v>0</v>
      </c>
      <c r="L8" s="13">
        <f>SUMPRODUCT(B8:I8,config!$B$5:$I$5)-C39</f>
        <v>0</v>
      </c>
      <c r="M8" s="15" t="str">
        <f t="shared" si="2"/>
        <v/>
      </c>
      <c r="N8" s="7" t="str">
        <f t="shared" si="3"/>
        <v/>
      </c>
      <c r="O8" s="19" t="str">
        <f>IF(S8="","",S8*J8+config!$K$2+config!$L$2)</f>
        <v/>
      </c>
      <c r="P8" s="19" t="str">
        <f t="shared" si="4"/>
        <v/>
      </c>
      <c r="Q8" s="8">
        <f>B39/config!$K$2</f>
        <v>0</v>
      </c>
      <c r="R8" s="8">
        <f>B39/config!$L$2</f>
        <v>0</v>
      </c>
      <c r="S8" s="8" t="str">
        <f>IFERROR((config!$K$2-config!$L$2)/(Q8-R8),"")</f>
        <v/>
      </c>
    </row>
    <row r="9" spans="1:22" hidden="1" x14ac:dyDescent="0.3">
      <c r="B9" s="13"/>
      <c r="C9" s="13"/>
      <c r="D9" s="13"/>
      <c r="E9" s="13"/>
      <c r="F9" s="13"/>
      <c r="G9" s="13"/>
      <c r="H9" s="13"/>
      <c r="I9" s="13"/>
      <c r="J9" s="11">
        <f t="shared" ref="J9:J19" si="5">SUM(B9:I9)</f>
        <v>0</v>
      </c>
      <c r="K9" s="14">
        <f>SUMPRODUCT(B9:I9,config!$B$4:$I$4)</f>
        <v>0</v>
      </c>
      <c r="L9" s="13">
        <f>SUMPRODUCT(B9:I9,config!$B$5:$I$5)-C40</f>
        <v>0</v>
      </c>
      <c r="M9" s="15" t="str">
        <f t="shared" si="2"/>
        <v/>
      </c>
      <c r="N9" s="7" t="str">
        <f t="shared" si="3"/>
        <v/>
      </c>
      <c r="O9" s="19" t="str">
        <f>IF(S9="","",S9*J9+config!$K$2+config!$L$2)</f>
        <v/>
      </c>
      <c r="P9" s="19" t="str">
        <f t="shared" si="4"/>
        <v/>
      </c>
      <c r="Q9" s="8">
        <f>B40/config!$K$2</f>
        <v>0</v>
      </c>
      <c r="R9" s="8">
        <f>B40/config!$L$2</f>
        <v>0</v>
      </c>
      <c r="S9" s="8" t="str">
        <f>IFERROR((config!$K$2-config!$L$2)/(Q9-R9),"")</f>
        <v/>
      </c>
    </row>
    <row r="10" spans="1:22" hidden="1" x14ac:dyDescent="0.3">
      <c r="B10" s="13"/>
      <c r="C10" s="13"/>
      <c r="D10" s="13"/>
      <c r="E10" s="13"/>
      <c r="F10" s="13"/>
      <c r="G10" s="13"/>
      <c r="H10" s="13"/>
      <c r="I10" s="13"/>
      <c r="J10" s="11">
        <f t="shared" si="5"/>
        <v>0</v>
      </c>
      <c r="K10" s="14">
        <f>SUMPRODUCT(B10:I10,config!$B$4:$I$4)</f>
        <v>0</v>
      </c>
      <c r="L10" s="13">
        <f>SUMPRODUCT(B10:I10,config!$B$5:$I$5)-C41</f>
        <v>0</v>
      </c>
      <c r="M10" s="15" t="str">
        <f t="shared" si="2"/>
        <v/>
      </c>
      <c r="N10" s="7" t="str">
        <f t="shared" si="3"/>
        <v/>
      </c>
      <c r="O10" s="19" t="str">
        <f>IF(S10="","",S10*J10+config!$K$2+config!$L$2)</f>
        <v/>
      </c>
      <c r="P10" s="19" t="str">
        <f t="shared" si="4"/>
        <v/>
      </c>
      <c r="Q10" s="8">
        <f>B41/config!$K$2</f>
        <v>0</v>
      </c>
      <c r="R10" s="8">
        <f>B41/config!$L$2</f>
        <v>0</v>
      </c>
      <c r="S10" s="8" t="str">
        <f>IFERROR((config!$K$2-config!$L$2)/(Q10-R10),"")</f>
        <v/>
      </c>
    </row>
    <row r="11" spans="1:22" hidden="1" x14ac:dyDescent="0.3">
      <c r="B11" s="13"/>
      <c r="C11" s="13"/>
      <c r="D11" s="13"/>
      <c r="E11" s="13"/>
      <c r="F11" s="13"/>
      <c r="G11" s="13"/>
      <c r="H11" s="13"/>
      <c r="I11" s="13"/>
      <c r="J11" s="11">
        <f t="shared" si="5"/>
        <v>0</v>
      </c>
      <c r="K11" s="14">
        <f>SUMPRODUCT(B11:I11,config!$B$4:$I$4)</f>
        <v>0</v>
      </c>
      <c r="L11" s="13">
        <f>SUMPRODUCT(B11:I11,config!$B$5:$I$5)-C42</f>
        <v>0</v>
      </c>
      <c r="M11" s="15" t="str">
        <f t="shared" si="2"/>
        <v/>
      </c>
      <c r="N11" s="7" t="str">
        <f t="shared" si="3"/>
        <v/>
      </c>
      <c r="O11" s="19" t="str">
        <f>IF(S11="","",S11*J11+config!$K$2+config!$L$2)</f>
        <v/>
      </c>
      <c r="P11" s="19" t="str">
        <f t="shared" si="4"/>
        <v/>
      </c>
      <c r="Q11" s="8">
        <f>B42/config!$K$2</f>
        <v>0</v>
      </c>
      <c r="R11" s="8">
        <f>B42/config!$L$2</f>
        <v>0</v>
      </c>
      <c r="S11" s="8" t="str">
        <f>IFERROR((config!$K$2-config!$L$2)/(Q11-R11),"")</f>
        <v/>
      </c>
    </row>
    <row r="12" spans="1:22" hidden="1" x14ac:dyDescent="0.3">
      <c r="B12" s="13"/>
      <c r="C12" s="13"/>
      <c r="D12" s="13"/>
      <c r="E12" s="13"/>
      <c r="F12" s="13"/>
      <c r="G12" s="13"/>
      <c r="H12" s="13"/>
      <c r="I12" s="13"/>
      <c r="J12" s="11">
        <f t="shared" si="5"/>
        <v>0</v>
      </c>
      <c r="K12" s="14">
        <f>SUMPRODUCT(B12:I12,config!$B$4:$I$4)</f>
        <v>0</v>
      </c>
      <c r="L12" s="13">
        <f>SUMPRODUCT(B12:I12,config!$B$5:$I$5)-C43</f>
        <v>0</v>
      </c>
      <c r="M12" s="15" t="str">
        <f t="shared" si="2"/>
        <v/>
      </c>
      <c r="N12" s="7" t="str">
        <f t="shared" si="3"/>
        <v/>
      </c>
      <c r="O12" s="19" t="str">
        <f>IF(S12="","",S12*J12+config!$K$2+config!$L$2)</f>
        <v/>
      </c>
      <c r="P12" s="19" t="str">
        <f t="shared" si="4"/>
        <v/>
      </c>
      <c r="Q12" s="8">
        <f>B43/config!$K$2</f>
        <v>0</v>
      </c>
      <c r="R12" s="8">
        <f>B43/config!$L$2</f>
        <v>0</v>
      </c>
      <c r="S12" s="8" t="str">
        <f>IFERROR((config!$K$2-config!$L$2)/(Q12-R12),"")</f>
        <v/>
      </c>
    </row>
    <row r="13" spans="1:22" hidden="1" x14ac:dyDescent="0.3">
      <c r="B13" s="13"/>
      <c r="C13" s="13"/>
      <c r="D13" s="13"/>
      <c r="E13" s="13"/>
      <c r="F13" s="13"/>
      <c r="G13" s="13"/>
      <c r="H13" s="13"/>
      <c r="I13" s="13"/>
      <c r="J13" s="11">
        <f t="shared" si="5"/>
        <v>0</v>
      </c>
      <c r="K13" s="14">
        <f>SUMPRODUCT(B13:I13,config!$B$4:$I$4)</f>
        <v>0</v>
      </c>
      <c r="L13" s="13">
        <f>SUMPRODUCT(B13:I13,config!$B$5:$I$5)-C44</f>
        <v>0</v>
      </c>
      <c r="M13" s="15" t="str">
        <f t="shared" si="2"/>
        <v/>
      </c>
      <c r="N13" s="7" t="str">
        <f t="shared" si="3"/>
        <v/>
      </c>
      <c r="O13" s="19" t="str">
        <f>IF(S13="","",S13*J13+config!$K$2+config!$L$2)</f>
        <v/>
      </c>
      <c r="P13" s="19" t="str">
        <f t="shared" si="4"/>
        <v/>
      </c>
      <c r="Q13" s="8">
        <f>B44/config!$K$2</f>
        <v>0</v>
      </c>
      <c r="R13" s="8">
        <f>B44/config!$L$2</f>
        <v>0</v>
      </c>
      <c r="S13" s="8" t="str">
        <f>IFERROR((config!$K$2-config!$L$2)/(Q13-R13),"")</f>
        <v/>
      </c>
    </row>
    <row r="14" spans="1:22" hidden="1" x14ac:dyDescent="0.3">
      <c r="B14" s="13"/>
      <c r="C14" s="13"/>
      <c r="D14" s="13"/>
      <c r="E14" s="13"/>
      <c r="F14" s="13"/>
      <c r="G14" s="13"/>
      <c r="H14" s="13"/>
      <c r="I14" s="13"/>
      <c r="J14" s="11">
        <f t="shared" si="5"/>
        <v>0</v>
      </c>
      <c r="K14" s="14">
        <f>SUMPRODUCT(B14:I14,config!$B$4:$I$4)</f>
        <v>0</v>
      </c>
      <c r="L14" s="13">
        <f>SUMPRODUCT(B14:I14,config!$B$5:$I$5)-C45</f>
        <v>0</v>
      </c>
      <c r="M14" s="15" t="str">
        <f t="shared" si="2"/>
        <v/>
      </c>
      <c r="N14" s="7" t="str">
        <f t="shared" si="3"/>
        <v/>
      </c>
      <c r="O14" s="19" t="str">
        <f>IF(S14="","",S14*J14+config!$K$2+config!$L$2)</f>
        <v/>
      </c>
      <c r="P14" s="19" t="str">
        <f t="shared" si="4"/>
        <v/>
      </c>
      <c r="Q14" s="8">
        <f>B45/config!$K$2</f>
        <v>0</v>
      </c>
      <c r="R14" s="8">
        <f>B45/config!$L$2</f>
        <v>0</v>
      </c>
      <c r="S14" s="8" t="str">
        <f>IFERROR((config!$K$2-config!$L$2)/(Q14-R14),"")</f>
        <v/>
      </c>
    </row>
    <row r="15" spans="1:22" hidden="1" x14ac:dyDescent="0.3">
      <c r="B15" s="13"/>
      <c r="C15" s="13"/>
      <c r="D15" s="13"/>
      <c r="E15" s="13"/>
      <c r="F15" s="13"/>
      <c r="G15" s="13"/>
      <c r="H15" s="13"/>
      <c r="I15" s="13"/>
      <c r="J15" s="11">
        <f t="shared" si="5"/>
        <v>0</v>
      </c>
      <c r="K15" s="14">
        <f>SUMPRODUCT(B15:I15,config!$B$4:$I$4)</f>
        <v>0</v>
      </c>
      <c r="L15" s="13">
        <f>SUMPRODUCT(B15:I15,config!$B$5:$I$5)-C46</f>
        <v>0</v>
      </c>
      <c r="M15" s="15" t="str">
        <f t="shared" si="2"/>
        <v/>
      </c>
      <c r="N15" s="7" t="str">
        <f t="shared" si="3"/>
        <v/>
      </c>
      <c r="O15" s="19" t="str">
        <f>IF(S15="","",S15*J15+config!$K$2+config!$L$2)</f>
        <v/>
      </c>
      <c r="P15" s="19" t="str">
        <f t="shared" si="4"/>
        <v/>
      </c>
      <c r="Q15" s="8">
        <f>B46/config!$K$2</f>
        <v>0</v>
      </c>
      <c r="R15" s="8">
        <f>B46/config!$L$2</f>
        <v>0</v>
      </c>
      <c r="S15" s="8" t="str">
        <f>IFERROR((config!$K$2-config!$L$2)/(Q15-R15),"")</f>
        <v/>
      </c>
    </row>
    <row r="16" spans="1:22" hidden="1" x14ac:dyDescent="0.3">
      <c r="B16" s="13"/>
      <c r="C16" s="13"/>
      <c r="D16" s="13"/>
      <c r="E16" s="13"/>
      <c r="F16" s="13"/>
      <c r="G16" s="13"/>
      <c r="H16" s="13"/>
      <c r="I16" s="13"/>
      <c r="J16" s="11">
        <f t="shared" si="5"/>
        <v>0</v>
      </c>
      <c r="K16" s="14">
        <f>SUMPRODUCT(B16:I16,config!$B$4:$I$4)</f>
        <v>0</v>
      </c>
      <c r="L16" s="13">
        <f>SUMPRODUCT(B16:I16,config!$B$5:$I$5)-C47</f>
        <v>0</v>
      </c>
      <c r="M16" s="15" t="str">
        <f t="shared" si="2"/>
        <v/>
      </c>
      <c r="N16" s="7" t="str">
        <f t="shared" si="3"/>
        <v/>
      </c>
      <c r="O16" s="19" t="str">
        <f>IF(S16="","",S16*J16+config!$K$2+config!$L$2)</f>
        <v/>
      </c>
      <c r="P16" s="19" t="str">
        <f t="shared" si="4"/>
        <v/>
      </c>
      <c r="Q16" s="8">
        <f>B47/config!$K$2</f>
        <v>0</v>
      </c>
      <c r="R16" s="8">
        <f>B47/config!$L$2</f>
        <v>0</v>
      </c>
      <c r="S16" s="8" t="str">
        <f>IFERROR((config!$K$2-config!$L$2)/(Q16-R16),"")</f>
        <v/>
      </c>
    </row>
    <row r="17" spans="1:19" hidden="1" x14ac:dyDescent="0.3">
      <c r="B17" s="13"/>
      <c r="C17" s="13"/>
      <c r="D17" s="13"/>
      <c r="E17" s="13"/>
      <c r="F17" s="13"/>
      <c r="G17" s="13"/>
      <c r="H17" s="13"/>
      <c r="I17" s="13"/>
      <c r="J17" s="11">
        <f t="shared" si="5"/>
        <v>0</v>
      </c>
      <c r="K17" s="14">
        <f>SUMPRODUCT(B17:I17,config!$B$4:$I$4)</f>
        <v>0</v>
      </c>
      <c r="L17" s="13">
        <f>SUMPRODUCT(B17:I17,config!$B$5:$I$5)-C48</f>
        <v>0</v>
      </c>
      <c r="M17" s="15" t="str">
        <f t="shared" si="2"/>
        <v/>
      </c>
      <c r="N17" s="7" t="str">
        <f t="shared" si="3"/>
        <v/>
      </c>
      <c r="O17" s="19" t="str">
        <f>IF(S17="","",S17*J17+config!$K$2+config!$L$2)</f>
        <v/>
      </c>
      <c r="P17" s="19" t="str">
        <f t="shared" si="4"/>
        <v/>
      </c>
      <c r="Q17" s="8">
        <f>B48/config!$K$2</f>
        <v>0</v>
      </c>
      <c r="R17" s="8">
        <f>B48/config!$L$2</f>
        <v>0</v>
      </c>
      <c r="S17" s="8" t="str">
        <f>IFERROR((config!$K$2-config!$L$2)/(Q17-R17),"")</f>
        <v/>
      </c>
    </row>
    <row r="18" spans="1:19" hidden="1" x14ac:dyDescent="0.3">
      <c r="B18" s="13"/>
      <c r="C18" s="13"/>
      <c r="D18" s="13"/>
      <c r="E18" s="13"/>
      <c r="F18" s="13"/>
      <c r="G18" s="13"/>
      <c r="H18" s="13"/>
      <c r="I18" s="13"/>
      <c r="J18" s="11">
        <f t="shared" si="5"/>
        <v>0</v>
      </c>
      <c r="K18" s="14">
        <f>SUMPRODUCT(B18:I18,config!$B$4:$I$4)</f>
        <v>0</v>
      </c>
      <c r="L18" s="13">
        <f>SUMPRODUCT(B18:I18,config!$B$5:$I$5)-C49</f>
        <v>0</v>
      </c>
      <c r="M18" s="15" t="str">
        <f t="shared" si="2"/>
        <v/>
      </c>
      <c r="N18" s="7" t="str">
        <f t="shared" si="3"/>
        <v/>
      </c>
      <c r="O18" s="19" t="str">
        <f>IF(S18="","",S18*J18+config!$K$2+config!$L$2)</f>
        <v/>
      </c>
      <c r="P18" s="19" t="str">
        <f t="shared" si="4"/>
        <v/>
      </c>
      <c r="Q18" s="8">
        <f>B49/config!$K$2</f>
        <v>0</v>
      </c>
      <c r="R18" s="8">
        <f>B49/config!$L$2</f>
        <v>0</v>
      </c>
      <c r="S18" s="8" t="str">
        <f>IFERROR((config!$K$2-config!$L$2)/(Q18-R18),"")</f>
        <v/>
      </c>
    </row>
    <row r="19" spans="1:19" hidden="1" x14ac:dyDescent="0.3">
      <c r="B19" s="13"/>
      <c r="C19" s="13"/>
      <c r="D19" s="13"/>
      <c r="E19" s="13"/>
      <c r="F19" s="13"/>
      <c r="G19" s="13"/>
      <c r="H19" s="13"/>
      <c r="I19" s="13"/>
      <c r="J19" s="11">
        <f t="shared" si="5"/>
        <v>0</v>
      </c>
      <c r="K19" s="14">
        <f>SUMPRODUCT(B19:I19,config!$B$4:$I$4)</f>
        <v>0</v>
      </c>
      <c r="L19" s="13">
        <f>SUMPRODUCT(B19:I19,config!$B$5:$I$5)-C50</f>
        <v>0</v>
      </c>
      <c r="M19" s="15" t="str">
        <f t="shared" si="2"/>
        <v/>
      </c>
      <c r="N19" s="7" t="str">
        <f t="shared" si="3"/>
        <v/>
      </c>
      <c r="O19" s="19" t="str">
        <f>IF(S19="","",S19*J19+config!$K$2+config!$L$2)</f>
        <v/>
      </c>
      <c r="P19" s="19" t="str">
        <f t="shared" si="4"/>
        <v/>
      </c>
      <c r="Q19" s="8">
        <f>B50/config!$K$2</f>
        <v>0</v>
      </c>
      <c r="R19" s="8">
        <f>B50/config!$L$2</f>
        <v>0</v>
      </c>
      <c r="S19" s="8" t="str">
        <f>IFERROR((config!$K$2-config!$L$2)/(Q19-R19),"")</f>
        <v/>
      </c>
    </row>
    <row r="20" spans="1:19" hidden="1" x14ac:dyDescent="0.3">
      <c r="B20" s="13"/>
      <c r="C20" s="13"/>
      <c r="D20" s="13"/>
      <c r="E20" s="13"/>
      <c r="F20" s="13"/>
      <c r="G20" s="13"/>
      <c r="H20" s="13"/>
      <c r="I20" s="13"/>
      <c r="J20" s="11">
        <f t="shared" si="1"/>
        <v>0</v>
      </c>
      <c r="K20" s="14">
        <f>SUMPRODUCT(B20:I20,config!$B$4:$I$4)</f>
        <v>0</v>
      </c>
      <c r="L20" s="13">
        <f>SUMPRODUCT(B20:I20,config!$B$5:$I$5)-C51</f>
        <v>0</v>
      </c>
      <c r="M20" s="15" t="str">
        <f t="shared" si="2"/>
        <v/>
      </c>
      <c r="N20" s="7" t="str">
        <f t="shared" si="3"/>
        <v/>
      </c>
      <c r="O20" s="19" t="str">
        <f>IF(S20="","",S20*J20+config!$K$2+config!$L$2)</f>
        <v/>
      </c>
      <c r="P20" s="19" t="str">
        <f t="shared" si="4"/>
        <v/>
      </c>
      <c r="Q20" s="8">
        <f>B51/config!$K$2</f>
        <v>0</v>
      </c>
      <c r="R20" s="8">
        <f>B51/config!$L$2</f>
        <v>0</v>
      </c>
      <c r="S20" s="8" t="str">
        <f>IFERROR((config!$K$2-config!$L$2)/(Q20-R20),"")</f>
        <v/>
      </c>
    </row>
    <row r="21" spans="1:19" hidden="1" x14ac:dyDescent="0.3">
      <c r="B21" s="13"/>
      <c r="C21" s="13"/>
      <c r="D21" s="13"/>
      <c r="E21" s="13"/>
      <c r="F21" s="13"/>
      <c r="G21" s="13"/>
      <c r="H21" s="13"/>
      <c r="I21" s="13"/>
      <c r="J21" s="11">
        <f t="shared" si="1"/>
        <v>0</v>
      </c>
      <c r="K21" s="14">
        <f>SUMPRODUCT(B21:I21,config!$B$4:$I$4)</f>
        <v>0</v>
      </c>
      <c r="L21" s="13">
        <f>SUMPRODUCT(B21:I21,config!$B$5:$I$5)-C52</f>
        <v>0</v>
      </c>
      <c r="M21" s="15" t="str">
        <f t="shared" si="2"/>
        <v/>
      </c>
      <c r="N21" s="7" t="str">
        <f t="shared" si="3"/>
        <v/>
      </c>
      <c r="O21" s="19" t="str">
        <f>IF(S21="","",S21*J21+config!$K$2+config!$L$2)</f>
        <v/>
      </c>
      <c r="P21" s="19" t="str">
        <f t="shared" si="4"/>
        <v/>
      </c>
      <c r="Q21" s="8">
        <f>B52/config!$K$2</f>
        <v>0</v>
      </c>
      <c r="R21" s="8">
        <f>B52/config!$L$2</f>
        <v>0</v>
      </c>
      <c r="S21" s="8" t="str">
        <f>IFERROR((config!$K$2-config!$L$2)/(Q21-R21),"")</f>
        <v/>
      </c>
    </row>
    <row r="22" spans="1:19" hidden="1" x14ac:dyDescent="0.3">
      <c r="B22" s="13"/>
      <c r="C22" s="13"/>
      <c r="D22" s="13"/>
      <c r="E22" s="13"/>
      <c r="F22" s="13"/>
      <c r="G22" s="13"/>
      <c r="H22" s="13"/>
      <c r="I22" s="13"/>
      <c r="J22" s="11">
        <f t="shared" si="1"/>
        <v>0</v>
      </c>
      <c r="K22" s="14">
        <f>SUMPRODUCT(B22:I22,config!$B$4:$I$4)</f>
        <v>0</v>
      </c>
      <c r="L22" s="13">
        <f>SUMPRODUCT(B22:I22,config!$B$5:$I$5)-C53</f>
        <v>0</v>
      </c>
      <c r="M22" s="15" t="str">
        <f t="shared" si="2"/>
        <v/>
      </c>
      <c r="N22" s="7" t="str">
        <f t="shared" si="3"/>
        <v/>
      </c>
      <c r="O22" s="19" t="str">
        <f>IF(S22="","",S22*J22+config!$K$2+config!$L$2)</f>
        <v/>
      </c>
      <c r="P22" s="19" t="str">
        <f t="shared" si="4"/>
        <v/>
      </c>
      <c r="Q22" s="8">
        <f>B53/config!$K$2</f>
        <v>0</v>
      </c>
      <c r="R22" s="8">
        <f>B53/config!$L$2</f>
        <v>0</v>
      </c>
      <c r="S22" s="8" t="str">
        <f>IFERROR((config!$K$2-config!$L$2)/(Q22-R22),"")</f>
        <v/>
      </c>
    </row>
    <row r="23" spans="1:19" hidden="1" x14ac:dyDescent="0.3">
      <c r="B23" s="13"/>
      <c r="C23" s="13"/>
      <c r="D23" s="13"/>
      <c r="E23" s="13"/>
      <c r="F23" s="13"/>
      <c r="G23" s="13"/>
      <c r="H23" s="13"/>
      <c r="I23" s="13"/>
      <c r="J23" s="11">
        <f t="shared" si="1"/>
        <v>0</v>
      </c>
      <c r="K23" s="14">
        <f>SUMPRODUCT(B23:I23,config!$B$4:$I$4)</f>
        <v>0</v>
      </c>
      <c r="L23" s="13">
        <f>SUMPRODUCT(B23:I23,config!$B$5:$I$5)-C54</f>
        <v>0</v>
      </c>
      <c r="M23" s="15" t="str">
        <f t="shared" si="2"/>
        <v/>
      </c>
      <c r="N23" s="7" t="str">
        <f t="shared" si="3"/>
        <v/>
      </c>
      <c r="O23" s="19" t="str">
        <f>IF(S23="","",S23*J23+config!$K$2+config!$L$2)</f>
        <v/>
      </c>
      <c r="P23" s="19" t="str">
        <f t="shared" si="4"/>
        <v/>
      </c>
      <c r="Q23" s="8">
        <f>B54/config!$K$2</f>
        <v>0</v>
      </c>
      <c r="R23" s="8">
        <f>B54/config!$L$2</f>
        <v>0</v>
      </c>
      <c r="S23" s="8" t="str">
        <f>IFERROR((config!$K$2-config!$L$2)/(Q23-R23),"")</f>
        <v/>
      </c>
    </row>
    <row r="24" spans="1:19" hidden="1" x14ac:dyDescent="0.3">
      <c r="B24" s="13"/>
      <c r="C24" s="13"/>
      <c r="D24" s="13"/>
      <c r="E24" s="13"/>
      <c r="F24" s="13"/>
      <c r="G24" s="13"/>
      <c r="H24" s="13"/>
      <c r="I24" s="13"/>
      <c r="J24" s="11">
        <f t="shared" si="1"/>
        <v>0</v>
      </c>
      <c r="K24" s="14">
        <f>SUMPRODUCT(B24:I24,config!$B$4:$I$4)</f>
        <v>0</v>
      </c>
      <c r="L24" s="13">
        <f>SUMPRODUCT(B24:I24,config!$B$5:$I$5)-C55</f>
        <v>0</v>
      </c>
      <c r="M24" s="15" t="str">
        <f t="shared" si="2"/>
        <v/>
      </c>
      <c r="N24" s="7" t="str">
        <f t="shared" si="3"/>
        <v/>
      </c>
      <c r="O24" s="19" t="str">
        <f>IF(S24="","",S24*J24+config!$K$2+config!$L$2)</f>
        <v/>
      </c>
      <c r="P24" s="19" t="str">
        <f t="shared" si="4"/>
        <v/>
      </c>
      <c r="Q24" s="8">
        <f>B55/config!$K$2</f>
        <v>0</v>
      </c>
      <c r="R24" s="8">
        <f>B55/config!$L$2</f>
        <v>0</v>
      </c>
      <c r="S24" s="8" t="str">
        <f>IFERROR((config!$K$2-config!$L$2)/(Q24-R24),"")</f>
        <v/>
      </c>
    </row>
    <row r="25" spans="1:19" hidden="1" x14ac:dyDescent="0.3">
      <c r="B25" s="13"/>
      <c r="C25" s="13"/>
      <c r="D25" s="13"/>
      <c r="E25" s="13"/>
      <c r="F25" s="13"/>
      <c r="G25" s="13"/>
      <c r="H25" s="13"/>
      <c r="I25" s="13"/>
      <c r="J25" s="11">
        <f t="shared" si="1"/>
        <v>0</v>
      </c>
      <c r="K25" s="14">
        <f>SUMPRODUCT(B25:I25,config!$B$4:$I$4)</f>
        <v>0</v>
      </c>
      <c r="L25" s="13">
        <f>SUMPRODUCT(B25:I25,config!$B$5:$I$5)-C56</f>
        <v>0</v>
      </c>
      <c r="M25" s="15" t="str">
        <f t="shared" si="2"/>
        <v/>
      </c>
      <c r="N25" s="7" t="str">
        <f t="shared" si="3"/>
        <v/>
      </c>
      <c r="O25" s="19" t="str">
        <f>IF(S25="","",S25*J25+config!$K$2+config!$L$2)</f>
        <v/>
      </c>
      <c r="P25" s="19" t="str">
        <f t="shared" si="4"/>
        <v/>
      </c>
      <c r="Q25" s="8">
        <f>B56/config!$K$2</f>
        <v>0</v>
      </c>
      <c r="R25" s="8">
        <f>B56/config!$L$2</f>
        <v>0</v>
      </c>
      <c r="S25" s="8" t="str">
        <f>IFERROR((config!$K$2-config!$L$2)/(Q25-R25),"")</f>
        <v/>
      </c>
    </row>
    <row r="26" spans="1:19" hidden="1" x14ac:dyDescent="0.3">
      <c r="B26" s="13"/>
      <c r="C26" s="13"/>
      <c r="D26" s="13"/>
      <c r="E26" s="13"/>
      <c r="F26" s="13"/>
      <c r="G26" s="13"/>
      <c r="H26" s="13"/>
      <c r="I26" s="13"/>
      <c r="J26" s="11">
        <f t="shared" si="1"/>
        <v>0</v>
      </c>
      <c r="K26" s="14">
        <f>SUMPRODUCT(B26:I26,config!$B$4:$I$4)</f>
        <v>0</v>
      </c>
      <c r="L26" s="13">
        <f>SUMPRODUCT(B26:I26,config!$B$5:$I$5)-C57</f>
        <v>0</v>
      </c>
      <c r="M26" s="15" t="str">
        <f t="shared" si="2"/>
        <v/>
      </c>
      <c r="N26" s="7" t="str">
        <f t="shared" si="3"/>
        <v/>
      </c>
      <c r="O26" s="19" t="str">
        <f>IF(S26="","",S26*J26+config!$K$2+config!$L$2)</f>
        <v/>
      </c>
      <c r="P26" s="19" t="str">
        <f t="shared" si="4"/>
        <v/>
      </c>
      <c r="Q26" s="8">
        <f>B57/config!$K$2</f>
        <v>0</v>
      </c>
      <c r="R26" s="8">
        <f>B57/config!$L$2</f>
        <v>0</v>
      </c>
      <c r="S26" s="8" t="str">
        <f>IFERROR((config!$K$2-config!$L$2)/(Q26-R26),"")</f>
        <v/>
      </c>
    </row>
    <row r="27" spans="1:19" hidden="1" x14ac:dyDescent="0.3">
      <c r="B27" s="13"/>
      <c r="C27" s="13"/>
      <c r="D27" s="13"/>
      <c r="E27" s="13"/>
      <c r="F27" s="13"/>
      <c r="G27" s="13"/>
      <c r="H27" s="13"/>
      <c r="I27" s="13"/>
      <c r="J27" s="11">
        <f t="shared" si="1"/>
        <v>0</v>
      </c>
      <c r="K27" s="14">
        <f>SUMPRODUCT(B27:I27,config!$B$4:$I$4)</f>
        <v>0</v>
      </c>
      <c r="L27" s="13">
        <f>SUMPRODUCT(B27:I27,config!$B$5:$I$5)-C58</f>
        <v>0</v>
      </c>
      <c r="M27" s="15" t="str">
        <f t="shared" si="2"/>
        <v/>
      </c>
      <c r="N27" s="7" t="str">
        <f t="shared" si="3"/>
        <v/>
      </c>
      <c r="O27" s="19" t="str">
        <f>IF(S27="","",S27*J27+config!$K$2+config!$L$2)</f>
        <v/>
      </c>
      <c r="P27" s="19" t="str">
        <f t="shared" si="4"/>
        <v/>
      </c>
      <c r="Q27" s="8">
        <f>B58/config!$K$2</f>
        <v>0</v>
      </c>
      <c r="R27" s="8">
        <f>B58/config!$L$2</f>
        <v>0</v>
      </c>
      <c r="S27" s="8" t="str">
        <f>IFERROR((config!$K$2-config!$L$2)/(Q27-R27),"")</f>
        <v/>
      </c>
    </row>
    <row r="28" spans="1:19" hidden="1" x14ac:dyDescent="0.3">
      <c r="B28" s="13"/>
      <c r="C28" s="13"/>
      <c r="D28" s="13"/>
      <c r="E28" s="13"/>
      <c r="F28" s="13"/>
      <c r="G28" s="13"/>
      <c r="H28" s="13"/>
      <c r="I28" s="13"/>
      <c r="J28" s="11">
        <f t="shared" si="1"/>
        <v>0</v>
      </c>
      <c r="K28" s="14">
        <f>SUMPRODUCT(B28:I28,config!$B$4:$I$4)</f>
        <v>0</v>
      </c>
      <c r="L28" s="13">
        <f>SUMPRODUCT(B28:I28,config!$B$5:$I$5)-C59</f>
        <v>0</v>
      </c>
      <c r="M28" s="15" t="str">
        <f t="shared" si="2"/>
        <v/>
      </c>
      <c r="N28" s="7" t="str">
        <f t="shared" si="3"/>
        <v/>
      </c>
      <c r="O28" s="19" t="str">
        <f>IF(S28="","",S28*J28+config!$K$2+config!$L$2)</f>
        <v/>
      </c>
      <c r="P28" s="19" t="str">
        <f t="shared" si="4"/>
        <v/>
      </c>
      <c r="Q28" s="8">
        <f>B59/config!$K$2</f>
        <v>0</v>
      </c>
      <c r="R28" s="8">
        <f>B59/config!$L$2</f>
        <v>0</v>
      </c>
      <c r="S28" s="8" t="str">
        <f>IFERROR((config!$K$2-config!$L$2)/(Q28-R28),"")</f>
        <v/>
      </c>
    </row>
    <row r="29" spans="1:19" hidden="1" x14ac:dyDescent="0.3">
      <c r="B29" s="13"/>
      <c r="C29" s="13"/>
      <c r="D29" s="13"/>
      <c r="E29" s="13"/>
      <c r="F29" s="13"/>
      <c r="G29" s="13"/>
      <c r="H29" s="13"/>
      <c r="I29" s="13"/>
      <c r="J29" s="11">
        <f t="shared" si="1"/>
        <v>0</v>
      </c>
      <c r="K29" s="14">
        <f>SUMPRODUCT(B29:I29,config!$B$4:$I$4)</f>
        <v>0</v>
      </c>
      <c r="L29" s="13">
        <f>SUMPRODUCT(B29:I29,config!$B$5:$I$5)-C60</f>
        <v>0</v>
      </c>
      <c r="M29" s="15" t="str">
        <f t="shared" si="2"/>
        <v/>
      </c>
      <c r="N29" s="7" t="str">
        <f t="shared" si="3"/>
        <v/>
      </c>
      <c r="O29" s="19" t="str">
        <f>IF(S29="","",S29*J29+config!$K$2+config!$L$2)</f>
        <v/>
      </c>
      <c r="P29" s="19" t="str">
        <f t="shared" si="4"/>
        <v/>
      </c>
      <c r="Q29" s="8">
        <f>B60/config!$K$2</f>
        <v>0</v>
      </c>
      <c r="R29" s="8">
        <f>B60/config!$L$2</f>
        <v>0</v>
      </c>
      <c r="S29" s="8" t="str">
        <f>IFERROR((config!$K$2-config!$L$2)/(Q29-R29),"")</f>
        <v/>
      </c>
    </row>
    <row r="30" spans="1:19" x14ac:dyDescent="0.3">
      <c r="A30" s="1" t="s">
        <v>1</v>
      </c>
      <c r="B30" s="11">
        <f t="shared" ref="B30:L30" si="6">SUM(B2:B29)</f>
        <v>5</v>
      </c>
      <c r="C30" s="11">
        <f t="shared" si="6"/>
        <v>10</v>
      </c>
      <c r="D30" s="11">
        <f t="shared" si="6"/>
        <v>72</v>
      </c>
      <c r="E30" s="11">
        <f t="shared" si="6"/>
        <v>14</v>
      </c>
      <c r="F30" s="11">
        <f t="shared" si="6"/>
        <v>0</v>
      </c>
      <c r="G30" s="11">
        <f t="shared" si="6"/>
        <v>5</v>
      </c>
      <c r="H30" s="11">
        <f t="shared" si="6"/>
        <v>0</v>
      </c>
      <c r="I30" s="11">
        <f t="shared" si="6"/>
        <v>0</v>
      </c>
      <c r="J30" s="11">
        <f t="shared" si="6"/>
        <v>106</v>
      </c>
      <c r="K30" s="16">
        <f t="shared" si="6"/>
        <v>174.9</v>
      </c>
      <c r="L30" s="11">
        <f t="shared" si="6"/>
        <v>1339</v>
      </c>
      <c r="M30" s="17">
        <f>IFERROR(B61/J30,0)</f>
        <v>12.273584905660377</v>
      </c>
      <c r="N30" s="18">
        <f>AVERAGE(N2:N29)</f>
        <v>7.7415393830488455E-2</v>
      </c>
      <c r="O30" s="20">
        <f>S30*J30+config!$K$2+config!$L$2</f>
        <v>12.356648731744814</v>
      </c>
      <c r="P30" s="20">
        <f>AVERAGE(P2:P29)</f>
        <v>9.7801393975887052E-2</v>
      </c>
      <c r="Q30" s="21">
        <f>B61/config!$K$2</f>
        <v>108.41666666666667</v>
      </c>
      <c r="R30" s="21">
        <f>B61/config!$L$2</f>
        <v>81.3125</v>
      </c>
      <c r="S30" s="21">
        <f>IFERROR((config!$K$2-config!$L$2)/(Q30-R30),0)</f>
        <v>-0.14757878554957723</v>
      </c>
    </row>
    <row r="31" spans="1:19" x14ac:dyDescent="0.3">
      <c r="F31" s="8"/>
      <c r="G31" s="2">
        <f>SUM(F30:G30)/J30</f>
        <v>4.716981132075472E-2</v>
      </c>
      <c r="H31" s="3"/>
      <c r="I31" s="3">
        <f>SUM(H30:I30)/J30</f>
        <v>0</v>
      </c>
      <c r="J31" s="4">
        <f>I31+G31</f>
        <v>4.716981132075472E-2</v>
      </c>
    </row>
    <row r="32" spans="1:19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H32" t="s">
        <v>22</v>
      </c>
      <c r="I32" t="s">
        <v>25</v>
      </c>
      <c r="J32" t="s">
        <v>26</v>
      </c>
      <c r="K32" t="s">
        <v>11</v>
      </c>
      <c r="L32" t="s">
        <v>12</v>
      </c>
      <c r="M32" t="s">
        <v>27</v>
      </c>
      <c r="N32" t="s">
        <v>28</v>
      </c>
      <c r="O32" t="s">
        <v>29</v>
      </c>
      <c r="P32" t="s">
        <v>32</v>
      </c>
      <c r="Q32" t="s">
        <v>41</v>
      </c>
      <c r="R32" t="s">
        <v>33</v>
      </c>
      <c r="S32" t="s">
        <v>51</v>
      </c>
    </row>
    <row r="33" spans="1:21" x14ac:dyDescent="0.3">
      <c r="A33" t="s">
        <v>46</v>
      </c>
      <c r="B33">
        <v>150</v>
      </c>
      <c r="C33">
        <v>15</v>
      </c>
      <c r="D33">
        <v>30</v>
      </c>
      <c r="E33">
        <v>1</v>
      </c>
      <c r="F33">
        <v>2</v>
      </c>
      <c r="H33">
        <f>SUMPRODUCT(B2:I2,config!$B$1:$I$1)-B33</f>
        <v>2</v>
      </c>
      <c r="I33">
        <f>SUMPRODUCT(B2:I2,config!$B$2:$I$2)-C33</f>
        <v>55</v>
      </c>
      <c r="J33">
        <f>SUMPRODUCT(B2:I2,config!$B$3:$I$3)-D33</f>
        <v>26</v>
      </c>
      <c r="K33">
        <f>B2-E33</f>
        <v>0</v>
      </c>
      <c r="L33">
        <f t="shared" ref="L33:L60" si="7">C2-F33</f>
        <v>0</v>
      </c>
      <c r="M33" t="s">
        <v>30</v>
      </c>
      <c r="N33">
        <v>108</v>
      </c>
      <c r="O33">
        <v>84</v>
      </c>
      <c r="P33">
        <f>J30</f>
        <v>106</v>
      </c>
      <c r="Q33" s="5">
        <f>(P33-N33)/(O33-N33)*100</f>
        <v>8.3333333333333321</v>
      </c>
      <c r="R33">
        <v>0.13619152859074701</v>
      </c>
      <c r="S33">
        <f>Q33*R33</f>
        <v>1.1349294049228915</v>
      </c>
      <c r="T33" s="1" t="s">
        <v>45</v>
      </c>
      <c r="U33" s="1">
        <f>INT(B61/config!K2)</f>
        <v>108</v>
      </c>
    </row>
    <row r="34" spans="1:21" x14ac:dyDescent="0.3">
      <c r="A34" t="s">
        <v>47</v>
      </c>
      <c r="B34">
        <v>220</v>
      </c>
      <c r="C34">
        <v>15</v>
      </c>
      <c r="D34">
        <v>30</v>
      </c>
      <c r="E34">
        <v>1</v>
      </c>
      <c r="F34">
        <v>1</v>
      </c>
      <c r="H34">
        <f>SUMPRODUCT(B3:I3,config!$B$1:$I$1)-B34</f>
        <v>2</v>
      </c>
      <c r="I34">
        <f>SUMPRODUCT(B3:I3,config!$B$2:$I$2)-C34</f>
        <v>145</v>
      </c>
      <c r="J34">
        <f>SUMPRODUCT(B3:I3,config!$B$3:$I$3)-D34</f>
        <v>98</v>
      </c>
      <c r="K34">
        <f t="shared" ref="K34:K60" si="8">B3-E34</f>
        <v>0</v>
      </c>
      <c r="L34">
        <f t="shared" si="7"/>
        <v>0</v>
      </c>
      <c r="M34" t="s">
        <v>6</v>
      </c>
      <c r="N34">
        <v>178.2</v>
      </c>
      <c r="O34">
        <v>98.4</v>
      </c>
      <c r="P34">
        <f>K30</f>
        <v>174.9</v>
      </c>
      <c r="Q34" s="5">
        <f>(P34-N34)/(O34-N34)*100</f>
        <v>4.1353383458646409</v>
      </c>
      <c r="R34">
        <v>6.2556310969295995E-2</v>
      </c>
      <c r="S34">
        <f t="shared" ref="S34:S36" si="9">Q34*R34</f>
        <v>0.25869151152716258</v>
      </c>
    </row>
    <row r="35" spans="1:21" x14ac:dyDescent="0.3">
      <c r="A35" t="s">
        <v>48</v>
      </c>
      <c r="B35">
        <v>430</v>
      </c>
      <c r="C35">
        <v>36</v>
      </c>
      <c r="D35">
        <v>57</v>
      </c>
      <c r="E35">
        <v>1</v>
      </c>
      <c r="F35">
        <v>3</v>
      </c>
      <c r="H35">
        <f>SUMPRODUCT(B4:I4,config!$B$1:$I$1)-B35</f>
        <v>0</v>
      </c>
      <c r="I35">
        <f>SUMPRODUCT(B4:I4,config!$B$2:$I$2)-C35</f>
        <v>254</v>
      </c>
      <c r="J35">
        <f>SUMPRODUCT(B4:I4,config!$B$3:$I$3)-D35</f>
        <v>175</v>
      </c>
      <c r="K35">
        <f t="shared" si="8"/>
        <v>0</v>
      </c>
      <c r="L35">
        <f t="shared" si="7"/>
        <v>0</v>
      </c>
      <c r="M35" t="s">
        <v>7</v>
      </c>
      <c r="N35">
        <v>2</v>
      </c>
      <c r="O35">
        <v>1411</v>
      </c>
      <c r="P35">
        <f>L30</f>
        <v>1339</v>
      </c>
      <c r="Q35" s="5">
        <f>(P35-N35)/(O35-N35)*100</f>
        <v>94.889992902767915</v>
      </c>
      <c r="R35">
        <v>0.30930635570252701</v>
      </c>
      <c r="S35">
        <f t="shared" si="9"/>
        <v>29.350077897393795</v>
      </c>
    </row>
    <row r="36" spans="1:21" x14ac:dyDescent="0.3">
      <c r="A36" t="s">
        <v>49</v>
      </c>
      <c r="B36">
        <v>196</v>
      </c>
      <c r="C36">
        <v>16.5</v>
      </c>
      <c r="D36">
        <v>33</v>
      </c>
      <c r="E36">
        <v>1</v>
      </c>
      <c r="F36">
        <v>1</v>
      </c>
      <c r="H36">
        <f>SUMPRODUCT(B5:I5,config!$B$1:$I$1)-B36</f>
        <v>2</v>
      </c>
      <c r="I36">
        <f>SUMPRODUCT(B5:I5,config!$B$2:$I$2)-C36</f>
        <v>113.5</v>
      </c>
      <c r="J36">
        <f>SUMPRODUCT(B5:I5,config!$B$3:$I$3)-D36</f>
        <v>71</v>
      </c>
      <c r="K36">
        <f t="shared" si="8"/>
        <v>0</v>
      </c>
      <c r="L36">
        <f t="shared" si="7"/>
        <v>0</v>
      </c>
      <c r="M36" t="s">
        <v>31</v>
      </c>
      <c r="N36">
        <v>3.4331</v>
      </c>
      <c r="O36">
        <v>9.7799999999999998E-2</v>
      </c>
      <c r="P36" s="5">
        <f>P30</f>
        <v>9.7801393975887052E-2</v>
      </c>
      <c r="Q36" s="5">
        <f>(P36-N36)/(O36-N36)*100</f>
        <v>99.999958205382214</v>
      </c>
      <c r="R36">
        <v>0.49194580473742799</v>
      </c>
      <c r="S36">
        <f t="shared" si="9"/>
        <v>49.194559913055919</v>
      </c>
    </row>
    <row r="37" spans="1:21" x14ac:dyDescent="0.3">
      <c r="A37" t="s">
        <v>50</v>
      </c>
      <c r="B37">
        <v>305</v>
      </c>
      <c r="C37">
        <v>42.5</v>
      </c>
      <c r="D37">
        <v>70</v>
      </c>
      <c r="E37">
        <v>1</v>
      </c>
      <c r="F37">
        <v>3</v>
      </c>
      <c r="H37">
        <f>SUMPRODUCT(B6:I6,config!$B$1:$I$1)-B37</f>
        <v>1</v>
      </c>
      <c r="I37">
        <f>SUMPRODUCT(B6:I6,config!$B$2:$I$2)-C37</f>
        <v>167.5</v>
      </c>
      <c r="J37">
        <f>SUMPRODUCT(B6:I6,config!$B$3:$I$3)-D37</f>
        <v>98</v>
      </c>
      <c r="K37">
        <f t="shared" si="8"/>
        <v>0</v>
      </c>
      <c r="L37">
        <f t="shared" si="7"/>
        <v>0</v>
      </c>
      <c r="P37" s="1" t="s">
        <v>42</v>
      </c>
      <c r="Q37" s="6">
        <f>SUMPRODUCT(Q33:Q36,R33:R36)</f>
        <v>79.938258726899761</v>
      </c>
    </row>
    <row r="38" spans="1:21" hidden="1" x14ac:dyDescent="0.3">
      <c r="H38">
        <f>SUMPRODUCT(B7:I7,config!$B$1:$I$1)-B38</f>
        <v>0</v>
      </c>
      <c r="I38">
        <f>SUMPRODUCT(B7:I7,config!$B$2:$I$2)-C38</f>
        <v>0</v>
      </c>
      <c r="J38">
        <f>SUMPRODUCT(B7:I7,config!$B$3:$I$3)-D38</f>
        <v>0</v>
      </c>
      <c r="K38">
        <f t="shared" si="8"/>
        <v>0</v>
      </c>
      <c r="L38">
        <f t="shared" si="7"/>
        <v>0</v>
      </c>
    </row>
    <row r="39" spans="1:21" hidden="1" x14ac:dyDescent="0.3">
      <c r="H39">
        <f>SUMPRODUCT(B8:I8,config!$B$1:$I$1)-B39</f>
        <v>0</v>
      </c>
      <c r="I39">
        <f>SUMPRODUCT(B8:I8,config!$B$2:$I$2)-C39</f>
        <v>0</v>
      </c>
      <c r="J39">
        <f>SUMPRODUCT(B8:I8,config!$B$3:$I$3)-D39</f>
        <v>0</v>
      </c>
      <c r="K39">
        <f t="shared" si="8"/>
        <v>0</v>
      </c>
      <c r="L39">
        <f t="shared" si="7"/>
        <v>0</v>
      </c>
    </row>
    <row r="40" spans="1:21" hidden="1" x14ac:dyDescent="0.3">
      <c r="H40">
        <f>SUMPRODUCT(B9:I9,config!$B$1:$I$1)-B40</f>
        <v>0</v>
      </c>
      <c r="I40">
        <f>SUMPRODUCT(B9:I9,config!$B$2:$I$2)-C40</f>
        <v>0</v>
      </c>
      <c r="J40">
        <f>SUMPRODUCT(B9:I9,config!$B$3:$I$3)-D40</f>
        <v>0</v>
      </c>
      <c r="K40">
        <f t="shared" si="8"/>
        <v>0</v>
      </c>
      <c r="L40">
        <f t="shared" si="7"/>
        <v>0</v>
      </c>
    </row>
    <row r="41" spans="1:21" hidden="1" x14ac:dyDescent="0.3">
      <c r="H41">
        <f>SUMPRODUCT(B10:I10,config!$B$1:$I$1)-B41</f>
        <v>0</v>
      </c>
      <c r="I41">
        <f>SUMPRODUCT(B10:I10,config!$B$2:$I$2)-C41</f>
        <v>0</v>
      </c>
      <c r="J41">
        <f>SUMPRODUCT(B10:I10,config!$B$3:$I$3)-D41</f>
        <v>0</v>
      </c>
      <c r="K41">
        <f t="shared" si="8"/>
        <v>0</v>
      </c>
      <c r="L41">
        <f t="shared" si="7"/>
        <v>0</v>
      </c>
    </row>
    <row r="42" spans="1:21" hidden="1" x14ac:dyDescent="0.3">
      <c r="H42">
        <f>SUMPRODUCT(B11:I11,config!$B$1:$I$1)-B42</f>
        <v>0</v>
      </c>
      <c r="I42">
        <f>SUMPRODUCT(B11:I11,config!$B$2:$I$2)-C42</f>
        <v>0</v>
      </c>
      <c r="J42">
        <f>SUMPRODUCT(B11:I11,config!$B$3:$I$3)-D42</f>
        <v>0</v>
      </c>
      <c r="K42">
        <f t="shared" si="8"/>
        <v>0</v>
      </c>
      <c r="L42">
        <f t="shared" si="7"/>
        <v>0</v>
      </c>
    </row>
    <row r="43" spans="1:21" hidden="1" x14ac:dyDescent="0.3">
      <c r="H43">
        <f>SUMPRODUCT(B12:I12,config!$B$1:$I$1)-B43</f>
        <v>0</v>
      </c>
      <c r="I43">
        <f>SUMPRODUCT(B12:I12,config!$B$2:$I$2)-C43</f>
        <v>0</v>
      </c>
      <c r="J43">
        <f>SUMPRODUCT(B12:I12,config!$B$3:$I$3)-D43</f>
        <v>0</v>
      </c>
      <c r="K43">
        <f t="shared" si="8"/>
        <v>0</v>
      </c>
      <c r="L43">
        <f t="shared" si="7"/>
        <v>0</v>
      </c>
    </row>
    <row r="44" spans="1:21" hidden="1" x14ac:dyDescent="0.3">
      <c r="H44">
        <f>SUMPRODUCT(B13:I13,config!$B$1:$I$1)-B44</f>
        <v>0</v>
      </c>
      <c r="I44">
        <f>SUMPRODUCT(B13:I13,config!$B$2:$I$2)-C44</f>
        <v>0</v>
      </c>
      <c r="J44">
        <f>SUMPRODUCT(B13:I13,config!$B$3:$I$3)-D44</f>
        <v>0</v>
      </c>
      <c r="K44">
        <f t="shared" si="8"/>
        <v>0</v>
      </c>
      <c r="L44">
        <f t="shared" si="7"/>
        <v>0</v>
      </c>
    </row>
    <row r="45" spans="1:21" hidden="1" x14ac:dyDescent="0.3">
      <c r="H45">
        <f>SUMPRODUCT(B14:I14,config!$B$1:$I$1)-B45</f>
        <v>0</v>
      </c>
      <c r="I45">
        <f>SUMPRODUCT(B14:I14,config!$B$2:$I$2)-C45</f>
        <v>0</v>
      </c>
      <c r="J45">
        <f>SUMPRODUCT(B14:I14,config!$B$3:$I$3)-D45</f>
        <v>0</v>
      </c>
      <c r="K45">
        <f t="shared" si="8"/>
        <v>0</v>
      </c>
      <c r="L45">
        <f t="shared" si="7"/>
        <v>0</v>
      </c>
    </row>
    <row r="46" spans="1:21" hidden="1" x14ac:dyDescent="0.3">
      <c r="H46">
        <f>SUMPRODUCT(B15:I15,config!$B$1:$I$1)-B46</f>
        <v>0</v>
      </c>
      <c r="I46">
        <f>SUMPRODUCT(B15:I15,config!$B$2:$I$2)-C46</f>
        <v>0</v>
      </c>
      <c r="J46">
        <f>SUMPRODUCT(B15:I15,config!$B$3:$I$3)-D46</f>
        <v>0</v>
      </c>
      <c r="K46">
        <f t="shared" si="8"/>
        <v>0</v>
      </c>
      <c r="L46">
        <f t="shared" si="7"/>
        <v>0</v>
      </c>
    </row>
    <row r="47" spans="1:21" hidden="1" x14ac:dyDescent="0.3">
      <c r="H47">
        <f>SUMPRODUCT(B16:I16,config!$B$1:$I$1)-B47</f>
        <v>0</v>
      </c>
      <c r="I47">
        <f>SUMPRODUCT(B16:I16,config!$B$2:$I$2)-C47</f>
        <v>0</v>
      </c>
      <c r="J47">
        <f>SUMPRODUCT(B16:I16,config!$B$3:$I$3)-D47</f>
        <v>0</v>
      </c>
      <c r="K47">
        <f t="shared" si="8"/>
        <v>0</v>
      </c>
      <c r="L47">
        <f t="shared" si="7"/>
        <v>0</v>
      </c>
    </row>
    <row r="48" spans="1:21" hidden="1" x14ac:dyDescent="0.3">
      <c r="H48">
        <f>SUMPRODUCT(B17:I17,config!$B$1:$I$1)-B48</f>
        <v>0</v>
      </c>
      <c r="I48">
        <f>SUMPRODUCT(B17:I17,config!$B$2:$I$2)-C48</f>
        <v>0</v>
      </c>
      <c r="J48">
        <f>SUMPRODUCT(B17:I17,config!$B$3:$I$3)-D48</f>
        <v>0</v>
      </c>
      <c r="K48">
        <f t="shared" si="8"/>
        <v>0</v>
      </c>
      <c r="L48">
        <f t="shared" si="7"/>
        <v>0</v>
      </c>
    </row>
    <row r="49" spans="1:12" hidden="1" x14ac:dyDescent="0.3">
      <c r="H49">
        <f>SUMPRODUCT(B18:I18,config!$B$1:$I$1)-B49</f>
        <v>0</v>
      </c>
      <c r="I49">
        <f>SUMPRODUCT(B18:I18,config!$B$2:$I$2)-C49</f>
        <v>0</v>
      </c>
      <c r="J49">
        <f>SUMPRODUCT(B18:I18,config!$B$3:$I$3)-D49</f>
        <v>0</v>
      </c>
      <c r="K49">
        <f t="shared" si="8"/>
        <v>0</v>
      </c>
      <c r="L49">
        <f t="shared" si="7"/>
        <v>0</v>
      </c>
    </row>
    <row r="50" spans="1:12" hidden="1" x14ac:dyDescent="0.3">
      <c r="H50">
        <f>SUMPRODUCT(B19:I19,config!$B$1:$I$1)-B50</f>
        <v>0</v>
      </c>
      <c r="I50">
        <f>SUMPRODUCT(B19:I19,config!$B$2:$I$2)-C50</f>
        <v>0</v>
      </c>
      <c r="J50">
        <f>SUMPRODUCT(B19:I19,config!$B$3:$I$3)-D50</f>
        <v>0</v>
      </c>
      <c r="K50">
        <f t="shared" si="8"/>
        <v>0</v>
      </c>
      <c r="L50">
        <f t="shared" si="7"/>
        <v>0</v>
      </c>
    </row>
    <row r="51" spans="1:12" hidden="1" x14ac:dyDescent="0.3">
      <c r="H51">
        <f>SUMPRODUCT(B20:I20,config!$B$1:$I$1)-B51</f>
        <v>0</v>
      </c>
      <c r="I51">
        <f>SUMPRODUCT(B20:I20,config!$B$2:$I$2)-C51</f>
        <v>0</v>
      </c>
      <c r="J51">
        <f>SUMPRODUCT(B20:I20,config!$B$3:$I$3)-D51</f>
        <v>0</v>
      </c>
      <c r="K51">
        <f t="shared" si="8"/>
        <v>0</v>
      </c>
      <c r="L51">
        <f t="shared" si="7"/>
        <v>0</v>
      </c>
    </row>
    <row r="52" spans="1:12" hidden="1" x14ac:dyDescent="0.3">
      <c r="H52">
        <f>SUMPRODUCT(B21:I21,config!$B$1:$I$1)-B52</f>
        <v>0</v>
      </c>
      <c r="I52">
        <f>SUMPRODUCT(B21:I21,config!$B$2:$I$2)-C52</f>
        <v>0</v>
      </c>
      <c r="J52">
        <f>SUMPRODUCT(B21:I21,config!$B$3:$I$3)-D52</f>
        <v>0</v>
      </c>
      <c r="K52">
        <f t="shared" si="8"/>
        <v>0</v>
      </c>
      <c r="L52">
        <f t="shared" si="7"/>
        <v>0</v>
      </c>
    </row>
    <row r="53" spans="1:12" hidden="1" x14ac:dyDescent="0.3">
      <c r="H53">
        <f>SUMPRODUCT(B22:I22,config!$B$1:$I$1)-B53</f>
        <v>0</v>
      </c>
      <c r="I53">
        <f>SUMPRODUCT(B22:I22,config!$B$2:$I$2)-C53</f>
        <v>0</v>
      </c>
      <c r="J53">
        <f>SUMPRODUCT(B22:I22,config!$B$3:$I$3)-D53</f>
        <v>0</v>
      </c>
      <c r="K53">
        <f t="shared" si="8"/>
        <v>0</v>
      </c>
      <c r="L53">
        <f t="shared" si="7"/>
        <v>0</v>
      </c>
    </row>
    <row r="54" spans="1:12" hidden="1" x14ac:dyDescent="0.3">
      <c r="H54">
        <f>SUMPRODUCT(B23:I23,config!$B$1:$I$1)-B54</f>
        <v>0</v>
      </c>
      <c r="I54">
        <f>SUMPRODUCT(B23:I23,config!$B$2:$I$2)-C54</f>
        <v>0</v>
      </c>
      <c r="J54">
        <f>SUMPRODUCT(B23:I23,config!$B$3:$I$3)-D54</f>
        <v>0</v>
      </c>
      <c r="K54">
        <f t="shared" si="8"/>
        <v>0</v>
      </c>
      <c r="L54">
        <f t="shared" si="7"/>
        <v>0</v>
      </c>
    </row>
    <row r="55" spans="1:12" hidden="1" x14ac:dyDescent="0.3">
      <c r="H55">
        <f>SUMPRODUCT(B24:I24,config!$B$1:$I$1)-B55</f>
        <v>0</v>
      </c>
      <c r="I55">
        <f>SUMPRODUCT(B24:I24,config!$B$2:$I$2)-C55</f>
        <v>0</v>
      </c>
      <c r="J55">
        <f>SUMPRODUCT(B24:I24,config!$B$3:$I$3)-D55</f>
        <v>0</v>
      </c>
      <c r="K55">
        <f t="shared" si="8"/>
        <v>0</v>
      </c>
      <c r="L55">
        <f t="shared" si="7"/>
        <v>0</v>
      </c>
    </row>
    <row r="56" spans="1:12" hidden="1" x14ac:dyDescent="0.3">
      <c r="H56">
        <f>SUMPRODUCT(B25:I25,config!$B$1:$I$1)-B56</f>
        <v>0</v>
      </c>
      <c r="I56">
        <f>SUMPRODUCT(B25:I25,config!$B$2:$I$2)-C56</f>
        <v>0</v>
      </c>
      <c r="J56">
        <f>SUMPRODUCT(B25:I25,config!$B$3:$I$3)-D56</f>
        <v>0</v>
      </c>
      <c r="K56">
        <f t="shared" si="8"/>
        <v>0</v>
      </c>
      <c r="L56">
        <f t="shared" si="7"/>
        <v>0</v>
      </c>
    </row>
    <row r="57" spans="1:12" hidden="1" x14ac:dyDescent="0.3">
      <c r="H57">
        <f>SUMPRODUCT(B26:I26,config!$B$1:$I$1)-B57</f>
        <v>0</v>
      </c>
      <c r="I57">
        <f>SUMPRODUCT(B26:I26,config!$B$2:$I$2)-C57</f>
        <v>0</v>
      </c>
      <c r="J57">
        <f>SUMPRODUCT(B26:I26,config!$B$3:$I$3)-D57</f>
        <v>0</v>
      </c>
      <c r="K57">
        <f t="shared" si="8"/>
        <v>0</v>
      </c>
      <c r="L57">
        <f t="shared" si="7"/>
        <v>0</v>
      </c>
    </row>
    <row r="58" spans="1:12" hidden="1" x14ac:dyDescent="0.3">
      <c r="H58">
        <f>SUMPRODUCT(B27:I27,config!$B$1:$I$1)-B58</f>
        <v>0</v>
      </c>
      <c r="I58">
        <f>SUMPRODUCT(B27:I27,config!$B$2:$I$2)-C58</f>
        <v>0</v>
      </c>
      <c r="J58">
        <f>SUMPRODUCT(B27:I27,config!$B$3:$I$3)-D58</f>
        <v>0</v>
      </c>
      <c r="K58">
        <f t="shared" si="8"/>
        <v>0</v>
      </c>
      <c r="L58">
        <f t="shared" si="7"/>
        <v>0</v>
      </c>
    </row>
    <row r="59" spans="1:12" hidden="1" x14ac:dyDescent="0.3">
      <c r="H59">
        <f>SUMPRODUCT(B28:I28,config!$B$1:$I$1)-B59</f>
        <v>0</v>
      </c>
      <c r="I59">
        <f>SUMPRODUCT(B28:I28,config!$B$2:$I$2)-C59</f>
        <v>0</v>
      </c>
      <c r="J59">
        <f>SUMPRODUCT(B28:I28,config!$B$3:$I$3)-D59</f>
        <v>0</v>
      </c>
      <c r="K59">
        <f t="shared" si="8"/>
        <v>0</v>
      </c>
      <c r="L59">
        <f t="shared" si="7"/>
        <v>0</v>
      </c>
    </row>
    <row r="60" spans="1:12" hidden="1" x14ac:dyDescent="0.3">
      <c r="H60">
        <f>SUMPRODUCT(B29:I29,config!$B$1:$I$1)-B60</f>
        <v>0</v>
      </c>
      <c r="I60">
        <f>SUMPRODUCT(B29:I29,config!$B$2:$I$2)-C60</f>
        <v>0</v>
      </c>
      <c r="J60">
        <f>SUMPRODUCT(B29:I29,config!$B$3:$I$3)-D60</f>
        <v>0</v>
      </c>
      <c r="K60">
        <f t="shared" si="8"/>
        <v>0</v>
      </c>
      <c r="L60">
        <f t="shared" si="7"/>
        <v>0</v>
      </c>
    </row>
    <row r="61" spans="1:12" x14ac:dyDescent="0.3">
      <c r="A61" s="1" t="s">
        <v>1</v>
      </c>
      <c r="B61" s="1">
        <f>SUM(B33:B60)</f>
        <v>1301</v>
      </c>
      <c r="C61" s="1">
        <f>SUM(C33:C60)</f>
        <v>125</v>
      </c>
      <c r="D61" s="1">
        <f>SUM(D33:D60)</f>
        <v>220</v>
      </c>
      <c r="E61" s="1">
        <f>SUM(E33:E60)</f>
        <v>5</v>
      </c>
      <c r="F61" s="1">
        <f>SUM(F33:F60)</f>
        <v>10</v>
      </c>
    </row>
  </sheetData>
  <conditionalFormatting sqref="H33:L60">
    <cfRule type="cellIs" dxfId="14" priority="5" operator="greaterThanOrEqual">
      <formula>0</formula>
    </cfRule>
    <cfRule type="cellIs" dxfId="13" priority="6" operator="lessThan">
      <formula>0</formula>
    </cfRule>
  </conditionalFormatting>
  <conditionalFormatting sqref="J30">
    <cfRule type="cellIs" dxfId="12" priority="7" operator="greaterThan">
      <formula>$U$33</formula>
    </cfRule>
  </conditionalFormatting>
  <conditionalFormatting sqref="M2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{E2FB9F51-B4DE-42C9-98EE-510701C8550C}</x14:id>
        </ext>
      </extLst>
    </cfRule>
  </conditionalFormatting>
  <conditionalFormatting sqref="Q33:Q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{FE612DBA-E0A1-4DE0-9E22-C42AA38DCB27}</x14:id>
        </ext>
      </extLst>
    </cfRule>
  </conditionalFormatting>
  <conditionalFormatting sqref="S33:S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{B301A745-81A8-446D-9C09-AF3E013D272B}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FB9F51-B4DE-42C9-98EE-510701C85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N2:N29</xm:sqref>
        </x14:conditionalFormatting>
        <x14:conditionalFormatting xmlns:xm="http://schemas.microsoft.com/office/excel/2006/main">
          <x14:cfRule type="dataBar" id="{FE612DBA-E0A1-4DE0-9E22-C42AA38DCB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Q33:Q37</xm:sqref>
        </x14:conditionalFormatting>
        <x14:conditionalFormatting xmlns:xm="http://schemas.microsoft.com/office/excel/2006/main">
          <x14:cfRule type="dataBar" id="{B301A745-81A8-446D-9C09-AF3E013D2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S33:S36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5D21-36DC-435B-B1F8-21D79261803B}">
  <dimension ref="A1:L5"/>
  <sheetViews>
    <sheetView workbookViewId="0">
      <selection activeCell="G5" sqref="G5"/>
    </sheetView>
  </sheetViews>
  <sheetFormatPr defaultRowHeight="14.4" x14ac:dyDescent="0.3"/>
  <sheetData>
    <row r="1" spans="1:12" x14ac:dyDescent="0.3">
      <c r="A1" t="s">
        <v>21</v>
      </c>
      <c r="B1">
        <v>0</v>
      </c>
      <c r="C1">
        <v>10</v>
      </c>
      <c r="D1">
        <v>12</v>
      </c>
      <c r="E1">
        <v>16</v>
      </c>
      <c r="F1">
        <v>20</v>
      </c>
      <c r="G1">
        <v>24</v>
      </c>
      <c r="H1">
        <v>10</v>
      </c>
      <c r="I1">
        <v>12</v>
      </c>
      <c r="K1" t="s">
        <v>38</v>
      </c>
      <c r="L1" t="s">
        <v>39</v>
      </c>
    </row>
    <row r="2" spans="1:12" x14ac:dyDescent="0.3">
      <c r="A2" t="s">
        <v>24</v>
      </c>
      <c r="B2">
        <v>0</v>
      </c>
      <c r="C2">
        <v>0</v>
      </c>
      <c r="D2">
        <v>10</v>
      </c>
      <c r="E2">
        <v>10</v>
      </c>
      <c r="F2">
        <v>5</v>
      </c>
      <c r="G2">
        <v>0</v>
      </c>
      <c r="H2">
        <v>3</v>
      </c>
      <c r="I2">
        <v>0</v>
      </c>
      <c r="K2">
        <v>12</v>
      </c>
      <c r="L2">
        <v>16</v>
      </c>
    </row>
    <row r="3" spans="1:12" x14ac:dyDescent="0.3">
      <c r="A3" t="s">
        <v>23</v>
      </c>
      <c r="B3">
        <v>0</v>
      </c>
      <c r="C3">
        <v>0</v>
      </c>
      <c r="D3">
        <v>8</v>
      </c>
      <c r="E3">
        <v>8</v>
      </c>
      <c r="F3">
        <v>8</v>
      </c>
      <c r="G3">
        <v>0</v>
      </c>
      <c r="H3">
        <v>6</v>
      </c>
      <c r="I3">
        <v>0</v>
      </c>
    </row>
    <row r="4" spans="1:12" x14ac:dyDescent="0.3">
      <c r="A4" t="s">
        <v>6</v>
      </c>
      <c r="B4">
        <v>1.65</v>
      </c>
      <c r="C4">
        <v>1.65</v>
      </c>
      <c r="D4">
        <v>1.65</v>
      </c>
      <c r="E4">
        <v>1.65</v>
      </c>
      <c r="F4">
        <v>1.65</v>
      </c>
      <c r="G4">
        <v>1.65</v>
      </c>
      <c r="H4">
        <v>0.6</v>
      </c>
      <c r="I4">
        <v>0.6</v>
      </c>
    </row>
    <row r="5" spans="1:12" x14ac:dyDescent="0.3">
      <c r="A5" t="s">
        <v>7</v>
      </c>
      <c r="B5">
        <v>0</v>
      </c>
      <c r="C5">
        <v>0</v>
      </c>
      <c r="D5">
        <v>18</v>
      </c>
      <c r="E5">
        <v>12</v>
      </c>
      <c r="F5">
        <v>5</v>
      </c>
      <c r="G5">
        <v>0</v>
      </c>
      <c r="H5">
        <v>3</v>
      </c>
      <c r="I5">
        <v>0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6678d9fe-0921-417d-8411-5f1c18defbbb}" enabled="0" method="" siteId="{6678d9fe-0921-417d-8411-5f1c18defb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CBC</vt:lpstr>
      <vt:lpstr>SCIP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 Guimaraes</cp:lastModifiedBy>
  <dcterms:created xsi:type="dcterms:W3CDTF">2023-06-29T19:50:32Z</dcterms:created>
  <dcterms:modified xsi:type="dcterms:W3CDTF">2023-09-11T14:08:41Z</dcterms:modified>
</cp:coreProperties>
</file>