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gugovbr-my.sharepoint.com/personal/pedro_guimaraes_cgu_gov_br/Documents/Pedro/PPGGO/MODELO/Monte/"/>
    </mc:Choice>
  </mc:AlternateContent>
  <xr:revisionPtr revIDLastSave="1314" documentId="8_{3C3F7D66-EAC4-4946-A658-358D7DE85CF3}" xr6:coauthVersionLast="47" xr6:coauthVersionMax="47" xr10:uidLastSave="{C1890B97-C564-46F4-9D41-15F9882A7A94}"/>
  <bookViews>
    <workbookView xWindow="-108" yWindow="-108" windowWidth="23256" windowHeight="12576" activeTab="6" xr2:uid="{777EBE0C-23A4-4BEB-B19D-BC89EC1030CD}"/>
  </bookViews>
  <sheets>
    <sheet name="Num" sheetId="1" r:id="rId1"/>
    <sheet name="Peq" sheetId="15" r:id="rId2"/>
    <sheet name="PeqDE" sheetId="19" r:id="rId3"/>
    <sheet name="Tempo" sheetId="16" r:id="rId4"/>
    <sheet name="CH" sheetId="17" r:id="rId5"/>
    <sheet name="Geral" sheetId="18" r:id="rId6"/>
    <sheet name="GeralDE" sheetId="20" r:id="rId7"/>
    <sheet name="Pontuações" sheetId="10" r:id="rId8"/>
    <sheet name="config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0" i="1" l="1"/>
  <c r="M9" i="1"/>
  <c r="M8" i="1"/>
  <c r="M7" i="1"/>
  <c r="M6" i="1"/>
  <c r="M5" i="1"/>
  <c r="M4" i="1"/>
  <c r="M3" i="1"/>
  <c r="M10" i="15"/>
  <c r="M9" i="15"/>
  <c r="M8" i="15"/>
  <c r="M7" i="15"/>
  <c r="M6" i="15"/>
  <c r="M5" i="15"/>
  <c r="M4" i="15"/>
  <c r="M3" i="15"/>
  <c r="M10" i="19"/>
  <c r="M9" i="19"/>
  <c r="M8" i="19"/>
  <c r="M7" i="19"/>
  <c r="M6" i="19"/>
  <c r="M5" i="19"/>
  <c r="M4" i="19"/>
  <c r="M3" i="19"/>
  <c r="M10" i="16"/>
  <c r="M9" i="16"/>
  <c r="M8" i="16"/>
  <c r="M7" i="16"/>
  <c r="M6" i="16"/>
  <c r="M5" i="16"/>
  <c r="M4" i="16"/>
  <c r="M3" i="16"/>
  <c r="M10" i="17"/>
  <c r="M9" i="17"/>
  <c r="M8" i="17"/>
  <c r="M7" i="17"/>
  <c r="M6" i="17"/>
  <c r="M5" i="17"/>
  <c r="M4" i="17"/>
  <c r="M3" i="17"/>
  <c r="M10" i="18"/>
  <c r="M9" i="18"/>
  <c r="M8" i="18"/>
  <c r="M7" i="18"/>
  <c r="M6" i="18"/>
  <c r="M5" i="18"/>
  <c r="M4" i="18"/>
  <c r="M3" i="18"/>
  <c r="M4" i="20"/>
  <c r="M5" i="20"/>
  <c r="M6" i="20"/>
  <c r="M7" i="20"/>
  <c r="M8" i="20"/>
  <c r="M9" i="20"/>
  <c r="B25" i="20"/>
  <c r="J24" i="20"/>
  <c r="I24" i="20"/>
  <c r="H24" i="20"/>
  <c r="J23" i="20"/>
  <c r="I23" i="20"/>
  <c r="H23" i="20"/>
  <c r="J22" i="20"/>
  <c r="I22" i="20"/>
  <c r="H22" i="20"/>
  <c r="J21" i="20"/>
  <c r="I21" i="20"/>
  <c r="H21" i="20"/>
  <c r="J20" i="20"/>
  <c r="I20" i="20"/>
  <c r="H20" i="20"/>
  <c r="J19" i="20"/>
  <c r="I19" i="20"/>
  <c r="H19" i="20"/>
  <c r="J18" i="20"/>
  <c r="I18" i="20"/>
  <c r="H18" i="20"/>
  <c r="J17" i="20"/>
  <c r="I17" i="20"/>
  <c r="H17" i="20"/>
  <c r="J16" i="20"/>
  <c r="I16" i="20"/>
  <c r="H16" i="20"/>
  <c r="J15" i="20"/>
  <c r="I15" i="20"/>
  <c r="H15" i="20"/>
  <c r="I12" i="20"/>
  <c r="H12" i="20"/>
  <c r="G12" i="20"/>
  <c r="F12" i="20"/>
  <c r="E12" i="20"/>
  <c r="D12" i="20"/>
  <c r="C12" i="20"/>
  <c r="B12" i="20"/>
  <c r="S11" i="20"/>
  <c r="R11" i="20"/>
  <c r="Q11" i="20"/>
  <c r="L11" i="20"/>
  <c r="K11" i="20"/>
  <c r="J11" i="20"/>
  <c r="M11" i="20" s="1"/>
  <c r="R10" i="20"/>
  <c r="S10" i="20" s="1"/>
  <c r="Q10" i="20"/>
  <c r="L10" i="20"/>
  <c r="K10" i="20"/>
  <c r="J10" i="20"/>
  <c r="M10" i="20" s="1"/>
  <c r="S9" i="20"/>
  <c r="R9" i="20"/>
  <c r="Q9" i="20"/>
  <c r="L9" i="20"/>
  <c r="K9" i="20"/>
  <c r="J9" i="20"/>
  <c r="O9" i="20" s="1"/>
  <c r="R8" i="20"/>
  <c r="Q8" i="20"/>
  <c r="S8" i="20" s="1"/>
  <c r="O8" i="20" s="1"/>
  <c r="L8" i="20"/>
  <c r="K8" i="20"/>
  <c r="J8" i="20"/>
  <c r="S7" i="20"/>
  <c r="R7" i="20"/>
  <c r="Q7" i="20"/>
  <c r="L7" i="20"/>
  <c r="K7" i="20"/>
  <c r="J7" i="20"/>
  <c r="R6" i="20"/>
  <c r="S6" i="20" s="1"/>
  <c r="Q6" i="20"/>
  <c r="L6" i="20"/>
  <c r="K6" i="20"/>
  <c r="J6" i="20"/>
  <c r="R5" i="20"/>
  <c r="Q5" i="20"/>
  <c r="S5" i="20" s="1"/>
  <c r="L5" i="20"/>
  <c r="K5" i="20"/>
  <c r="J5" i="20"/>
  <c r="R4" i="20"/>
  <c r="Q4" i="20"/>
  <c r="S4" i="20" s="1"/>
  <c r="L4" i="20"/>
  <c r="K4" i="20"/>
  <c r="J4" i="20"/>
  <c r="S3" i="20"/>
  <c r="R3" i="20"/>
  <c r="Q3" i="20"/>
  <c r="L3" i="20"/>
  <c r="K3" i="20"/>
  <c r="J3" i="20"/>
  <c r="M3" i="20" s="1"/>
  <c r="R2" i="20"/>
  <c r="S2" i="20" s="1"/>
  <c r="Q2" i="20"/>
  <c r="L2" i="20"/>
  <c r="K2" i="20"/>
  <c r="J2" i="20"/>
  <c r="M2" i="20" s="1"/>
  <c r="K11" i="19"/>
  <c r="K10" i="19"/>
  <c r="K9" i="19"/>
  <c r="K8" i="19"/>
  <c r="K7" i="19"/>
  <c r="K6" i="19"/>
  <c r="K5" i="19"/>
  <c r="K4" i="19"/>
  <c r="K3" i="19"/>
  <c r="K2" i="19"/>
  <c r="B25" i="19"/>
  <c r="J24" i="19"/>
  <c r="I24" i="19"/>
  <c r="H24" i="19"/>
  <c r="J23" i="19"/>
  <c r="I23" i="19"/>
  <c r="H23" i="19"/>
  <c r="J22" i="19"/>
  <c r="I22" i="19"/>
  <c r="H22" i="19"/>
  <c r="J21" i="19"/>
  <c r="I21" i="19"/>
  <c r="H21" i="19"/>
  <c r="J20" i="19"/>
  <c r="I20" i="19"/>
  <c r="H20" i="19"/>
  <c r="J19" i="19"/>
  <c r="I19" i="19"/>
  <c r="H19" i="19"/>
  <c r="J18" i="19"/>
  <c r="I18" i="19"/>
  <c r="H18" i="19"/>
  <c r="J17" i="19"/>
  <c r="I17" i="19"/>
  <c r="H17" i="19"/>
  <c r="J16" i="19"/>
  <c r="I16" i="19"/>
  <c r="H16" i="19"/>
  <c r="J15" i="19"/>
  <c r="I15" i="19"/>
  <c r="H15" i="19"/>
  <c r="I12" i="19"/>
  <c r="H12" i="19"/>
  <c r="G12" i="19"/>
  <c r="F12" i="19"/>
  <c r="E12" i="19"/>
  <c r="D12" i="19"/>
  <c r="C12" i="19"/>
  <c r="B12" i="19"/>
  <c r="R11" i="19"/>
  <c r="Q11" i="19"/>
  <c r="S11" i="19" s="1"/>
  <c r="O11" i="19" s="1"/>
  <c r="L11" i="19"/>
  <c r="J11" i="19"/>
  <c r="M11" i="19" s="1"/>
  <c r="R10" i="19"/>
  <c r="S10" i="19" s="1"/>
  <c r="O10" i="19" s="1"/>
  <c r="Q10" i="19"/>
  <c r="L10" i="19"/>
  <c r="J10" i="19"/>
  <c r="R9" i="19"/>
  <c r="Q9" i="19"/>
  <c r="S9" i="19" s="1"/>
  <c r="O9" i="19" s="1"/>
  <c r="L9" i="19"/>
  <c r="J9" i="19"/>
  <c r="R8" i="19"/>
  <c r="Q8" i="19"/>
  <c r="S8" i="19" s="1"/>
  <c r="O8" i="19" s="1"/>
  <c r="L8" i="19"/>
  <c r="J8" i="19"/>
  <c r="R7" i="19"/>
  <c r="Q7" i="19"/>
  <c r="S7" i="19" s="1"/>
  <c r="L7" i="19"/>
  <c r="J7" i="19"/>
  <c r="R6" i="19"/>
  <c r="S6" i="19" s="1"/>
  <c r="O6" i="19" s="1"/>
  <c r="Q6" i="19"/>
  <c r="L6" i="19"/>
  <c r="J6" i="19"/>
  <c r="R5" i="19"/>
  <c r="Q5" i="19"/>
  <c r="S5" i="19" s="1"/>
  <c r="O5" i="19" s="1"/>
  <c r="L5" i="19"/>
  <c r="J5" i="19"/>
  <c r="R4" i="19"/>
  <c r="Q4" i="19"/>
  <c r="S4" i="19" s="1"/>
  <c r="O4" i="19" s="1"/>
  <c r="L4" i="19"/>
  <c r="J4" i="19"/>
  <c r="R3" i="19"/>
  <c r="Q3" i="19"/>
  <c r="S3" i="19" s="1"/>
  <c r="O3" i="19" s="1"/>
  <c r="L3" i="19"/>
  <c r="J3" i="19"/>
  <c r="R2" i="19"/>
  <c r="S2" i="19" s="1"/>
  <c r="Q2" i="19"/>
  <c r="L2" i="19"/>
  <c r="J2" i="19"/>
  <c r="R12" i="1"/>
  <c r="Q12" i="1"/>
  <c r="S12" i="1" s="1"/>
  <c r="R11" i="1"/>
  <c r="Q11" i="1"/>
  <c r="S11" i="1" s="1"/>
  <c r="R10" i="1"/>
  <c r="Q10" i="1"/>
  <c r="S10" i="1" s="1"/>
  <c r="R9" i="1"/>
  <c r="Q9" i="1"/>
  <c r="S9" i="1" s="1"/>
  <c r="R8" i="1"/>
  <c r="Q8" i="1"/>
  <c r="S8" i="1" s="1"/>
  <c r="R7" i="1"/>
  <c r="Q7" i="1"/>
  <c r="S7" i="1" s="1"/>
  <c r="R6" i="1"/>
  <c r="Q6" i="1"/>
  <c r="S6" i="1" s="1"/>
  <c r="R5" i="1"/>
  <c r="Q5" i="1"/>
  <c r="S5" i="1" s="1"/>
  <c r="R4" i="1"/>
  <c r="Q4" i="1"/>
  <c r="S4" i="1" s="1"/>
  <c r="R3" i="1"/>
  <c r="Q3" i="1"/>
  <c r="S3" i="1" s="1"/>
  <c r="R2" i="1"/>
  <c r="Q2" i="1"/>
  <c r="S2" i="1" s="1"/>
  <c r="R12" i="15"/>
  <c r="Q12" i="15"/>
  <c r="S12" i="15" s="1"/>
  <c r="R11" i="15"/>
  <c r="Q11" i="15"/>
  <c r="S11" i="15" s="1"/>
  <c r="R10" i="15"/>
  <c r="Q10" i="15"/>
  <c r="S10" i="15" s="1"/>
  <c r="R9" i="15"/>
  <c r="Q9" i="15"/>
  <c r="S9" i="15" s="1"/>
  <c r="R8" i="15"/>
  <c r="Q8" i="15"/>
  <c r="S8" i="15" s="1"/>
  <c r="R7" i="15"/>
  <c r="Q7" i="15"/>
  <c r="S7" i="15" s="1"/>
  <c r="R6" i="15"/>
  <c r="Q6" i="15"/>
  <c r="S6" i="15" s="1"/>
  <c r="R5" i="15"/>
  <c r="Q5" i="15"/>
  <c r="S5" i="15" s="1"/>
  <c r="R4" i="15"/>
  <c r="Q4" i="15"/>
  <c r="S4" i="15" s="1"/>
  <c r="R3" i="15"/>
  <c r="Q3" i="15"/>
  <c r="S3" i="15" s="1"/>
  <c r="R2" i="15"/>
  <c r="Q2" i="15"/>
  <c r="S2" i="15" s="1"/>
  <c r="S12" i="16"/>
  <c r="R12" i="16"/>
  <c r="Q12" i="16"/>
  <c r="R11" i="16"/>
  <c r="Q11" i="16"/>
  <c r="S11" i="16" s="1"/>
  <c r="S10" i="16"/>
  <c r="R10" i="16"/>
  <c r="Q10" i="16"/>
  <c r="R9" i="16"/>
  <c r="Q9" i="16"/>
  <c r="S9" i="16" s="1"/>
  <c r="S8" i="16"/>
  <c r="O8" i="16" s="1"/>
  <c r="R8" i="16"/>
  <c r="Q8" i="16"/>
  <c r="R7" i="16"/>
  <c r="Q7" i="16"/>
  <c r="S7" i="16" s="1"/>
  <c r="S6" i="16"/>
  <c r="R6" i="16"/>
  <c r="Q6" i="16"/>
  <c r="R5" i="16"/>
  <c r="Q5" i="16"/>
  <c r="S5" i="16" s="1"/>
  <c r="S4" i="16"/>
  <c r="R4" i="16"/>
  <c r="Q4" i="16"/>
  <c r="R3" i="16"/>
  <c r="Q3" i="16"/>
  <c r="S3" i="16" s="1"/>
  <c r="S2" i="16"/>
  <c r="R2" i="16"/>
  <c r="Q2" i="16"/>
  <c r="R12" i="17"/>
  <c r="Q12" i="17"/>
  <c r="S12" i="17" s="1"/>
  <c r="R11" i="17"/>
  <c r="Q11" i="17"/>
  <c r="S11" i="17" s="1"/>
  <c r="O11" i="17" s="1"/>
  <c r="R10" i="17"/>
  <c r="Q10" i="17"/>
  <c r="S10" i="17" s="1"/>
  <c r="R9" i="17"/>
  <c r="Q9" i="17"/>
  <c r="S9" i="17" s="1"/>
  <c r="R8" i="17"/>
  <c r="Q8" i="17"/>
  <c r="S8" i="17" s="1"/>
  <c r="R7" i="17"/>
  <c r="Q7" i="17"/>
  <c r="S7" i="17" s="1"/>
  <c r="R6" i="17"/>
  <c r="Q6" i="17"/>
  <c r="S6" i="17" s="1"/>
  <c r="R5" i="17"/>
  <c r="Q5" i="17"/>
  <c r="S5" i="17" s="1"/>
  <c r="R4" i="17"/>
  <c r="Q4" i="17"/>
  <c r="S4" i="17" s="1"/>
  <c r="R3" i="17"/>
  <c r="Q3" i="17"/>
  <c r="S3" i="17" s="1"/>
  <c r="O3" i="17" s="1"/>
  <c r="R2" i="17"/>
  <c r="Q2" i="17"/>
  <c r="S2" i="17" s="1"/>
  <c r="P12" i="18"/>
  <c r="B25" i="18"/>
  <c r="Q12" i="18" s="1"/>
  <c r="J24" i="18"/>
  <c r="I24" i="18"/>
  <c r="H24" i="18"/>
  <c r="J23" i="18"/>
  <c r="I23" i="18"/>
  <c r="H23" i="18"/>
  <c r="J22" i="18"/>
  <c r="I22" i="18"/>
  <c r="H22" i="18"/>
  <c r="J21" i="18"/>
  <c r="I21" i="18"/>
  <c r="H21" i="18"/>
  <c r="J20" i="18"/>
  <c r="I20" i="18"/>
  <c r="H20" i="18"/>
  <c r="J19" i="18"/>
  <c r="I19" i="18"/>
  <c r="H19" i="18"/>
  <c r="J18" i="18"/>
  <c r="I18" i="18"/>
  <c r="H18" i="18"/>
  <c r="J17" i="18"/>
  <c r="I17" i="18"/>
  <c r="H17" i="18"/>
  <c r="J16" i="18"/>
  <c r="I16" i="18"/>
  <c r="H16" i="18"/>
  <c r="J15" i="18"/>
  <c r="I15" i="18"/>
  <c r="H15" i="18"/>
  <c r="I12" i="18"/>
  <c r="H12" i="18"/>
  <c r="G12" i="18"/>
  <c r="F12" i="18"/>
  <c r="E12" i="18"/>
  <c r="D12" i="18"/>
  <c r="C12" i="18"/>
  <c r="B12" i="18"/>
  <c r="R11" i="18"/>
  <c r="Q11" i="18"/>
  <c r="S11" i="18" s="1"/>
  <c r="O11" i="18" s="1"/>
  <c r="L11" i="18"/>
  <c r="K11" i="18"/>
  <c r="J11" i="18"/>
  <c r="M11" i="18" s="1"/>
  <c r="R10" i="18"/>
  <c r="Q10" i="18"/>
  <c r="S10" i="18" s="1"/>
  <c r="L10" i="18"/>
  <c r="K10" i="18"/>
  <c r="J10" i="18"/>
  <c r="R9" i="18"/>
  <c r="S9" i="18" s="1"/>
  <c r="Q9" i="18"/>
  <c r="L9" i="18"/>
  <c r="K9" i="18"/>
  <c r="J9" i="18"/>
  <c r="R8" i="18"/>
  <c r="Q8" i="18"/>
  <c r="S8" i="18" s="1"/>
  <c r="O8" i="18" s="1"/>
  <c r="L8" i="18"/>
  <c r="K8" i="18"/>
  <c r="J8" i="18"/>
  <c r="R7" i="18"/>
  <c r="Q7" i="18"/>
  <c r="S7" i="18" s="1"/>
  <c r="O7" i="18" s="1"/>
  <c r="L7" i="18"/>
  <c r="K7" i="18"/>
  <c r="J7" i="18"/>
  <c r="R6" i="18"/>
  <c r="Q6" i="18"/>
  <c r="S6" i="18" s="1"/>
  <c r="O6" i="18" s="1"/>
  <c r="L6" i="18"/>
  <c r="K6" i="18"/>
  <c r="J6" i="18"/>
  <c r="R5" i="18"/>
  <c r="S5" i="18" s="1"/>
  <c r="Q5" i="18"/>
  <c r="L5" i="18"/>
  <c r="K5" i="18"/>
  <c r="J5" i="18"/>
  <c r="R4" i="18"/>
  <c r="Q4" i="18"/>
  <c r="S4" i="18" s="1"/>
  <c r="O4" i="18" s="1"/>
  <c r="L4" i="18"/>
  <c r="K4" i="18"/>
  <c r="J4" i="18"/>
  <c r="R3" i="18"/>
  <c r="Q3" i="18"/>
  <c r="S3" i="18" s="1"/>
  <c r="O3" i="18" s="1"/>
  <c r="L3" i="18"/>
  <c r="K3" i="18"/>
  <c r="J3" i="18"/>
  <c r="R2" i="18"/>
  <c r="Q2" i="18"/>
  <c r="S2" i="18" s="1"/>
  <c r="O2" i="18" s="1"/>
  <c r="L2" i="18"/>
  <c r="K2" i="18"/>
  <c r="J2" i="18"/>
  <c r="B25" i="17"/>
  <c r="J24" i="17"/>
  <c r="I24" i="17"/>
  <c r="H24" i="17"/>
  <c r="J23" i="17"/>
  <c r="I23" i="17"/>
  <c r="H23" i="17"/>
  <c r="J22" i="17"/>
  <c r="I22" i="17"/>
  <c r="H22" i="17"/>
  <c r="J21" i="17"/>
  <c r="I21" i="17"/>
  <c r="H21" i="17"/>
  <c r="J20" i="17"/>
  <c r="I20" i="17"/>
  <c r="H20" i="17"/>
  <c r="J19" i="17"/>
  <c r="I19" i="17"/>
  <c r="H19" i="17"/>
  <c r="J18" i="17"/>
  <c r="I18" i="17"/>
  <c r="H18" i="17"/>
  <c r="J17" i="17"/>
  <c r="I17" i="17"/>
  <c r="H17" i="17"/>
  <c r="J16" i="17"/>
  <c r="I16" i="17"/>
  <c r="H16" i="17"/>
  <c r="J15" i="17"/>
  <c r="I15" i="17"/>
  <c r="H15" i="17"/>
  <c r="I12" i="17"/>
  <c r="H12" i="17"/>
  <c r="G12" i="17"/>
  <c r="F12" i="17"/>
  <c r="E12" i="17"/>
  <c r="D12" i="17"/>
  <c r="C12" i="17"/>
  <c r="B12" i="17"/>
  <c r="L11" i="17"/>
  <c r="K11" i="17"/>
  <c r="J11" i="17"/>
  <c r="M11" i="17" s="1"/>
  <c r="L10" i="17"/>
  <c r="K10" i="17"/>
  <c r="J10" i="17"/>
  <c r="L9" i="17"/>
  <c r="K9" i="17"/>
  <c r="J9" i="17"/>
  <c r="L8" i="17"/>
  <c r="K8" i="17"/>
  <c r="J8" i="17"/>
  <c r="L7" i="17"/>
  <c r="K7" i="17"/>
  <c r="J7" i="17"/>
  <c r="L6" i="17"/>
  <c r="K6" i="17"/>
  <c r="J6" i="17"/>
  <c r="L5" i="17"/>
  <c r="K5" i="17"/>
  <c r="J5" i="17"/>
  <c r="L4" i="17"/>
  <c r="K4" i="17"/>
  <c r="J4" i="17"/>
  <c r="L3" i="17"/>
  <c r="K3" i="17"/>
  <c r="J3" i="17"/>
  <c r="L2" i="17"/>
  <c r="K2" i="17"/>
  <c r="J2" i="17"/>
  <c r="B25" i="16"/>
  <c r="J24" i="16"/>
  <c r="I24" i="16"/>
  <c r="H24" i="16"/>
  <c r="J23" i="16"/>
  <c r="I23" i="16"/>
  <c r="H23" i="16"/>
  <c r="J22" i="16"/>
  <c r="I22" i="16"/>
  <c r="H22" i="16"/>
  <c r="J21" i="16"/>
  <c r="I21" i="16"/>
  <c r="H21" i="16"/>
  <c r="J20" i="16"/>
  <c r="I20" i="16"/>
  <c r="H20" i="16"/>
  <c r="J19" i="16"/>
  <c r="I19" i="16"/>
  <c r="H19" i="16"/>
  <c r="J18" i="16"/>
  <c r="I18" i="16"/>
  <c r="H18" i="16"/>
  <c r="J17" i="16"/>
  <c r="I17" i="16"/>
  <c r="H17" i="16"/>
  <c r="J16" i="16"/>
  <c r="I16" i="16"/>
  <c r="H16" i="16"/>
  <c r="J15" i="16"/>
  <c r="I15" i="16"/>
  <c r="H15" i="16"/>
  <c r="I12" i="16"/>
  <c r="H12" i="16"/>
  <c r="G12" i="16"/>
  <c r="F12" i="16"/>
  <c r="E12" i="16"/>
  <c r="D12" i="16"/>
  <c r="C12" i="16"/>
  <c r="B12" i="16"/>
  <c r="L11" i="16"/>
  <c r="K11" i="16"/>
  <c r="J11" i="16"/>
  <c r="M11" i="16" s="1"/>
  <c r="L10" i="16"/>
  <c r="K10" i="16"/>
  <c r="J10" i="16"/>
  <c r="L9" i="16"/>
  <c r="K9" i="16"/>
  <c r="J9" i="16"/>
  <c r="L8" i="16"/>
  <c r="K8" i="16"/>
  <c r="J8" i="16"/>
  <c r="L7" i="16"/>
  <c r="K7" i="16"/>
  <c r="J7" i="16"/>
  <c r="L6" i="16"/>
  <c r="K6" i="16"/>
  <c r="J6" i="16"/>
  <c r="L5" i="16"/>
  <c r="K5" i="16"/>
  <c r="J5" i="16"/>
  <c r="L4" i="16"/>
  <c r="K4" i="16"/>
  <c r="J4" i="16"/>
  <c r="L3" i="16"/>
  <c r="K3" i="16"/>
  <c r="J3" i="16"/>
  <c r="L2" i="16"/>
  <c r="K2" i="16"/>
  <c r="J2" i="16"/>
  <c r="M2" i="16" s="1"/>
  <c r="L11" i="15"/>
  <c r="L10" i="15"/>
  <c r="L9" i="15"/>
  <c r="L8" i="15"/>
  <c r="L7" i="15"/>
  <c r="L6" i="15"/>
  <c r="L5" i="15"/>
  <c r="L4" i="15"/>
  <c r="L3" i="15"/>
  <c r="L2" i="15"/>
  <c r="L10" i="1"/>
  <c r="L9" i="1"/>
  <c r="L8" i="1"/>
  <c r="L7" i="1"/>
  <c r="B25" i="15"/>
  <c r="J24" i="15"/>
  <c r="I24" i="15"/>
  <c r="H24" i="15"/>
  <c r="J23" i="15"/>
  <c r="I23" i="15"/>
  <c r="H23" i="15"/>
  <c r="J22" i="15"/>
  <c r="I22" i="15"/>
  <c r="H22" i="15"/>
  <c r="J21" i="15"/>
  <c r="I21" i="15"/>
  <c r="H21" i="15"/>
  <c r="J20" i="15"/>
  <c r="I20" i="15"/>
  <c r="H20" i="15"/>
  <c r="J19" i="15"/>
  <c r="I19" i="15"/>
  <c r="H19" i="15"/>
  <c r="J18" i="15"/>
  <c r="I18" i="15"/>
  <c r="H18" i="15"/>
  <c r="J17" i="15"/>
  <c r="I17" i="15"/>
  <c r="H17" i="15"/>
  <c r="J16" i="15"/>
  <c r="I16" i="15"/>
  <c r="H16" i="15"/>
  <c r="J15" i="15"/>
  <c r="I15" i="15"/>
  <c r="H15" i="15"/>
  <c r="I12" i="15"/>
  <c r="H12" i="15"/>
  <c r="G12" i="15"/>
  <c r="F12" i="15"/>
  <c r="E12" i="15"/>
  <c r="D12" i="15"/>
  <c r="C12" i="15"/>
  <c r="B12" i="15"/>
  <c r="K11" i="15"/>
  <c r="J11" i="15"/>
  <c r="M11" i="15" s="1"/>
  <c r="K10" i="15"/>
  <c r="J10" i="15"/>
  <c r="K9" i="15"/>
  <c r="J9" i="15"/>
  <c r="K8" i="15"/>
  <c r="J8" i="15"/>
  <c r="K7" i="15"/>
  <c r="J7" i="15"/>
  <c r="K6" i="15"/>
  <c r="J6" i="15"/>
  <c r="K5" i="15"/>
  <c r="J5" i="15"/>
  <c r="K4" i="15"/>
  <c r="J4" i="15"/>
  <c r="K3" i="15"/>
  <c r="J3" i="15"/>
  <c r="K2" i="15"/>
  <c r="J2" i="15"/>
  <c r="M2" i="15" s="1"/>
  <c r="J22" i="1"/>
  <c r="I22" i="1"/>
  <c r="H22" i="1"/>
  <c r="J21" i="1"/>
  <c r="I21" i="1"/>
  <c r="H21" i="1"/>
  <c r="K9" i="1"/>
  <c r="K8" i="1"/>
  <c r="J9" i="1"/>
  <c r="J8" i="1"/>
  <c r="O5" i="20" l="1"/>
  <c r="O11" i="20"/>
  <c r="O10" i="20"/>
  <c r="L12" i="20"/>
  <c r="P17" i="20" s="1"/>
  <c r="Q17" i="20" s="1"/>
  <c r="O7" i="20"/>
  <c r="O6" i="20"/>
  <c r="O4" i="20"/>
  <c r="K12" i="20"/>
  <c r="P16" i="20" s="1"/>
  <c r="Q16" i="20" s="1"/>
  <c r="O3" i="20"/>
  <c r="O2" i="20"/>
  <c r="O2" i="19"/>
  <c r="O7" i="19"/>
  <c r="J12" i="19"/>
  <c r="G13" i="19" s="1"/>
  <c r="L12" i="19"/>
  <c r="P17" i="19" s="1"/>
  <c r="Q17" i="19" s="1"/>
  <c r="Q12" i="20"/>
  <c r="S12" i="20" s="1"/>
  <c r="J12" i="20"/>
  <c r="R12" i="20"/>
  <c r="K12" i="19"/>
  <c r="P16" i="19" s="1"/>
  <c r="Q16" i="19" s="1"/>
  <c r="M2" i="19"/>
  <c r="Q12" i="19"/>
  <c r="R12" i="19"/>
  <c r="O9" i="15"/>
  <c r="O5" i="15"/>
  <c r="P11" i="17"/>
  <c r="O10" i="18"/>
  <c r="O9" i="18"/>
  <c r="L12" i="18"/>
  <c r="P17" i="18" s="1"/>
  <c r="Q17" i="18" s="1"/>
  <c r="O5" i="18"/>
  <c r="J12" i="18"/>
  <c r="P15" i="18" s="1"/>
  <c r="Q15" i="18" s="1"/>
  <c r="K12" i="18"/>
  <c r="P16" i="18" s="1"/>
  <c r="Q16" i="18" s="1"/>
  <c r="O8" i="17"/>
  <c r="O10" i="17"/>
  <c r="P10" i="17" s="1"/>
  <c r="O9" i="17"/>
  <c r="P9" i="17" s="1"/>
  <c r="O7" i="17"/>
  <c r="P7" i="17" s="1"/>
  <c r="O6" i="17"/>
  <c r="P6" i="17" s="1"/>
  <c r="L12" i="17"/>
  <c r="P17" i="17" s="1"/>
  <c r="Q17" i="17" s="1"/>
  <c r="O5" i="17"/>
  <c r="P5" i="17" s="1"/>
  <c r="O4" i="17"/>
  <c r="P4" i="17" s="1"/>
  <c r="J12" i="17"/>
  <c r="O12" i="17" s="1"/>
  <c r="P3" i="17" s="1"/>
  <c r="K12" i="17"/>
  <c r="P16" i="17" s="1"/>
  <c r="Q16" i="17" s="1"/>
  <c r="M2" i="17"/>
  <c r="O2" i="17"/>
  <c r="P2" i="17" s="1"/>
  <c r="M2" i="18"/>
  <c r="R12" i="18"/>
  <c r="S12" i="18" s="1"/>
  <c r="O10" i="16"/>
  <c r="O7" i="16"/>
  <c r="O9" i="16"/>
  <c r="O4" i="16"/>
  <c r="O3" i="16"/>
  <c r="O11" i="16"/>
  <c r="O6" i="16"/>
  <c r="L12" i="16"/>
  <c r="P17" i="16" s="1"/>
  <c r="Q17" i="16" s="1"/>
  <c r="O5" i="16"/>
  <c r="K12" i="16"/>
  <c r="P16" i="16" s="1"/>
  <c r="Q16" i="16" s="1"/>
  <c r="O2" i="16"/>
  <c r="J12" i="16"/>
  <c r="O7" i="15"/>
  <c r="O11" i="15"/>
  <c r="O10" i="15"/>
  <c r="O8" i="15"/>
  <c r="O6" i="15"/>
  <c r="O4" i="15"/>
  <c r="K12" i="15"/>
  <c r="P16" i="15" s="1"/>
  <c r="Q16" i="15" s="1"/>
  <c r="L12" i="15"/>
  <c r="P17" i="15" s="1"/>
  <c r="Q17" i="15" s="1"/>
  <c r="O3" i="15"/>
  <c r="O2" i="15"/>
  <c r="J12" i="15"/>
  <c r="O8" i="1"/>
  <c r="O9" i="1"/>
  <c r="O12" i="20" l="1"/>
  <c r="P10" i="20" s="1"/>
  <c r="I13" i="19"/>
  <c r="J13" i="19" s="1"/>
  <c r="M12" i="19"/>
  <c r="N10" i="19" s="1"/>
  <c r="P15" i="19"/>
  <c r="Q15" i="19" s="1"/>
  <c r="I13" i="20"/>
  <c r="P15" i="20"/>
  <c r="Q15" i="20" s="1"/>
  <c r="G13" i="20"/>
  <c r="M12" i="20"/>
  <c r="S12" i="19"/>
  <c r="O12" i="19" s="1"/>
  <c r="N11" i="19"/>
  <c r="P10" i="15"/>
  <c r="P6" i="15"/>
  <c r="P5" i="15"/>
  <c r="P3" i="15"/>
  <c r="P8" i="15"/>
  <c r="P3" i="16"/>
  <c r="P2" i="16"/>
  <c r="P12" i="17"/>
  <c r="P8" i="17"/>
  <c r="G13" i="18"/>
  <c r="I13" i="18"/>
  <c r="O12" i="18"/>
  <c r="P4" i="18" s="1"/>
  <c r="M12" i="18"/>
  <c r="N3" i="18" s="1"/>
  <c r="P15" i="17"/>
  <c r="Q15" i="17" s="1"/>
  <c r="G13" i="17"/>
  <c r="M12" i="17"/>
  <c r="N11" i="17" s="1"/>
  <c r="I13" i="17"/>
  <c r="O12" i="16"/>
  <c r="P8" i="16" s="1"/>
  <c r="I13" i="16"/>
  <c r="M12" i="16"/>
  <c r="P15" i="16"/>
  <c r="Q15" i="16" s="1"/>
  <c r="G13" i="16"/>
  <c r="O12" i="15"/>
  <c r="P2" i="15" s="1"/>
  <c r="I13" i="15"/>
  <c r="G13" i="15"/>
  <c r="P15" i="15"/>
  <c r="Q15" i="15" s="1"/>
  <c r="M12" i="15"/>
  <c r="C2" i="10" a="1"/>
  <c r="P7" i="20" l="1"/>
  <c r="P2" i="20"/>
  <c r="P9" i="20"/>
  <c r="P6" i="20"/>
  <c r="P5" i="20"/>
  <c r="P3" i="20"/>
  <c r="P4" i="20"/>
  <c r="P8" i="20"/>
  <c r="P11" i="20"/>
  <c r="N6" i="19"/>
  <c r="N4" i="19"/>
  <c r="N8" i="19"/>
  <c r="N9" i="19"/>
  <c r="N3" i="19"/>
  <c r="N7" i="19"/>
  <c r="N2" i="19"/>
  <c r="N5" i="19"/>
  <c r="J13" i="20"/>
  <c r="N11" i="20"/>
  <c r="N6" i="20"/>
  <c r="N10" i="20"/>
  <c r="N8" i="20"/>
  <c r="N2" i="20"/>
  <c r="N5" i="20"/>
  <c r="N3" i="20"/>
  <c r="N7" i="20"/>
  <c r="N9" i="20"/>
  <c r="N4" i="20"/>
  <c r="P5" i="19"/>
  <c r="P9" i="19"/>
  <c r="P3" i="19"/>
  <c r="P11" i="19"/>
  <c r="P8" i="19"/>
  <c r="P7" i="19"/>
  <c r="P10" i="19"/>
  <c r="P4" i="19"/>
  <c r="P6" i="19"/>
  <c r="P2" i="19"/>
  <c r="P4" i="15"/>
  <c r="P12" i="15" s="1"/>
  <c r="P7" i="15"/>
  <c r="P11" i="15"/>
  <c r="P9" i="15"/>
  <c r="P4" i="16"/>
  <c r="P12" i="16" s="1"/>
  <c r="P11" i="16"/>
  <c r="P6" i="16"/>
  <c r="P7" i="16"/>
  <c r="P10" i="16"/>
  <c r="P9" i="16"/>
  <c r="P5" i="16"/>
  <c r="J13" i="18"/>
  <c r="N5" i="18"/>
  <c r="N7" i="18"/>
  <c r="P7" i="18"/>
  <c r="P11" i="18"/>
  <c r="P2" i="18"/>
  <c r="N6" i="18"/>
  <c r="P6" i="18"/>
  <c r="N11" i="18"/>
  <c r="P9" i="18"/>
  <c r="N4" i="18"/>
  <c r="N9" i="18"/>
  <c r="P5" i="18"/>
  <c r="N8" i="18"/>
  <c r="P8" i="18"/>
  <c r="P10" i="18"/>
  <c r="N2" i="18"/>
  <c r="P3" i="18"/>
  <c r="N10" i="18"/>
  <c r="N9" i="17"/>
  <c r="J13" i="17"/>
  <c r="N4" i="17"/>
  <c r="N5" i="17"/>
  <c r="N7" i="17"/>
  <c r="N3" i="17"/>
  <c r="N6" i="17"/>
  <c r="N10" i="17"/>
  <c r="N2" i="17"/>
  <c r="N8" i="17"/>
  <c r="P18" i="17"/>
  <c r="Q18" i="17" s="1"/>
  <c r="Q19" i="17" s="1"/>
  <c r="N5" i="16"/>
  <c r="N9" i="16"/>
  <c r="N4" i="16"/>
  <c r="N3" i="16"/>
  <c r="N7" i="16"/>
  <c r="N10" i="16"/>
  <c r="N2" i="16"/>
  <c r="N11" i="16"/>
  <c r="N6" i="16"/>
  <c r="N8" i="16"/>
  <c r="J13" i="16"/>
  <c r="J13" i="15"/>
  <c r="N8" i="15"/>
  <c r="N4" i="15"/>
  <c r="N3" i="15"/>
  <c r="N7" i="15"/>
  <c r="N5" i="15"/>
  <c r="N11" i="15"/>
  <c r="N9" i="15"/>
  <c r="N10" i="15"/>
  <c r="N2" i="15"/>
  <c r="N6" i="15"/>
  <c r="C2" i="10"/>
  <c r="D2" i="10" a="1"/>
  <c r="P12" i="20" l="1"/>
  <c r="P18" i="20" s="1"/>
  <c r="Q18" i="20" s="1"/>
  <c r="Q19" i="20" s="1"/>
  <c r="N12" i="20"/>
  <c r="N12" i="19"/>
  <c r="P12" i="19"/>
  <c r="P18" i="19" s="1"/>
  <c r="Q18" i="19" s="1"/>
  <c r="Q19" i="19" s="1"/>
  <c r="N12" i="18"/>
  <c r="P18" i="18"/>
  <c r="Q18" i="18" s="1"/>
  <c r="Q19" i="18" s="1"/>
  <c r="N12" i="17"/>
  <c r="N12" i="16"/>
  <c r="P18" i="16"/>
  <c r="Q18" i="16" s="1"/>
  <c r="Q19" i="16" s="1"/>
  <c r="P18" i="15"/>
  <c r="Q18" i="15" s="1"/>
  <c r="Q19" i="15" s="1"/>
  <c r="N12" i="15"/>
  <c r="D2" i="10"/>
  <c r="E2" i="10" a="1"/>
  <c r="E2" i="10" l="1"/>
  <c r="L11" i="1"/>
  <c r="L6" i="1"/>
  <c r="L5" i="1"/>
  <c r="L4" i="1"/>
  <c r="L3" i="1"/>
  <c r="L2" i="1"/>
  <c r="K11" i="1"/>
  <c r="K10" i="1"/>
  <c r="K7" i="1"/>
  <c r="K6" i="1"/>
  <c r="K5" i="1"/>
  <c r="K4" i="1"/>
  <c r="K3" i="1"/>
  <c r="K2" i="1"/>
  <c r="J24" i="1"/>
  <c r="J23" i="1"/>
  <c r="J20" i="1"/>
  <c r="J19" i="1"/>
  <c r="J18" i="1"/>
  <c r="J17" i="1"/>
  <c r="J16" i="1"/>
  <c r="J15" i="1"/>
  <c r="I24" i="1"/>
  <c r="I23" i="1"/>
  <c r="I20" i="1"/>
  <c r="I19" i="1"/>
  <c r="I18" i="1"/>
  <c r="I17" i="1"/>
  <c r="I16" i="1"/>
  <c r="I15" i="1"/>
  <c r="H24" i="1"/>
  <c r="H23" i="1"/>
  <c r="H20" i="1"/>
  <c r="H19" i="1"/>
  <c r="H18" i="1"/>
  <c r="H17" i="1"/>
  <c r="H16" i="1"/>
  <c r="H15" i="1"/>
  <c r="D5" i="10" a="1"/>
  <c r="D14" i="10" a="1"/>
  <c r="G13" i="10" a="1"/>
  <c r="B14" i="10" a="1"/>
  <c r="B16" i="10" a="1"/>
  <c r="C3" i="10" a="1"/>
  <c r="D3" i="10" a="1"/>
  <c r="E17" i="10" a="1"/>
  <c r="D13" i="10" a="1"/>
  <c r="D6" i="10" a="1"/>
  <c r="D17" i="10" a="1"/>
  <c r="G14" i="10" a="1"/>
  <c r="F15" i="10" a="1"/>
  <c r="E14" i="10" a="1"/>
  <c r="F14" i="10" a="1"/>
  <c r="E4" i="10" a="1"/>
  <c r="F2" i="10" a="1"/>
  <c r="E5" i="10" a="1"/>
  <c r="E13" i="10" a="1"/>
  <c r="G16" i="10" a="1"/>
  <c r="B15" i="10" a="1"/>
  <c r="G4" i="10" a="1"/>
  <c r="F5" i="10" a="1"/>
  <c r="F6" i="10" a="1"/>
  <c r="F13" i="10" a="1"/>
  <c r="C6" i="10" a="1"/>
  <c r="C13" i="10" a="1"/>
  <c r="C15" i="10" a="1"/>
  <c r="B13" i="10" a="1"/>
  <c r="G15" i="10" a="1"/>
  <c r="C4" i="10" a="1"/>
  <c r="E3" i="10" a="1"/>
  <c r="F16" i="10" a="1"/>
  <c r="D4" i="10" a="1"/>
  <c r="D16" i="10" a="1"/>
  <c r="F3" i="10" a="1"/>
  <c r="C17" i="10" a="1"/>
  <c r="E15" i="10" a="1"/>
  <c r="G3" i="10" a="1"/>
  <c r="C16" i="10" a="1"/>
  <c r="C5" i="10" a="1"/>
  <c r="C14" i="10" a="1"/>
  <c r="D15" i="10" a="1"/>
  <c r="F4" i="10" a="1"/>
  <c r="E6" i="10" a="1"/>
  <c r="E16" i="10" a="1"/>
  <c r="C15" i="10" l="1"/>
  <c r="F6" i="10"/>
  <c r="C5" i="10"/>
  <c r="C17" i="10"/>
  <c r="D16" i="10"/>
  <c r="F15" i="10"/>
  <c r="B13" i="10"/>
  <c r="E6" i="10"/>
  <c r="F5" i="10"/>
  <c r="D4" i="10"/>
  <c r="F3" i="10"/>
  <c r="E16" i="10"/>
  <c r="C13" i="10"/>
  <c r="C3" i="10"/>
  <c r="F13" i="10"/>
  <c r="E15" i="10"/>
  <c r="F2" i="10"/>
  <c r="D17" i="10"/>
  <c r="E14" i="10"/>
  <c r="E4" i="10"/>
  <c r="B15" i="10"/>
  <c r="G16" i="10"/>
  <c r="G14" i="10"/>
  <c r="C14" i="10"/>
  <c r="D6" i="10"/>
  <c r="E5" i="10"/>
  <c r="G4" i="10"/>
  <c r="E3" i="10"/>
  <c r="E17" i="10"/>
  <c r="F16" i="10"/>
  <c r="B16" i="10"/>
  <c r="D15" i="10"/>
  <c r="F14" i="10"/>
  <c r="B14" i="10"/>
  <c r="D13" i="10"/>
  <c r="C6" i="10"/>
  <c r="D5" i="10"/>
  <c r="F4" i="10"/>
  <c r="D3" i="10"/>
  <c r="G15" i="10"/>
  <c r="G13" i="10"/>
  <c r="G3" i="10"/>
  <c r="D14" i="10"/>
  <c r="C16" i="10"/>
  <c r="E13" i="10"/>
  <c r="C4" i="10"/>
  <c r="K12" i="1"/>
  <c r="P16" i="1" s="1"/>
  <c r="Q16" i="1" s="1"/>
  <c r="C18" i="10" a="1"/>
  <c r="B18" i="10" a="1"/>
  <c r="H4" i="10" a="1"/>
  <c r="C12" i="10" a="1"/>
  <c r="D12" i="10" a="1"/>
  <c r="B3" i="10" a="1"/>
  <c r="E18" i="10" a="1"/>
  <c r="H2" i="10" a="1"/>
  <c r="G2" i="10" a="1"/>
  <c r="H3" i="10" a="1"/>
  <c r="D18" i="10" a="1"/>
  <c r="B17" i="10" a="1"/>
  <c r="C12" i="10" l="1"/>
  <c r="B3" i="10"/>
  <c r="D12" i="10"/>
  <c r="G2" i="10"/>
  <c r="B17" i="10"/>
  <c r="H2" i="10"/>
  <c r="B18" i="10"/>
  <c r="H3" i="10"/>
  <c r="C18" i="10"/>
  <c r="D18" i="10"/>
  <c r="H4" i="10"/>
  <c r="E18" i="10"/>
  <c r="F18" i="10" a="1"/>
  <c r="F17" i="10" a="1"/>
  <c r="F17" i="10" l="1"/>
  <c r="F18" i="10"/>
  <c r="B25" i="1"/>
  <c r="I12" i="1"/>
  <c r="H12" i="1"/>
  <c r="G12" i="1"/>
  <c r="F12" i="1"/>
  <c r="E12" i="1"/>
  <c r="D12" i="1"/>
  <c r="C12" i="1"/>
  <c r="B12" i="1"/>
  <c r="J3" i="1"/>
  <c r="O3" i="1" s="1"/>
  <c r="J4" i="1"/>
  <c r="J5" i="1"/>
  <c r="O5" i="1" s="1"/>
  <c r="J6" i="1"/>
  <c r="O6" i="1" s="1"/>
  <c r="J7" i="1"/>
  <c r="J10" i="1"/>
  <c r="O10" i="1" s="1"/>
  <c r="J11" i="1"/>
  <c r="J2" i="1"/>
  <c r="M2" i="1" l="1"/>
  <c r="O2" i="1"/>
  <c r="M11" i="1"/>
  <c r="O11" i="1"/>
  <c r="O7" i="1"/>
  <c r="O4" i="1"/>
  <c r="J12" i="1"/>
  <c r="L12" i="1"/>
  <c r="P17" i="1" s="1"/>
  <c r="Q17" i="1" s="1"/>
  <c r="G5" i="10" a="1"/>
  <c r="G18" i="10" a="1"/>
  <c r="G17" i="10" a="1"/>
  <c r="H5" i="10" a="1"/>
  <c r="O12" i="1" l="1"/>
  <c r="G5" i="10"/>
  <c r="G17" i="10"/>
  <c r="G18" i="10"/>
  <c r="H5" i="10"/>
  <c r="I13" i="1"/>
  <c r="P15" i="1"/>
  <c r="Q15" i="1" s="1"/>
  <c r="G13" i="1"/>
  <c r="M12" i="1"/>
  <c r="B2" i="10" a="1"/>
  <c r="H6" i="10" a="1"/>
  <c r="E12" i="10" a="1"/>
  <c r="B12" i="10" a="1"/>
  <c r="G6" i="10" a="1"/>
  <c r="F12" i="10" a="1"/>
  <c r="B4" i="10" a="1"/>
  <c r="P9" i="1" l="1"/>
  <c r="P8" i="1"/>
  <c r="P3" i="1"/>
  <c r="P6" i="1"/>
  <c r="P10" i="1"/>
  <c r="P5" i="1"/>
  <c r="P4" i="1"/>
  <c r="P2" i="1"/>
  <c r="P12" i="1" s="1"/>
  <c r="P11" i="1"/>
  <c r="P7" i="1"/>
  <c r="N7" i="1"/>
  <c r="N8" i="1"/>
  <c r="N9" i="1"/>
  <c r="E12" i="10"/>
  <c r="B4" i="10"/>
  <c r="N5" i="1"/>
  <c r="N4" i="1"/>
  <c r="N11" i="1"/>
  <c r="N3" i="1"/>
  <c r="F12" i="10"/>
  <c r="B2" i="10"/>
  <c r="B12" i="10"/>
  <c r="N6" i="1"/>
  <c r="N2" i="1"/>
  <c r="N10" i="1"/>
  <c r="G6" i="10"/>
  <c r="H6" i="10"/>
  <c r="J13" i="1"/>
  <c r="G12" i="10" a="1"/>
  <c r="N12" i="1" l="1"/>
  <c r="G12" i="10"/>
  <c r="P18" i="1"/>
  <c r="Q18" i="1" s="1"/>
  <c r="B5" i="10" a="1"/>
  <c r="B5" i="10" l="1"/>
  <c r="Q19" i="1"/>
  <c r="B6" i="10" a="1"/>
  <c r="B6" i="1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<sst xmlns="http://schemas.openxmlformats.org/spreadsheetml/2006/main" count="475" uniqueCount="76">
  <si>
    <t>Unidade</t>
  </si>
  <si>
    <t>FACOM</t>
  </si>
  <si>
    <t>FAGEN</t>
  </si>
  <si>
    <t>FAMAT</t>
  </si>
  <si>
    <t>IBTEC</t>
  </si>
  <si>
    <t>INFIS</t>
  </si>
  <si>
    <t>IQUFU</t>
  </si>
  <si>
    <t>Total</t>
  </si>
  <si>
    <t>P-Eq</t>
  </si>
  <si>
    <t>Tempo</t>
  </si>
  <si>
    <t>CH média</t>
  </si>
  <si>
    <t>Professores</t>
  </si>
  <si>
    <t>peq</t>
  </si>
  <si>
    <t>tempo</t>
  </si>
  <si>
    <t>Aulas/semana</t>
  </si>
  <si>
    <t>horas orient</t>
  </si>
  <si>
    <t>n orient</t>
  </si>
  <si>
    <t>diretor</t>
  </si>
  <si>
    <t>coord</t>
  </si>
  <si>
    <t>P1</t>
  </si>
  <si>
    <t>P2</t>
  </si>
  <si>
    <t>P3</t>
  </si>
  <si>
    <t>P4</t>
  </si>
  <si>
    <t>P5</t>
  </si>
  <si>
    <t>P6</t>
  </si>
  <si>
    <t>P7</t>
  </si>
  <si>
    <t>P8</t>
  </si>
  <si>
    <t>aulas</t>
  </si>
  <si>
    <t>cap. Aulas</t>
  </si>
  <si>
    <t>n_orient</t>
  </si>
  <si>
    <t>h_orient</t>
  </si>
  <si>
    <t>cap. HO</t>
  </si>
  <si>
    <t>cap. NO</t>
  </si>
  <si>
    <t>critério</t>
  </si>
  <si>
    <t>pior</t>
  </si>
  <si>
    <t>melhor</t>
  </si>
  <si>
    <t>numero</t>
  </si>
  <si>
    <t>equilíbrio</t>
  </si>
  <si>
    <t>x</t>
  </si>
  <si>
    <t>peso</t>
  </si>
  <si>
    <t>mediacalc</t>
  </si>
  <si>
    <t>c</t>
  </si>
  <si>
    <t>d</t>
  </si>
  <si>
    <t>m</t>
  </si>
  <si>
    <t>chmin</t>
  </si>
  <si>
    <t>chmax</t>
  </si>
  <si>
    <t>desviocalc</t>
  </si>
  <si>
    <t>pontuação</t>
  </si>
  <si>
    <t>Final</t>
  </si>
  <si>
    <t>Menor número</t>
  </si>
  <si>
    <t>Menor P-Eq</t>
  </si>
  <si>
    <t>Mais tempo</t>
  </si>
  <si>
    <t>Equilíbrio CH</t>
  </si>
  <si>
    <t>Combinação</t>
  </si>
  <si>
    <t>Pontuação menor número</t>
  </si>
  <si>
    <t>Pontuação Menor P-Eq</t>
  </si>
  <si>
    <t>Pontuação Maior tempo</t>
  </si>
  <si>
    <t>Pontuação Equilíbrio CH</t>
  </si>
  <si>
    <t>Pontuação Combinação</t>
  </si>
  <si>
    <t>Critério de otimização</t>
  </si>
  <si>
    <t>Num</t>
  </si>
  <si>
    <t>Peq</t>
  </si>
  <si>
    <t>CH</t>
  </si>
  <si>
    <t>Geral</t>
  </si>
  <si>
    <t>desvio</t>
  </si>
  <si>
    <t>Cenário</t>
  </si>
  <si>
    <t>Geral51</t>
  </si>
  <si>
    <t>Geral53</t>
  </si>
  <si>
    <t>Ch média</t>
  </si>
  <si>
    <t>desvio médio</t>
  </si>
  <si>
    <t>Equilíbrio</t>
  </si>
  <si>
    <t>FECIV</t>
  </si>
  <si>
    <t>ICIAG</t>
  </si>
  <si>
    <t>IERI</t>
  </si>
  <si>
    <t>IGUFU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</si>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</sst>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10" fontId="0" fillId="2" borderId="0" xfId="1" applyNumberFormat="1" applyFont="1" applyFill="1"/>
    <xf numFmtId="10" fontId="0" fillId="3" borderId="0" xfId="1" applyNumberFormat="1" applyFont="1" applyFill="1"/>
    <xf numFmtId="10" fontId="0" fillId="4" borderId="0" xfId="1" applyNumberFormat="1" applyFont="1" applyFill="1"/>
    <xf numFmtId="0" fontId="4" fillId="0" borderId="1" xfId="0" applyFont="1" applyBorder="1" applyAlignment="1">
      <alignment horizontal="justify" vertical="center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justify" vertical="center"/>
    </xf>
    <xf numFmtId="0" fontId="3" fillId="0" borderId="2" xfId="0" applyFont="1" applyBorder="1" applyAlignment="1">
      <alignment horizontal="justify" vertical="center"/>
    </xf>
    <xf numFmtId="165" fontId="3" fillId="0" borderId="0" xfId="0" applyNumberFormat="1" applyFont="1" applyAlignment="1">
      <alignment horizontal="center" vertical="center"/>
    </xf>
    <xf numFmtId="165" fontId="3" fillId="0" borderId="2" xfId="0" applyNumberFormat="1" applyFont="1" applyBorder="1" applyAlignment="1">
      <alignment horizontal="center" vertical="center"/>
    </xf>
    <xf numFmtId="165" fontId="0" fillId="0" borderId="0" xfId="0" applyNumberFormat="1"/>
    <xf numFmtId="165" fontId="3" fillId="0" borderId="0" xfId="0" applyNumberFormat="1" applyFont="1" applyAlignment="1">
      <alignment horizontal="center"/>
    </xf>
    <xf numFmtId="165" fontId="2" fillId="0" borderId="0" xfId="0" applyNumberFormat="1" applyFont="1"/>
    <xf numFmtId="164" fontId="2" fillId="2" borderId="0" xfId="0" applyNumberFormat="1" applyFont="1" applyFill="1"/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  <xf numFmtId="0" fontId="2" fillId="0" borderId="4" xfId="0" applyFont="1" applyBorder="1"/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2" fontId="0" fillId="0" borderId="3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2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3" xfId="0" applyFont="1" applyBorder="1" applyAlignment="1">
      <alignment horizontal="center"/>
    </xf>
  </cellXfs>
  <cellStyles count="2">
    <cellStyle name="Normal" xfId="0" builtinId="0"/>
    <cellStyle name="Porcentagem" xfId="1" builtinId="5"/>
  </cellStyles>
  <dxfs count="14"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238A8-9AC4-4A5D-8F4C-1D552A6455D7}">
  <dimension ref="A1:V25"/>
  <sheetViews>
    <sheetView workbookViewId="0">
      <selection activeCell="M7" sqref="M7"/>
    </sheetView>
  </sheetViews>
  <sheetFormatPr defaultRowHeight="14.4" x14ac:dyDescent="0.3"/>
  <cols>
    <col min="2" max="9" width="6.6640625" customWidth="1"/>
    <col min="10" max="10" width="10.5546875" bestFit="1" customWidth="1"/>
  </cols>
  <sheetData>
    <row r="1" spans="1:22" x14ac:dyDescent="0.3">
      <c r="A1" s="18" t="s">
        <v>0</v>
      </c>
      <c r="B1" s="19" t="s">
        <v>19</v>
      </c>
      <c r="C1" s="19" t="s">
        <v>20</v>
      </c>
      <c r="D1" s="19" t="s">
        <v>21</v>
      </c>
      <c r="E1" s="19" t="s">
        <v>22</v>
      </c>
      <c r="F1" s="19" t="s">
        <v>23</v>
      </c>
      <c r="G1" s="19" t="s">
        <v>24</v>
      </c>
      <c r="H1" s="19" t="s">
        <v>25</v>
      </c>
      <c r="I1" s="19" t="s">
        <v>26</v>
      </c>
      <c r="J1" s="19" t="s">
        <v>11</v>
      </c>
      <c r="K1" s="19" t="s">
        <v>8</v>
      </c>
      <c r="L1" s="19" t="s">
        <v>9</v>
      </c>
      <c r="M1" s="19" t="s">
        <v>10</v>
      </c>
      <c r="N1" s="20" t="s">
        <v>64</v>
      </c>
      <c r="O1" s="21" t="s">
        <v>40</v>
      </c>
      <c r="P1" s="21" t="s">
        <v>46</v>
      </c>
      <c r="Q1" s="21" t="s">
        <v>41</v>
      </c>
      <c r="R1" s="21" t="s">
        <v>42</v>
      </c>
      <c r="S1" s="21" t="s">
        <v>43</v>
      </c>
      <c r="U1" s="21" t="s">
        <v>75</v>
      </c>
      <c r="V1">
        <v>10</v>
      </c>
    </row>
    <row r="2" spans="1:22" x14ac:dyDescent="0.3">
      <c r="A2" t="s">
        <v>1</v>
      </c>
      <c r="B2" s="22">
        <v>0</v>
      </c>
      <c r="C2" s="22">
        <v>1</v>
      </c>
      <c r="D2" s="22">
        <v>0</v>
      </c>
      <c r="E2" s="22">
        <v>2</v>
      </c>
      <c r="F2" s="22">
        <v>0</v>
      </c>
      <c r="G2" s="22">
        <v>3</v>
      </c>
      <c r="H2" s="22">
        <v>3</v>
      </c>
      <c r="I2" s="22">
        <v>0</v>
      </c>
      <c r="J2" s="20">
        <f>SUM(B2:I2)</f>
        <v>9</v>
      </c>
      <c r="K2" s="23">
        <f>SUMPRODUCT(B2:I2,config!$B$4:$I$4)</f>
        <v>9.75</v>
      </c>
      <c r="L2" s="22">
        <f>SUMPRODUCT(B2:I2,config!$B$5:$I$5)-C15</f>
        <v>16</v>
      </c>
      <c r="M2" s="24">
        <f t="shared" ref="M2:M9" si="0">B15/J2</f>
        <v>16</v>
      </c>
      <c r="N2" s="15">
        <f t="shared" ref="N2:N11" si="1">ABS(M2-M$12)</f>
        <v>0.94594594594594561</v>
      </c>
      <c r="O2" s="16">
        <f>S2*J2+config!$K$2+config!$L$2</f>
        <v>16</v>
      </c>
      <c r="P2" s="16">
        <f t="shared" ref="P2:P11" si="2">ABS(O2-O$12)</f>
        <v>0.75403949730700504</v>
      </c>
      <c r="Q2" s="17">
        <f>B15/config!$K$2</f>
        <v>12</v>
      </c>
      <c r="R2" s="17">
        <f>B15/config!$L$2</f>
        <v>9</v>
      </c>
      <c r="S2" s="17">
        <f>(config!$K$2-config!$L$2)/(Q2-R2)</f>
        <v>-1.3333333333333333</v>
      </c>
    </row>
    <row r="3" spans="1:22" x14ac:dyDescent="0.3">
      <c r="A3" t="s">
        <v>2</v>
      </c>
      <c r="B3" s="22">
        <v>0</v>
      </c>
      <c r="C3" s="22">
        <v>0</v>
      </c>
      <c r="D3" s="22">
        <v>1</v>
      </c>
      <c r="E3" s="22">
        <v>0</v>
      </c>
      <c r="F3" s="22">
        <v>0</v>
      </c>
      <c r="G3" s="22">
        <v>1</v>
      </c>
      <c r="H3" s="22">
        <v>0</v>
      </c>
      <c r="I3" s="22">
        <v>0</v>
      </c>
      <c r="J3" s="20">
        <f t="shared" ref="J3:J11" si="3">SUM(B3:I3)</f>
        <v>2</v>
      </c>
      <c r="K3" s="23">
        <f>SUMPRODUCT(B3:I3,config!$B$4:$I$4)</f>
        <v>2.65</v>
      </c>
      <c r="L3" s="22">
        <f>SUMPRODUCT(B3:I3,config!$B$5:$I$5)-C16</f>
        <v>18</v>
      </c>
      <c r="M3" s="24">
        <f t="shared" si="0"/>
        <v>12</v>
      </c>
      <c r="N3" s="15">
        <f t="shared" si="1"/>
        <v>3.0540540540540544</v>
      </c>
      <c r="O3" s="16">
        <f>S3*J3+config!$K$2+config!$L$2</f>
        <v>12</v>
      </c>
      <c r="P3" s="16">
        <f t="shared" si="2"/>
        <v>3.245960502692995</v>
      </c>
      <c r="Q3" s="17">
        <f>B16/config!$K$2</f>
        <v>2</v>
      </c>
      <c r="R3" s="17">
        <f>B16/config!$L$2</f>
        <v>1.5</v>
      </c>
      <c r="S3" s="17">
        <f>(config!$K$2-config!$L$2)/(Q3-R3)</f>
        <v>-8</v>
      </c>
    </row>
    <row r="4" spans="1:22" x14ac:dyDescent="0.3">
      <c r="A4" t="s">
        <v>3</v>
      </c>
      <c r="B4" s="22">
        <v>0</v>
      </c>
      <c r="C4" s="22">
        <v>0</v>
      </c>
      <c r="D4" s="22">
        <v>0</v>
      </c>
      <c r="E4" s="22">
        <v>0</v>
      </c>
      <c r="F4" s="22">
        <v>6</v>
      </c>
      <c r="G4" s="22">
        <v>0</v>
      </c>
      <c r="H4" s="22">
        <v>0</v>
      </c>
      <c r="I4" s="22">
        <v>0</v>
      </c>
      <c r="J4" s="20">
        <f t="shared" si="3"/>
        <v>6</v>
      </c>
      <c r="K4" s="23">
        <f>SUMPRODUCT(B4:I4,config!$B$4:$I$4)</f>
        <v>6</v>
      </c>
      <c r="L4" s="22">
        <f>SUMPRODUCT(B4:I4,config!$B$5:$I$5)-C17</f>
        <v>30</v>
      </c>
      <c r="M4" s="24">
        <f t="shared" si="0"/>
        <v>14</v>
      </c>
      <c r="N4" s="15">
        <f t="shared" si="1"/>
        <v>1.0540540540540544</v>
      </c>
      <c r="O4" s="16">
        <f>S4*J4+config!$K$2+config!$L$2</f>
        <v>14.285714285714286</v>
      </c>
      <c r="P4" s="16">
        <f t="shared" si="2"/>
        <v>0.96024621697870849</v>
      </c>
      <c r="Q4" s="17">
        <f>B17/config!$K$2</f>
        <v>7</v>
      </c>
      <c r="R4" s="17">
        <f>B17/config!$L$2</f>
        <v>5.25</v>
      </c>
      <c r="S4" s="17">
        <f>(config!$K$2-config!$L$2)/(Q4-R4)</f>
        <v>-2.2857142857142856</v>
      </c>
    </row>
    <row r="5" spans="1:22" x14ac:dyDescent="0.3">
      <c r="A5" t="s">
        <v>71</v>
      </c>
      <c r="B5" s="22">
        <v>0</v>
      </c>
      <c r="C5" s="22">
        <v>0</v>
      </c>
      <c r="D5" s="22">
        <v>0</v>
      </c>
      <c r="E5" s="22">
        <v>6</v>
      </c>
      <c r="F5" s="22">
        <v>0</v>
      </c>
      <c r="G5" s="22">
        <v>0</v>
      </c>
      <c r="H5" s="22">
        <v>0</v>
      </c>
      <c r="I5" s="22">
        <v>0</v>
      </c>
      <c r="J5" s="20">
        <f t="shared" si="3"/>
        <v>6</v>
      </c>
      <c r="K5" s="23">
        <f>SUMPRODUCT(B5:I5,config!$B$4:$I$4)</f>
        <v>9.8999999999999986</v>
      </c>
      <c r="L5" s="22">
        <f>SUMPRODUCT(B5:I5,config!$B$5:$I$5)-C18</f>
        <v>72</v>
      </c>
      <c r="M5" s="24">
        <f t="shared" si="0"/>
        <v>14.833333333333334</v>
      </c>
      <c r="N5" s="15">
        <f t="shared" si="1"/>
        <v>0.22072072072072046</v>
      </c>
      <c r="O5" s="16">
        <f>S5*J5+config!$K$2+config!$L$2</f>
        <v>15.056179775280903</v>
      </c>
      <c r="P5" s="16">
        <f t="shared" si="2"/>
        <v>0.18978072741209218</v>
      </c>
      <c r="Q5" s="17">
        <f>B18/config!$K$2</f>
        <v>7.416666666666667</v>
      </c>
      <c r="R5" s="17">
        <f>B18/config!$L$2</f>
        <v>5.5625</v>
      </c>
      <c r="S5" s="17">
        <f>(config!$K$2-config!$L$2)/(Q5-R5)</f>
        <v>-2.1573033707865163</v>
      </c>
    </row>
    <row r="6" spans="1:22" x14ac:dyDescent="0.3">
      <c r="A6" t="s">
        <v>4</v>
      </c>
      <c r="B6" s="22">
        <v>0</v>
      </c>
      <c r="C6" s="22">
        <v>0</v>
      </c>
      <c r="D6" s="22">
        <v>0</v>
      </c>
      <c r="E6" s="22">
        <v>0</v>
      </c>
      <c r="F6" s="22">
        <v>0</v>
      </c>
      <c r="G6" s="22">
        <v>2</v>
      </c>
      <c r="H6" s="22">
        <v>0</v>
      </c>
      <c r="I6" s="22">
        <v>0</v>
      </c>
      <c r="J6" s="20">
        <f t="shared" si="3"/>
        <v>2</v>
      </c>
      <c r="K6" s="23">
        <f>SUMPRODUCT(B6:I6,config!$B$4:$I$4)</f>
        <v>2</v>
      </c>
      <c r="L6" s="22">
        <f>SUMPRODUCT(B6:I6,config!$B$5:$I$5)-C19</f>
        <v>0</v>
      </c>
      <c r="M6" s="24">
        <f t="shared" si="0"/>
        <v>9.5</v>
      </c>
      <c r="N6" s="15">
        <f t="shared" si="1"/>
        <v>5.5540540540540544</v>
      </c>
      <c r="O6" s="16">
        <f>S6*J6+config!$K$2+config!$L$2</f>
        <v>7.7894736842105239</v>
      </c>
      <c r="P6" s="16">
        <f t="shared" si="2"/>
        <v>7.4564868184824711</v>
      </c>
      <c r="Q6" s="17">
        <f>B19/config!$K$2</f>
        <v>1.5833333333333333</v>
      </c>
      <c r="R6" s="17">
        <f>B19/config!$L$2</f>
        <v>1.1875</v>
      </c>
      <c r="S6" s="17">
        <f>(config!$K$2-config!$L$2)/(Q6-R6)</f>
        <v>-10.105263157894738</v>
      </c>
    </row>
    <row r="7" spans="1:22" x14ac:dyDescent="0.3">
      <c r="A7" t="s">
        <v>72</v>
      </c>
      <c r="B7" s="22">
        <v>0</v>
      </c>
      <c r="C7" s="22">
        <v>2</v>
      </c>
      <c r="D7" s="22">
        <v>0</v>
      </c>
      <c r="E7" s="22">
        <v>16</v>
      </c>
      <c r="F7" s="22">
        <v>0</v>
      </c>
      <c r="G7" s="22">
        <v>6</v>
      </c>
      <c r="H7" s="22">
        <v>0</v>
      </c>
      <c r="I7" s="22">
        <v>0</v>
      </c>
      <c r="J7" s="20">
        <f t="shared" si="3"/>
        <v>24</v>
      </c>
      <c r="K7" s="23">
        <f>SUMPRODUCT(B7:I7,config!$B$4:$I$4)</f>
        <v>35.700000000000003</v>
      </c>
      <c r="L7" s="22">
        <f>SUMPRODUCT(B7:I7,config!$B$5:$I$5)-C20</f>
        <v>117.5</v>
      </c>
      <c r="M7" s="24">
        <f t="shared" si="0"/>
        <v>15.75</v>
      </c>
      <c r="N7" s="15">
        <f t="shared" si="1"/>
        <v>0.69594594594594561</v>
      </c>
      <c r="O7" s="16">
        <f>S7*J7+config!$K$2+config!$L$2</f>
        <v>15.80952380952381</v>
      </c>
      <c r="P7" s="16">
        <f t="shared" si="2"/>
        <v>0.56356330683081524</v>
      </c>
      <c r="Q7" s="17">
        <f>B20/config!$K$2</f>
        <v>31.5</v>
      </c>
      <c r="R7" s="17">
        <f>B20/config!$L$2</f>
        <v>23.625</v>
      </c>
      <c r="S7" s="17">
        <f>(config!$K$2-config!$L$2)/(Q7-R7)</f>
        <v>-0.50793650793650791</v>
      </c>
    </row>
    <row r="8" spans="1:22" x14ac:dyDescent="0.3">
      <c r="A8" t="s">
        <v>73</v>
      </c>
      <c r="B8" s="22">
        <v>0</v>
      </c>
      <c r="C8" s="22">
        <v>0</v>
      </c>
      <c r="D8" s="22">
        <v>0</v>
      </c>
      <c r="E8" s="22">
        <v>0</v>
      </c>
      <c r="F8" s="22">
        <v>1</v>
      </c>
      <c r="G8" s="22">
        <v>0</v>
      </c>
      <c r="H8" s="22">
        <v>0</v>
      </c>
      <c r="I8" s="22">
        <v>0</v>
      </c>
      <c r="J8" s="20">
        <f t="shared" si="3"/>
        <v>1</v>
      </c>
      <c r="K8" s="23">
        <f>SUMPRODUCT(B8:I8,config!$B$4:$I$4)</f>
        <v>1</v>
      </c>
      <c r="L8" s="22">
        <f>SUMPRODUCT(B8:I8,config!$B$5:$I$5)-C21</f>
        <v>5</v>
      </c>
      <c r="M8" s="24">
        <f t="shared" si="0"/>
        <v>12</v>
      </c>
      <c r="N8" s="15">
        <f t="shared" si="1"/>
        <v>3.0540540540540544</v>
      </c>
      <c r="O8" s="16">
        <f>S8*J8+config!$K$2+config!$L$2</f>
        <v>12</v>
      </c>
      <c r="P8" s="16">
        <f t="shared" si="2"/>
        <v>3.245960502692995</v>
      </c>
      <c r="Q8" s="17">
        <f>B21/config!$K$2</f>
        <v>1</v>
      </c>
      <c r="R8" s="17">
        <f>B21/config!$L$2</f>
        <v>0.75</v>
      </c>
      <c r="S8" s="17">
        <f>(config!$K$2-config!$L$2)/(Q8-R8)</f>
        <v>-16</v>
      </c>
    </row>
    <row r="9" spans="1:22" x14ac:dyDescent="0.3">
      <c r="A9" t="s">
        <v>74</v>
      </c>
      <c r="B9" s="22">
        <v>0</v>
      </c>
      <c r="C9" s="22">
        <v>2</v>
      </c>
      <c r="D9" s="22">
        <v>0</v>
      </c>
      <c r="E9" s="22">
        <v>8</v>
      </c>
      <c r="F9" s="22">
        <v>0</v>
      </c>
      <c r="G9" s="22">
        <v>4</v>
      </c>
      <c r="H9" s="22">
        <v>0</v>
      </c>
      <c r="I9" s="22">
        <v>5</v>
      </c>
      <c r="J9" s="20">
        <f t="shared" si="3"/>
        <v>19</v>
      </c>
      <c r="K9" s="23">
        <f>SUMPRODUCT(B9:I9,config!$B$4:$I$4)</f>
        <v>23.5</v>
      </c>
      <c r="L9" s="22">
        <f>SUMPRODUCT(B9:I9,config!$B$5:$I$5)-C22</f>
        <v>66</v>
      </c>
      <c r="M9" s="24">
        <f t="shared" si="0"/>
        <v>15.736842105263158</v>
      </c>
      <c r="N9" s="15">
        <f t="shared" si="1"/>
        <v>0.68278805120910313</v>
      </c>
      <c r="O9" s="16">
        <f>S9*J9+config!$K$2+config!$L$2</f>
        <v>15.799331103678931</v>
      </c>
      <c r="P9" s="16">
        <f t="shared" si="2"/>
        <v>0.55337060098593582</v>
      </c>
      <c r="Q9" s="17">
        <f>B22/config!$K$2</f>
        <v>24.916666666666668</v>
      </c>
      <c r="R9" s="17">
        <f>B22/config!$L$2</f>
        <v>18.6875</v>
      </c>
      <c r="S9" s="17">
        <f>(config!$K$2-config!$L$2)/(Q9-R9)</f>
        <v>-0.64214046822742465</v>
      </c>
    </row>
    <row r="10" spans="1:22" x14ac:dyDescent="0.3">
      <c r="A10" t="s">
        <v>5</v>
      </c>
      <c r="B10" s="22">
        <v>0</v>
      </c>
      <c r="C10" s="22">
        <v>0</v>
      </c>
      <c r="D10" s="22">
        <v>0</v>
      </c>
      <c r="E10" s="22">
        <v>0</v>
      </c>
      <c r="F10" s="22">
        <v>2</v>
      </c>
      <c r="G10" s="22">
        <v>0</v>
      </c>
      <c r="H10" s="22">
        <v>0</v>
      </c>
      <c r="I10" s="22">
        <v>0</v>
      </c>
      <c r="J10" s="20">
        <f t="shared" si="3"/>
        <v>2</v>
      </c>
      <c r="K10" s="23">
        <f>SUMPRODUCT(B10:I10,config!$B$4:$I$4)</f>
        <v>2</v>
      </c>
      <c r="L10" s="22">
        <f>SUMPRODUCT(B10:I10,config!$B$5:$I$5)-C23</f>
        <v>10</v>
      </c>
      <c r="M10" s="24">
        <f>B23/J10</f>
        <v>15.5</v>
      </c>
      <c r="N10" s="15">
        <f t="shared" si="1"/>
        <v>0.44594594594594561</v>
      </c>
      <c r="O10" s="16">
        <f>S10*J10+config!$K$2+config!$L$2</f>
        <v>15.612903225806454</v>
      </c>
      <c r="P10" s="16">
        <f t="shared" si="2"/>
        <v>0.36694272311345877</v>
      </c>
      <c r="Q10" s="17">
        <f>B23/config!$K$2</f>
        <v>2.5833333333333335</v>
      </c>
      <c r="R10" s="17">
        <f>B23/config!$L$2</f>
        <v>1.9375</v>
      </c>
      <c r="S10" s="17">
        <f>(config!$K$2-config!$L$2)/(Q10-R10)</f>
        <v>-6.1935483870967731</v>
      </c>
    </row>
    <row r="11" spans="1:22" x14ac:dyDescent="0.3">
      <c r="A11" s="25" t="s">
        <v>6</v>
      </c>
      <c r="B11" s="26">
        <v>0</v>
      </c>
      <c r="C11" s="26">
        <v>0</v>
      </c>
      <c r="D11" s="26">
        <v>0</v>
      </c>
      <c r="E11" s="26">
        <v>0</v>
      </c>
      <c r="F11" s="26">
        <v>0</v>
      </c>
      <c r="G11" s="26">
        <v>3</v>
      </c>
      <c r="H11" s="26">
        <v>0</v>
      </c>
      <c r="I11" s="26">
        <v>0</v>
      </c>
      <c r="J11" s="31">
        <f t="shared" si="3"/>
        <v>3</v>
      </c>
      <c r="K11" s="27">
        <f>SUMPRODUCT(B11:I11,config!$B$4:$I$4)</f>
        <v>3</v>
      </c>
      <c r="L11" s="26">
        <f>SUMPRODUCT(B11:I11,config!$B$5:$I$5)-C24</f>
        <v>0</v>
      </c>
      <c r="M11" s="28">
        <f>B24/J11</f>
        <v>11.333333333333334</v>
      </c>
      <c r="N11" s="15">
        <f t="shared" si="1"/>
        <v>3.7207207207207205</v>
      </c>
      <c r="O11" s="16">
        <f>S11*J11+config!$K$2+config!$L$2</f>
        <v>11.058823529411768</v>
      </c>
      <c r="P11" s="16">
        <f t="shared" si="2"/>
        <v>4.1871369732812269</v>
      </c>
      <c r="Q11" s="17">
        <f>B24/config!$K$2</f>
        <v>2.8333333333333335</v>
      </c>
      <c r="R11" s="17">
        <f>B24/config!$L$2</f>
        <v>2.125</v>
      </c>
      <c r="S11" s="17">
        <f>(config!$K$2-config!$L$2)/(Q11-R11)</f>
        <v>-5.6470588235294104</v>
      </c>
    </row>
    <row r="12" spans="1:22" x14ac:dyDescent="0.3">
      <c r="A12" s="1" t="s">
        <v>7</v>
      </c>
      <c r="B12" s="20">
        <f t="shared" ref="B12:J12" si="4">SUM(B2:B11)</f>
        <v>0</v>
      </c>
      <c r="C12" s="20">
        <f t="shared" si="4"/>
        <v>5</v>
      </c>
      <c r="D12" s="20">
        <f t="shared" si="4"/>
        <v>1</v>
      </c>
      <c r="E12" s="20">
        <f t="shared" si="4"/>
        <v>32</v>
      </c>
      <c r="F12" s="20">
        <f t="shared" si="4"/>
        <v>9</v>
      </c>
      <c r="G12" s="20">
        <f t="shared" si="4"/>
        <v>19</v>
      </c>
      <c r="H12" s="20">
        <f t="shared" si="4"/>
        <v>3</v>
      </c>
      <c r="I12" s="20">
        <f t="shared" si="4"/>
        <v>5</v>
      </c>
      <c r="J12" s="20">
        <f t="shared" si="4"/>
        <v>74</v>
      </c>
      <c r="K12" s="29">
        <f>SUM(K2:K11)</f>
        <v>95.5</v>
      </c>
      <c r="L12" s="20">
        <f>SUM(L2:L11)</f>
        <v>334.5</v>
      </c>
      <c r="M12" s="30">
        <f>B25/J12</f>
        <v>15.054054054054054</v>
      </c>
      <c r="N12" s="15">
        <f>SUM(N2:N11)/8</f>
        <v>2.4285354433380748</v>
      </c>
      <c r="O12" s="14">
        <f>S12*J12+config!$K$2+config!$L$2</f>
        <v>15.245960502692995</v>
      </c>
      <c r="P12" s="14">
        <f>SUM(P2:P11)/$V$1</f>
        <v>2.1523487869777704</v>
      </c>
      <c r="Q12" s="17">
        <f>B25/config!$K$2</f>
        <v>92.833333333333329</v>
      </c>
      <c r="R12" s="17">
        <f>B25/config!$L$2</f>
        <v>69.625</v>
      </c>
      <c r="S12" s="17">
        <f>(config!$K$2-config!$L$2)/(Q12-R12)</f>
        <v>-0.1723518850987433</v>
      </c>
    </row>
    <row r="13" spans="1:22" x14ac:dyDescent="0.3">
      <c r="F13" s="17"/>
      <c r="G13" s="2">
        <f>SUM(F12:G12)/J12</f>
        <v>0.3783783783783784</v>
      </c>
      <c r="H13" s="3"/>
      <c r="I13" s="3">
        <f>SUM(H12:I12)/J12</f>
        <v>0.10810810810810811</v>
      </c>
      <c r="J13" s="4">
        <f>I13+G13</f>
        <v>0.48648648648648651</v>
      </c>
    </row>
    <row r="14" spans="1:22" x14ac:dyDescent="0.3">
      <c r="A14" t="s">
        <v>0</v>
      </c>
      <c r="B14" t="s">
        <v>14</v>
      </c>
      <c r="C14" t="s">
        <v>15</v>
      </c>
      <c r="D14" t="s">
        <v>16</v>
      </c>
      <c r="E14" t="s">
        <v>17</v>
      </c>
      <c r="F14" t="s">
        <v>18</v>
      </c>
      <c r="H14" t="s">
        <v>28</v>
      </c>
      <c r="I14" t="s">
        <v>31</v>
      </c>
      <c r="J14" t="s">
        <v>32</v>
      </c>
      <c r="M14" t="s">
        <v>33</v>
      </c>
      <c r="N14" t="s">
        <v>34</v>
      </c>
      <c r="O14" t="s">
        <v>35</v>
      </c>
      <c r="P14" t="s">
        <v>38</v>
      </c>
      <c r="Q14" t="s">
        <v>47</v>
      </c>
      <c r="R14" t="s">
        <v>39</v>
      </c>
    </row>
    <row r="15" spans="1:22" x14ac:dyDescent="0.3">
      <c r="A15" t="s">
        <v>1</v>
      </c>
      <c r="B15">
        <v>144</v>
      </c>
      <c r="C15">
        <v>17</v>
      </c>
      <c r="D15">
        <v>34</v>
      </c>
      <c r="E15">
        <v>0</v>
      </c>
      <c r="F15">
        <v>1</v>
      </c>
      <c r="H15">
        <f>SUMPRODUCT(B2:I2,config!$B$1:$I$1)</f>
        <v>144</v>
      </c>
      <c r="I15">
        <f>SUMPRODUCT(B2:I2,config!$B$2:$I$2)</f>
        <v>29</v>
      </c>
      <c r="J15">
        <f>SUMPRODUCT(B2:I2,config!$B$3:$I$3)</f>
        <v>34</v>
      </c>
      <c r="M15" t="s">
        <v>36</v>
      </c>
      <c r="N15">
        <v>93</v>
      </c>
      <c r="O15">
        <v>74</v>
      </c>
      <c r="P15">
        <f>J12</f>
        <v>74</v>
      </c>
      <c r="Q15" s="11">
        <f>(P15-N15)/(O15-N15)</f>
        <v>1</v>
      </c>
      <c r="R15">
        <v>0.1336</v>
      </c>
    </row>
    <row r="16" spans="1:22" x14ac:dyDescent="0.3">
      <c r="A16" t="s">
        <v>2</v>
      </c>
      <c r="B16">
        <v>24</v>
      </c>
      <c r="C16">
        <v>0</v>
      </c>
      <c r="D16">
        <v>0</v>
      </c>
      <c r="E16">
        <v>0</v>
      </c>
      <c r="F16">
        <v>0</v>
      </c>
      <c r="H16">
        <f>SUMPRODUCT(B3:I3,config!$B$1:$I$1)</f>
        <v>36</v>
      </c>
      <c r="I16">
        <f>SUMPRODUCT(B3:I3,config!$B$2:$I$2)</f>
        <v>10</v>
      </c>
      <c r="J16">
        <f>SUMPRODUCT(B3:I3,config!$B$3:$I$3)</f>
        <v>8</v>
      </c>
      <c r="M16" t="s">
        <v>12</v>
      </c>
      <c r="N16">
        <v>153.44999999999999</v>
      </c>
      <c r="O16">
        <v>61.85</v>
      </c>
      <c r="P16">
        <f>K12</f>
        <v>95.5</v>
      </c>
      <c r="Q16" s="11">
        <f>(P16-N16)/(O16-N16)</f>
        <v>0.63264192139737985</v>
      </c>
      <c r="R16">
        <v>6.1400000000000003E-2</v>
      </c>
    </row>
    <row r="17" spans="1:18" x14ac:dyDescent="0.3">
      <c r="A17" t="s">
        <v>3</v>
      </c>
      <c r="B17">
        <v>84</v>
      </c>
      <c r="C17">
        <v>0</v>
      </c>
      <c r="D17">
        <v>0</v>
      </c>
      <c r="E17">
        <v>0</v>
      </c>
      <c r="F17">
        <v>0</v>
      </c>
      <c r="H17">
        <f>SUMPRODUCT(B4:I4,config!$B$1:$I$1)</f>
        <v>120</v>
      </c>
      <c r="I17">
        <f>SUMPRODUCT(B4:I4,config!$B$2:$I$2)</f>
        <v>30</v>
      </c>
      <c r="J17">
        <f>SUMPRODUCT(B4:I4,config!$B$3:$I$3)</f>
        <v>48</v>
      </c>
      <c r="M17" t="s">
        <v>13</v>
      </c>
      <c r="N17">
        <v>0</v>
      </c>
      <c r="O17">
        <v>1390.5</v>
      </c>
      <c r="P17">
        <f>L12</f>
        <v>334.5</v>
      </c>
      <c r="Q17" s="11">
        <f>(P17-N17)/(O17-N17)</f>
        <v>0.24056094929881339</v>
      </c>
      <c r="R17">
        <v>0.31019999999999998</v>
      </c>
    </row>
    <row r="18" spans="1:18" x14ac:dyDescent="0.3">
      <c r="A18" t="s">
        <v>71</v>
      </c>
      <c r="B18">
        <v>89</v>
      </c>
      <c r="C18">
        <v>0</v>
      </c>
      <c r="D18">
        <v>0</v>
      </c>
      <c r="E18">
        <v>0</v>
      </c>
      <c r="F18">
        <v>0</v>
      </c>
      <c r="H18">
        <f>SUMPRODUCT(B5:I5,config!$B$1:$I$1)</f>
        <v>96</v>
      </c>
      <c r="I18">
        <f>SUMPRODUCT(B5:I5,config!$B$2:$I$2)</f>
        <v>60</v>
      </c>
      <c r="J18">
        <f>SUMPRODUCT(B5:I5,config!$B$3:$I$3)</f>
        <v>48</v>
      </c>
      <c r="M18" t="s">
        <v>37</v>
      </c>
      <c r="N18">
        <v>2</v>
      </c>
      <c r="O18">
        <v>1.0047999999999999</v>
      </c>
      <c r="P18">
        <f>P12</f>
        <v>2.1523487869777704</v>
      </c>
      <c r="Q18" s="11">
        <f>(P18-N18)/(O18-N18)</f>
        <v>-0.15308358820113588</v>
      </c>
      <c r="R18">
        <v>0.49480000000000002</v>
      </c>
    </row>
    <row r="19" spans="1:18" x14ac:dyDescent="0.3">
      <c r="A19" t="s">
        <v>4</v>
      </c>
      <c r="B19">
        <v>19</v>
      </c>
      <c r="C19">
        <v>0</v>
      </c>
      <c r="D19">
        <v>0</v>
      </c>
      <c r="E19">
        <v>0</v>
      </c>
      <c r="F19">
        <v>0</v>
      </c>
      <c r="H19">
        <f>SUMPRODUCT(B6:I6,config!$B$1:$I$1)</f>
        <v>48</v>
      </c>
      <c r="I19">
        <f>SUMPRODUCT(B6:I6,config!$B$2:$I$2)</f>
        <v>0</v>
      </c>
      <c r="J19">
        <f>SUMPRODUCT(B6:I6,config!$B$3:$I$3)</f>
        <v>0</v>
      </c>
      <c r="P19" s="1" t="s">
        <v>48</v>
      </c>
      <c r="Q19" s="13">
        <f>SUMPRODUCT(Q15:Q18,R15:R18)</f>
        <v>0.17132046100436898</v>
      </c>
    </row>
    <row r="20" spans="1:18" x14ac:dyDescent="0.3">
      <c r="A20" t="s">
        <v>72</v>
      </c>
      <c r="B20">
        <v>378</v>
      </c>
      <c r="C20">
        <v>74.5</v>
      </c>
      <c r="D20">
        <v>125</v>
      </c>
      <c r="E20">
        <v>0</v>
      </c>
      <c r="F20">
        <v>2</v>
      </c>
      <c r="H20">
        <f>SUMPRODUCT(B7:I7,config!$B$1:$I$1)</f>
        <v>420</v>
      </c>
      <c r="I20">
        <f>SUMPRODUCT(B7:I7,config!$B$2:$I$2)</f>
        <v>160</v>
      </c>
      <c r="J20">
        <f>SUMPRODUCT(B7:I7,config!$B$3:$I$3)</f>
        <v>128</v>
      </c>
    </row>
    <row r="21" spans="1:18" x14ac:dyDescent="0.3">
      <c r="A21" t="s">
        <v>73</v>
      </c>
      <c r="B21">
        <v>12</v>
      </c>
      <c r="C21">
        <v>0</v>
      </c>
      <c r="D21">
        <v>0</v>
      </c>
      <c r="E21">
        <v>0</v>
      </c>
      <c r="F21">
        <v>0</v>
      </c>
      <c r="H21">
        <f>SUMPRODUCT(B8:I8,config!$B$1:$I$1)</f>
        <v>20</v>
      </c>
      <c r="I21">
        <f>SUMPRODUCT(B8:I8,config!$B$2:$I$2)</f>
        <v>5</v>
      </c>
      <c r="J21">
        <f>SUMPRODUCT(B8:I8,config!$B$3:$I$3)</f>
        <v>8</v>
      </c>
    </row>
    <row r="22" spans="1:18" x14ac:dyDescent="0.3">
      <c r="A22" t="s">
        <v>74</v>
      </c>
      <c r="B22">
        <v>299</v>
      </c>
      <c r="C22">
        <v>30</v>
      </c>
      <c r="D22">
        <v>60</v>
      </c>
      <c r="E22">
        <v>0</v>
      </c>
      <c r="F22">
        <v>2</v>
      </c>
      <c r="H22">
        <f>SUMPRODUCT(B9:I9,config!$B$1:$I$1)</f>
        <v>304</v>
      </c>
      <c r="I22">
        <f>SUMPRODUCT(B9:I9,config!$B$2:$I$2)</f>
        <v>80</v>
      </c>
      <c r="J22">
        <f>SUMPRODUCT(B9:I9,config!$B$3:$I$3)</f>
        <v>64</v>
      </c>
    </row>
    <row r="23" spans="1:18" x14ac:dyDescent="0.3">
      <c r="A23" t="s">
        <v>5</v>
      </c>
      <c r="B23">
        <v>31</v>
      </c>
      <c r="C23">
        <v>0</v>
      </c>
      <c r="D23">
        <v>0</v>
      </c>
      <c r="E23">
        <v>0</v>
      </c>
      <c r="F23">
        <v>0</v>
      </c>
      <c r="H23">
        <f>SUMPRODUCT(B10:I10,config!$B$1:$I$1)</f>
        <v>40</v>
      </c>
      <c r="I23">
        <f>SUMPRODUCT(B10:I10,config!$B$2:$I$2)</f>
        <v>10</v>
      </c>
      <c r="J23">
        <f>SUMPRODUCT(B10:I10,config!$B$3:$I$3)</f>
        <v>16</v>
      </c>
    </row>
    <row r="24" spans="1:18" x14ac:dyDescent="0.3">
      <c r="A24" t="s">
        <v>6</v>
      </c>
      <c r="B24">
        <v>34</v>
      </c>
      <c r="C24">
        <v>0</v>
      </c>
      <c r="D24">
        <v>0</v>
      </c>
      <c r="E24">
        <v>0</v>
      </c>
      <c r="F24">
        <v>0</v>
      </c>
      <c r="H24">
        <f>SUMPRODUCT(B11:I11,config!$B$1:$I$1)</f>
        <v>72</v>
      </c>
      <c r="I24">
        <f>SUMPRODUCT(B11:I11,config!$B$2:$I$2)</f>
        <v>0</v>
      </c>
      <c r="J24">
        <f>SUMPRODUCT(B11:I11,config!$B$3:$I$3)</f>
        <v>0</v>
      </c>
    </row>
    <row r="25" spans="1:18" x14ac:dyDescent="0.3">
      <c r="A25" s="1" t="s">
        <v>7</v>
      </c>
      <c r="B25" s="1">
        <f>SUM(B15:B24)</f>
        <v>1114</v>
      </c>
    </row>
  </sheetData>
  <conditionalFormatting sqref="H15:J24">
    <cfRule type="expression" dxfId="13" priority="1">
      <formula>AND(H15&gt;=B15,H15&lt;&gt;"")</formula>
    </cfRule>
    <cfRule type="expression" dxfId="12" priority="2">
      <formula>AND(H15&lt;B15,H15&lt;&gt;"")</formula>
    </cfRule>
  </conditionalFormatting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EE179-4026-4D5C-94F8-AC2FDAA0BCC6}">
  <dimension ref="A1:V25"/>
  <sheetViews>
    <sheetView workbookViewId="0">
      <selection activeCell="M3" sqref="M3:M10"/>
    </sheetView>
  </sheetViews>
  <sheetFormatPr defaultRowHeight="14.4" x14ac:dyDescent="0.3"/>
  <cols>
    <col min="2" max="9" width="6.6640625" customWidth="1"/>
    <col min="10" max="10" width="10.5546875" bestFit="1" customWidth="1"/>
  </cols>
  <sheetData>
    <row r="1" spans="1:22" x14ac:dyDescent="0.3">
      <c r="A1" s="18" t="s">
        <v>0</v>
      </c>
      <c r="B1" s="19" t="s">
        <v>19</v>
      </c>
      <c r="C1" s="19" t="s">
        <v>20</v>
      </c>
      <c r="D1" s="19" t="s">
        <v>21</v>
      </c>
      <c r="E1" s="19" t="s">
        <v>22</v>
      </c>
      <c r="F1" s="19" t="s">
        <v>23</v>
      </c>
      <c r="G1" s="19" t="s">
        <v>24</v>
      </c>
      <c r="H1" s="19" t="s">
        <v>25</v>
      </c>
      <c r="I1" s="19" t="s">
        <v>26</v>
      </c>
      <c r="J1" s="19" t="s">
        <v>11</v>
      </c>
      <c r="K1" s="19" t="s">
        <v>8</v>
      </c>
      <c r="L1" s="19" t="s">
        <v>9</v>
      </c>
      <c r="M1" s="19" t="s">
        <v>10</v>
      </c>
      <c r="N1" s="20" t="s">
        <v>64</v>
      </c>
      <c r="O1" s="21" t="s">
        <v>40</v>
      </c>
      <c r="P1" s="21" t="s">
        <v>46</v>
      </c>
      <c r="Q1" s="21" t="s">
        <v>41</v>
      </c>
      <c r="R1" s="21" t="s">
        <v>42</v>
      </c>
      <c r="S1" s="21" t="s">
        <v>43</v>
      </c>
      <c r="U1" s="21" t="s">
        <v>75</v>
      </c>
      <c r="V1">
        <v>10</v>
      </c>
    </row>
    <row r="2" spans="1:22" x14ac:dyDescent="0.3">
      <c r="A2" t="s">
        <v>1</v>
      </c>
      <c r="B2" s="22">
        <v>0</v>
      </c>
      <c r="C2" s="22">
        <v>1</v>
      </c>
      <c r="D2" s="22">
        <v>0</v>
      </c>
      <c r="E2" s="22">
        <v>0</v>
      </c>
      <c r="F2" s="22">
        <v>3</v>
      </c>
      <c r="G2" s="22">
        <v>2</v>
      </c>
      <c r="H2" s="22">
        <v>3</v>
      </c>
      <c r="I2" s="22">
        <v>0</v>
      </c>
      <c r="J2" s="20">
        <f>SUM(B2:I2)</f>
        <v>9</v>
      </c>
      <c r="K2" s="23">
        <f>SUMPRODUCT(B2:I2,config!$B$4:$I$4)</f>
        <v>8.4499999999999993</v>
      </c>
      <c r="L2" s="22">
        <f>SUMPRODUCT(B2:I2,config!$B$5:$I$5)-C15</f>
        <v>7</v>
      </c>
      <c r="M2" s="24">
        <f t="shared" ref="M2:M9" si="0">B15/J2</f>
        <v>16</v>
      </c>
      <c r="N2" s="15">
        <f t="shared" ref="N2:N11" si="1">ABS(M2-M$12)</f>
        <v>1.1466666666666665</v>
      </c>
      <c r="O2" s="16">
        <f>S2*J2+config!$K$2+config!$L$2</f>
        <v>16</v>
      </c>
      <c r="P2" s="16">
        <f t="shared" ref="P2:P11" si="2">ABS(O2-O$12)</f>
        <v>0.92639138240574681</v>
      </c>
      <c r="Q2" s="17">
        <f>B15/config!$K$2</f>
        <v>12</v>
      </c>
      <c r="R2" s="17">
        <f>B15/config!$L$2</f>
        <v>9</v>
      </c>
      <c r="S2" s="17">
        <f>(config!$K$2-config!$L$2)/(Q2-R2)</f>
        <v>-1.3333333333333333</v>
      </c>
    </row>
    <row r="3" spans="1:22" x14ac:dyDescent="0.3">
      <c r="A3" t="s">
        <v>2</v>
      </c>
      <c r="B3" s="22">
        <v>0</v>
      </c>
      <c r="C3" s="22">
        <v>0</v>
      </c>
      <c r="D3" s="22">
        <v>0</v>
      </c>
      <c r="E3" s="22">
        <v>0</v>
      </c>
      <c r="F3" s="22">
        <v>0</v>
      </c>
      <c r="G3" s="22">
        <v>0</v>
      </c>
      <c r="H3" s="22">
        <v>0</v>
      </c>
      <c r="I3" s="22">
        <v>2</v>
      </c>
      <c r="J3" s="20">
        <f t="shared" ref="J3:J11" si="3">SUM(B3:I3)</f>
        <v>2</v>
      </c>
      <c r="K3" s="23">
        <f>SUMPRODUCT(B3:I3,config!$B$4:$I$4)</f>
        <v>1.2</v>
      </c>
      <c r="L3" s="22">
        <f>SUMPRODUCT(B3:I3,config!$B$5:$I$5)-C16</f>
        <v>0</v>
      </c>
      <c r="M3" s="24">
        <f t="shared" si="0"/>
        <v>12</v>
      </c>
      <c r="N3" s="15">
        <f t="shared" si="1"/>
        <v>2.8533333333333335</v>
      </c>
      <c r="O3" s="16">
        <f>S3*J3+config!$K$2+config!$L$2</f>
        <v>12</v>
      </c>
      <c r="P3" s="16">
        <f t="shared" si="2"/>
        <v>3.0736086175942532</v>
      </c>
      <c r="Q3" s="17">
        <f>B16/config!$K$2</f>
        <v>2</v>
      </c>
      <c r="R3" s="17">
        <f>B16/config!$L$2</f>
        <v>1.5</v>
      </c>
      <c r="S3" s="17">
        <f>(config!$K$2-config!$L$2)/(Q3-R3)</f>
        <v>-8</v>
      </c>
    </row>
    <row r="4" spans="1:22" x14ac:dyDescent="0.3">
      <c r="A4" t="s">
        <v>3</v>
      </c>
      <c r="B4" s="22">
        <v>0</v>
      </c>
      <c r="C4" s="22">
        <v>0</v>
      </c>
      <c r="D4" s="22">
        <v>0</v>
      </c>
      <c r="E4" s="22">
        <v>0</v>
      </c>
      <c r="F4" s="22">
        <v>0</v>
      </c>
      <c r="G4" s="22">
        <v>1</v>
      </c>
      <c r="H4" s="22">
        <v>0</v>
      </c>
      <c r="I4" s="22">
        <v>5</v>
      </c>
      <c r="J4" s="20">
        <f t="shared" si="3"/>
        <v>6</v>
      </c>
      <c r="K4" s="23">
        <f>SUMPRODUCT(B4:I4,config!$B$4:$I$4)</f>
        <v>4</v>
      </c>
      <c r="L4" s="22">
        <f>SUMPRODUCT(B4:I4,config!$B$5:$I$5)-C17</f>
        <v>0</v>
      </c>
      <c r="M4" s="24">
        <f t="shared" si="0"/>
        <v>14</v>
      </c>
      <c r="N4" s="15">
        <f t="shared" si="1"/>
        <v>0.8533333333333335</v>
      </c>
      <c r="O4" s="16">
        <f>S4*J4+config!$K$2+config!$L$2</f>
        <v>14.285714285714286</v>
      </c>
      <c r="P4" s="16">
        <f t="shared" si="2"/>
        <v>0.78789433187996671</v>
      </c>
      <c r="Q4" s="17">
        <f>B17/config!$K$2</f>
        <v>7</v>
      </c>
      <c r="R4" s="17">
        <f>B17/config!$L$2</f>
        <v>5.25</v>
      </c>
      <c r="S4" s="17">
        <f>(config!$K$2-config!$L$2)/(Q4-R4)</f>
        <v>-2.2857142857142856</v>
      </c>
    </row>
    <row r="5" spans="1:22" x14ac:dyDescent="0.3">
      <c r="A5" t="s">
        <v>71</v>
      </c>
      <c r="B5" s="22">
        <v>0</v>
      </c>
      <c r="C5" s="22">
        <v>0</v>
      </c>
      <c r="D5" s="22">
        <v>0</v>
      </c>
      <c r="E5" s="22">
        <v>0</v>
      </c>
      <c r="F5" s="22">
        <v>0</v>
      </c>
      <c r="G5" s="22">
        <v>2</v>
      </c>
      <c r="H5" s="22">
        <v>0</v>
      </c>
      <c r="I5" s="22">
        <v>4</v>
      </c>
      <c r="J5" s="20">
        <f t="shared" si="3"/>
        <v>6</v>
      </c>
      <c r="K5" s="23">
        <f>SUMPRODUCT(B5:I5,config!$B$4:$I$4)</f>
        <v>4.4000000000000004</v>
      </c>
      <c r="L5" s="22">
        <f>SUMPRODUCT(B5:I5,config!$B$5:$I$5)-C18</f>
        <v>0</v>
      </c>
      <c r="M5" s="24">
        <f t="shared" si="0"/>
        <v>14.833333333333334</v>
      </c>
      <c r="N5" s="15">
        <f t="shared" si="1"/>
        <v>1.9999999999999574E-2</v>
      </c>
      <c r="O5" s="16">
        <f>S5*J5+config!$K$2+config!$L$2</f>
        <v>15.056179775280903</v>
      </c>
      <c r="P5" s="16">
        <f t="shared" si="2"/>
        <v>1.7428842313350401E-2</v>
      </c>
      <c r="Q5" s="17">
        <f>B18/config!$K$2</f>
        <v>7.416666666666667</v>
      </c>
      <c r="R5" s="17">
        <f>B18/config!$L$2</f>
        <v>5.5625</v>
      </c>
      <c r="S5" s="17">
        <f>(config!$K$2-config!$L$2)/(Q5-R5)</f>
        <v>-2.1573033707865163</v>
      </c>
    </row>
    <row r="6" spans="1:22" x14ac:dyDescent="0.3">
      <c r="A6" t="s">
        <v>4</v>
      </c>
      <c r="B6" s="22">
        <v>0</v>
      </c>
      <c r="C6" s="22">
        <v>0</v>
      </c>
      <c r="D6" s="22">
        <v>0</v>
      </c>
      <c r="E6" s="22">
        <v>0</v>
      </c>
      <c r="F6" s="22">
        <v>0</v>
      </c>
      <c r="G6" s="22">
        <v>0</v>
      </c>
      <c r="H6" s="22">
        <v>0</v>
      </c>
      <c r="I6" s="22">
        <v>2</v>
      </c>
      <c r="J6" s="20">
        <f t="shared" si="3"/>
        <v>2</v>
      </c>
      <c r="K6" s="23">
        <f>SUMPRODUCT(B6:I6,config!$B$4:$I$4)</f>
        <v>1.2</v>
      </c>
      <c r="L6" s="22">
        <f>SUMPRODUCT(B6:I6,config!$B$5:$I$5)-C19</f>
        <v>0</v>
      </c>
      <c r="M6" s="24">
        <f t="shared" si="0"/>
        <v>9.5</v>
      </c>
      <c r="N6" s="15">
        <f t="shared" si="1"/>
        <v>5.3533333333333335</v>
      </c>
      <c r="O6" s="16">
        <f>S6*J6+config!$K$2+config!$L$2</f>
        <v>7.7894736842105239</v>
      </c>
      <c r="P6" s="16">
        <f t="shared" si="2"/>
        <v>7.2841349333837293</v>
      </c>
      <c r="Q6" s="17">
        <f>B19/config!$K$2</f>
        <v>1.5833333333333333</v>
      </c>
      <c r="R6" s="17">
        <f>B19/config!$L$2</f>
        <v>1.1875</v>
      </c>
      <c r="S6" s="17">
        <f>(config!$K$2-config!$L$2)/(Q6-R6)</f>
        <v>-10.105263157894738</v>
      </c>
    </row>
    <row r="7" spans="1:22" x14ac:dyDescent="0.3">
      <c r="A7" t="s">
        <v>72</v>
      </c>
      <c r="B7" s="22">
        <v>0</v>
      </c>
      <c r="C7" s="22">
        <v>2</v>
      </c>
      <c r="D7" s="22">
        <v>0</v>
      </c>
      <c r="E7" s="22">
        <v>0</v>
      </c>
      <c r="F7" s="22">
        <v>12</v>
      </c>
      <c r="G7" s="22">
        <v>1</v>
      </c>
      <c r="H7" s="22">
        <v>6</v>
      </c>
      <c r="I7" s="22">
        <v>3</v>
      </c>
      <c r="J7" s="20">
        <f t="shared" si="3"/>
        <v>24</v>
      </c>
      <c r="K7" s="23">
        <f>SUMPRODUCT(B7:I7,config!$B$4:$I$4)</f>
        <v>21.7</v>
      </c>
      <c r="L7" s="22">
        <f>SUMPRODUCT(B7:I7,config!$B$5:$I$5)-C20</f>
        <v>3.5</v>
      </c>
      <c r="M7" s="24">
        <f t="shared" si="0"/>
        <v>15.75</v>
      </c>
      <c r="N7" s="15">
        <f t="shared" si="1"/>
        <v>0.8966666666666665</v>
      </c>
      <c r="O7" s="16">
        <f>S7*J7+config!$K$2+config!$L$2</f>
        <v>15.80952380952381</v>
      </c>
      <c r="P7" s="16">
        <f t="shared" si="2"/>
        <v>0.73591519192955701</v>
      </c>
      <c r="Q7" s="17">
        <f>B20/config!$K$2</f>
        <v>31.5</v>
      </c>
      <c r="R7" s="17">
        <f>B20/config!$L$2</f>
        <v>23.625</v>
      </c>
      <c r="S7" s="17">
        <f>(config!$K$2-config!$L$2)/(Q7-R7)</f>
        <v>-0.50793650793650791</v>
      </c>
    </row>
    <row r="8" spans="1:22" x14ac:dyDescent="0.3">
      <c r="A8" t="s">
        <v>73</v>
      </c>
      <c r="B8" s="22">
        <v>0</v>
      </c>
      <c r="C8" s="22">
        <v>0</v>
      </c>
      <c r="D8" s="22">
        <v>0</v>
      </c>
      <c r="E8" s="22">
        <v>0</v>
      </c>
      <c r="F8" s="22">
        <v>0</v>
      </c>
      <c r="G8" s="22">
        <v>0</v>
      </c>
      <c r="H8" s="22">
        <v>0</v>
      </c>
      <c r="I8" s="22">
        <v>1</v>
      </c>
      <c r="J8" s="20">
        <f t="shared" si="3"/>
        <v>1</v>
      </c>
      <c r="K8" s="23">
        <f>SUMPRODUCT(B8:I8,config!$B$4:$I$4)</f>
        <v>0.6</v>
      </c>
      <c r="L8" s="22">
        <f>SUMPRODUCT(B8:I8,config!$B$5:$I$5)-C21</f>
        <v>0</v>
      </c>
      <c r="M8" s="24">
        <f t="shared" si="0"/>
        <v>12</v>
      </c>
      <c r="N8" s="15">
        <f t="shared" si="1"/>
        <v>2.8533333333333335</v>
      </c>
      <c r="O8" s="16">
        <f>S8*J8+config!$K$2+config!$L$2</f>
        <v>12</v>
      </c>
      <c r="P8" s="16">
        <f t="shared" si="2"/>
        <v>3.0736086175942532</v>
      </c>
      <c r="Q8" s="17">
        <f>B21/config!$K$2</f>
        <v>1</v>
      </c>
      <c r="R8" s="17">
        <f>B21/config!$L$2</f>
        <v>0.75</v>
      </c>
      <c r="S8" s="17">
        <f>(config!$K$2-config!$L$2)/(Q8-R8)</f>
        <v>-16</v>
      </c>
    </row>
    <row r="9" spans="1:22" x14ac:dyDescent="0.3">
      <c r="A9" t="s">
        <v>74</v>
      </c>
      <c r="B9" s="22">
        <v>0</v>
      </c>
      <c r="C9" s="22">
        <v>2</v>
      </c>
      <c r="D9" s="22">
        <v>0</v>
      </c>
      <c r="E9" s="22">
        <v>0</v>
      </c>
      <c r="F9" s="22">
        <v>0</v>
      </c>
      <c r="G9" s="22">
        <v>7</v>
      </c>
      <c r="H9" s="22">
        <v>10</v>
      </c>
      <c r="I9" s="22">
        <v>1</v>
      </c>
      <c r="J9" s="20">
        <f t="shared" si="3"/>
        <v>20</v>
      </c>
      <c r="K9" s="23">
        <f>SUMPRODUCT(B9:I9,config!$B$4:$I$4)</f>
        <v>16.900000000000002</v>
      </c>
      <c r="L9" s="22">
        <f>SUMPRODUCT(B9:I9,config!$B$5:$I$5)-C22</f>
        <v>0</v>
      </c>
      <c r="M9" s="24">
        <f t="shared" si="0"/>
        <v>14.95</v>
      </c>
      <c r="N9" s="15">
        <f t="shared" si="1"/>
        <v>9.666666666666579E-2</v>
      </c>
      <c r="O9" s="16">
        <f>S9*J9+config!$K$2+config!$L$2</f>
        <v>15.157190635451506</v>
      </c>
      <c r="P9" s="16">
        <f t="shared" si="2"/>
        <v>8.3582017857253277E-2</v>
      </c>
      <c r="Q9" s="17">
        <f>B22/config!$K$2</f>
        <v>24.916666666666668</v>
      </c>
      <c r="R9" s="17">
        <f>B22/config!$L$2</f>
        <v>18.6875</v>
      </c>
      <c r="S9" s="17">
        <f>(config!$K$2-config!$L$2)/(Q9-R9)</f>
        <v>-0.64214046822742465</v>
      </c>
    </row>
    <row r="10" spans="1:22" x14ac:dyDescent="0.3">
      <c r="A10" t="s">
        <v>5</v>
      </c>
      <c r="B10" s="22">
        <v>0</v>
      </c>
      <c r="C10" s="22">
        <v>0</v>
      </c>
      <c r="D10" s="22">
        <v>0</v>
      </c>
      <c r="E10" s="22">
        <v>0</v>
      </c>
      <c r="F10" s="22">
        <v>0</v>
      </c>
      <c r="G10" s="22">
        <v>1</v>
      </c>
      <c r="H10" s="22">
        <v>0</v>
      </c>
      <c r="I10" s="22">
        <v>1</v>
      </c>
      <c r="J10" s="20">
        <f t="shared" si="3"/>
        <v>2</v>
      </c>
      <c r="K10" s="23">
        <f>SUMPRODUCT(B10:I10,config!$B$4:$I$4)</f>
        <v>1.6</v>
      </c>
      <c r="L10" s="22">
        <f>SUMPRODUCT(B10:I10,config!$B$5:$I$5)-C23</f>
        <v>0</v>
      </c>
      <c r="M10" s="24">
        <f>B23/J10</f>
        <v>15.5</v>
      </c>
      <c r="N10" s="15">
        <f t="shared" si="1"/>
        <v>0.6466666666666665</v>
      </c>
      <c r="O10" s="16">
        <f>S10*J10+config!$K$2+config!$L$2</f>
        <v>15.612903225806454</v>
      </c>
      <c r="P10" s="16">
        <f t="shared" si="2"/>
        <v>0.53929460821220054</v>
      </c>
      <c r="Q10" s="17">
        <f>B23/config!$K$2</f>
        <v>2.5833333333333335</v>
      </c>
      <c r="R10" s="17">
        <f>B23/config!$L$2</f>
        <v>1.9375</v>
      </c>
      <c r="S10" s="17">
        <f>(config!$K$2-config!$L$2)/(Q10-R10)</f>
        <v>-6.1935483870967731</v>
      </c>
    </row>
    <row r="11" spans="1:22" x14ac:dyDescent="0.3">
      <c r="A11" s="25" t="s">
        <v>6</v>
      </c>
      <c r="B11" s="26">
        <v>0</v>
      </c>
      <c r="C11" s="26">
        <v>0</v>
      </c>
      <c r="D11" s="26">
        <v>0</v>
      </c>
      <c r="E11" s="26">
        <v>0</v>
      </c>
      <c r="F11" s="26">
        <v>0</v>
      </c>
      <c r="G11" s="26">
        <v>0</v>
      </c>
      <c r="H11" s="26">
        <v>0</v>
      </c>
      <c r="I11" s="26">
        <v>3</v>
      </c>
      <c r="J11" s="31">
        <f t="shared" si="3"/>
        <v>3</v>
      </c>
      <c r="K11" s="27">
        <f>SUMPRODUCT(B11:I11,config!$B$4:$I$4)</f>
        <v>1.7999999999999998</v>
      </c>
      <c r="L11" s="26">
        <f>SUMPRODUCT(B11:I11,config!$B$5:$I$5)-C24</f>
        <v>0</v>
      </c>
      <c r="M11" s="28">
        <f>B24/J11</f>
        <v>11.333333333333334</v>
      </c>
      <c r="N11" s="15">
        <f t="shared" si="1"/>
        <v>3.5199999999999996</v>
      </c>
      <c r="O11" s="16">
        <f>S11*J11+config!$K$2+config!$L$2</f>
        <v>11.058823529411768</v>
      </c>
      <c r="P11" s="16">
        <f t="shared" si="2"/>
        <v>4.0147850881824851</v>
      </c>
      <c r="Q11" s="17">
        <f>B24/config!$K$2</f>
        <v>2.8333333333333335</v>
      </c>
      <c r="R11" s="17">
        <f>B24/config!$L$2</f>
        <v>2.125</v>
      </c>
      <c r="S11" s="17">
        <f>(config!$K$2-config!$L$2)/(Q11-R11)</f>
        <v>-5.6470588235294104</v>
      </c>
    </row>
    <row r="12" spans="1:22" x14ac:dyDescent="0.3">
      <c r="A12" s="1" t="s">
        <v>7</v>
      </c>
      <c r="B12" s="20">
        <f t="shared" ref="B12:J12" si="4">SUM(B2:B11)</f>
        <v>0</v>
      </c>
      <c r="C12" s="20">
        <f t="shared" si="4"/>
        <v>5</v>
      </c>
      <c r="D12" s="20">
        <f t="shared" si="4"/>
        <v>0</v>
      </c>
      <c r="E12" s="20">
        <f t="shared" si="4"/>
        <v>0</v>
      </c>
      <c r="F12" s="20">
        <f t="shared" si="4"/>
        <v>15</v>
      </c>
      <c r="G12" s="20">
        <f t="shared" si="4"/>
        <v>14</v>
      </c>
      <c r="H12" s="20">
        <f t="shared" si="4"/>
        <v>19</v>
      </c>
      <c r="I12" s="20">
        <f t="shared" si="4"/>
        <v>22</v>
      </c>
      <c r="J12" s="20">
        <f t="shared" si="4"/>
        <v>75</v>
      </c>
      <c r="K12" s="29">
        <f>SUM(K2:K11)</f>
        <v>61.85</v>
      </c>
      <c r="L12" s="20">
        <f>SUM(L2:L11)</f>
        <v>10.5</v>
      </c>
      <c r="M12" s="30">
        <f>B25/J12</f>
        <v>14.853333333333333</v>
      </c>
      <c r="N12" s="15">
        <f>SUM(N2:N11)/8</f>
        <v>2.2799999999999998</v>
      </c>
      <c r="O12" s="14">
        <f>S12*J12+config!$K$2+config!$L$2</f>
        <v>15.073608617594253</v>
      </c>
      <c r="P12" s="14">
        <f>SUM(P2:P11)/$V$1</f>
        <v>2.0536643631352796</v>
      </c>
      <c r="Q12" s="17">
        <f>B25/config!$K$2</f>
        <v>92.833333333333329</v>
      </c>
      <c r="R12" s="17">
        <f>B25/config!$L$2</f>
        <v>69.625</v>
      </c>
      <c r="S12" s="17">
        <f>(config!$K$2-config!$L$2)/(Q12-R12)</f>
        <v>-0.1723518850987433</v>
      </c>
    </row>
    <row r="13" spans="1:22" x14ac:dyDescent="0.3">
      <c r="F13" s="17"/>
      <c r="G13" s="2">
        <f>SUM(F12:G12)/J12</f>
        <v>0.38666666666666666</v>
      </c>
      <c r="H13" s="3"/>
      <c r="I13" s="3">
        <f>SUM(H12:I12)/J12</f>
        <v>0.54666666666666663</v>
      </c>
      <c r="J13" s="4">
        <f>I13+G13</f>
        <v>0.93333333333333335</v>
      </c>
    </row>
    <row r="14" spans="1:22" x14ac:dyDescent="0.3">
      <c r="A14" t="s">
        <v>0</v>
      </c>
      <c r="B14" t="s">
        <v>14</v>
      </c>
      <c r="C14" t="s">
        <v>15</v>
      </c>
      <c r="D14" t="s">
        <v>16</v>
      </c>
      <c r="E14" t="s">
        <v>17</v>
      </c>
      <c r="F14" t="s">
        <v>18</v>
      </c>
      <c r="H14" t="s">
        <v>28</v>
      </c>
      <c r="I14" t="s">
        <v>31</v>
      </c>
      <c r="J14" t="s">
        <v>32</v>
      </c>
      <c r="M14" t="s">
        <v>33</v>
      </c>
      <c r="N14" t="s">
        <v>34</v>
      </c>
      <c r="O14" t="s">
        <v>35</v>
      </c>
      <c r="P14" t="s">
        <v>38</v>
      </c>
      <c r="Q14" t="s">
        <v>47</v>
      </c>
      <c r="R14" t="s">
        <v>39</v>
      </c>
    </row>
    <row r="15" spans="1:22" x14ac:dyDescent="0.3">
      <c r="A15" t="s">
        <v>1</v>
      </c>
      <c r="B15">
        <v>144</v>
      </c>
      <c r="C15">
        <v>17</v>
      </c>
      <c r="D15">
        <v>34</v>
      </c>
      <c r="E15">
        <v>0</v>
      </c>
      <c r="F15">
        <v>1</v>
      </c>
      <c r="H15">
        <f>SUMPRODUCT(B2:I2,config!$B$1:$I$1)</f>
        <v>148</v>
      </c>
      <c r="I15">
        <f>SUMPRODUCT(B2:I2,config!$B$2:$I$2)</f>
        <v>24</v>
      </c>
      <c r="J15">
        <f>SUMPRODUCT(B2:I2,config!$B$3:$I$3)</f>
        <v>42</v>
      </c>
      <c r="M15" t="s">
        <v>36</v>
      </c>
      <c r="N15">
        <v>93</v>
      </c>
      <c r="O15">
        <v>74</v>
      </c>
      <c r="P15">
        <f>J12</f>
        <v>75</v>
      </c>
      <c r="Q15" s="11">
        <f>(P15-N15)/(O15-N15)</f>
        <v>0.94736842105263153</v>
      </c>
      <c r="R15">
        <v>0.1336</v>
      </c>
    </row>
    <row r="16" spans="1:22" x14ac:dyDescent="0.3">
      <c r="A16" t="s">
        <v>2</v>
      </c>
      <c r="B16">
        <v>24</v>
      </c>
      <c r="C16">
        <v>0</v>
      </c>
      <c r="D16">
        <v>0</v>
      </c>
      <c r="E16">
        <v>0</v>
      </c>
      <c r="F16">
        <v>0</v>
      </c>
      <c r="H16">
        <f>SUMPRODUCT(B3:I3,config!$B$1:$I$1)</f>
        <v>24</v>
      </c>
      <c r="I16">
        <f>SUMPRODUCT(B3:I3,config!$B$2:$I$2)</f>
        <v>0</v>
      </c>
      <c r="J16">
        <f>SUMPRODUCT(B3:I3,config!$B$3:$I$3)</f>
        <v>0</v>
      </c>
      <c r="M16" t="s">
        <v>12</v>
      </c>
      <c r="N16">
        <v>153.44999999999999</v>
      </c>
      <c r="O16">
        <v>61.85</v>
      </c>
      <c r="P16">
        <f>K12</f>
        <v>61.85</v>
      </c>
      <c r="Q16" s="11">
        <f>(P16-N16)/(O16-N16)</f>
        <v>1</v>
      </c>
      <c r="R16">
        <v>6.1400000000000003E-2</v>
      </c>
    </row>
    <row r="17" spans="1:18" x14ac:dyDescent="0.3">
      <c r="A17" t="s">
        <v>3</v>
      </c>
      <c r="B17">
        <v>84</v>
      </c>
      <c r="C17">
        <v>0</v>
      </c>
      <c r="D17">
        <v>0</v>
      </c>
      <c r="E17">
        <v>0</v>
      </c>
      <c r="F17">
        <v>0</v>
      </c>
      <c r="H17">
        <f>SUMPRODUCT(B4:I4,config!$B$1:$I$1)</f>
        <v>84</v>
      </c>
      <c r="I17">
        <f>SUMPRODUCT(B4:I4,config!$B$2:$I$2)</f>
        <v>0</v>
      </c>
      <c r="J17">
        <f>SUMPRODUCT(B4:I4,config!$B$3:$I$3)</f>
        <v>0</v>
      </c>
      <c r="M17" t="s">
        <v>13</v>
      </c>
      <c r="N17">
        <v>0</v>
      </c>
      <c r="O17">
        <v>1390.5</v>
      </c>
      <c r="P17">
        <f>L12</f>
        <v>10.5</v>
      </c>
      <c r="Q17" s="11">
        <f>(P17-N17)/(O17-N17)</f>
        <v>7.551240560949299E-3</v>
      </c>
      <c r="R17">
        <v>0.31019999999999998</v>
      </c>
    </row>
    <row r="18" spans="1:18" x14ac:dyDescent="0.3">
      <c r="A18" t="s">
        <v>71</v>
      </c>
      <c r="B18">
        <v>89</v>
      </c>
      <c r="C18">
        <v>0</v>
      </c>
      <c r="D18">
        <v>0</v>
      </c>
      <c r="E18">
        <v>0</v>
      </c>
      <c r="F18">
        <v>0</v>
      </c>
      <c r="H18">
        <f>SUMPRODUCT(B5:I5,config!$B$1:$I$1)</f>
        <v>96</v>
      </c>
      <c r="I18">
        <f>SUMPRODUCT(B5:I5,config!$B$2:$I$2)</f>
        <v>0</v>
      </c>
      <c r="J18">
        <f>SUMPRODUCT(B5:I5,config!$B$3:$I$3)</f>
        <v>0</v>
      </c>
      <c r="M18" t="s">
        <v>37</v>
      </c>
      <c r="N18">
        <v>2</v>
      </c>
      <c r="O18">
        <v>1.0047999999999999</v>
      </c>
      <c r="P18">
        <f>P12</f>
        <v>2.0536643631352796</v>
      </c>
      <c r="Q18" s="11">
        <f>(P18-N18)/(O18-N18)</f>
        <v>-5.3923194468729452E-2</v>
      </c>
      <c r="R18">
        <v>0.49480000000000002</v>
      </c>
    </row>
    <row r="19" spans="1:18" x14ac:dyDescent="0.3">
      <c r="A19" t="s">
        <v>4</v>
      </c>
      <c r="B19">
        <v>19</v>
      </c>
      <c r="C19">
        <v>0</v>
      </c>
      <c r="D19">
        <v>0</v>
      </c>
      <c r="E19">
        <v>0</v>
      </c>
      <c r="F19">
        <v>0</v>
      </c>
      <c r="H19">
        <f>SUMPRODUCT(B6:I6,config!$B$1:$I$1)</f>
        <v>24</v>
      </c>
      <c r="I19">
        <f>SUMPRODUCT(B6:I6,config!$B$2:$I$2)</f>
        <v>0</v>
      </c>
      <c r="J19">
        <f>SUMPRODUCT(B6:I6,config!$B$3:$I$3)</f>
        <v>0</v>
      </c>
      <c r="P19" s="1" t="s">
        <v>48</v>
      </c>
      <c r="Q19" s="13">
        <f>SUMPRODUCT(Q15:Q18,R15:R18)</f>
        <v>0.16362961925151071</v>
      </c>
    </row>
    <row r="20" spans="1:18" x14ac:dyDescent="0.3">
      <c r="A20" t="s">
        <v>72</v>
      </c>
      <c r="B20">
        <v>378</v>
      </c>
      <c r="C20">
        <v>74.5</v>
      </c>
      <c r="D20">
        <v>125</v>
      </c>
      <c r="E20">
        <v>0</v>
      </c>
      <c r="F20">
        <v>2</v>
      </c>
      <c r="H20">
        <f>SUMPRODUCT(B7:I7,config!$B$1:$I$1)</f>
        <v>380</v>
      </c>
      <c r="I20">
        <f>SUMPRODUCT(B7:I7,config!$B$2:$I$2)</f>
        <v>78</v>
      </c>
      <c r="J20">
        <f>SUMPRODUCT(B7:I7,config!$B$3:$I$3)</f>
        <v>132</v>
      </c>
    </row>
    <row r="21" spans="1:18" x14ac:dyDescent="0.3">
      <c r="A21" t="s">
        <v>73</v>
      </c>
      <c r="B21">
        <v>12</v>
      </c>
      <c r="C21">
        <v>0</v>
      </c>
      <c r="D21">
        <v>0</v>
      </c>
      <c r="E21">
        <v>0</v>
      </c>
      <c r="F21">
        <v>0</v>
      </c>
      <c r="H21">
        <f>SUMPRODUCT(B8:I8,config!$B$1:$I$1)</f>
        <v>12</v>
      </c>
      <c r="I21">
        <f>SUMPRODUCT(B8:I8,config!$B$2:$I$2)</f>
        <v>0</v>
      </c>
      <c r="J21">
        <f>SUMPRODUCT(B8:I8,config!$B$3:$I$3)</f>
        <v>0</v>
      </c>
    </row>
    <row r="22" spans="1:18" x14ac:dyDescent="0.3">
      <c r="A22" t="s">
        <v>74</v>
      </c>
      <c r="B22">
        <v>299</v>
      </c>
      <c r="C22">
        <v>30</v>
      </c>
      <c r="D22">
        <v>60</v>
      </c>
      <c r="E22">
        <v>0</v>
      </c>
      <c r="F22">
        <v>2</v>
      </c>
      <c r="H22">
        <f>SUMPRODUCT(B9:I9,config!$B$1:$I$1)</f>
        <v>300</v>
      </c>
      <c r="I22">
        <f>SUMPRODUCT(B9:I9,config!$B$2:$I$2)</f>
        <v>30</v>
      </c>
      <c r="J22">
        <f>SUMPRODUCT(B9:I9,config!$B$3:$I$3)</f>
        <v>60</v>
      </c>
    </row>
    <row r="23" spans="1:18" x14ac:dyDescent="0.3">
      <c r="A23" t="s">
        <v>5</v>
      </c>
      <c r="B23">
        <v>31</v>
      </c>
      <c r="C23">
        <v>0</v>
      </c>
      <c r="D23">
        <v>0</v>
      </c>
      <c r="E23">
        <v>0</v>
      </c>
      <c r="F23">
        <v>0</v>
      </c>
      <c r="H23">
        <f>SUMPRODUCT(B10:I10,config!$B$1:$I$1)</f>
        <v>36</v>
      </c>
      <c r="I23">
        <f>SUMPRODUCT(B10:I10,config!$B$2:$I$2)</f>
        <v>0</v>
      </c>
      <c r="J23">
        <f>SUMPRODUCT(B10:I10,config!$B$3:$I$3)</f>
        <v>0</v>
      </c>
    </row>
    <row r="24" spans="1:18" x14ac:dyDescent="0.3">
      <c r="A24" t="s">
        <v>6</v>
      </c>
      <c r="B24">
        <v>34</v>
      </c>
      <c r="C24">
        <v>0</v>
      </c>
      <c r="D24">
        <v>0</v>
      </c>
      <c r="E24">
        <v>0</v>
      </c>
      <c r="F24">
        <v>0</v>
      </c>
      <c r="H24">
        <f>SUMPRODUCT(B11:I11,config!$B$1:$I$1)</f>
        <v>36</v>
      </c>
      <c r="I24">
        <f>SUMPRODUCT(B11:I11,config!$B$2:$I$2)</f>
        <v>0</v>
      </c>
      <c r="J24">
        <f>SUMPRODUCT(B11:I11,config!$B$3:$I$3)</f>
        <v>0</v>
      </c>
    </row>
    <row r="25" spans="1:18" x14ac:dyDescent="0.3">
      <c r="A25" s="1" t="s">
        <v>7</v>
      </c>
      <c r="B25" s="1">
        <f>SUM(B15:B24)</f>
        <v>1114</v>
      </c>
    </row>
  </sheetData>
  <conditionalFormatting sqref="H15:J24">
    <cfRule type="expression" dxfId="11" priority="1">
      <formula>AND(H15&gt;=B15,H15&lt;&gt;"")</formula>
    </cfRule>
    <cfRule type="expression" dxfId="10" priority="2">
      <formula>AND(H15&lt;B15,H15&lt;&gt;"")</formula>
    </cfRule>
  </conditionalFormatting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6B4EC-2B95-489A-9C07-B3215FF67D25}">
  <dimension ref="A1:V25"/>
  <sheetViews>
    <sheetView workbookViewId="0">
      <selection activeCell="M3" sqref="M3:M10"/>
    </sheetView>
  </sheetViews>
  <sheetFormatPr defaultRowHeight="14.4" x14ac:dyDescent="0.3"/>
  <cols>
    <col min="2" max="9" width="6.6640625" customWidth="1"/>
    <col min="10" max="10" width="10.5546875" bestFit="1" customWidth="1"/>
  </cols>
  <sheetData>
    <row r="1" spans="1:22" x14ac:dyDescent="0.3">
      <c r="A1" s="18" t="s">
        <v>0</v>
      </c>
      <c r="B1" s="19" t="s">
        <v>19</v>
      </c>
      <c r="C1" s="19" t="s">
        <v>20</v>
      </c>
      <c r="D1" s="19" t="s">
        <v>21</v>
      </c>
      <c r="E1" s="19" t="s">
        <v>22</v>
      </c>
      <c r="F1" s="19" t="s">
        <v>23</v>
      </c>
      <c r="G1" s="19" t="s">
        <v>24</v>
      </c>
      <c r="H1" s="19" t="s">
        <v>25</v>
      </c>
      <c r="I1" s="19" t="s">
        <v>26</v>
      </c>
      <c r="J1" s="19" t="s">
        <v>11</v>
      </c>
      <c r="K1" s="19" t="s">
        <v>8</v>
      </c>
      <c r="L1" s="19" t="s">
        <v>9</v>
      </c>
      <c r="M1" s="19" t="s">
        <v>10</v>
      </c>
      <c r="N1" s="20" t="s">
        <v>64</v>
      </c>
      <c r="O1" s="21" t="s">
        <v>40</v>
      </c>
      <c r="P1" s="21" t="s">
        <v>46</v>
      </c>
      <c r="Q1" s="21" t="s">
        <v>41</v>
      </c>
      <c r="R1" s="21" t="s">
        <v>42</v>
      </c>
      <c r="S1" s="21" t="s">
        <v>43</v>
      </c>
      <c r="U1" s="21" t="s">
        <v>75</v>
      </c>
      <c r="V1">
        <v>10</v>
      </c>
    </row>
    <row r="2" spans="1:22" x14ac:dyDescent="0.3">
      <c r="A2" t="s">
        <v>1</v>
      </c>
      <c r="B2" s="22">
        <v>0</v>
      </c>
      <c r="C2" s="22">
        <v>1</v>
      </c>
      <c r="D2" s="22">
        <v>0</v>
      </c>
      <c r="E2" s="22">
        <v>0</v>
      </c>
      <c r="F2" s="22">
        <v>0</v>
      </c>
      <c r="G2" s="22">
        <v>0</v>
      </c>
      <c r="H2" s="22">
        <v>6</v>
      </c>
      <c r="I2" s="22">
        <v>7</v>
      </c>
      <c r="J2" s="20">
        <f>SUM(B2:I2)</f>
        <v>14</v>
      </c>
      <c r="K2" s="23">
        <f>SUMPRODUCT(B2:I2,N$21:U$21)</f>
        <v>9.4499999999999993</v>
      </c>
      <c r="L2" s="22">
        <f>SUMPRODUCT(B2:I2,config!$B$5:$I$5)-C15</f>
        <v>1</v>
      </c>
      <c r="M2" s="24">
        <f t="shared" ref="M2:M9" si="0">B15/J2</f>
        <v>10.285714285714286</v>
      </c>
      <c r="N2" s="15">
        <f t="shared" ref="N2:N11" si="1">ABS(M2-M$12)</f>
        <v>1.8229813664596257</v>
      </c>
      <c r="O2" s="16">
        <f>S2*J2+config!$K$2+config!$L$2</f>
        <v>9.3333333333333357</v>
      </c>
      <c r="P2" s="16">
        <f t="shared" ref="P2:P11" si="2">ABS(O2-O$12)</f>
        <v>2.8102932375822807</v>
      </c>
      <c r="Q2" s="17">
        <f>B15/config!$K$2</f>
        <v>12</v>
      </c>
      <c r="R2" s="17">
        <f>B15/config!$L$2</f>
        <v>9</v>
      </c>
      <c r="S2" s="17">
        <f>(config!$K$2-config!$L$2)/(Q2-R2)</f>
        <v>-1.3333333333333333</v>
      </c>
    </row>
    <row r="3" spans="1:22" x14ac:dyDescent="0.3">
      <c r="A3" t="s">
        <v>2</v>
      </c>
      <c r="B3" s="22">
        <v>0</v>
      </c>
      <c r="C3" s="22">
        <v>0</v>
      </c>
      <c r="D3" s="22">
        <v>0</v>
      </c>
      <c r="E3" s="22">
        <v>0</v>
      </c>
      <c r="F3" s="22">
        <v>0</v>
      </c>
      <c r="G3" s="22">
        <v>0</v>
      </c>
      <c r="H3" s="22">
        <v>0</v>
      </c>
      <c r="I3" s="22">
        <v>2</v>
      </c>
      <c r="J3" s="20">
        <f t="shared" ref="J3:J11" si="3">SUM(B3:I3)</f>
        <v>2</v>
      </c>
      <c r="K3" s="23">
        <f t="shared" ref="K3:K11" si="4">SUMPRODUCT(B3:I3,N$21:U$21)</f>
        <v>1.2</v>
      </c>
      <c r="L3" s="22">
        <f>SUMPRODUCT(B3:I3,config!$B$5:$I$5)-C16</f>
        <v>0</v>
      </c>
      <c r="M3" s="24">
        <f t="shared" si="0"/>
        <v>12</v>
      </c>
      <c r="N3" s="15">
        <f t="shared" si="1"/>
        <v>0.10869565217391219</v>
      </c>
      <c r="O3" s="16">
        <f>S3*J3+config!$K$2+config!$L$2</f>
        <v>12</v>
      </c>
      <c r="P3" s="16">
        <f t="shared" si="2"/>
        <v>0.14362657091561637</v>
      </c>
      <c r="Q3" s="17">
        <f>B16/config!$K$2</f>
        <v>2</v>
      </c>
      <c r="R3" s="17">
        <f>B16/config!$L$2</f>
        <v>1.5</v>
      </c>
      <c r="S3" s="17">
        <f>(config!$K$2-config!$L$2)/(Q3-R3)</f>
        <v>-8</v>
      </c>
    </row>
    <row r="4" spans="1:22" x14ac:dyDescent="0.3">
      <c r="A4" t="s">
        <v>3</v>
      </c>
      <c r="B4" s="22">
        <v>0</v>
      </c>
      <c r="C4" s="22">
        <v>0</v>
      </c>
      <c r="D4" s="22">
        <v>0</v>
      </c>
      <c r="E4" s="22">
        <v>0</v>
      </c>
      <c r="F4" s="22">
        <v>0</v>
      </c>
      <c r="G4" s="22">
        <v>1</v>
      </c>
      <c r="H4" s="22">
        <v>0</v>
      </c>
      <c r="I4" s="22">
        <v>5</v>
      </c>
      <c r="J4" s="20">
        <f t="shared" si="3"/>
        <v>6</v>
      </c>
      <c r="K4" s="23">
        <f t="shared" si="4"/>
        <v>4.6500000000000004</v>
      </c>
      <c r="L4" s="22">
        <f>SUMPRODUCT(B4:I4,config!$B$5:$I$5)-C17</f>
        <v>0</v>
      </c>
      <c r="M4" s="24">
        <f t="shared" si="0"/>
        <v>14</v>
      </c>
      <c r="N4" s="15">
        <f t="shared" si="1"/>
        <v>1.8913043478260878</v>
      </c>
      <c r="O4" s="16">
        <f>S4*J4+config!$K$2+config!$L$2</f>
        <v>14.285714285714286</v>
      </c>
      <c r="P4" s="16">
        <f t="shared" si="2"/>
        <v>2.1420877147986701</v>
      </c>
      <c r="Q4" s="17">
        <f>B17/config!$K$2</f>
        <v>7</v>
      </c>
      <c r="R4" s="17">
        <f>B17/config!$L$2</f>
        <v>5.25</v>
      </c>
      <c r="S4" s="17">
        <f>(config!$K$2-config!$L$2)/(Q4-R4)</f>
        <v>-2.2857142857142856</v>
      </c>
    </row>
    <row r="5" spans="1:22" x14ac:dyDescent="0.3">
      <c r="A5" t="s">
        <v>71</v>
      </c>
      <c r="B5" s="22">
        <v>0</v>
      </c>
      <c r="C5" s="22">
        <v>0</v>
      </c>
      <c r="D5" s="22">
        <v>0</v>
      </c>
      <c r="E5" s="22">
        <v>0</v>
      </c>
      <c r="F5" s="22">
        <v>0</v>
      </c>
      <c r="G5" s="22">
        <v>2</v>
      </c>
      <c r="H5" s="22">
        <v>0</v>
      </c>
      <c r="I5" s="22">
        <v>4</v>
      </c>
      <c r="J5" s="20">
        <f t="shared" si="3"/>
        <v>6</v>
      </c>
      <c r="K5" s="23">
        <f t="shared" si="4"/>
        <v>5.6999999999999993</v>
      </c>
      <c r="L5" s="22">
        <f>SUMPRODUCT(B5:I5,config!$B$5:$I$5)-C18</f>
        <v>0</v>
      </c>
      <c r="M5" s="24">
        <f t="shared" si="0"/>
        <v>14.833333333333334</v>
      </c>
      <c r="N5" s="15">
        <f t="shared" si="1"/>
        <v>2.7246376811594217</v>
      </c>
      <c r="O5" s="16">
        <f>S5*J5+config!$K$2+config!$L$2</f>
        <v>15.056179775280903</v>
      </c>
      <c r="P5" s="16">
        <f t="shared" si="2"/>
        <v>2.9125532043652864</v>
      </c>
      <c r="Q5" s="17">
        <f>B18/config!$K$2</f>
        <v>7.416666666666667</v>
      </c>
      <c r="R5" s="17">
        <f>B18/config!$L$2</f>
        <v>5.5625</v>
      </c>
      <c r="S5" s="17">
        <f>(config!$K$2-config!$L$2)/(Q5-R5)</f>
        <v>-2.1573033707865163</v>
      </c>
    </row>
    <row r="6" spans="1:22" x14ac:dyDescent="0.3">
      <c r="A6" t="s">
        <v>4</v>
      </c>
      <c r="B6" s="22">
        <v>0</v>
      </c>
      <c r="C6" s="22">
        <v>0</v>
      </c>
      <c r="D6" s="22">
        <v>0</v>
      </c>
      <c r="E6" s="22">
        <v>0</v>
      </c>
      <c r="F6" s="22">
        <v>0</v>
      </c>
      <c r="G6" s="22">
        <v>0</v>
      </c>
      <c r="H6" s="22">
        <v>0</v>
      </c>
      <c r="I6" s="22">
        <v>2</v>
      </c>
      <c r="J6" s="20">
        <f t="shared" si="3"/>
        <v>2</v>
      </c>
      <c r="K6" s="23">
        <f t="shared" si="4"/>
        <v>1.2</v>
      </c>
      <c r="L6" s="22">
        <f>SUMPRODUCT(B6:I6,config!$B$5:$I$5)-C19</f>
        <v>0</v>
      </c>
      <c r="M6" s="24">
        <f t="shared" si="0"/>
        <v>9.5</v>
      </c>
      <c r="N6" s="15">
        <f t="shared" si="1"/>
        <v>2.6086956521739122</v>
      </c>
      <c r="O6" s="16">
        <f>S6*J6+config!$K$2+config!$L$2</f>
        <v>7.7894736842105239</v>
      </c>
      <c r="P6" s="16">
        <f t="shared" si="2"/>
        <v>4.3541528867050925</v>
      </c>
      <c r="Q6" s="17">
        <f>B19/config!$K$2</f>
        <v>1.5833333333333333</v>
      </c>
      <c r="R6" s="17">
        <f>B19/config!$L$2</f>
        <v>1.1875</v>
      </c>
      <c r="S6" s="17">
        <f>(config!$K$2-config!$L$2)/(Q6-R6)</f>
        <v>-10.105263157894738</v>
      </c>
    </row>
    <row r="7" spans="1:22" x14ac:dyDescent="0.3">
      <c r="A7" t="s">
        <v>72</v>
      </c>
      <c r="B7" s="22">
        <v>0</v>
      </c>
      <c r="C7" s="22">
        <v>2</v>
      </c>
      <c r="D7" s="22">
        <v>0</v>
      </c>
      <c r="E7" s="22">
        <v>0</v>
      </c>
      <c r="F7" s="22">
        <v>0</v>
      </c>
      <c r="G7" s="22">
        <v>4</v>
      </c>
      <c r="H7" s="22">
        <v>25</v>
      </c>
      <c r="I7" s="22">
        <v>1</v>
      </c>
      <c r="J7" s="20">
        <f t="shared" si="3"/>
        <v>32</v>
      </c>
      <c r="K7" s="23">
        <f t="shared" si="4"/>
        <v>25.5</v>
      </c>
      <c r="L7" s="22">
        <f>SUMPRODUCT(B7:I7,config!$B$5:$I$5)-C20</f>
        <v>0.5</v>
      </c>
      <c r="M7" s="24">
        <f t="shared" si="0"/>
        <v>11.8125</v>
      </c>
      <c r="N7" s="15">
        <f t="shared" si="1"/>
        <v>0.29619565217391219</v>
      </c>
      <c r="O7" s="16">
        <f>S7*J7+config!$K$2+config!$L$2</f>
        <v>11.746031746031747</v>
      </c>
      <c r="P7" s="16">
        <f t="shared" si="2"/>
        <v>0.39759482488386944</v>
      </c>
      <c r="Q7" s="17">
        <f>B20/config!$K$2</f>
        <v>31.5</v>
      </c>
      <c r="R7" s="17">
        <f>B20/config!$L$2</f>
        <v>23.625</v>
      </c>
      <c r="S7" s="17">
        <f>(config!$K$2-config!$L$2)/(Q7-R7)</f>
        <v>-0.50793650793650791</v>
      </c>
    </row>
    <row r="8" spans="1:22" x14ac:dyDescent="0.3">
      <c r="A8" t="s">
        <v>73</v>
      </c>
      <c r="B8" s="22">
        <v>0</v>
      </c>
      <c r="C8" s="22">
        <v>0</v>
      </c>
      <c r="D8" s="22">
        <v>0</v>
      </c>
      <c r="E8" s="22">
        <v>0</v>
      </c>
      <c r="F8" s="22">
        <v>0</v>
      </c>
      <c r="G8" s="22">
        <v>0</v>
      </c>
      <c r="H8" s="22">
        <v>0</v>
      </c>
      <c r="I8" s="22">
        <v>1</v>
      </c>
      <c r="J8" s="20">
        <f t="shared" si="3"/>
        <v>1</v>
      </c>
      <c r="K8" s="23">
        <f t="shared" si="4"/>
        <v>0.6</v>
      </c>
      <c r="L8" s="22">
        <f>SUMPRODUCT(B8:I8,config!$B$5:$I$5)-C21</f>
        <v>0</v>
      </c>
      <c r="M8" s="24">
        <f t="shared" si="0"/>
        <v>12</v>
      </c>
      <c r="N8" s="15">
        <f t="shared" si="1"/>
        <v>0.10869565217391219</v>
      </c>
      <c r="O8" s="16">
        <f>S8*J8+config!$K$2+config!$L$2</f>
        <v>12</v>
      </c>
      <c r="P8" s="16">
        <f t="shared" si="2"/>
        <v>0.14362657091561637</v>
      </c>
      <c r="Q8" s="17">
        <f>B21/config!$K$2</f>
        <v>1</v>
      </c>
      <c r="R8" s="17">
        <f>B21/config!$L$2</f>
        <v>0.75</v>
      </c>
      <c r="S8" s="17">
        <f>(config!$K$2-config!$L$2)/(Q8-R8)</f>
        <v>-16</v>
      </c>
    </row>
    <row r="9" spans="1:22" x14ac:dyDescent="0.3">
      <c r="A9" t="s">
        <v>74</v>
      </c>
      <c r="B9" s="22">
        <v>0</v>
      </c>
      <c r="C9" s="22">
        <v>2</v>
      </c>
      <c r="D9" s="22">
        <v>0</v>
      </c>
      <c r="E9" s="22">
        <v>0</v>
      </c>
      <c r="F9" s="22">
        <v>0</v>
      </c>
      <c r="G9" s="22">
        <v>4</v>
      </c>
      <c r="H9" s="22">
        <v>10</v>
      </c>
      <c r="I9" s="22">
        <v>7</v>
      </c>
      <c r="J9" s="20">
        <f t="shared" si="3"/>
        <v>23</v>
      </c>
      <c r="K9" s="23">
        <f t="shared" si="4"/>
        <v>20.099999999999998</v>
      </c>
      <c r="L9" s="22">
        <f>SUMPRODUCT(B9:I9,config!$B$5:$I$5)-C22</f>
        <v>0</v>
      </c>
      <c r="M9" s="24">
        <f t="shared" si="0"/>
        <v>13</v>
      </c>
      <c r="N9" s="15">
        <f t="shared" si="1"/>
        <v>0.89130434782608781</v>
      </c>
      <c r="O9" s="16">
        <f>S9*J9+config!$K$2+config!$L$2</f>
        <v>13.230769230769234</v>
      </c>
      <c r="P9" s="16">
        <f t="shared" si="2"/>
        <v>1.0871426598536171</v>
      </c>
      <c r="Q9" s="17">
        <f>B22/config!$K$2</f>
        <v>24.916666666666668</v>
      </c>
      <c r="R9" s="17">
        <f>B22/config!$L$2</f>
        <v>18.6875</v>
      </c>
      <c r="S9" s="17">
        <f>(config!$K$2-config!$L$2)/(Q9-R9)</f>
        <v>-0.64214046822742465</v>
      </c>
    </row>
    <row r="10" spans="1:22" x14ac:dyDescent="0.3">
      <c r="A10" t="s">
        <v>5</v>
      </c>
      <c r="B10" s="22">
        <v>0</v>
      </c>
      <c r="C10" s="22">
        <v>0</v>
      </c>
      <c r="D10" s="22">
        <v>0</v>
      </c>
      <c r="E10" s="22">
        <v>0</v>
      </c>
      <c r="F10" s="22">
        <v>0</v>
      </c>
      <c r="G10" s="22">
        <v>0</v>
      </c>
      <c r="H10" s="22">
        <v>0</v>
      </c>
      <c r="I10" s="22">
        <v>3</v>
      </c>
      <c r="J10" s="20">
        <f t="shared" si="3"/>
        <v>3</v>
      </c>
      <c r="K10" s="23">
        <f t="shared" si="4"/>
        <v>1.7999999999999998</v>
      </c>
      <c r="L10" s="22">
        <f>SUMPRODUCT(B10:I10,config!$B$5:$I$5)-C23</f>
        <v>0</v>
      </c>
      <c r="M10" s="24">
        <f>B23/J10</f>
        <v>10.333333333333334</v>
      </c>
      <c r="N10" s="15">
        <f t="shared" si="1"/>
        <v>1.7753623188405783</v>
      </c>
      <c r="O10" s="16">
        <f>S10*J10+config!$K$2+config!$L$2</f>
        <v>9.4193548387096797</v>
      </c>
      <c r="P10" s="16">
        <f t="shared" si="2"/>
        <v>2.7242717322059367</v>
      </c>
      <c r="Q10" s="17">
        <f>B23/config!$K$2</f>
        <v>2.5833333333333335</v>
      </c>
      <c r="R10" s="17">
        <f>B23/config!$L$2</f>
        <v>1.9375</v>
      </c>
      <c r="S10" s="17">
        <f>(config!$K$2-config!$L$2)/(Q10-R10)</f>
        <v>-6.1935483870967731</v>
      </c>
    </row>
    <row r="11" spans="1:22" x14ac:dyDescent="0.3">
      <c r="A11" s="25" t="s">
        <v>6</v>
      </c>
      <c r="B11" s="26">
        <v>0</v>
      </c>
      <c r="C11" s="26">
        <v>0</v>
      </c>
      <c r="D11" s="26">
        <v>0</v>
      </c>
      <c r="E11" s="26">
        <v>0</v>
      </c>
      <c r="F11" s="26">
        <v>0</v>
      </c>
      <c r="G11" s="26">
        <v>0</v>
      </c>
      <c r="H11" s="26">
        <v>0</v>
      </c>
      <c r="I11" s="26">
        <v>3</v>
      </c>
      <c r="J11" s="31">
        <f t="shared" si="3"/>
        <v>3</v>
      </c>
      <c r="K11" s="27">
        <f t="shared" si="4"/>
        <v>1.7999999999999998</v>
      </c>
      <c r="L11" s="26">
        <f>SUMPRODUCT(B11:I11,config!$B$5:$I$5)-C24</f>
        <v>0</v>
      </c>
      <c r="M11" s="28">
        <f>B24/J11</f>
        <v>11.333333333333334</v>
      </c>
      <c r="N11" s="15">
        <f t="shared" si="1"/>
        <v>0.77536231884057827</v>
      </c>
      <c r="O11" s="16">
        <f>S11*J11+config!$K$2+config!$L$2</f>
        <v>11.058823529411768</v>
      </c>
      <c r="P11" s="16">
        <f t="shared" si="2"/>
        <v>1.0848030415038483</v>
      </c>
      <c r="Q11" s="17">
        <f>B24/config!$K$2</f>
        <v>2.8333333333333335</v>
      </c>
      <c r="R11" s="17">
        <f>B24/config!$L$2</f>
        <v>2.125</v>
      </c>
      <c r="S11" s="17">
        <f>(config!$K$2-config!$L$2)/(Q11-R11)</f>
        <v>-5.6470588235294104</v>
      </c>
    </row>
    <row r="12" spans="1:22" x14ac:dyDescent="0.3">
      <c r="A12" s="1" t="s">
        <v>7</v>
      </c>
      <c r="B12" s="20">
        <f t="shared" ref="B12:J12" si="5">SUM(B2:B11)</f>
        <v>0</v>
      </c>
      <c r="C12" s="20">
        <f t="shared" si="5"/>
        <v>5</v>
      </c>
      <c r="D12" s="20">
        <f t="shared" si="5"/>
        <v>0</v>
      </c>
      <c r="E12" s="20">
        <f t="shared" si="5"/>
        <v>0</v>
      </c>
      <c r="F12" s="20">
        <f t="shared" si="5"/>
        <v>0</v>
      </c>
      <c r="G12" s="20">
        <f t="shared" si="5"/>
        <v>11</v>
      </c>
      <c r="H12" s="20">
        <f t="shared" si="5"/>
        <v>41</v>
      </c>
      <c r="I12" s="20">
        <f t="shared" si="5"/>
        <v>35</v>
      </c>
      <c r="J12" s="20">
        <f t="shared" si="5"/>
        <v>92</v>
      </c>
      <c r="K12" s="29">
        <f>SUM(K2:K11)</f>
        <v>72</v>
      </c>
      <c r="L12" s="20">
        <f>SUM(L2:L11)</f>
        <v>1.5</v>
      </c>
      <c r="M12" s="30">
        <f>B25/J12</f>
        <v>12.108695652173912</v>
      </c>
      <c r="N12" s="15">
        <f>SUM(N2:N11)/8</f>
        <v>1.6254043737060035</v>
      </c>
      <c r="O12" s="14">
        <f>S12*J12+config!$K$2+config!$L$2</f>
        <v>12.143626570915616</v>
      </c>
      <c r="P12" s="14">
        <f>SUM(P2:P11)/$V$1</f>
        <v>1.7800152443729835</v>
      </c>
      <c r="Q12" s="17">
        <f>B25/config!$K$2</f>
        <v>92.833333333333329</v>
      </c>
      <c r="R12" s="17">
        <f>B25/config!$L$2</f>
        <v>69.625</v>
      </c>
      <c r="S12" s="17">
        <f>(config!$K$2-config!$L$2)/(Q12-R12)</f>
        <v>-0.1723518850987433</v>
      </c>
    </row>
    <row r="13" spans="1:22" x14ac:dyDescent="0.3">
      <c r="F13" s="17"/>
      <c r="G13" s="2">
        <f>SUM(F12:G12)/J12</f>
        <v>0.11956521739130435</v>
      </c>
      <c r="H13" s="3"/>
      <c r="I13" s="3">
        <f>SUM(H12:I12)/J12</f>
        <v>0.82608695652173914</v>
      </c>
      <c r="J13" s="4">
        <f>I13+G13</f>
        <v>0.94565217391304346</v>
      </c>
    </row>
    <row r="14" spans="1:22" x14ac:dyDescent="0.3">
      <c r="A14" t="s">
        <v>0</v>
      </c>
      <c r="B14" t="s">
        <v>14</v>
      </c>
      <c r="C14" t="s">
        <v>15</v>
      </c>
      <c r="D14" t="s">
        <v>16</v>
      </c>
      <c r="E14" t="s">
        <v>17</v>
      </c>
      <c r="F14" t="s">
        <v>18</v>
      </c>
      <c r="H14" t="s">
        <v>28</v>
      </c>
      <c r="I14" t="s">
        <v>31</v>
      </c>
      <c r="J14" t="s">
        <v>32</v>
      </c>
      <c r="M14" t="s">
        <v>33</v>
      </c>
      <c r="N14" t="s">
        <v>34</v>
      </c>
      <c r="O14" t="s">
        <v>35</v>
      </c>
      <c r="P14" t="s">
        <v>38</v>
      </c>
      <c r="Q14" t="s">
        <v>47</v>
      </c>
      <c r="R14" t="s">
        <v>39</v>
      </c>
    </row>
    <row r="15" spans="1:22" x14ac:dyDescent="0.3">
      <c r="A15" t="s">
        <v>1</v>
      </c>
      <c r="B15">
        <v>144</v>
      </c>
      <c r="C15">
        <v>17</v>
      </c>
      <c r="D15">
        <v>34</v>
      </c>
      <c r="E15">
        <v>0</v>
      </c>
      <c r="F15">
        <v>1</v>
      </c>
      <c r="H15">
        <f>SUMPRODUCT(B2:I2,config!$B$1:$I$1)</f>
        <v>154</v>
      </c>
      <c r="I15">
        <f>SUMPRODUCT(B2:I2,config!$B$2:$I$2)</f>
        <v>18</v>
      </c>
      <c r="J15">
        <f>SUMPRODUCT(B2:I2,config!$B$3:$I$3)</f>
        <v>36</v>
      </c>
      <c r="M15" t="s">
        <v>36</v>
      </c>
      <c r="N15">
        <v>93</v>
      </c>
      <c r="O15">
        <v>74</v>
      </c>
      <c r="P15">
        <f>J12</f>
        <v>92</v>
      </c>
      <c r="Q15" s="11">
        <f>(P15-N15)/(O15-N15)</f>
        <v>5.2631578947368418E-2</v>
      </c>
      <c r="R15">
        <v>0.1336</v>
      </c>
    </row>
    <row r="16" spans="1:22" x14ac:dyDescent="0.3">
      <c r="A16" t="s">
        <v>2</v>
      </c>
      <c r="B16">
        <v>24</v>
      </c>
      <c r="C16">
        <v>0</v>
      </c>
      <c r="D16">
        <v>0</v>
      </c>
      <c r="E16">
        <v>0</v>
      </c>
      <c r="F16">
        <v>0</v>
      </c>
      <c r="H16">
        <f>SUMPRODUCT(B3:I3,config!$B$1:$I$1)</f>
        <v>24</v>
      </c>
      <c r="I16">
        <f>SUMPRODUCT(B3:I3,config!$B$2:$I$2)</f>
        <v>0</v>
      </c>
      <c r="J16">
        <f>SUMPRODUCT(B3:I3,config!$B$3:$I$3)</f>
        <v>0</v>
      </c>
      <c r="M16" t="s">
        <v>12</v>
      </c>
      <c r="N16">
        <v>153.44999999999999</v>
      </c>
      <c r="O16">
        <v>72</v>
      </c>
      <c r="P16">
        <f>K12</f>
        <v>72</v>
      </c>
      <c r="Q16" s="11">
        <f>(P16-N16)/(O16-N16)</f>
        <v>1</v>
      </c>
      <c r="R16">
        <v>6.1400000000000003E-2</v>
      </c>
    </row>
    <row r="17" spans="1:21" x14ac:dyDescent="0.3">
      <c r="A17" t="s">
        <v>3</v>
      </c>
      <c r="B17">
        <v>84</v>
      </c>
      <c r="C17">
        <v>0</v>
      </c>
      <c r="D17">
        <v>0</v>
      </c>
      <c r="E17">
        <v>0</v>
      </c>
      <c r="F17">
        <v>0</v>
      </c>
      <c r="H17">
        <f>SUMPRODUCT(B4:I4,config!$B$1:$I$1)</f>
        <v>84</v>
      </c>
      <c r="I17">
        <f>SUMPRODUCT(B4:I4,config!$B$2:$I$2)</f>
        <v>0</v>
      </c>
      <c r="J17">
        <f>SUMPRODUCT(B4:I4,config!$B$3:$I$3)</f>
        <v>0</v>
      </c>
      <c r="M17" t="s">
        <v>13</v>
      </c>
      <c r="N17">
        <v>0</v>
      </c>
      <c r="O17">
        <v>1390.5</v>
      </c>
      <c r="P17">
        <f>L12</f>
        <v>1.5</v>
      </c>
      <c r="Q17" s="11">
        <f>(P17-N17)/(O17-N17)</f>
        <v>1.0787486515641855E-3</v>
      </c>
      <c r="R17">
        <v>0.31019999999999998</v>
      </c>
    </row>
    <row r="18" spans="1:21" x14ac:dyDescent="0.3">
      <c r="A18" t="s">
        <v>71</v>
      </c>
      <c r="B18">
        <v>89</v>
      </c>
      <c r="C18">
        <v>0</v>
      </c>
      <c r="D18">
        <v>0</v>
      </c>
      <c r="E18">
        <v>0</v>
      </c>
      <c r="F18">
        <v>0</v>
      </c>
      <c r="H18">
        <f>SUMPRODUCT(B5:I5,config!$B$1:$I$1)</f>
        <v>96</v>
      </c>
      <c r="I18">
        <f>SUMPRODUCT(B5:I5,config!$B$2:$I$2)</f>
        <v>0</v>
      </c>
      <c r="J18">
        <f>SUMPRODUCT(B5:I5,config!$B$3:$I$3)</f>
        <v>0</v>
      </c>
      <c r="M18" t="s">
        <v>37</v>
      </c>
      <c r="N18">
        <v>2</v>
      </c>
      <c r="O18">
        <v>1.0047999999999999</v>
      </c>
      <c r="P18">
        <f>P12</f>
        <v>1.7800152443729835</v>
      </c>
      <c r="Q18" s="11">
        <f>(P18-N18)/(O18-N18)</f>
        <v>0.22104577534869016</v>
      </c>
      <c r="R18">
        <v>0.49480000000000002</v>
      </c>
    </row>
    <row r="19" spans="1:21" x14ac:dyDescent="0.3">
      <c r="A19" t="s">
        <v>4</v>
      </c>
      <c r="B19">
        <v>19</v>
      </c>
      <c r="C19">
        <v>0</v>
      </c>
      <c r="D19">
        <v>0</v>
      </c>
      <c r="E19">
        <v>0</v>
      </c>
      <c r="F19">
        <v>0</v>
      </c>
      <c r="H19">
        <f>SUMPRODUCT(B6:I6,config!$B$1:$I$1)</f>
        <v>24</v>
      </c>
      <c r="I19">
        <f>SUMPRODUCT(B6:I6,config!$B$2:$I$2)</f>
        <v>0</v>
      </c>
      <c r="J19">
        <f>SUMPRODUCT(B6:I6,config!$B$3:$I$3)</f>
        <v>0</v>
      </c>
      <c r="P19" s="1" t="s">
        <v>48</v>
      </c>
      <c r="Q19" s="13">
        <f>SUMPRODUCT(Q15:Q18,R15:R18)</f>
        <v>0.17813965642161556</v>
      </c>
    </row>
    <row r="20" spans="1:21" x14ac:dyDescent="0.3">
      <c r="A20" t="s">
        <v>72</v>
      </c>
      <c r="B20">
        <v>378</v>
      </c>
      <c r="C20">
        <v>74.5</v>
      </c>
      <c r="D20">
        <v>125</v>
      </c>
      <c r="E20">
        <v>0</v>
      </c>
      <c r="F20">
        <v>2</v>
      </c>
      <c r="H20">
        <f>SUMPRODUCT(B7:I7,config!$B$1:$I$1)</f>
        <v>378</v>
      </c>
      <c r="I20">
        <f>SUMPRODUCT(B7:I7,config!$B$2:$I$2)</f>
        <v>75</v>
      </c>
      <c r="J20">
        <f>SUMPRODUCT(B7:I7,config!$B$3:$I$3)</f>
        <v>150</v>
      </c>
    </row>
    <row r="21" spans="1:21" x14ac:dyDescent="0.3">
      <c r="A21" t="s">
        <v>73</v>
      </c>
      <c r="B21">
        <v>12</v>
      </c>
      <c r="C21">
        <v>0</v>
      </c>
      <c r="D21">
        <v>0</v>
      </c>
      <c r="E21">
        <v>0</v>
      </c>
      <c r="F21">
        <v>0</v>
      </c>
      <c r="H21">
        <f>SUMPRODUCT(B8:I8,config!$B$1:$I$1)</f>
        <v>12</v>
      </c>
      <c r="I21">
        <f>SUMPRODUCT(B8:I8,config!$B$2:$I$2)</f>
        <v>0</v>
      </c>
      <c r="J21">
        <f>SUMPRODUCT(B8:I8,config!$B$3:$I$3)</f>
        <v>0</v>
      </c>
      <c r="M21" t="s">
        <v>12</v>
      </c>
      <c r="N21">
        <v>1.65</v>
      </c>
      <c r="O21">
        <v>1.65</v>
      </c>
      <c r="P21">
        <v>1.65</v>
      </c>
      <c r="Q21">
        <v>1.65</v>
      </c>
      <c r="R21">
        <v>1.65</v>
      </c>
      <c r="S21">
        <v>1.65</v>
      </c>
      <c r="T21">
        <v>0.6</v>
      </c>
      <c r="U21">
        <v>0.6</v>
      </c>
    </row>
    <row r="22" spans="1:21" x14ac:dyDescent="0.3">
      <c r="A22" t="s">
        <v>74</v>
      </c>
      <c r="B22">
        <v>299</v>
      </c>
      <c r="C22">
        <v>30</v>
      </c>
      <c r="D22">
        <v>60</v>
      </c>
      <c r="E22">
        <v>0</v>
      </c>
      <c r="F22">
        <v>2</v>
      </c>
      <c r="H22">
        <f>SUMPRODUCT(B9:I9,config!$B$1:$I$1)</f>
        <v>300</v>
      </c>
      <c r="I22">
        <f>SUMPRODUCT(B9:I9,config!$B$2:$I$2)</f>
        <v>30</v>
      </c>
      <c r="J22">
        <f>SUMPRODUCT(B9:I9,config!$B$3:$I$3)</f>
        <v>60</v>
      </c>
    </row>
    <row r="23" spans="1:21" x14ac:dyDescent="0.3">
      <c r="A23" t="s">
        <v>5</v>
      </c>
      <c r="B23">
        <v>31</v>
      </c>
      <c r="C23">
        <v>0</v>
      </c>
      <c r="D23">
        <v>0</v>
      </c>
      <c r="E23">
        <v>0</v>
      </c>
      <c r="F23">
        <v>0</v>
      </c>
      <c r="H23">
        <f>SUMPRODUCT(B10:I10,config!$B$1:$I$1)</f>
        <v>36</v>
      </c>
      <c r="I23">
        <f>SUMPRODUCT(B10:I10,config!$B$2:$I$2)</f>
        <v>0</v>
      </c>
      <c r="J23">
        <f>SUMPRODUCT(B10:I10,config!$B$3:$I$3)</f>
        <v>0</v>
      </c>
    </row>
    <row r="24" spans="1:21" x14ac:dyDescent="0.3">
      <c r="A24" t="s">
        <v>6</v>
      </c>
      <c r="B24">
        <v>34</v>
      </c>
      <c r="C24">
        <v>0</v>
      </c>
      <c r="D24">
        <v>0</v>
      </c>
      <c r="E24">
        <v>0</v>
      </c>
      <c r="F24">
        <v>0</v>
      </c>
      <c r="H24">
        <f>SUMPRODUCT(B11:I11,config!$B$1:$I$1)</f>
        <v>36</v>
      </c>
      <c r="I24">
        <f>SUMPRODUCT(B11:I11,config!$B$2:$I$2)</f>
        <v>0</v>
      </c>
      <c r="J24">
        <f>SUMPRODUCT(B11:I11,config!$B$3:$I$3)</f>
        <v>0</v>
      </c>
    </row>
    <row r="25" spans="1:21" x14ac:dyDescent="0.3">
      <c r="A25" s="1" t="s">
        <v>7</v>
      </c>
      <c r="B25" s="1">
        <f>SUM(B15:B24)</f>
        <v>1114</v>
      </c>
    </row>
  </sheetData>
  <conditionalFormatting sqref="H15:J24">
    <cfRule type="expression" dxfId="9" priority="1">
      <formula>AND(H15&gt;=B15,H15&lt;&gt;"")</formula>
    </cfRule>
    <cfRule type="expression" dxfId="8" priority="2">
      <formula>AND(H15&lt;B15,H15&lt;&gt;"")</formula>
    </cfRule>
  </conditionalFormatting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CB9D2-066B-4A39-8AFA-E869B9C0D82B}">
  <dimension ref="A1:V25"/>
  <sheetViews>
    <sheetView workbookViewId="0">
      <selection activeCell="M3" sqref="M3:M10"/>
    </sheetView>
  </sheetViews>
  <sheetFormatPr defaultRowHeight="14.4" x14ac:dyDescent="0.3"/>
  <cols>
    <col min="2" max="9" width="6.6640625" customWidth="1"/>
    <col min="10" max="10" width="10.5546875" bestFit="1" customWidth="1"/>
  </cols>
  <sheetData>
    <row r="1" spans="1:22" x14ac:dyDescent="0.3">
      <c r="A1" s="18" t="s">
        <v>0</v>
      </c>
      <c r="B1" s="19" t="s">
        <v>19</v>
      </c>
      <c r="C1" s="19" t="s">
        <v>20</v>
      </c>
      <c r="D1" s="19" t="s">
        <v>21</v>
      </c>
      <c r="E1" s="19" t="s">
        <v>22</v>
      </c>
      <c r="F1" s="19" t="s">
        <v>23</v>
      </c>
      <c r="G1" s="19" t="s">
        <v>24</v>
      </c>
      <c r="H1" s="19" t="s">
        <v>25</v>
      </c>
      <c r="I1" s="19" t="s">
        <v>26</v>
      </c>
      <c r="J1" s="19" t="s">
        <v>11</v>
      </c>
      <c r="K1" s="19" t="s">
        <v>8</v>
      </c>
      <c r="L1" s="19" t="s">
        <v>9</v>
      </c>
      <c r="M1" s="19" t="s">
        <v>10</v>
      </c>
      <c r="N1" s="20" t="s">
        <v>64</v>
      </c>
      <c r="O1" s="21" t="s">
        <v>40</v>
      </c>
      <c r="P1" s="21" t="s">
        <v>46</v>
      </c>
      <c r="Q1" s="21" t="s">
        <v>41</v>
      </c>
      <c r="R1" s="21" t="s">
        <v>42</v>
      </c>
      <c r="S1" s="21" t="s">
        <v>43</v>
      </c>
      <c r="U1" s="21" t="s">
        <v>75</v>
      </c>
      <c r="V1">
        <v>10</v>
      </c>
    </row>
    <row r="2" spans="1:22" x14ac:dyDescent="0.3">
      <c r="A2" t="s">
        <v>1</v>
      </c>
      <c r="B2" s="22">
        <v>0</v>
      </c>
      <c r="C2" s="22">
        <v>1</v>
      </c>
      <c r="D2" s="22">
        <v>10</v>
      </c>
      <c r="E2" s="22">
        <v>1</v>
      </c>
      <c r="F2" s="22">
        <v>0</v>
      </c>
      <c r="G2" s="22">
        <v>0</v>
      </c>
      <c r="H2" s="22">
        <v>0</v>
      </c>
      <c r="I2" s="22">
        <v>0</v>
      </c>
      <c r="J2" s="20">
        <f>SUM(B2:I2)</f>
        <v>12</v>
      </c>
      <c r="K2" s="23">
        <f>SUMPRODUCT(B2:I2,config!$B$4:$I$4)</f>
        <v>19.799999999999997</v>
      </c>
      <c r="L2" s="22">
        <f>SUMPRODUCT(B2:I2,config!$B$5:$I$5)-C15</f>
        <v>175</v>
      </c>
      <c r="M2" s="24">
        <f t="shared" ref="M2:M9" si="0">B15/J2</f>
        <v>12</v>
      </c>
      <c r="N2" s="15">
        <f t="shared" ref="N2:N11" si="1">ABS(M2-M$12)</f>
        <v>0.10869565217391219</v>
      </c>
      <c r="O2" s="16">
        <f>S2*J2+config!$K$2+config!$L$2</f>
        <v>12</v>
      </c>
      <c r="P2" s="16">
        <f t="shared" ref="P2:P11" si="2">ABS(O2-O$12)</f>
        <v>0.14362657091561637</v>
      </c>
      <c r="Q2" s="17">
        <f>B15/config!$K$2</f>
        <v>12</v>
      </c>
      <c r="R2" s="17">
        <f>B15/config!$L$2</f>
        <v>9</v>
      </c>
      <c r="S2" s="17">
        <f>(config!$K$2-config!$L$2)/(Q2-R2)</f>
        <v>-1.3333333333333333</v>
      </c>
    </row>
    <row r="3" spans="1:22" x14ac:dyDescent="0.3">
      <c r="A3" t="s">
        <v>2</v>
      </c>
      <c r="B3" s="22">
        <v>0</v>
      </c>
      <c r="C3" s="22">
        <v>0</v>
      </c>
      <c r="D3" s="22">
        <v>2</v>
      </c>
      <c r="E3" s="22">
        <v>0</v>
      </c>
      <c r="F3" s="22">
        <v>0</v>
      </c>
      <c r="G3" s="22">
        <v>0</v>
      </c>
      <c r="H3" s="22">
        <v>0</v>
      </c>
      <c r="I3" s="22">
        <v>0</v>
      </c>
      <c r="J3" s="20">
        <f t="shared" ref="J3:J11" si="3">SUM(B3:I3)</f>
        <v>2</v>
      </c>
      <c r="K3" s="23">
        <f>SUMPRODUCT(B3:I3,config!$B$4:$I$4)</f>
        <v>3.3</v>
      </c>
      <c r="L3" s="22">
        <f>SUMPRODUCT(B3:I3,config!$B$5:$I$5)-C16</f>
        <v>36</v>
      </c>
      <c r="M3" s="24">
        <f t="shared" si="0"/>
        <v>12</v>
      </c>
      <c r="N3" s="15">
        <f t="shared" si="1"/>
        <v>0.10869565217391219</v>
      </c>
      <c r="O3" s="16">
        <f>S3*J3+config!$K$2+config!$L$2</f>
        <v>12</v>
      </c>
      <c r="P3" s="16">
        <f t="shared" si="2"/>
        <v>0.14362657091561637</v>
      </c>
      <c r="Q3" s="17">
        <f>B16/config!$K$2</f>
        <v>2</v>
      </c>
      <c r="R3" s="17">
        <f>B16/config!$L$2</f>
        <v>1.5</v>
      </c>
      <c r="S3" s="17">
        <f>(config!$K$2-config!$L$2)/(Q3-R3)</f>
        <v>-8</v>
      </c>
    </row>
    <row r="4" spans="1:22" x14ac:dyDescent="0.3">
      <c r="A4" t="s">
        <v>3</v>
      </c>
      <c r="B4" s="22">
        <v>0</v>
      </c>
      <c r="C4" s="22">
        <v>0</v>
      </c>
      <c r="D4" s="22">
        <v>7</v>
      </c>
      <c r="E4" s="22">
        <v>0</v>
      </c>
      <c r="F4" s="22">
        <v>0</v>
      </c>
      <c r="G4" s="22">
        <v>0</v>
      </c>
      <c r="H4" s="22">
        <v>0</v>
      </c>
      <c r="I4" s="22">
        <v>0</v>
      </c>
      <c r="J4" s="20">
        <f t="shared" si="3"/>
        <v>7</v>
      </c>
      <c r="K4" s="23">
        <f>SUMPRODUCT(B4:I4,config!$B$4:$I$4)</f>
        <v>11.549999999999999</v>
      </c>
      <c r="L4" s="22">
        <f>SUMPRODUCT(B4:I4,config!$B$5:$I$5)-C17</f>
        <v>126</v>
      </c>
      <c r="M4" s="24">
        <f t="shared" si="0"/>
        <v>12</v>
      </c>
      <c r="N4" s="15">
        <f t="shared" si="1"/>
        <v>0.10869565217391219</v>
      </c>
      <c r="O4" s="16">
        <f>S4*J4+config!$K$2+config!$L$2</f>
        <v>12</v>
      </c>
      <c r="P4" s="16">
        <f t="shared" si="2"/>
        <v>0.14362657091561637</v>
      </c>
      <c r="Q4" s="17">
        <f>B17/config!$K$2</f>
        <v>7</v>
      </c>
      <c r="R4" s="17">
        <f>B17/config!$L$2</f>
        <v>5.25</v>
      </c>
      <c r="S4" s="17">
        <f>(config!$K$2-config!$L$2)/(Q4-R4)</f>
        <v>-2.2857142857142856</v>
      </c>
    </row>
    <row r="5" spans="1:22" x14ac:dyDescent="0.3">
      <c r="A5" t="s">
        <v>71</v>
      </c>
      <c r="B5" s="22">
        <v>0</v>
      </c>
      <c r="C5" s="22">
        <v>0</v>
      </c>
      <c r="D5" s="22">
        <v>5</v>
      </c>
      <c r="E5" s="22">
        <v>2</v>
      </c>
      <c r="F5" s="22">
        <v>0</v>
      </c>
      <c r="G5" s="22">
        <v>0</v>
      </c>
      <c r="H5" s="22">
        <v>0</v>
      </c>
      <c r="I5" s="22">
        <v>0</v>
      </c>
      <c r="J5" s="20">
        <f t="shared" si="3"/>
        <v>7</v>
      </c>
      <c r="K5" s="23">
        <f>SUMPRODUCT(B5:I5,config!$B$4:$I$4)</f>
        <v>11.55</v>
      </c>
      <c r="L5" s="22">
        <f>SUMPRODUCT(B5:I5,config!$B$5:$I$5)-C18</f>
        <v>114</v>
      </c>
      <c r="M5" s="24">
        <f t="shared" si="0"/>
        <v>12.714285714285714</v>
      </c>
      <c r="N5" s="15">
        <f t="shared" si="1"/>
        <v>0.60559006211180133</v>
      </c>
      <c r="O5" s="16">
        <f>S5*J5+config!$K$2+config!$L$2</f>
        <v>12.898876404494386</v>
      </c>
      <c r="P5" s="16">
        <f t="shared" si="2"/>
        <v>0.75524983357876962</v>
      </c>
      <c r="Q5" s="17">
        <f>B18/config!$K$2</f>
        <v>7.416666666666667</v>
      </c>
      <c r="R5" s="17">
        <f>B18/config!$L$2</f>
        <v>5.5625</v>
      </c>
      <c r="S5" s="17">
        <f>(config!$K$2-config!$L$2)/(Q5-R5)</f>
        <v>-2.1573033707865163</v>
      </c>
    </row>
    <row r="6" spans="1:22" x14ac:dyDescent="0.3">
      <c r="A6" t="s">
        <v>4</v>
      </c>
      <c r="B6" s="22">
        <v>0</v>
      </c>
      <c r="C6" s="22">
        <v>0</v>
      </c>
      <c r="D6" s="22">
        <v>2</v>
      </c>
      <c r="E6" s="22">
        <v>0</v>
      </c>
      <c r="F6" s="22">
        <v>0</v>
      </c>
      <c r="G6" s="22">
        <v>0</v>
      </c>
      <c r="H6" s="22">
        <v>0</v>
      </c>
      <c r="I6" s="22">
        <v>0</v>
      </c>
      <c r="J6" s="20">
        <f t="shared" si="3"/>
        <v>2</v>
      </c>
      <c r="K6" s="23">
        <f>SUMPRODUCT(B6:I6,config!$B$4:$I$4)</f>
        <v>3.3</v>
      </c>
      <c r="L6" s="22">
        <f>SUMPRODUCT(B6:I6,config!$B$5:$I$5)-C19</f>
        <v>36</v>
      </c>
      <c r="M6" s="24">
        <f t="shared" si="0"/>
        <v>9.5</v>
      </c>
      <c r="N6" s="15">
        <f t="shared" si="1"/>
        <v>2.6086956521739122</v>
      </c>
      <c r="O6" s="16">
        <f>S6*J6+config!$K$2+config!$L$2</f>
        <v>7.7894736842105239</v>
      </c>
      <c r="P6" s="16">
        <f t="shared" si="2"/>
        <v>4.3541528867050925</v>
      </c>
      <c r="Q6" s="17">
        <f>B19/config!$K$2</f>
        <v>1.5833333333333333</v>
      </c>
      <c r="R6" s="17">
        <f>B19/config!$L$2</f>
        <v>1.1875</v>
      </c>
      <c r="S6" s="17">
        <f>(config!$K$2-config!$L$2)/(Q6-R6)</f>
        <v>-10.105263157894738</v>
      </c>
    </row>
    <row r="7" spans="1:22" x14ac:dyDescent="0.3">
      <c r="A7" t="s">
        <v>72</v>
      </c>
      <c r="B7" s="22">
        <v>0</v>
      </c>
      <c r="C7" s="22">
        <v>2</v>
      </c>
      <c r="D7" s="22">
        <v>30</v>
      </c>
      <c r="E7" s="22">
        <v>0</v>
      </c>
      <c r="F7" s="22">
        <v>0</v>
      </c>
      <c r="G7" s="22">
        <v>0</v>
      </c>
      <c r="H7" s="22">
        <v>0</v>
      </c>
      <c r="I7" s="22">
        <v>0</v>
      </c>
      <c r="J7" s="20">
        <f t="shared" si="3"/>
        <v>32</v>
      </c>
      <c r="K7" s="23">
        <f>SUMPRODUCT(B7:I7,config!$B$4:$I$4)</f>
        <v>52.8</v>
      </c>
      <c r="L7" s="22">
        <f>SUMPRODUCT(B7:I7,config!$B$5:$I$5)-C20</f>
        <v>465.5</v>
      </c>
      <c r="M7" s="24">
        <f t="shared" si="0"/>
        <v>11.8125</v>
      </c>
      <c r="N7" s="15">
        <f t="shared" si="1"/>
        <v>0.29619565217391219</v>
      </c>
      <c r="O7" s="16">
        <f>S7*J7+config!$K$2+config!$L$2</f>
        <v>11.746031746031747</v>
      </c>
      <c r="P7" s="16">
        <f t="shared" si="2"/>
        <v>0.39759482488386944</v>
      </c>
      <c r="Q7" s="17">
        <f>B20/config!$K$2</f>
        <v>31.5</v>
      </c>
      <c r="R7" s="17">
        <f>B20/config!$L$2</f>
        <v>23.625</v>
      </c>
      <c r="S7" s="17">
        <f>(config!$K$2-config!$L$2)/(Q7-R7)</f>
        <v>-0.50793650793650791</v>
      </c>
    </row>
    <row r="8" spans="1:22" x14ac:dyDescent="0.3">
      <c r="A8" t="s">
        <v>73</v>
      </c>
      <c r="B8" s="22">
        <v>0</v>
      </c>
      <c r="C8" s="22">
        <v>0</v>
      </c>
      <c r="D8" s="22">
        <v>1</v>
      </c>
      <c r="E8" s="22">
        <v>0</v>
      </c>
      <c r="F8" s="22">
        <v>0</v>
      </c>
      <c r="G8" s="22">
        <v>0</v>
      </c>
      <c r="H8" s="22">
        <v>0</v>
      </c>
      <c r="I8" s="22">
        <v>0</v>
      </c>
      <c r="J8" s="20">
        <f t="shared" si="3"/>
        <v>1</v>
      </c>
      <c r="K8" s="23">
        <f>SUMPRODUCT(B8:I8,config!$B$4:$I$4)</f>
        <v>1.65</v>
      </c>
      <c r="L8" s="22">
        <f>SUMPRODUCT(B8:I8,config!$B$5:$I$5)-C21</f>
        <v>18</v>
      </c>
      <c r="M8" s="24">
        <f t="shared" si="0"/>
        <v>12</v>
      </c>
      <c r="N8" s="15">
        <f t="shared" si="1"/>
        <v>0.10869565217391219</v>
      </c>
      <c r="O8" s="16">
        <f>S8*J8+config!$K$2+config!$L$2</f>
        <v>12</v>
      </c>
      <c r="P8" s="16">
        <f t="shared" si="2"/>
        <v>0.14362657091561637</v>
      </c>
      <c r="Q8" s="17">
        <f>B21/config!$K$2</f>
        <v>1</v>
      </c>
      <c r="R8" s="17">
        <f>B21/config!$L$2</f>
        <v>0.75</v>
      </c>
      <c r="S8" s="17">
        <f>(config!$K$2-config!$L$2)/(Q8-R8)</f>
        <v>-16</v>
      </c>
    </row>
    <row r="9" spans="1:22" x14ac:dyDescent="0.3">
      <c r="A9" t="s">
        <v>74</v>
      </c>
      <c r="B9" s="22">
        <v>0</v>
      </c>
      <c r="C9" s="22">
        <v>2</v>
      </c>
      <c r="D9" s="22">
        <v>18</v>
      </c>
      <c r="E9" s="22">
        <v>4</v>
      </c>
      <c r="F9" s="22">
        <v>0</v>
      </c>
      <c r="G9" s="22">
        <v>0</v>
      </c>
      <c r="H9" s="22">
        <v>0</v>
      </c>
      <c r="I9" s="22">
        <v>0</v>
      </c>
      <c r="J9" s="20">
        <f t="shared" si="3"/>
        <v>24</v>
      </c>
      <c r="K9" s="23">
        <f>SUMPRODUCT(B9:I9,config!$B$4:$I$4)</f>
        <v>39.6</v>
      </c>
      <c r="L9" s="22">
        <f>SUMPRODUCT(B9:I9,config!$B$5:$I$5)-C22</f>
        <v>342</v>
      </c>
      <c r="M9" s="24">
        <f t="shared" si="0"/>
        <v>12.458333333333334</v>
      </c>
      <c r="N9" s="15">
        <f t="shared" si="1"/>
        <v>0.34963768115942173</v>
      </c>
      <c r="O9" s="16">
        <f>S9*J9+config!$K$2+config!$L$2</f>
        <v>12.588628762541809</v>
      </c>
      <c r="P9" s="16">
        <f t="shared" si="2"/>
        <v>0.44500219162619281</v>
      </c>
      <c r="Q9" s="17">
        <f>B22/config!$K$2</f>
        <v>24.916666666666668</v>
      </c>
      <c r="R9" s="17">
        <f>B22/config!$L$2</f>
        <v>18.6875</v>
      </c>
      <c r="S9" s="17">
        <f>(config!$K$2-config!$L$2)/(Q9-R9)</f>
        <v>-0.64214046822742465</v>
      </c>
    </row>
    <row r="10" spans="1:22" x14ac:dyDescent="0.3">
      <c r="A10" t="s">
        <v>5</v>
      </c>
      <c r="B10" s="22">
        <v>0</v>
      </c>
      <c r="C10" s="22">
        <v>0</v>
      </c>
      <c r="D10" s="22">
        <v>0</v>
      </c>
      <c r="E10" s="22">
        <v>2</v>
      </c>
      <c r="F10" s="22">
        <v>0</v>
      </c>
      <c r="G10" s="22">
        <v>0</v>
      </c>
      <c r="H10" s="22">
        <v>0</v>
      </c>
      <c r="I10" s="22">
        <v>0</v>
      </c>
      <c r="J10" s="20">
        <f t="shared" si="3"/>
        <v>2</v>
      </c>
      <c r="K10" s="23">
        <f>SUMPRODUCT(B10:I10,config!$B$4:$I$4)</f>
        <v>3.3</v>
      </c>
      <c r="L10" s="22">
        <f>SUMPRODUCT(B10:I10,config!$B$5:$I$5)-C23</f>
        <v>24</v>
      </c>
      <c r="M10" s="24">
        <f>B23/J10</f>
        <v>15.5</v>
      </c>
      <c r="N10" s="15">
        <f t="shared" si="1"/>
        <v>3.3913043478260878</v>
      </c>
      <c r="O10" s="16">
        <f>S10*J10+config!$K$2+config!$L$2</f>
        <v>15.612903225806454</v>
      </c>
      <c r="P10" s="16">
        <f t="shared" si="2"/>
        <v>3.4692766548908374</v>
      </c>
      <c r="Q10" s="17">
        <f>B23/config!$K$2</f>
        <v>2.5833333333333335</v>
      </c>
      <c r="R10" s="17">
        <f>B23/config!$L$2</f>
        <v>1.9375</v>
      </c>
      <c r="S10" s="17">
        <f>(config!$K$2-config!$L$2)/(Q10-R10)</f>
        <v>-6.1935483870967731</v>
      </c>
    </row>
    <row r="11" spans="1:22" x14ac:dyDescent="0.3">
      <c r="A11" s="25" t="s">
        <v>6</v>
      </c>
      <c r="B11" s="26">
        <v>0</v>
      </c>
      <c r="C11" s="26">
        <v>0</v>
      </c>
      <c r="D11" s="26">
        <v>3</v>
      </c>
      <c r="E11" s="26">
        <v>0</v>
      </c>
      <c r="F11" s="26">
        <v>0</v>
      </c>
      <c r="G11" s="26">
        <v>0</v>
      </c>
      <c r="H11" s="26">
        <v>0</v>
      </c>
      <c r="I11" s="26">
        <v>0</v>
      </c>
      <c r="J11" s="31">
        <f t="shared" si="3"/>
        <v>3</v>
      </c>
      <c r="K11" s="27">
        <f>SUMPRODUCT(B11:I11,config!$B$4:$I$4)</f>
        <v>4.9499999999999993</v>
      </c>
      <c r="L11" s="26">
        <f>SUMPRODUCT(B11:I11,config!$B$5:$I$5)-C24</f>
        <v>54</v>
      </c>
      <c r="M11" s="28">
        <f>B24/J11</f>
        <v>11.333333333333334</v>
      </c>
      <c r="N11" s="15">
        <f t="shared" si="1"/>
        <v>0.77536231884057827</v>
      </c>
      <c r="O11" s="16">
        <f>S11*J11+config!$K$2+config!$L$2</f>
        <v>11.058823529411768</v>
      </c>
      <c r="P11" s="16">
        <f t="shared" si="2"/>
        <v>1.0848030415038483</v>
      </c>
      <c r="Q11" s="17">
        <f>B24/config!$K$2</f>
        <v>2.8333333333333335</v>
      </c>
      <c r="R11" s="17">
        <f>B24/config!$L$2</f>
        <v>2.125</v>
      </c>
      <c r="S11" s="17">
        <f>(config!$K$2-config!$L$2)/(Q11-R11)</f>
        <v>-5.6470588235294104</v>
      </c>
    </row>
    <row r="12" spans="1:22" x14ac:dyDescent="0.3">
      <c r="A12" s="1" t="s">
        <v>7</v>
      </c>
      <c r="B12" s="20">
        <f t="shared" ref="B12:J12" si="4">SUM(B2:B11)</f>
        <v>0</v>
      </c>
      <c r="C12" s="20">
        <f t="shared" si="4"/>
        <v>5</v>
      </c>
      <c r="D12" s="20">
        <f t="shared" si="4"/>
        <v>78</v>
      </c>
      <c r="E12" s="20">
        <f t="shared" si="4"/>
        <v>9</v>
      </c>
      <c r="F12" s="20">
        <f t="shared" si="4"/>
        <v>0</v>
      </c>
      <c r="G12" s="20">
        <f t="shared" si="4"/>
        <v>0</v>
      </c>
      <c r="H12" s="20">
        <f t="shared" si="4"/>
        <v>0</v>
      </c>
      <c r="I12" s="20">
        <f t="shared" si="4"/>
        <v>0</v>
      </c>
      <c r="J12" s="20">
        <f t="shared" si="4"/>
        <v>92</v>
      </c>
      <c r="K12" s="29">
        <f>SUM(K2:K11)</f>
        <v>151.80000000000001</v>
      </c>
      <c r="L12" s="20">
        <f>SUM(L2:L11)</f>
        <v>1390.5</v>
      </c>
      <c r="M12" s="30">
        <f>B25/J12</f>
        <v>12.108695652173912</v>
      </c>
      <c r="N12" s="15">
        <f>SUM(N2:N11)/8</f>
        <v>1.0576960403726703</v>
      </c>
      <c r="O12" s="14">
        <f>S12*J12+config!$K$2+config!$L$2</f>
        <v>12.143626570915616</v>
      </c>
      <c r="P12" s="14">
        <f>SUM(P2:P11)/$V$1</f>
        <v>1.1080585716851075</v>
      </c>
      <c r="Q12" s="17">
        <f>B25/config!$K$2</f>
        <v>92.833333333333329</v>
      </c>
      <c r="R12" s="17">
        <f>B25/config!$L$2</f>
        <v>69.625</v>
      </c>
      <c r="S12" s="17">
        <f>(config!$K$2-config!$L$2)/(Q12-R12)</f>
        <v>-0.1723518850987433</v>
      </c>
    </row>
    <row r="13" spans="1:22" x14ac:dyDescent="0.3">
      <c r="F13" s="17"/>
      <c r="G13" s="2">
        <f>SUM(F12:G12)/J12</f>
        <v>0</v>
      </c>
      <c r="H13" s="3"/>
      <c r="I13" s="3">
        <f>SUM(H12:I12)/J12</f>
        <v>0</v>
      </c>
      <c r="J13" s="4">
        <f>I13+G13</f>
        <v>0</v>
      </c>
    </row>
    <row r="14" spans="1:22" x14ac:dyDescent="0.3">
      <c r="A14" t="s">
        <v>0</v>
      </c>
      <c r="B14" t="s">
        <v>14</v>
      </c>
      <c r="C14" t="s">
        <v>15</v>
      </c>
      <c r="D14" t="s">
        <v>16</v>
      </c>
      <c r="E14" t="s">
        <v>17</v>
      </c>
      <c r="F14" t="s">
        <v>18</v>
      </c>
      <c r="H14" t="s">
        <v>28</v>
      </c>
      <c r="I14" t="s">
        <v>31</v>
      </c>
      <c r="J14" t="s">
        <v>32</v>
      </c>
      <c r="M14" t="s">
        <v>33</v>
      </c>
      <c r="N14" t="s">
        <v>34</v>
      </c>
      <c r="O14" t="s">
        <v>35</v>
      </c>
      <c r="P14" t="s">
        <v>38</v>
      </c>
      <c r="Q14" t="s">
        <v>47</v>
      </c>
      <c r="R14" t="s">
        <v>39</v>
      </c>
    </row>
    <row r="15" spans="1:22" x14ac:dyDescent="0.3">
      <c r="A15" t="s">
        <v>1</v>
      </c>
      <c r="B15">
        <v>144</v>
      </c>
      <c r="C15">
        <v>17</v>
      </c>
      <c r="D15">
        <v>34</v>
      </c>
      <c r="E15">
        <v>0</v>
      </c>
      <c r="F15">
        <v>1</v>
      </c>
      <c r="H15">
        <f>SUMPRODUCT(B2:I2,config!$B$1:$I$1)</f>
        <v>146</v>
      </c>
      <c r="I15">
        <f>SUMPRODUCT(B2:I2,config!$B$2:$I$2)</f>
        <v>110</v>
      </c>
      <c r="J15">
        <f>SUMPRODUCT(B2:I2,config!$B$3:$I$3)</f>
        <v>88</v>
      </c>
      <c r="M15" t="s">
        <v>36</v>
      </c>
      <c r="N15">
        <v>93</v>
      </c>
      <c r="O15">
        <v>74</v>
      </c>
      <c r="P15">
        <f>J12</f>
        <v>92</v>
      </c>
      <c r="Q15" s="11">
        <f>(P15-N15)/(O15-N15)</f>
        <v>5.2631578947368418E-2</v>
      </c>
      <c r="R15">
        <v>0.1336</v>
      </c>
    </row>
    <row r="16" spans="1:22" x14ac:dyDescent="0.3">
      <c r="A16" t="s">
        <v>2</v>
      </c>
      <c r="B16">
        <v>24</v>
      </c>
      <c r="C16">
        <v>0</v>
      </c>
      <c r="D16">
        <v>0</v>
      </c>
      <c r="E16">
        <v>0</v>
      </c>
      <c r="F16">
        <v>0</v>
      </c>
      <c r="H16">
        <f>SUMPRODUCT(B3:I3,config!$B$1:$I$1)</f>
        <v>24</v>
      </c>
      <c r="I16">
        <f>SUMPRODUCT(B3:I3,config!$B$2:$I$2)</f>
        <v>20</v>
      </c>
      <c r="J16">
        <f>SUMPRODUCT(B3:I3,config!$B$3:$I$3)</f>
        <v>16</v>
      </c>
      <c r="M16" t="s">
        <v>12</v>
      </c>
      <c r="N16">
        <v>153.44999999999999</v>
      </c>
      <c r="O16">
        <v>61.85</v>
      </c>
      <c r="P16">
        <f>K12</f>
        <v>151.80000000000001</v>
      </c>
      <c r="Q16" s="11">
        <f>(P16-N16)/(O16-N16)</f>
        <v>1.8013100436680977E-2</v>
      </c>
      <c r="R16">
        <v>6.1400000000000003E-2</v>
      </c>
    </row>
    <row r="17" spans="1:18" x14ac:dyDescent="0.3">
      <c r="A17" t="s">
        <v>3</v>
      </c>
      <c r="B17">
        <v>84</v>
      </c>
      <c r="C17">
        <v>0</v>
      </c>
      <c r="D17">
        <v>0</v>
      </c>
      <c r="E17">
        <v>0</v>
      </c>
      <c r="F17">
        <v>0</v>
      </c>
      <c r="H17">
        <f>SUMPRODUCT(B4:I4,config!$B$1:$I$1)</f>
        <v>84</v>
      </c>
      <c r="I17">
        <f>SUMPRODUCT(B4:I4,config!$B$2:$I$2)</f>
        <v>70</v>
      </c>
      <c r="J17">
        <f>SUMPRODUCT(B4:I4,config!$B$3:$I$3)</f>
        <v>56</v>
      </c>
      <c r="M17" t="s">
        <v>13</v>
      </c>
      <c r="N17">
        <v>0</v>
      </c>
      <c r="O17">
        <v>1390.5</v>
      </c>
      <c r="P17">
        <f>L12</f>
        <v>1390.5</v>
      </c>
      <c r="Q17" s="11">
        <f>(P17-N17)/(O17-N17)</f>
        <v>1</v>
      </c>
      <c r="R17">
        <v>0.31019999999999998</v>
      </c>
    </row>
    <row r="18" spans="1:18" x14ac:dyDescent="0.3">
      <c r="A18" t="s">
        <v>71</v>
      </c>
      <c r="B18">
        <v>89</v>
      </c>
      <c r="C18">
        <v>0</v>
      </c>
      <c r="D18">
        <v>0</v>
      </c>
      <c r="E18">
        <v>0</v>
      </c>
      <c r="F18">
        <v>0</v>
      </c>
      <c r="H18">
        <f>SUMPRODUCT(B5:I5,config!$B$1:$I$1)</f>
        <v>92</v>
      </c>
      <c r="I18">
        <f>SUMPRODUCT(B5:I5,config!$B$2:$I$2)</f>
        <v>70</v>
      </c>
      <c r="J18">
        <f>SUMPRODUCT(B5:I5,config!$B$3:$I$3)</f>
        <v>56</v>
      </c>
      <c r="M18" t="s">
        <v>37</v>
      </c>
      <c r="N18">
        <v>2</v>
      </c>
      <c r="O18">
        <v>1.0047999999999999</v>
      </c>
      <c r="P18">
        <f>P12</f>
        <v>1.1080585716851075</v>
      </c>
      <c r="Q18" s="11">
        <f>(P18-N18)/(O18-N18)</f>
        <v>0.89624339661866204</v>
      </c>
      <c r="R18">
        <v>0.49480000000000002</v>
      </c>
    </row>
    <row r="19" spans="1:18" x14ac:dyDescent="0.3">
      <c r="A19" t="s">
        <v>4</v>
      </c>
      <c r="B19">
        <v>19</v>
      </c>
      <c r="C19">
        <v>0</v>
      </c>
      <c r="D19">
        <v>0</v>
      </c>
      <c r="E19">
        <v>0</v>
      </c>
      <c r="F19">
        <v>0</v>
      </c>
      <c r="H19">
        <f>SUMPRODUCT(B6:I6,config!$B$1:$I$1)</f>
        <v>24</v>
      </c>
      <c r="I19">
        <f>SUMPRODUCT(B6:I6,config!$B$2:$I$2)</f>
        <v>20</v>
      </c>
      <c r="J19">
        <f>SUMPRODUCT(B6:I6,config!$B$3:$I$3)</f>
        <v>16</v>
      </c>
      <c r="P19" s="1" t="s">
        <v>48</v>
      </c>
      <c r="Q19" s="13">
        <f>SUMPRODUCT(Q15:Q18,R15:R18)</f>
        <v>0.76179881596109467</v>
      </c>
    </row>
    <row r="20" spans="1:18" x14ac:dyDescent="0.3">
      <c r="A20" t="s">
        <v>72</v>
      </c>
      <c r="B20">
        <v>378</v>
      </c>
      <c r="C20">
        <v>74.5</v>
      </c>
      <c r="D20">
        <v>125</v>
      </c>
      <c r="E20">
        <v>0</v>
      </c>
      <c r="F20">
        <v>2</v>
      </c>
      <c r="H20">
        <f>SUMPRODUCT(B7:I7,config!$B$1:$I$1)</f>
        <v>380</v>
      </c>
      <c r="I20">
        <f>SUMPRODUCT(B7:I7,config!$B$2:$I$2)</f>
        <v>300</v>
      </c>
      <c r="J20">
        <f>SUMPRODUCT(B7:I7,config!$B$3:$I$3)</f>
        <v>240</v>
      </c>
    </row>
    <row r="21" spans="1:18" x14ac:dyDescent="0.3">
      <c r="A21" t="s">
        <v>73</v>
      </c>
      <c r="B21">
        <v>12</v>
      </c>
      <c r="C21">
        <v>0</v>
      </c>
      <c r="D21">
        <v>0</v>
      </c>
      <c r="E21">
        <v>0</v>
      </c>
      <c r="F21">
        <v>0</v>
      </c>
      <c r="H21">
        <f>SUMPRODUCT(B8:I8,config!$B$1:$I$1)</f>
        <v>12</v>
      </c>
      <c r="I21">
        <f>SUMPRODUCT(B8:I8,config!$B$2:$I$2)</f>
        <v>10</v>
      </c>
      <c r="J21">
        <f>SUMPRODUCT(B8:I8,config!$B$3:$I$3)</f>
        <v>8</v>
      </c>
    </row>
    <row r="22" spans="1:18" x14ac:dyDescent="0.3">
      <c r="A22" t="s">
        <v>74</v>
      </c>
      <c r="B22">
        <v>299</v>
      </c>
      <c r="C22">
        <v>30</v>
      </c>
      <c r="D22">
        <v>60</v>
      </c>
      <c r="E22">
        <v>0</v>
      </c>
      <c r="F22">
        <v>2</v>
      </c>
      <c r="H22">
        <f>SUMPRODUCT(B9:I9,config!$B$1:$I$1)</f>
        <v>300</v>
      </c>
      <c r="I22">
        <f>SUMPRODUCT(B9:I9,config!$B$2:$I$2)</f>
        <v>220</v>
      </c>
      <c r="J22">
        <f>SUMPRODUCT(B9:I9,config!$B$3:$I$3)</f>
        <v>176</v>
      </c>
    </row>
    <row r="23" spans="1:18" x14ac:dyDescent="0.3">
      <c r="A23" t="s">
        <v>5</v>
      </c>
      <c r="B23">
        <v>31</v>
      </c>
      <c r="C23">
        <v>0</v>
      </c>
      <c r="D23">
        <v>0</v>
      </c>
      <c r="E23">
        <v>0</v>
      </c>
      <c r="F23">
        <v>0</v>
      </c>
      <c r="H23">
        <f>SUMPRODUCT(B10:I10,config!$B$1:$I$1)</f>
        <v>32</v>
      </c>
      <c r="I23">
        <f>SUMPRODUCT(B10:I10,config!$B$2:$I$2)</f>
        <v>20</v>
      </c>
      <c r="J23">
        <f>SUMPRODUCT(B10:I10,config!$B$3:$I$3)</f>
        <v>16</v>
      </c>
    </row>
    <row r="24" spans="1:18" x14ac:dyDescent="0.3">
      <c r="A24" t="s">
        <v>6</v>
      </c>
      <c r="B24">
        <v>34</v>
      </c>
      <c r="C24">
        <v>0</v>
      </c>
      <c r="D24">
        <v>0</v>
      </c>
      <c r="E24">
        <v>0</v>
      </c>
      <c r="F24">
        <v>0</v>
      </c>
      <c r="H24">
        <f>SUMPRODUCT(B11:I11,config!$B$1:$I$1)</f>
        <v>36</v>
      </c>
      <c r="I24">
        <f>SUMPRODUCT(B11:I11,config!$B$2:$I$2)</f>
        <v>30</v>
      </c>
      <c r="J24">
        <f>SUMPRODUCT(B11:I11,config!$B$3:$I$3)</f>
        <v>24</v>
      </c>
    </row>
    <row r="25" spans="1:18" x14ac:dyDescent="0.3">
      <c r="A25" s="1" t="s">
        <v>7</v>
      </c>
      <c r="B25" s="1">
        <f>SUM(B15:B24)</f>
        <v>1114</v>
      </c>
    </row>
  </sheetData>
  <conditionalFormatting sqref="H15:J24">
    <cfRule type="expression" dxfId="7" priority="1">
      <formula>AND(H15&gt;=B15,H15&lt;&gt;"")</formula>
    </cfRule>
    <cfRule type="expression" dxfId="6" priority="2">
      <formula>AND(H15&lt;B15,H15&lt;&gt;"")</formula>
    </cfRule>
  </conditionalFormatting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EE76D-1A86-4D9D-8627-0F72DEAA8F76}">
  <dimension ref="A1:V25"/>
  <sheetViews>
    <sheetView workbookViewId="0">
      <selection activeCell="M3" sqref="M3:M10"/>
    </sheetView>
  </sheetViews>
  <sheetFormatPr defaultRowHeight="14.4" x14ac:dyDescent="0.3"/>
  <cols>
    <col min="2" max="9" width="6.6640625" customWidth="1"/>
    <col min="10" max="10" width="10.5546875" bestFit="1" customWidth="1"/>
  </cols>
  <sheetData>
    <row r="1" spans="1:22" x14ac:dyDescent="0.3">
      <c r="A1" s="18" t="s">
        <v>0</v>
      </c>
      <c r="B1" s="19" t="s">
        <v>19</v>
      </c>
      <c r="C1" s="19" t="s">
        <v>20</v>
      </c>
      <c r="D1" s="19" t="s">
        <v>21</v>
      </c>
      <c r="E1" s="19" t="s">
        <v>22</v>
      </c>
      <c r="F1" s="19" t="s">
        <v>23</v>
      </c>
      <c r="G1" s="19" t="s">
        <v>24</v>
      </c>
      <c r="H1" s="19" t="s">
        <v>25</v>
      </c>
      <c r="I1" s="19" t="s">
        <v>26</v>
      </c>
      <c r="J1" s="19" t="s">
        <v>11</v>
      </c>
      <c r="K1" s="19" t="s">
        <v>8</v>
      </c>
      <c r="L1" s="19" t="s">
        <v>9</v>
      </c>
      <c r="M1" s="19" t="s">
        <v>10</v>
      </c>
      <c r="N1" s="20" t="s">
        <v>64</v>
      </c>
      <c r="O1" s="21" t="s">
        <v>40</v>
      </c>
      <c r="P1" s="21" t="s">
        <v>46</v>
      </c>
      <c r="Q1" s="21" t="s">
        <v>41</v>
      </c>
      <c r="R1" s="21" t="s">
        <v>42</v>
      </c>
      <c r="S1" s="21" t="s">
        <v>43</v>
      </c>
      <c r="U1" s="21" t="s">
        <v>75</v>
      </c>
      <c r="V1">
        <v>10</v>
      </c>
    </row>
    <row r="2" spans="1:22" x14ac:dyDescent="0.3">
      <c r="A2" t="s">
        <v>1</v>
      </c>
      <c r="B2" s="22">
        <v>0</v>
      </c>
      <c r="C2" s="22">
        <v>1</v>
      </c>
      <c r="D2" s="22">
        <v>0</v>
      </c>
      <c r="E2" s="22">
        <v>11</v>
      </c>
      <c r="F2" s="22">
        <v>0</v>
      </c>
      <c r="G2" s="22">
        <v>0</v>
      </c>
      <c r="H2" s="22">
        <v>0</v>
      </c>
      <c r="I2" s="22">
        <v>0</v>
      </c>
      <c r="J2" s="20">
        <f>SUM(B2:I2)</f>
        <v>12</v>
      </c>
      <c r="K2" s="23">
        <f>SUMPRODUCT(B2:I2,config!$B$4:$I$4)</f>
        <v>19.799999999999997</v>
      </c>
      <c r="L2" s="22">
        <f>SUMPRODUCT(B2:I2,config!$B$5:$I$5)-C15</f>
        <v>115</v>
      </c>
      <c r="M2" s="24">
        <f t="shared" ref="M2:M9" si="0">B15/J2</f>
        <v>12</v>
      </c>
      <c r="N2" s="15">
        <f t="shared" ref="N2:N11" si="1">ABS(M2-M$12)</f>
        <v>0.10869565217391219</v>
      </c>
      <c r="O2" s="16">
        <f>S2*J2+config!$K$2+config!$L$2</f>
        <v>12</v>
      </c>
      <c r="P2" s="16">
        <f t="shared" ref="P2:P11" si="2">ABS(O2-O$12)</f>
        <v>0.14362657091561637</v>
      </c>
      <c r="Q2" s="17">
        <f>B15/config!$K$2</f>
        <v>12</v>
      </c>
      <c r="R2" s="17">
        <f>B15/config!$L$2</f>
        <v>9</v>
      </c>
      <c r="S2" s="17">
        <f>(config!$K$2-config!$L$2)/(Q2-R2)</f>
        <v>-1.3333333333333333</v>
      </c>
    </row>
    <row r="3" spans="1:22" x14ac:dyDescent="0.3">
      <c r="A3" t="s">
        <v>2</v>
      </c>
      <c r="B3" s="22">
        <v>0</v>
      </c>
      <c r="C3" s="22">
        <v>0</v>
      </c>
      <c r="D3" s="22">
        <v>2</v>
      </c>
      <c r="E3" s="22">
        <v>0</v>
      </c>
      <c r="F3" s="22">
        <v>0</v>
      </c>
      <c r="G3" s="22">
        <v>0</v>
      </c>
      <c r="H3" s="22">
        <v>0</v>
      </c>
      <c r="I3" s="22">
        <v>0</v>
      </c>
      <c r="J3" s="20">
        <f t="shared" ref="J3:J11" si="3">SUM(B3:I3)</f>
        <v>2</v>
      </c>
      <c r="K3" s="23">
        <f>SUMPRODUCT(B3:I3,config!$B$4:$I$4)</f>
        <v>3.3</v>
      </c>
      <c r="L3" s="22">
        <f>SUMPRODUCT(B3:I3,config!$B$5:$I$5)-C16</f>
        <v>36</v>
      </c>
      <c r="M3" s="24">
        <f t="shared" si="0"/>
        <v>12</v>
      </c>
      <c r="N3" s="15">
        <f t="shared" si="1"/>
        <v>0.10869565217391219</v>
      </c>
      <c r="O3" s="16">
        <f>S3*J3+config!$K$2+config!$L$2</f>
        <v>12</v>
      </c>
      <c r="P3" s="16">
        <f t="shared" si="2"/>
        <v>0.14362657091561637</v>
      </c>
      <c r="Q3" s="17">
        <f>B16/config!$K$2</f>
        <v>2</v>
      </c>
      <c r="R3" s="17">
        <f>B16/config!$L$2</f>
        <v>1.5</v>
      </c>
      <c r="S3" s="17">
        <f>(config!$K$2-config!$L$2)/(Q3-R3)</f>
        <v>-8</v>
      </c>
    </row>
    <row r="4" spans="1:22" x14ac:dyDescent="0.3">
      <c r="A4" t="s">
        <v>3</v>
      </c>
      <c r="B4" s="22">
        <v>0</v>
      </c>
      <c r="C4" s="22">
        <v>0</v>
      </c>
      <c r="D4" s="22">
        <v>0</v>
      </c>
      <c r="E4" s="22">
        <v>0</v>
      </c>
      <c r="F4" s="22">
        <v>0</v>
      </c>
      <c r="G4" s="22">
        <v>7</v>
      </c>
      <c r="H4" s="22">
        <v>0</v>
      </c>
      <c r="I4" s="22">
        <v>0</v>
      </c>
      <c r="J4" s="20">
        <f t="shared" si="3"/>
        <v>7</v>
      </c>
      <c r="K4" s="23">
        <f>SUMPRODUCT(B4:I4,config!$B$4:$I$4)</f>
        <v>7</v>
      </c>
      <c r="L4" s="22">
        <f>SUMPRODUCT(B4:I4,config!$B$5:$I$5)-C17</f>
        <v>0</v>
      </c>
      <c r="M4" s="24">
        <f t="shared" si="0"/>
        <v>12</v>
      </c>
      <c r="N4" s="15">
        <f t="shared" si="1"/>
        <v>0.10869565217391219</v>
      </c>
      <c r="O4" s="16">
        <f>S4*J4+config!$K$2+config!$L$2</f>
        <v>12</v>
      </c>
      <c r="P4" s="16">
        <f t="shared" si="2"/>
        <v>0.14362657091561637</v>
      </c>
      <c r="Q4" s="17">
        <f>B17/config!$K$2</f>
        <v>7</v>
      </c>
      <c r="R4" s="17">
        <f>B17/config!$L$2</f>
        <v>5.25</v>
      </c>
      <c r="S4" s="17">
        <f>(config!$K$2-config!$L$2)/(Q4-R4)</f>
        <v>-2.2857142857142856</v>
      </c>
    </row>
    <row r="5" spans="1:22" x14ac:dyDescent="0.3">
      <c r="A5" t="s">
        <v>71</v>
      </c>
      <c r="B5" s="22">
        <v>0</v>
      </c>
      <c r="C5" s="22">
        <v>0</v>
      </c>
      <c r="D5" s="22">
        <v>0</v>
      </c>
      <c r="E5" s="22">
        <v>0</v>
      </c>
      <c r="F5" s="22">
        <v>7</v>
      </c>
      <c r="G5" s="22">
        <v>0</v>
      </c>
      <c r="H5" s="22">
        <v>0</v>
      </c>
      <c r="I5" s="22">
        <v>0</v>
      </c>
      <c r="J5" s="20">
        <f t="shared" si="3"/>
        <v>7</v>
      </c>
      <c r="K5" s="23">
        <f>SUMPRODUCT(B5:I5,config!$B$4:$I$4)</f>
        <v>7</v>
      </c>
      <c r="L5" s="22">
        <f>SUMPRODUCT(B5:I5,config!$B$5:$I$5)-C18</f>
        <v>35</v>
      </c>
      <c r="M5" s="24">
        <f t="shared" si="0"/>
        <v>12.714285714285714</v>
      </c>
      <c r="N5" s="15">
        <f t="shared" si="1"/>
        <v>0.60559006211180133</v>
      </c>
      <c r="O5" s="16">
        <f>S5*J5+config!$K$2+config!$L$2</f>
        <v>12.898876404494386</v>
      </c>
      <c r="P5" s="16">
        <f t="shared" si="2"/>
        <v>0.75524983357876962</v>
      </c>
      <c r="Q5" s="17">
        <f>B18/config!$K$2</f>
        <v>7.416666666666667</v>
      </c>
      <c r="R5" s="17">
        <f>B18/config!$L$2</f>
        <v>5.5625</v>
      </c>
      <c r="S5" s="17">
        <f>(config!$K$2-config!$L$2)/(Q5-R5)</f>
        <v>-2.1573033707865163</v>
      </c>
    </row>
    <row r="6" spans="1:22" x14ac:dyDescent="0.3">
      <c r="A6" t="s">
        <v>4</v>
      </c>
      <c r="B6" s="22">
        <v>0</v>
      </c>
      <c r="C6" s="22">
        <v>0</v>
      </c>
      <c r="D6" s="22">
        <v>0</v>
      </c>
      <c r="E6" s="22">
        <v>2</v>
      </c>
      <c r="F6" s="22">
        <v>0</v>
      </c>
      <c r="G6" s="22">
        <v>0</v>
      </c>
      <c r="H6" s="22">
        <v>0</v>
      </c>
      <c r="I6" s="22">
        <v>0</v>
      </c>
      <c r="J6" s="20">
        <f t="shared" si="3"/>
        <v>2</v>
      </c>
      <c r="K6" s="23">
        <f>SUMPRODUCT(B6:I6,config!$B$4:$I$4)</f>
        <v>3.3</v>
      </c>
      <c r="L6" s="22">
        <f>SUMPRODUCT(B6:I6,config!$B$5:$I$5)-C19</f>
        <v>24</v>
      </c>
      <c r="M6" s="24">
        <f t="shared" si="0"/>
        <v>9.5</v>
      </c>
      <c r="N6" s="15">
        <f t="shared" si="1"/>
        <v>2.6086956521739122</v>
      </c>
      <c r="O6" s="16">
        <f>S6*J6+config!$K$2+config!$L$2</f>
        <v>7.7894736842105239</v>
      </c>
      <c r="P6" s="16">
        <f t="shared" si="2"/>
        <v>4.3541528867050925</v>
      </c>
      <c r="Q6" s="17">
        <f>B19/config!$K$2</f>
        <v>1.5833333333333333</v>
      </c>
      <c r="R6" s="17">
        <f>B19/config!$L$2</f>
        <v>1.1875</v>
      </c>
      <c r="S6" s="17">
        <f>(config!$K$2-config!$L$2)/(Q6-R6)</f>
        <v>-10.105263157894738</v>
      </c>
    </row>
    <row r="7" spans="1:22" x14ac:dyDescent="0.3">
      <c r="A7" t="s">
        <v>72</v>
      </c>
      <c r="B7" s="22">
        <v>0</v>
      </c>
      <c r="C7" s="22">
        <v>2</v>
      </c>
      <c r="D7" s="22">
        <v>0</v>
      </c>
      <c r="E7" s="22">
        <v>0</v>
      </c>
      <c r="F7" s="22">
        <v>21</v>
      </c>
      <c r="G7" s="22">
        <v>8</v>
      </c>
      <c r="H7" s="22">
        <v>0</v>
      </c>
      <c r="I7" s="22">
        <v>0</v>
      </c>
      <c r="J7" s="20">
        <f t="shared" si="3"/>
        <v>31</v>
      </c>
      <c r="K7" s="23">
        <f>SUMPRODUCT(B7:I7,config!$B$4:$I$4)</f>
        <v>32.299999999999997</v>
      </c>
      <c r="L7" s="22">
        <f>SUMPRODUCT(B7:I7,config!$B$5:$I$5)-C20</f>
        <v>30.5</v>
      </c>
      <c r="M7" s="24">
        <f t="shared" si="0"/>
        <v>12.193548387096774</v>
      </c>
      <c r="N7" s="15">
        <f t="shared" si="1"/>
        <v>8.4852734922861828E-2</v>
      </c>
      <c r="O7" s="16">
        <f>S7*J7+config!$K$2+config!$L$2</f>
        <v>12.253968253968255</v>
      </c>
      <c r="P7" s="16">
        <f t="shared" si="2"/>
        <v>0.11034168305263847</v>
      </c>
      <c r="Q7" s="17">
        <f>B20/config!$K$2</f>
        <v>31.5</v>
      </c>
      <c r="R7" s="17">
        <f>B20/config!$L$2</f>
        <v>23.625</v>
      </c>
      <c r="S7" s="17">
        <f>(config!$K$2-config!$L$2)/(Q7-R7)</f>
        <v>-0.50793650793650791</v>
      </c>
    </row>
    <row r="8" spans="1:22" x14ac:dyDescent="0.3">
      <c r="A8" t="s">
        <v>73</v>
      </c>
      <c r="B8" s="22">
        <v>0</v>
      </c>
      <c r="C8" s="22">
        <v>0</v>
      </c>
      <c r="D8" s="22">
        <v>0</v>
      </c>
      <c r="E8" s="22">
        <v>0</v>
      </c>
      <c r="F8" s="22">
        <v>0</v>
      </c>
      <c r="G8" s="22">
        <v>1</v>
      </c>
      <c r="H8" s="22">
        <v>0</v>
      </c>
      <c r="I8" s="22">
        <v>0</v>
      </c>
      <c r="J8" s="20">
        <f t="shared" si="3"/>
        <v>1</v>
      </c>
      <c r="K8" s="23">
        <f>SUMPRODUCT(B8:I8,config!$B$4:$I$4)</f>
        <v>1</v>
      </c>
      <c r="L8" s="22">
        <f>SUMPRODUCT(B8:I8,config!$B$5:$I$5)-C21</f>
        <v>0</v>
      </c>
      <c r="M8" s="24">
        <f t="shared" si="0"/>
        <v>12</v>
      </c>
      <c r="N8" s="15">
        <f t="shared" si="1"/>
        <v>0.10869565217391219</v>
      </c>
      <c r="O8" s="16">
        <f>S8*J8+config!$K$2+config!$L$2</f>
        <v>12</v>
      </c>
      <c r="P8" s="16">
        <f t="shared" si="2"/>
        <v>0.14362657091561637</v>
      </c>
      <c r="Q8" s="17">
        <f>B21/config!$K$2</f>
        <v>1</v>
      </c>
      <c r="R8" s="17">
        <f>B21/config!$L$2</f>
        <v>0.75</v>
      </c>
      <c r="S8" s="17">
        <f>(config!$K$2-config!$L$2)/(Q8-R8)</f>
        <v>-16</v>
      </c>
    </row>
    <row r="9" spans="1:22" x14ac:dyDescent="0.3">
      <c r="A9" t="s">
        <v>74</v>
      </c>
      <c r="B9" s="22">
        <v>0</v>
      </c>
      <c r="C9" s="22">
        <v>2</v>
      </c>
      <c r="D9" s="22">
        <v>0</v>
      </c>
      <c r="E9" s="22">
        <v>0</v>
      </c>
      <c r="F9" s="22">
        <v>0</v>
      </c>
      <c r="G9" s="22">
        <v>6</v>
      </c>
      <c r="H9" s="22">
        <v>16</v>
      </c>
      <c r="I9" s="22">
        <v>0</v>
      </c>
      <c r="J9" s="20">
        <f t="shared" si="3"/>
        <v>24</v>
      </c>
      <c r="K9" s="23">
        <f>SUMPRODUCT(B9:I9,config!$B$4:$I$4)</f>
        <v>18.899999999999999</v>
      </c>
      <c r="L9" s="22">
        <f>SUMPRODUCT(B9:I9,config!$B$5:$I$5)-C22</f>
        <v>18</v>
      </c>
      <c r="M9" s="24">
        <f t="shared" si="0"/>
        <v>12.458333333333334</v>
      </c>
      <c r="N9" s="15">
        <f t="shared" si="1"/>
        <v>0.34963768115942173</v>
      </c>
      <c r="O9" s="16">
        <f>S9*J9+config!$K$2+config!$L$2</f>
        <v>12.588628762541809</v>
      </c>
      <c r="P9" s="16">
        <f t="shared" si="2"/>
        <v>0.44500219162619281</v>
      </c>
      <c r="Q9" s="17">
        <f>B22/config!$K$2</f>
        <v>24.916666666666668</v>
      </c>
      <c r="R9" s="17">
        <f>B22/config!$L$2</f>
        <v>18.6875</v>
      </c>
      <c r="S9" s="17">
        <f>(config!$K$2-config!$L$2)/(Q9-R9)</f>
        <v>-0.64214046822742465</v>
      </c>
    </row>
    <row r="10" spans="1:22" x14ac:dyDescent="0.3">
      <c r="A10" t="s">
        <v>5</v>
      </c>
      <c r="B10" s="22">
        <v>0</v>
      </c>
      <c r="C10" s="22">
        <v>0</v>
      </c>
      <c r="D10" s="22">
        <v>0</v>
      </c>
      <c r="E10" s="22">
        <v>0</v>
      </c>
      <c r="F10" s="22">
        <v>0</v>
      </c>
      <c r="G10" s="22">
        <v>3</v>
      </c>
      <c r="H10" s="22">
        <v>0</v>
      </c>
      <c r="I10" s="22">
        <v>0</v>
      </c>
      <c r="J10" s="20">
        <f t="shared" si="3"/>
        <v>3</v>
      </c>
      <c r="K10" s="23">
        <f>SUMPRODUCT(B10:I10,config!$B$4:$I$4)</f>
        <v>3</v>
      </c>
      <c r="L10" s="22">
        <f>SUMPRODUCT(B10:I10,config!$B$5:$I$5)-C23</f>
        <v>0</v>
      </c>
      <c r="M10" s="24">
        <f>B23/J10</f>
        <v>10.333333333333334</v>
      </c>
      <c r="N10" s="15">
        <f t="shared" si="1"/>
        <v>1.7753623188405783</v>
      </c>
      <c r="O10" s="16">
        <f>S10*J10+config!$K$2+config!$L$2</f>
        <v>9.4193548387096797</v>
      </c>
      <c r="P10" s="16">
        <f t="shared" si="2"/>
        <v>2.7242717322059367</v>
      </c>
      <c r="Q10" s="17">
        <f>B23/config!$K$2</f>
        <v>2.5833333333333335</v>
      </c>
      <c r="R10" s="17">
        <f>B23/config!$L$2</f>
        <v>1.9375</v>
      </c>
      <c r="S10" s="17">
        <f>(config!$K$2-config!$L$2)/(Q10-R10)</f>
        <v>-6.1935483870967731</v>
      </c>
    </row>
    <row r="11" spans="1:22" x14ac:dyDescent="0.3">
      <c r="A11" s="25" t="s">
        <v>6</v>
      </c>
      <c r="B11" s="26">
        <v>0</v>
      </c>
      <c r="C11" s="26">
        <v>0</v>
      </c>
      <c r="D11" s="26">
        <v>0</v>
      </c>
      <c r="E11" s="26">
        <v>0</v>
      </c>
      <c r="F11" s="26">
        <v>3</v>
      </c>
      <c r="G11" s="26">
        <v>0</v>
      </c>
      <c r="H11" s="26">
        <v>0</v>
      </c>
      <c r="I11" s="26">
        <v>0</v>
      </c>
      <c r="J11" s="31">
        <f t="shared" si="3"/>
        <v>3</v>
      </c>
      <c r="K11" s="27">
        <f>SUMPRODUCT(B11:I11,config!$B$4:$I$4)</f>
        <v>3</v>
      </c>
      <c r="L11" s="26">
        <f>SUMPRODUCT(B11:I11,config!$B$5:$I$5)-C24</f>
        <v>15</v>
      </c>
      <c r="M11" s="28">
        <f>B24/J11</f>
        <v>11.333333333333334</v>
      </c>
      <c r="N11" s="15">
        <f t="shared" si="1"/>
        <v>0.77536231884057827</v>
      </c>
      <c r="O11" s="16">
        <f>S11*J11+config!$K$2+config!$L$2</f>
        <v>11.058823529411768</v>
      </c>
      <c r="P11" s="16">
        <f t="shared" si="2"/>
        <v>1.0848030415038483</v>
      </c>
      <c r="Q11" s="17">
        <f>B24/config!$K$2</f>
        <v>2.8333333333333335</v>
      </c>
      <c r="R11" s="17">
        <f>B24/config!$L$2</f>
        <v>2.125</v>
      </c>
      <c r="S11" s="17">
        <f>(config!$K$2-config!$L$2)/(Q11-R11)</f>
        <v>-5.6470588235294104</v>
      </c>
    </row>
    <row r="12" spans="1:22" x14ac:dyDescent="0.3">
      <c r="A12" s="1" t="s">
        <v>7</v>
      </c>
      <c r="B12" s="20">
        <f t="shared" ref="B12:J12" si="4">SUM(B2:B11)</f>
        <v>0</v>
      </c>
      <c r="C12" s="20">
        <f t="shared" si="4"/>
        <v>5</v>
      </c>
      <c r="D12" s="20">
        <f t="shared" si="4"/>
        <v>2</v>
      </c>
      <c r="E12" s="20">
        <f t="shared" si="4"/>
        <v>13</v>
      </c>
      <c r="F12" s="20">
        <f t="shared" si="4"/>
        <v>31</v>
      </c>
      <c r="G12" s="20">
        <f t="shared" si="4"/>
        <v>25</v>
      </c>
      <c r="H12" s="20">
        <f t="shared" si="4"/>
        <v>16</v>
      </c>
      <c r="I12" s="20">
        <f t="shared" si="4"/>
        <v>0</v>
      </c>
      <c r="J12" s="20">
        <f t="shared" si="4"/>
        <v>92</v>
      </c>
      <c r="K12" s="29">
        <f>SUM(K2:K11)</f>
        <v>98.6</v>
      </c>
      <c r="L12" s="20">
        <f>SUM(L2:L11)</f>
        <v>273.5</v>
      </c>
      <c r="M12" s="30">
        <f>B25/J12</f>
        <v>12.108695652173912</v>
      </c>
      <c r="N12" s="15">
        <f>SUM(N2:N11)/8</f>
        <v>0.8292854220931003</v>
      </c>
      <c r="O12" s="14">
        <f>S12*J12+config!$K$2+config!$L$2</f>
        <v>12.143626570915616</v>
      </c>
      <c r="P12" s="14">
        <f>SUM(P2:P11)/$V$1</f>
        <v>1.0048327652334943</v>
      </c>
      <c r="Q12" s="17">
        <f>B25/config!$K$2</f>
        <v>92.833333333333329</v>
      </c>
      <c r="R12" s="17">
        <f>B25/config!$L$2</f>
        <v>69.625</v>
      </c>
      <c r="S12" s="17">
        <f>(config!$K$2-config!$L$2)/(Q12-R12)</f>
        <v>-0.1723518850987433</v>
      </c>
    </row>
    <row r="13" spans="1:22" x14ac:dyDescent="0.3">
      <c r="F13" s="17"/>
      <c r="G13" s="2">
        <f>SUM(F12:G12)/J12</f>
        <v>0.60869565217391308</v>
      </c>
      <c r="H13" s="3"/>
      <c r="I13" s="3">
        <f>SUM(H12:I12)/J12</f>
        <v>0.17391304347826086</v>
      </c>
      <c r="J13" s="4">
        <f>I13+G13</f>
        <v>0.78260869565217395</v>
      </c>
    </row>
    <row r="14" spans="1:22" x14ac:dyDescent="0.3">
      <c r="A14" t="s">
        <v>0</v>
      </c>
      <c r="B14" t="s">
        <v>14</v>
      </c>
      <c r="C14" t="s">
        <v>15</v>
      </c>
      <c r="D14" t="s">
        <v>16</v>
      </c>
      <c r="E14" t="s">
        <v>17</v>
      </c>
      <c r="F14" t="s">
        <v>18</v>
      </c>
      <c r="H14" t="s">
        <v>28</v>
      </c>
      <c r="I14" t="s">
        <v>31</v>
      </c>
      <c r="J14" t="s">
        <v>32</v>
      </c>
      <c r="M14" t="s">
        <v>33</v>
      </c>
      <c r="N14" t="s">
        <v>34</v>
      </c>
      <c r="O14" t="s">
        <v>35</v>
      </c>
      <c r="P14" t="s">
        <v>38</v>
      </c>
      <c r="Q14" t="s">
        <v>47</v>
      </c>
      <c r="R14" t="s">
        <v>39</v>
      </c>
    </row>
    <row r="15" spans="1:22" x14ac:dyDescent="0.3">
      <c r="A15" t="s">
        <v>1</v>
      </c>
      <c r="B15">
        <v>144</v>
      </c>
      <c r="C15">
        <v>17</v>
      </c>
      <c r="D15">
        <v>34</v>
      </c>
      <c r="E15">
        <v>0</v>
      </c>
      <c r="F15">
        <v>1</v>
      </c>
      <c r="H15">
        <f>SUMPRODUCT(B2:I2,config!$B$1:$I$1)</f>
        <v>186</v>
      </c>
      <c r="I15">
        <f>SUMPRODUCT(B2:I2,config!$B$2:$I$2)</f>
        <v>110</v>
      </c>
      <c r="J15">
        <f>SUMPRODUCT(B2:I2,config!$B$3:$I$3)</f>
        <v>88</v>
      </c>
      <c r="M15" t="s">
        <v>36</v>
      </c>
      <c r="N15">
        <v>93</v>
      </c>
      <c r="O15">
        <v>74</v>
      </c>
      <c r="P15">
        <f>J12</f>
        <v>92</v>
      </c>
      <c r="Q15" s="11">
        <f>(P15-N15)/(O15-N15)</f>
        <v>5.2631578947368418E-2</v>
      </c>
      <c r="R15">
        <v>0.1336</v>
      </c>
    </row>
    <row r="16" spans="1:22" x14ac:dyDescent="0.3">
      <c r="A16" t="s">
        <v>2</v>
      </c>
      <c r="B16">
        <v>24</v>
      </c>
      <c r="C16">
        <v>0</v>
      </c>
      <c r="D16">
        <v>0</v>
      </c>
      <c r="E16">
        <v>0</v>
      </c>
      <c r="F16">
        <v>0</v>
      </c>
      <c r="H16">
        <f>SUMPRODUCT(B3:I3,config!$B$1:$I$1)</f>
        <v>24</v>
      </c>
      <c r="I16">
        <f>SUMPRODUCT(B3:I3,config!$B$2:$I$2)</f>
        <v>20</v>
      </c>
      <c r="J16">
        <f>SUMPRODUCT(B3:I3,config!$B$3:$I$3)</f>
        <v>16</v>
      </c>
      <c r="M16" t="s">
        <v>12</v>
      </c>
      <c r="N16">
        <v>153.44999999999999</v>
      </c>
      <c r="O16">
        <v>61.85</v>
      </c>
      <c r="P16">
        <f>K12</f>
        <v>98.6</v>
      </c>
      <c r="Q16" s="11">
        <f>(P16-N16)/(O16-N16)</f>
        <v>0.59879912663755452</v>
      </c>
      <c r="R16">
        <v>6.1400000000000003E-2</v>
      </c>
    </row>
    <row r="17" spans="1:18" x14ac:dyDescent="0.3">
      <c r="A17" t="s">
        <v>3</v>
      </c>
      <c r="B17">
        <v>84</v>
      </c>
      <c r="C17">
        <v>0</v>
      </c>
      <c r="D17">
        <v>0</v>
      </c>
      <c r="E17">
        <v>0</v>
      </c>
      <c r="F17">
        <v>0</v>
      </c>
      <c r="H17">
        <f>SUMPRODUCT(B4:I4,config!$B$1:$I$1)</f>
        <v>168</v>
      </c>
      <c r="I17">
        <f>SUMPRODUCT(B4:I4,config!$B$2:$I$2)</f>
        <v>0</v>
      </c>
      <c r="J17">
        <f>SUMPRODUCT(B4:I4,config!$B$3:$I$3)</f>
        <v>0</v>
      </c>
      <c r="M17" t="s">
        <v>13</v>
      </c>
      <c r="N17">
        <v>0</v>
      </c>
      <c r="O17">
        <v>1390.5</v>
      </c>
      <c r="P17">
        <f>L12</f>
        <v>273.5</v>
      </c>
      <c r="Q17" s="11">
        <f>(P17-N17)/(O17-N17)</f>
        <v>0.1966918374685365</v>
      </c>
      <c r="R17">
        <v>0.31019999999999998</v>
      </c>
    </row>
    <row r="18" spans="1:18" x14ac:dyDescent="0.3">
      <c r="A18" t="s">
        <v>71</v>
      </c>
      <c r="B18">
        <v>89</v>
      </c>
      <c r="C18">
        <v>0</v>
      </c>
      <c r="D18">
        <v>0</v>
      </c>
      <c r="E18">
        <v>0</v>
      </c>
      <c r="F18">
        <v>0</v>
      </c>
      <c r="H18">
        <f>SUMPRODUCT(B5:I5,config!$B$1:$I$1)</f>
        <v>140</v>
      </c>
      <c r="I18">
        <f>SUMPRODUCT(B5:I5,config!$B$2:$I$2)</f>
        <v>35</v>
      </c>
      <c r="J18">
        <f>SUMPRODUCT(B5:I5,config!$B$3:$I$3)</f>
        <v>56</v>
      </c>
      <c r="M18" t="s">
        <v>37</v>
      </c>
      <c r="N18">
        <v>2</v>
      </c>
      <c r="O18">
        <v>1.0047999999999999</v>
      </c>
      <c r="P18">
        <f>P12</f>
        <v>1.0048327652334943</v>
      </c>
      <c r="Q18" s="11">
        <f>(P18-N18)/(O18-N18)</f>
        <v>0.99996707673483287</v>
      </c>
      <c r="R18">
        <v>0.49480000000000002</v>
      </c>
    </row>
    <row r="19" spans="1:18" x14ac:dyDescent="0.3">
      <c r="A19" t="s">
        <v>4</v>
      </c>
      <c r="B19">
        <v>19</v>
      </c>
      <c r="C19">
        <v>0</v>
      </c>
      <c r="D19">
        <v>0</v>
      </c>
      <c r="E19">
        <v>0</v>
      </c>
      <c r="F19">
        <v>0</v>
      </c>
      <c r="H19">
        <f>SUMPRODUCT(B6:I6,config!$B$1:$I$1)</f>
        <v>32</v>
      </c>
      <c r="I19">
        <f>SUMPRODUCT(B6:I6,config!$B$2:$I$2)</f>
        <v>20</v>
      </c>
      <c r="J19">
        <f>SUMPRODUCT(B6:I6,config!$B$3:$I$3)</f>
        <v>16</v>
      </c>
      <c r="P19" s="1" t="s">
        <v>48</v>
      </c>
      <c r="Q19" s="13">
        <f>SUMPRODUCT(Q15:Q18,R15:R18)</f>
        <v>0.59959536287404958</v>
      </c>
    </row>
    <row r="20" spans="1:18" x14ac:dyDescent="0.3">
      <c r="A20" t="s">
        <v>72</v>
      </c>
      <c r="B20">
        <v>378</v>
      </c>
      <c r="C20">
        <v>74.5</v>
      </c>
      <c r="D20">
        <v>125</v>
      </c>
      <c r="E20">
        <v>0</v>
      </c>
      <c r="F20">
        <v>2</v>
      </c>
      <c r="H20">
        <f>SUMPRODUCT(B7:I7,config!$B$1:$I$1)</f>
        <v>632</v>
      </c>
      <c r="I20">
        <f>SUMPRODUCT(B7:I7,config!$B$2:$I$2)</f>
        <v>105</v>
      </c>
      <c r="J20">
        <f>SUMPRODUCT(B7:I7,config!$B$3:$I$3)</f>
        <v>168</v>
      </c>
    </row>
    <row r="21" spans="1:18" x14ac:dyDescent="0.3">
      <c r="A21" t="s">
        <v>73</v>
      </c>
      <c r="B21">
        <v>12</v>
      </c>
      <c r="C21">
        <v>0</v>
      </c>
      <c r="D21">
        <v>0</v>
      </c>
      <c r="E21">
        <v>0</v>
      </c>
      <c r="F21">
        <v>0</v>
      </c>
      <c r="H21">
        <f>SUMPRODUCT(B8:I8,config!$B$1:$I$1)</f>
        <v>24</v>
      </c>
      <c r="I21">
        <f>SUMPRODUCT(B8:I8,config!$B$2:$I$2)</f>
        <v>0</v>
      </c>
      <c r="J21">
        <f>SUMPRODUCT(B8:I8,config!$B$3:$I$3)</f>
        <v>0</v>
      </c>
    </row>
    <row r="22" spans="1:18" x14ac:dyDescent="0.3">
      <c r="A22" t="s">
        <v>74</v>
      </c>
      <c r="B22">
        <v>299</v>
      </c>
      <c r="C22">
        <v>30</v>
      </c>
      <c r="D22">
        <v>60</v>
      </c>
      <c r="E22">
        <v>0</v>
      </c>
      <c r="F22">
        <v>2</v>
      </c>
      <c r="H22">
        <f>SUMPRODUCT(B9:I9,config!$B$1:$I$1)</f>
        <v>324</v>
      </c>
      <c r="I22">
        <f>SUMPRODUCT(B9:I9,config!$B$2:$I$2)</f>
        <v>48</v>
      </c>
      <c r="J22">
        <f>SUMPRODUCT(B9:I9,config!$B$3:$I$3)</f>
        <v>96</v>
      </c>
    </row>
    <row r="23" spans="1:18" x14ac:dyDescent="0.3">
      <c r="A23" t="s">
        <v>5</v>
      </c>
      <c r="B23">
        <v>31</v>
      </c>
      <c r="C23">
        <v>0</v>
      </c>
      <c r="D23">
        <v>0</v>
      </c>
      <c r="E23">
        <v>0</v>
      </c>
      <c r="F23">
        <v>0</v>
      </c>
      <c r="H23">
        <f>SUMPRODUCT(B10:I10,config!$B$1:$I$1)</f>
        <v>72</v>
      </c>
      <c r="I23">
        <f>SUMPRODUCT(B10:I10,config!$B$2:$I$2)</f>
        <v>0</v>
      </c>
      <c r="J23">
        <f>SUMPRODUCT(B10:I10,config!$B$3:$I$3)</f>
        <v>0</v>
      </c>
    </row>
    <row r="24" spans="1:18" x14ac:dyDescent="0.3">
      <c r="A24" t="s">
        <v>6</v>
      </c>
      <c r="B24">
        <v>34</v>
      </c>
      <c r="C24">
        <v>0</v>
      </c>
      <c r="D24">
        <v>0</v>
      </c>
      <c r="E24">
        <v>0</v>
      </c>
      <c r="F24">
        <v>0</v>
      </c>
      <c r="H24">
        <f>SUMPRODUCT(B11:I11,config!$B$1:$I$1)</f>
        <v>60</v>
      </c>
      <c r="I24">
        <f>SUMPRODUCT(B11:I11,config!$B$2:$I$2)</f>
        <v>15</v>
      </c>
      <c r="J24">
        <f>SUMPRODUCT(B11:I11,config!$B$3:$I$3)</f>
        <v>24</v>
      </c>
    </row>
    <row r="25" spans="1:18" x14ac:dyDescent="0.3">
      <c r="A25" s="1" t="s">
        <v>7</v>
      </c>
      <c r="B25" s="1">
        <f>SUM(B15:B24)</f>
        <v>1114</v>
      </c>
    </row>
  </sheetData>
  <conditionalFormatting sqref="H15:J24">
    <cfRule type="expression" dxfId="5" priority="1">
      <formula>AND(H15&gt;=B15,H15&lt;&gt;"")</formula>
    </cfRule>
    <cfRule type="expression" dxfId="4" priority="2">
      <formula>AND(H15&lt;B15,H15&lt;&gt;"")</formula>
    </cfRule>
  </conditionalFormatting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6E6AC-0420-40E2-B7DA-C1196D81D5E3}">
  <dimension ref="A1:V25"/>
  <sheetViews>
    <sheetView workbookViewId="0">
      <selection activeCell="M3" sqref="M3:M10"/>
    </sheetView>
  </sheetViews>
  <sheetFormatPr defaultRowHeight="14.4" x14ac:dyDescent="0.3"/>
  <cols>
    <col min="2" max="9" width="6.6640625" customWidth="1"/>
    <col min="10" max="10" width="10.5546875" bestFit="1" customWidth="1"/>
  </cols>
  <sheetData>
    <row r="1" spans="1:22" x14ac:dyDescent="0.3">
      <c r="A1" s="18" t="s">
        <v>0</v>
      </c>
      <c r="B1" s="19" t="s">
        <v>19</v>
      </c>
      <c r="C1" s="19" t="s">
        <v>20</v>
      </c>
      <c r="D1" s="19" t="s">
        <v>21</v>
      </c>
      <c r="E1" s="19" t="s">
        <v>22</v>
      </c>
      <c r="F1" s="19" t="s">
        <v>23</v>
      </c>
      <c r="G1" s="19" t="s">
        <v>24</v>
      </c>
      <c r="H1" s="19" t="s">
        <v>25</v>
      </c>
      <c r="I1" s="19" t="s">
        <v>26</v>
      </c>
      <c r="J1" s="19" t="s">
        <v>11</v>
      </c>
      <c r="K1" s="19" t="s">
        <v>8</v>
      </c>
      <c r="L1" s="19" t="s">
        <v>9</v>
      </c>
      <c r="M1" s="19" t="s">
        <v>10</v>
      </c>
      <c r="N1" s="20" t="s">
        <v>64</v>
      </c>
      <c r="O1" s="21" t="s">
        <v>40</v>
      </c>
      <c r="P1" s="21" t="s">
        <v>46</v>
      </c>
      <c r="Q1" s="21" t="s">
        <v>41</v>
      </c>
      <c r="R1" s="21" t="s">
        <v>42</v>
      </c>
      <c r="S1" s="21" t="s">
        <v>43</v>
      </c>
      <c r="U1" s="21" t="s">
        <v>75</v>
      </c>
      <c r="V1">
        <v>10</v>
      </c>
    </row>
    <row r="2" spans="1:22" x14ac:dyDescent="0.3">
      <c r="A2" t="s">
        <v>1</v>
      </c>
      <c r="B2" s="22">
        <v>0</v>
      </c>
      <c r="C2" s="22">
        <v>1</v>
      </c>
      <c r="D2" s="22">
        <v>10</v>
      </c>
      <c r="E2" s="22">
        <v>1</v>
      </c>
      <c r="F2" s="22">
        <v>0</v>
      </c>
      <c r="G2" s="22">
        <v>0</v>
      </c>
      <c r="H2" s="22">
        <v>0</v>
      </c>
      <c r="I2" s="22">
        <v>0</v>
      </c>
      <c r="J2" s="20">
        <f>SUM(B2:I2)</f>
        <v>12</v>
      </c>
      <c r="K2" s="23">
        <f>SUMPRODUCT(B2:I2,config!$B$4:$I$4)</f>
        <v>19.799999999999997</v>
      </c>
      <c r="L2" s="22">
        <f>SUMPRODUCT(B2:I2,config!$B$5:$I$5)-C15</f>
        <v>175</v>
      </c>
      <c r="M2" s="24">
        <f t="shared" ref="M2:M9" si="0">B15/J2</f>
        <v>12</v>
      </c>
      <c r="N2" s="15">
        <f t="shared" ref="N2:N11" si="1">ABS(M2-M$12)</f>
        <v>0.10869565217391219</v>
      </c>
      <c r="O2" s="16">
        <f>S2*J2+config!$K$2+config!$L$2</f>
        <v>12</v>
      </c>
      <c r="P2" s="16">
        <f t="shared" ref="P2:P11" si="2">ABS(O2-O$12)</f>
        <v>0.14362657091561637</v>
      </c>
      <c r="Q2" s="17">
        <f>B15/config!$K$2</f>
        <v>12</v>
      </c>
      <c r="R2" s="17">
        <f>B15/config!$L$2</f>
        <v>9</v>
      </c>
      <c r="S2" s="17">
        <f>(config!$K$2-config!$L$2)/(Q2-R2)</f>
        <v>-1.3333333333333333</v>
      </c>
    </row>
    <row r="3" spans="1:22" x14ac:dyDescent="0.3">
      <c r="A3" t="s">
        <v>2</v>
      </c>
      <c r="B3" s="22">
        <v>0</v>
      </c>
      <c r="C3" s="22">
        <v>0</v>
      </c>
      <c r="D3" s="22">
        <v>2</v>
      </c>
      <c r="E3" s="22">
        <v>0</v>
      </c>
      <c r="F3" s="22">
        <v>0</v>
      </c>
      <c r="G3" s="22">
        <v>0</v>
      </c>
      <c r="H3" s="22">
        <v>0</v>
      </c>
      <c r="I3" s="22">
        <v>0</v>
      </c>
      <c r="J3" s="20">
        <f t="shared" ref="J3:J11" si="3">SUM(B3:I3)</f>
        <v>2</v>
      </c>
      <c r="K3" s="23">
        <f>SUMPRODUCT(B3:I3,config!$B$4:$I$4)</f>
        <v>3.3</v>
      </c>
      <c r="L3" s="22">
        <f>SUMPRODUCT(B3:I3,config!$B$5:$I$5)-C16</f>
        <v>36</v>
      </c>
      <c r="M3" s="24">
        <f t="shared" si="0"/>
        <v>12</v>
      </c>
      <c r="N3" s="15">
        <f t="shared" si="1"/>
        <v>0.10869565217391219</v>
      </c>
      <c r="O3" s="16">
        <f>S3*J3+config!$K$2+config!$L$2</f>
        <v>12</v>
      </c>
      <c r="P3" s="16">
        <f t="shared" si="2"/>
        <v>0.14362657091561637</v>
      </c>
      <c r="Q3" s="17">
        <f>B16/config!$K$2</f>
        <v>2</v>
      </c>
      <c r="R3" s="17">
        <f>B16/config!$L$2</f>
        <v>1.5</v>
      </c>
      <c r="S3" s="17">
        <f>(config!$K$2-config!$L$2)/(Q3-R3)</f>
        <v>-8</v>
      </c>
    </row>
    <row r="4" spans="1:22" x14ac:dyDescent="0.3">
      <c r="A4" t="s">
        <v>3</v>
      </c>
      <c r="B4" s="22">
        <v>0</v>
      </c>
      <c r="C4" s="22">
        <v>0</v>
      </c>
      <c r="D4" s="22">
        <v>7</v>
      </c>
      <c r="E4" s="22">
        <v>0</v>
      </c>
      <c r="F4" s="22">
        <v>0</v>
      </c>
      <c r="G4" s="22">
        <v>0</v>
      </c>
      <c r="H4" s="22">
        <v>0</v>
      </c>
      <c r="I4" s="22">
        <v>0</v>
      </c>
      <c r="J4" s="20">
        <f t="shared" si="3"/>
        <v>7</v>
      </c>
      <c r="K4" s="23">
        <f>SUMPRODUCT(B4:I4,config!$B$4:$I$4)</f>
        <v>11.549999999999999</v>
      </c>
      <c r="L4" s="22">
        <f>SUMPRODUCT(B4:I4,config!$B$5:$I$5)-C17</f>
        <v>126</v>
      </c>
      <c r="M4" s="24">
        <f t="shared" si="0"/>
        <v>12</v>
      </c>
      <c r="N4" s="15">
        <f t="shared" si="1"/>
        <v>0.10869565217391219</v>
      </c>
      <c r="O4" s="16">
        <f>S4*J4+config!$K$2+config!$L$2</f>
        <v>12</v>
      </c>
      <c r="P4" s="16">
        <f t="shared" si="2"/>
        <v>0.14362657091561637</v>
      </c>
      <c r="Q4" s="17">
        <f>B17/config!$K$2</f>
        <v>7</v>
      </c>
      <c r="R4" s="17">
        <f>B17/config!$L$2</f>
        <v>5.25</v>
      </c>
      <c r="S4" s="17">
        <f>(config!$K$2-config!$L$2)/(Q4-R4)</f>
        <v>-2.2857142857142856</v>
      </c>
    </row>
    <row r="5" spans="1:22" x14ac:dyDescent="0.3">
      <c r="A5" t="s">
        <v>71</v>
      </c>
      <c r="B5" s="22">
        <v>0</v>
      </c>
      <c r="C5" s="22">
        <v>0</v>
      </c>
      <c r="D5" s="22">
        <v>6</v>
      </c>
      <c r="E5" s="22">
        <v>0</v>
      </c>
      <c r="F5" s="22">
        <v>1</v>
      </c>
      <c r="G5" s="22">
        <v>0</v>
      </c>
      <c r="H5" s="22">
        <v>0</v>
      </c>
      <c r="I5" s="22">
        <v>0</v>
      </c>
      <c r="J5" s="20">
        <f t="shared" si="3"/>
        <v>7</v>
      </c>
      <c r="K5" s="23">
        <f>SUMPRODUCT(B5:I5,config!$B$4:$I$4)</f>
        <v>10.899999999999999</v>
      </c>
      <c r="L5" s="22">
        <f>SUMPRODUCT(B5:I5,config!$B$5:$I$5)-C18</f>
        <v>113</v>
      </c>
      <c r="M5" s="24">
        <f t="shared" si="0"/>
        <v>12.714285714285714</v>
      </c>
      <c r="N5" s="15">
        <f t="shared" si="1"/>
        <v>0.60559006211180133</v>
      </c>
      <c r="O5" s="16">
        <f>S5*J5+config!$K$2+config!$L$2</f>
        <v>12.898876404494386</v>
      </c>
      <c r="P5" s="16">
        <f t="shared" si="2"/>
        <v>0.75524983357876962</v>
      </c>
      <c r="Q5" s="17">
        <f>B18/config!$K$2</f>
        <v>7.416666666666667</v>
      </c>
      <c r="R5" s="17">
        <f>B18/config!$L$2</f>
        <v>5.5625</v>
      </c>
      <c r="S5" s="17">
        <f>(config!$K$2-config!$L$2)/(Q5-R5)</f>
        <v>-2.1573033707865163</v>
      </c>
    </row>
    <row r="6" spans="1:22" x14ac:dyDescent="0.3">
      <c r="A6" t="s">
        <v>4</v>
      </c>
      <c r="B6" s="22">
        <v>0</v>
      </c>
      <c r="C6" s="22">
        <v>0</v>
      </c>
      <c r="D6" s="22">
        <v>2</v>
      </c>
      <c r="E6" s="22">
        <v>0</v>
      </c>
      <c r="F6" s="22">
        <v>0</v>
      </c>
      <c r="G6" s="22">
        <v>0</v>
      </c>
      <c r="H6" s="22">
        <v>0</v>
      </c>
      <c r="I6" s="22">
        <v>0</v>
      </c>
      <c r="J6" s="20">
        <f t="shared" si="3"/>
        <v>2</v>
      </c>
      <c r="K6" s="23">
        <f>SUMPRODUCT(B6:I6,config!$B$4:$I$4)</f>
        <v>3.3</v>
      </c>
      <c r="L6" s="22">
        <f>SUMPRODUCT(B6:I6,config!$B$5:$I$5)-C19</f>
        <v>36</v>
      </c>
      <c r="M6" s="24">
        <f t="shared" si="0"/>
        <v>9.5</v>
      </c>
      <c r="N6" s="15">
        <f t="shared" si="1"/>
        <v>2.6086956521739122</v>
      </c>
      <c r="O6" s="16">
        <f>S6*J6+config!$K$2+config!$L$2</f>
        <v>7.7894736842105239</v>
      </c>
      <c r="P6" s="16">
        <f t="shared" si="2"/>
        <v>4.3541528867050925</v>
      </c>
      <c r="Q6" s="17">
        <f>B19/config!$K$2</f>
        <v>1.5833333333333333</v>
      </c>
      <c r="R6" s="17">
        <f>B19/config!$L$2</f>
        <v>1.1875</v>
      </c>
      <c r="S6" s="17">
        <f>(config!$K$2-config!$L$2)/(Q6-R6)</f>
        <v>-10.105263157894738</v>
      </c>
    </row>
    <row r="7" spans="1:22" x14ac:dyDescent="0.3">
      <c r="A7" t="s">
        <v>72</v>
      </c>
      <c r="B7" s="22">
        <v>0</v>
      </c>
      <c r="C7" s="22">
        <v>2</v>
      </c>
      <c r="D7" s="22">
        <v>28</v>
      </c>
      <c r="E7" s="22">
        <v>0</v>
      </c>
      <c r="F7" s="22">
        <v>0</v>
      </c>
      <c r="G7" s="22">
        <v>1</v>
      </c>
      <c r="H7" s="22">
        <v>0</v>
      </c>
      <c r="I7" s="22">
        <v>0</v>
      </c>
      <c r="J7" s="20">
        <f t="shared" si="3"/>
        <v>31</v>
      </c>
      <c r="K7" s="23">
        <f>SUMPRODUCT(B7:I7,config!$B$4:$I$4)</f>
        <v>50.499999999999993</v>
      </c>
      <c r="L7" s="22">
        <f>SUMPRODUCT(B7:I7,config!$B$5:$I$5)-C20</f>
        <v>429.5</v>
      </c>
      <c r="M7" s="24">
        <f t="shared" si="0"/>
        <v>12.193548387096774</v>
      </c>
      <c r="N7" s="15">
        <f t="shared" si="1"/>
        <v>8.4852734922861828E-2</v>
      </c>
      <c r="O7" s="16">
        <f>S7*J7+config!$K$2+config!$L$2</f>
        <v>12.253968253968255</v>
      </c>
      <c r="P7" s="16">
        <f t="shared" si="2"/>
        <v>0.11034168305263847</v>
      </c>
      <c r="Q7" s="17">
        <f>B20/config!$K$2</f>
        <v>31.5</v>
      </c>
      <c r="R7" s="17">
        <f>B20/config!$L$2</f>
        <v>23.625</v>
      </c>
      <c r="S7" s="17">
        <f>(config!$K$2-config!$L$2)/(Q7-R7)</f>
        <v>-0.50793650793650791</v>
      </c>
    </row>
    <row r="8" spans="1:22" x14ac:dyDescent="0.3">
      <c r="A8" t="s">
        <v>73</v>
      </c>
      <c r="B8" s="22">
        <v>0</v>
      </c>
      <c r="C8" s="22">
        <v>0</v>
      </c>
      <c r="D8" s="22">
        <v>1</v>
      </c>
      <c r="E8" s="22">
        <v>0</v>
      </c>
      <c r="F8" s="22">
        <v>0</v>
      </c>
      <c r="G8" s="22">
        <v>0</v>
      </c>
      <c r="H8" s="22">
        <v>0</v>
      </c>
      <c r="I8" s="22">
        <v>0</v>
      </c>
      <c r="J8" s="20">
        <f t="shared" si="3"/>
        <v>1</v>
      </c>
      <c r="K8" s="23">
        <f>SUMPRODUCT(B8:I8,config!$B$4:$I$4)</f>
        <v>1.65</v>
      </c>
      <c r="L8" s="22">
        <f>SUMPRODUCT(B8:I8,config!$B$5:$I$5)-C21</f>
        <v>18</v>
      </c>
      <c r="M8" s="24">
        <f t="shared" si="0"/>
        <v>12</v>
      </c>
      <c r="N8" s="15">
        <f t="shared" si="1"/>
        <v>0.10869565217391219</v>
      </c>
      <c r="O8" s="16">
        <f>S8*J8+config!$K$2+config!$L$2</f>
        <v>12</v>
      </c>
      <c r="P8" s="16">
        <f t="shared" si="2"/>
        <v>0.14362657091561637</v>
      </c>
      <c r="Q8" s="17">
        <f>B21/config!$K$2</f>
        <v>1</v>
      </c>
      <c r="R8" s="17">
        <f>B21/config!$L$2</f>
        <v>0.75</v>
      </c>
      <c r="S8" s="17">
        <f>(config!$K$2-config!$L$2)/(Q8-R8)</f>
        <v>-16</v>
      </c>
    </row>
    <row r="9" spans="1:22" x14ac:dyDescent="0.3">
      <c r="A9" t="s">
        <v>74</v>
      </c>
      <c r="B9" s="22">
        <v>0</v>
      </c>
      <c r="C9" s="22">
        <v>2</v>
      </c>
      <c r="D9" s="22">
        <v>20</v>
      </c>
      <c r="E9" s="22">
        <v>1</v>
      </c>
      <c r="F9" s="22">
        <v>0</v>
      </c>
      <c r="G9" s="22">
        <v>1</v>
      </c>
      <c r="H9" s="22">
        <v>0</v>
      </c>
      <c r="I9" s="22">
        <v>0</v>
      </c>
      <c r="J9" s="20">
        <f t="shared" si="3"/>
        <v>24</v>
      </c>
      <c r="K9" s="23">
        <f>SUMPRODUCT(B9:I9,config!$B$4:$I$4)</f>
        <v>38.949999999999996</v>
      </c>
      <c r="L9" s="22">
        <f>SUMPRODUCT(B9:I9,config!$B$5:$I$5)-C22</f>
        <v>342</v>
      </c>
      <c r="M9" s="24">
        <f t="shared" si="0"/>
        <v>12.458333333333334</v>
      </c>
      <c r="N9" s="15">
        <f t="shared" si="1"/>
        <v>0.34963768115942173</v>
      </c>
      <c r="O9" s="16">
        <f>S9*J9+config!$K$2+config!$L$2</f>
        <v>12.588628762541809</v>
      </c>
      <c r="P9" s="16">
        <f t="shared" si="2"/>
        <v>0.44500219162619281</v>
      </c>
      <c r="Q9" s="17">
        <f>B22/config!$K$2</f>
        <v>24.916666666666668</v>
      </c>
      <c r="R9" s="17">
        <f>B22/config!$L$2</f>
        <v>18.6875</v>
      </c>
      <c r="S9" s="17">
        <f>(config!$K$2-config!$L$2)/(Q9-R9)</f>
        <v>-0.64214046822742465</v>
      </c>
    </row>
    <row r="10" spans="1:22" x14ac:dyDescent="0.3">
      <c r="A10" t="s">
        <v>5</v>
      </c>
      <c r="B10" s="22">
        <v>0</v>
      </c>
      <c r="C10" s="22">
        <v>0</v>
      </c>
      <c r="D10" s="22">
        <v>3</v>
      </c>
      <c r="E10" s="22">
        <v>0</v>
      </c>
      <c r="F10" s="22">
        <v>0</v>
      </c>
      <c r="G10" s="22">
        <v>0</v>
      </c>
      <c r="H10" s="22">
        <v>0</v>
      </c>
      <c r="I10" s="22">
        <v>0</v>
      </c>
      <c r="J10" s="20">
        <f t="shared" si="3"/>
        <v>3</v>
      </c>
      <c r="K10" s="23">
        <f>SUMPRODUCT(B10:I10,config!$B$4:$I$4)</f>
        <v>4.9499999999999993</v>
      </c>
      <c r="L10" s="22">
        <f>SUMPRODUCT(B10:I10,config!$B$5:$I$5)-C23</f>
        <v>54</v>
      </c>
      <c r="M10" s="24">
        <f>B23/J10</f>
        <v>10.333333333333334</v>
      </c>
      <c r="N10" s="15">
        <f t="shared" si="1"/>
        <v>1.7753623188405783</v>
      </c>
      <c r="O10" s="16">
        <f>S10*J10+config!$K$2+config!$L$2</f>
        <v>9.4193548387096797</v>
      </c>
      <c r="P10" s="16">
        <f t="shared" si="2"/>
        <v>2.7242717322059367</v>
      </c>
      <c r="Q10" s="17">
        <f>B23/config!$K$2</f>
        <v>2.5833333333333335</v>
      </c>
      <c r="R10" s="17">
        <f>B23/config!$L$2</f>
        <v>1.9375</v>
      </c>
      <c r="S10" s="17">
        <f>(config!$K$2-config!$L$2)/(Q10-R10)</f>
        <v>-6.1935483870967731</v>
      </c>
    </row>
    <row r="11" spans="1:22" x14ac:dyDescent="0.3">
      <c r="A11" s="25" t="s">
        <v>6</v>
      </c>
      <c r="B11" s="26">
        <v>0</v>
      </c>
      <c r="C11" s="26">
        <v>0</v>
      </c>
      <c r="D11" s="26">
        <v>3</v>
      </c>
      <c r="E11" s="26">
        <v>0</v>
      </c>
      <c r="F11" s="26">
        <v>0</v>
      </c>
      <c r="G11" s="26">
        <v>0</v>
      </c>
      <c r="H11" s="26">
        <v>0</v>
      </c>
      <c r="I11" s="26">
        <v>0</v>
      </c>
      <c r="J11" s="31">
        <f t="shared" si="3"/>
        <v>3</v>
      </c>
      <c r="K11" s="27">
        <f>SUMPRODUCT(B11:I11,config!$B$4:$I$4)</f>
        <v>4.9499999999999993</v>
      </c>
      <c r="L11" s="26">
        <f>SUMPRODUCT(B11:I11,config!$B$5:$I$5)-C24</f>
        <v>54</v>
      </c>
      <c r="M11" s="28">
        <f>B24/J11</f>
        <v>11.333333333333334</v>
      </c>
      <c r="N11" s="15">
        <f t="shared" si="1"/>
        <v>0.77536231884057827</v>
      </c>
      <c r="O11" s="16">
        <f>S11*J11+config!$K$2+config!$L$2</f>
        <v>11.058823529411768</v>
      </c>
      <c r="P11" s="16">
        <f t="shared" si="2"/>
        <v>1.0848030415038483</v>
      </c>
      <c r="Q11" s="17">
        <f>B24/config!$K$2</f>
        <v>2.8333333333333335</v>
      </c>
      <c r="R11" s="17">
        <f>B24/config!$L$2</f>
        <v>2.125</v>
      </c>
      <c r="S11" s="17">
        <f>(config!$K$2-config!$L$2)/(Q11-R11)</f>
        <v>-5.6470588235294104</v>
      </c>
    </row>
    <row r="12" spans="1:22" x14ac:dyDescent="0.3">
      <c r="A12" s="1" t="s">
        <v>7</v>
      </c>
      <c r="B12" s="20">
        <f t="shared" ref="B12:J12" si="4">SUM(B2:B11)</f>
        <v>0</v>
      </c>
      <c r="C12" s="20">
        <f t="shared" si="4"/>
        <v>5</v>
      </c>
      <c r="D12" s="20">
        <f t="shared" si="4"/>
        <v>82</v>
      </c>
      <c r="E12" s="20">
        <f t="shared" si="4"/>
        <v>2</v>
      </c>
      <c r="F12" s="20">
        <f t="shared" si="4"/>
        <v>1</v>
      </c>
      <c r="G12" s="20">
        <f t="shared" si="4"/>
        <v>2</v>
      </c>
      <c r="H12" s="20">
        <f t="shared" si="4"/>
        <v>0</v>
      </c>
      <c r="I12" s="20">
        <f t="shared" si="4"/>
        <v>0</v>
      </c>
      <c r="J12" s="20">
        <f t="shared" si="4"/>
        <v>92</v>
      </c>
      <c r="K12" s="29">
        <f>SUM(K2:K11)</f>
        <v>149.84999999999997</v>
      </c>
      <c r="L12" s="20">
        <f>SUM(L2:L11)</f>
        <v>1383.5</v>
      </c>
      <c r="M12" s="30">
        <f>B25/J12</f>
        <v>12.108695652173912</v>
      </c>
      <c r="N12" s="15">
        <f>SUM(N2:N11)/8</f>
        <v>0.8292854220931003</v>
      </c>
      <c r="O12" s="14">
        <f>S12*J12+config!$K$2+config!$L$2</f>
        <v>12.143626570915616</v>
      </c>
      <c r="P12" s="14">
        <f>SUM(P2:P11)/$V$1</f>
        <v>1.0048327652334943</v>
      </c>
      <c r="Q12" s="17">
        <f>B25/config!$K$2</f>
        <v>92.833333333333329</v>
      </c>
      <c r="R12" s="17">
        <f>B25/config!$L$2</f>
        <v>69.625</v>
      </c>
      <c r="S12" s="17">
        <f>(config!$K$2-config!$L$2)/(Q12-R12)</f>
        <v>-0.1723518850987433</v>
      </c>
    </row>
    <row r="13" spans="1:22" x14ac:dyDescent="0.3">
      <c r="F13" s="17"/>
      <c r="G13" s="2">
        <f>SUM(F12:G12)/J12</f>
        <v>3.2608695652173912E-2</v>
      </c>
      <c r="H13" s="3"/>
      <c r="I13" s="3">
        <f>SUM(H12:I12)/J12</f>
        <v>0</v>
      </c>
      <c r="J13" s="4">
        <f>I13+G13</f>
        <v>3.2608695652173912E-2</v>
      </c>
    </row>
    <row r="14" spans="1:22" x14ac:dyDescent="0.3">
      <c r="A14" t="s">
        <v>0</v>
      </c>
      <c r="B14" t="s">
        <v>14</v>
      </c>
      <c r="C14" t="s">
        <v>15</v>
      </c>
      <c r="D14" t="s">
        <v>16</v>
      </c>
      <c r="E14" t="s">
        <v>17</v>
      </c>
      <c r="F14" t="s">
        <v>18</v>
      </c>
      <c r="H14" t="s">
        <v>28</v>
      </c>
      <c r="I14" t="s">
        <v>31</v>
      </c>
      <c r="J14" t="s">
        <v>32</v>
      </c>
      <c r="M14" t="s">
        <v>33</v>
      </c>
      <c r="N14" t="s">
        <v>34</v>
      </c>
      <c r="O14" t="s">
        <v>35</v>
      </c>
      <c r="P14" t="s">
        <v>38</v>
      </c>
      <c r="Q14" t="s">
        <v>47</v>
      </c>
      <c r="R14" t="s">
        <v>39</v>
      </c>
    </row>
    <row r="15" spans="1:22" x14ac:dyDescent="0.3">
      <c r="A15" t="s">
        <v>1</v>
      </c>
      <c r="B15">
        <v>144</v>
      </c>
      <c r="C15">
        <v>17</v>
      </c>
      <c r="D15">
        <v>34</v>
      </c>
      <c r="E15">
        <v>0</v>
      </c>
      <c r="F15">
        <v>1</v>
      </c>
      <c r="H15">
        <f>SUMPRODUCT(B2:I2,config!$B$1:$I$1)</f>
        <v>146</v>
      </c>
      <c r="I15">
        <f>SUMPRODUCT(B2:I2,config!$B$2:$I$2)</f>
        <v>110</v>
      </c>
      <c r="J15">
        <f>SUMPRODUCT(B2:I2,config!$B$3:$I$3)</f>
        <v>88</v>
      </c>
      <c r="M15" t="s">
        <v>36</v>
      </c>
      <c r="N15">
        <v>93</v>
      </c>
      <c r="O15">
        <v>74</v>
      </c>
      <c r="P15">
        <f>J12</f>
        <v>92</v>
      </c>
      <c r="Q15" s="11">
        <f>(P15-N15)/(O15-N15)</f>
        <v>5.2631578947368418E-2</v>
      </c>
      <c r="R15">
        <v>0.1336</v>
      </c>
    </row>
    <row r="16" spans="1:22" x14ac:dyDescent="0.3">
      <c r="A16" t="s">
        <v>2</v>
      </c>
      <c r="B16">
        <v>24</v>
      </c>
      <c r="C16">
        <v>0</v>
      </c>
      <c r="D16">
        <v>0</v>
      </c>
      <c r="E16">
        <v>0</v>
      </c>
      <c r="F16">
        <v>0</v>
      </c>
      <c r="H16">
        <f>SUMPRODUCT(B3:I3,config!$B$1:$I$1)</f>
        <v>24</v>
      </c>
      <c r="I16">
        <f>SUMPRODUCT(B3:I3,config!$B$2:$I$2)</f>
        <v>20</v>
      </c>
      <c r="J16">
        <f>SUMPRODUCT(B3:I3,config!$B$3:$I$3)</f>
        <v>16</v>
      </c>
      <c r="M16" t="s">
        <v>12</v>
      </c>
      <c r="N16">
        <v>153.44999999999999</v>
      </c>
      <c r="O16">
        <v>61.85</v>
      </c>
      <c r="P16">
        <f>K12</f>
        <v>149.84999999999997</v>
      </c>
      <c r="Q16" s="11">
        <f>(P16-N16)/(O16-N16)</f>
        <v>3.9301310043668373E-2</v>
      </c>
      <c r="R16">
        <v>6.1400000000000003E-2</v>
      </c>
    </row>
    <row r="17" spans="1:18" x14ac:dyDescent="0.3">
      <c r="A17" t="s">
        <v>3</v>
      </c>
      <c r="B17">
        <v>84</v>
      </c>
      <c r="C17">
        <v>0</v>
      </c>
      <c r="D17">
        <v>0</v>
      </c>
      <c r="E17">
        <v>0</v>
      </c>
      <c r="F17">
        <v>0</v>
      </c>
      <c r="H17">
        <f>SUMPRODUCT(B4:I4,config!$B$1:$I$1)</f>
        <v>84</v>
      </c>
      <c r="I17">
        <f>SUMPRODUCT(B4:I4,config!$B$2:$I$2)</f>
        <v>70</v>
      </c>
      <c r="J17">
        <f>SUMPRODUCT(B4:I4,config!$B$3:$I$3)</f>
        <v>56</v>
      </c>
      <c r="M17" t="s">
        <v>13</v>
      </c>
      <c r="N17">
        <v>0</v>
      </c>
      <c r="O17">
        <v>1390.5</v>
      </c>
      <c r="P17">
        <f>L12</f>
        <v>1383.5</v>
      </c>
      <c r="Q17" s="11">
        <f>(P17-N17)/(O17-N17)</f>
        <v>0.9949658396260338</v>
      </c>
      <c r="R17">
        <v>0.31019999999999998</v>
      </c>
    </row>
    <row r="18" spans="1:18" x14ac:dyDescent="0.3">
      <c r="A18" t="s">
        <v>71</v>
      </c>
      <c r="B18">
        <v>89</v>
      </c>
      <c r="C18">
        <v>0</v>
      </c>
      <c r="D18">
        <v>0</v>
      </c>
      <c r="E18">
        <v>0</v>
      </c>
      <c r="F18">
        <v>0</v>
      </c>
      <c r="H18">
        <f>SUMPRODUCT(B5:I5,config!$B$1:$I$1)</f>
        <v>92</v>
      </c>
      <c r="I18">
        <f>SUMPRODUCT(B5:I5,config!$B$2:$I$2)</f>
        <v>65</v>
      </c>
      <c r="J18">
        <f>SUMPRODUCT(B5:I5,config!$B$3:$I$3)</f>
        <v>56</v>
      </c>
      <c r="M18" t="s">
        <v>37</v>
      </c>
      <c r="N18">
        <v>2</v>
      </c>
      <c r="O18">
        <v>1.0047999999999999</v>
      </c>
      <c r="P18">
        <f>P12</f>
        <v>1.0048327652334943</v>
      </c>
      <c r="Q18" s="11">
        <f>(P18-N18)/(O18-N18)</f>
        <v>0.99996707673483287</v>
      </c>
      <c r="R18">
        <v>0.49480000000000002</v>
      </c>
    </row>
    <row r="19" spans="1:18" x14ac:dyDescent="0.3">
      <c r="A19" t="s">
        <v>4</v>
      </c>
      <c r="B19">
        <v>19</v>
      </c>
      <c r="C19">
        <v>0</v>
      </c>
      <c r="D19">
        <v>0</v>
      </c>
      <c r="E19">
        <v>0</v>
      </c>
      <c r="F19">
        <v>0</v>
      </c>
      <c r="H19">
        <f>SUMPRODUCT(B6:I6,config!$B$1:$I$1)</f>
        <v>24</v>
      </c>
      <c r="I19">
        <f>SUMPRODUCT(B6:I6,config!$B$2:$I$2)</f>
        <v>20</v>
      </c>
      <c r="J19">
        <f>SUMPRODUCT(B6:I6,config!$B$3:$I$3)</f>
        <v>16</v>
      </c>
      <c r="P19" s="1" t="s">
        <v>48</v>
      </c>
      <c r="Q19" s="13">
        <f>SUMPRODUCT(Q15:Q18,R15:R18)</f>
        <v>0.8128667924044406</v>
      </c>
    </row>
    <row r="20" spans="1:18" x14ac:dyDescent="0.3">
      <c r="A20" t="s">
        <v>72</v>
      </c>
      <c r="B20">
        <v>378</v>
      </c>
      <c r="C20">
        <v>74.5</v>
      </c>
      <c r="D20">
        <v>125</v>
      </c>
      <c r="E20">
        <v>0</v>
      </c>
      <c r="F20">
        <v>2</v>
      </c>
      <c r="H20">
        <f>SUMPRODUCT(B7:I7,config!$B$1:$I$1)</f>
        <v>380</v>
      </c>
      <c r="I20">
        <f>SUMPRODUCT(B7:I7,config!$B$2:$I$2)</f>
        <v>280</v>
      </c>
      <c r="J20">
        <f>SUMPRODUCT(B7:I7,config!$B$3:$I$3)</f>
        <v>224</v>
      </c>
    </row>
    <row r="21" spans="1:18" x14ac:dyDescent="0.3">
      <c r="A21" t="s">
        <v>73</v>
      </c>
      <c r="B21">
        <v>12</v>
      </c>
      <c r="C21">
        <v>0</v>
      </c>
      <c r="D21">
        <v>0</v>
      </c>
      <c r="E21">
        <v>0</v>
      </c>
      <c r="F21">
        <v>0</v>
      </c>
      <c r="H21">
        <f>SUMPRODUCT(B8:I8,config!$B$1:$I$1)</f>
        <v>12</v>
      </c>
      <c r="I21">
        <f>SUMPRODUCT(B8:I8,config!$B$2:$I$2)</f>
        <v>10</v>
      </c>
      <c r="J21">
        <f>SUMPRODUCT(B8:I8,config!$B$3:$I$3)</f>
        <v>8</v>
      </c>
    </row>
    <row r="22" spans="1:18" x14ac:dyDescent="0.3">
      <c r="A22" t="s">
        <v>74</v>
      </c>
      <c r="B22">
        <v>299</v>
      </c>
      <c r="C22">
        <v>30</v>
      </c>
      <c r="D22">
        <v>60</v>
      </c>
      <c r="E22">
        <v>0</v>
      </c>
      <c r="F22">
        <v>2</v>
      </c>
      <c r="H22">
        <f>SUMPRODUCT(B9:I9,config!$B$1:$I$1)</f>
        <v>300</v>
      </c>
      <c r="I22">
        <f>SUMPRODUCT(B9:I9,config!$B$2:$I$2)</f>
        <v>210</v>
      </c>
      <c r="J22">
        <f>SUMPRODUCT(B9:I9,config!$B$3:$I$3)</f>
        <v>168</v>
      </c>
    </row>
    <row r="23" spans="1:18" x14ac:dyDescent="0.3">
      <c r="A23" t="s">
        <v>5</v>
      </c>
      <c r="B23">
        <v>31</v>
      </c>
      <c r="C23">
        <v>0</v>
      </c>
      <c r="D23">
        <v>0</v>
      </c>
      <c r="E23">
        <v>0</v>
      </c>
      <c r="F23">
        <v>0</v>
      </c>
      <c r="H23">
        <f>SUMPRODUCT(B10:I10,config!$B$1:$I$1)</f>
        <v>36</v>
      </c>
      <c r="I23">
        <f>SUMPRODUCT(B10:I10,config!$B$2:$I$2)</f>
        <v>30</v>
      </c>
      <c r="J23">
        <f>SUMPRODUCT(B10:I10,config!$B$3:$I$3)</f>
        <v>24</v>
      </c>
    </row>
    <row r="24" spans="1:18" x14ac:dyDescent="0.3">
      <c r="A24" t="s">
        <v>6</v>
      </c>
      <c r="B24">
        <v>34</v>
      </c>
      <c r="C24">
        <v>0</v>
      </c>
      <c r="D24">
        <v>0</v>
      </c>
      <c r="E24">
        <v>0</v>
      </c>
      <c r="F24">
        <v>0</v>
      </c>
      <c r="H24">
        <f>SUMPRODUCT(B11:I11,config!$B$1:$I$1)</f>
        <v>36</v>
      </c>
      <c r="I24">
        <f>SUMPRODUCT(B11:I11,config!$B$2:$I$2)</f>
        <v>30</v>
      </c>
      <c r="J24">
        <f>SUMPRODUCT(B11:I11,config!$B$3:$I$3)</f>
        <v>24</v>
      </c>
    </row>
    <row r="25" spans="1:18" x14ac:dyDescent="0.3">
      <c r="A25" s="1" t="s">
        <v>7</v>
      </c>
      <c r="B25" s="1">
        <f>SUM(B15:B24)</f>
        <v>1114</v>
      </c>
    </row>
  </sheetData>
  <conditionalFormatting sqref="H15:J24">
    <cfRule type="expression" dxfId="3" priority="1">
      <formula>AND(H15&gt;=B15,H15&lt;&gt;"")</formula>
    </cfRule>
    <cfRule type="expression" dxfId="2" priority="2">
      <formula>AND(H15&lt;B15,H15&lt;&gt;"")</formula>
    </cfRule>
  </conditionalFormatting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14B9B-4F41-4A19-99ED-14C96652BB46}">
  <dimension ref="A1:V25"/>
  <sheetViews>
    <sheetView tabSelected="1" workbookViewId="0">
      <selection activeCell="M8" sqref="M8"/>
    </sheetView>
  </sheetViews>
  <sheetFormatPr defaultRowHeight="14.4" x14ac:dyDescent="0.3"/>
  <cols>
    <col min="2" max="9" width="6.6640625" customWidth="1"/>
    <col min="10" max="10" width="10.5546875" bestFit="1" customWidth="1"/>
  </cols>
  <sheetData>
    <row r="1" spans="1:22" x14ac:dyDescent="0.3">
      <c r="A1" s="18" t="s">
        <v>0</v>
      </c>
      <c r="B1" s="19" t="s">
        <v>19</v>
      </c>
      <c r="C1" s="19" t="s">
        <v>20</v>
      </c>
      <c r="D1" s="19" t="s">
        <v>21</v>
      </c>
      <c r="E1" s="19" t="s">
        <v>22</v>
      </c>
      <c r="F1" s="19" t="s">
        <v>23</v>
      </c>
      <c r="G1" s="19" t="s">
        <v>24</v>
      </c>
      <c r="H1" s="19" t="s">
        <v>25</v>
      </c>
      <c r="I1" s="19" t="s">
        <v>26</v>
      </c>
      <c r="J1" s="19" t="s">
        <v>11</v>
      </c>
      <c r="K1" s="19" t="s">
        <v>8</v>
      </c>
      <c r="L1" s="19" t="s">
        <v>9</v>
      </c>
      <c r="M1" s="19" t="s">
        <v>10</v>
      </c>
      <c r="N1" s="20" t="s">
        <v>64</v>
      </c>
      <c r="O1" s="21" t="s">
        <v>40</v>
      </c>
      <c r="P1" s="21" t="s">
        <v>46</v>
      </c>
      <c r="Q1" s="21" t="s">
        <v>41</v>
      </c>
      <c r="R1" s="21" t="s">
        <v>42</v>
      </c>
      <c r="S1" s="21" t="s">
        <v>43</v>
      </c>
      <c r="U1" s="21" t="s">
        <v>75</v>
      </c>
      <c r="V1">
        <v>10</v>
      </c>
    </row>
    <row r="2" spans="1:22" x14ac:dyDescent="0.3">
      <c r="A2" t="s">
        <v>1</v>
      </c>
      <c r="B2" s="22">
        <v>0</v>
      </c>
      <c r="C2" s="22">
        <v>1</v>
      </c>
      <c r="D2" s="22">
        <v>10</v>
      </c>
      <c r="E2" s="22">
        <v>1</v>
      </c>
      <c r="F2" s="22">
        <v>0</v>
      </c>
      <c r="G2" s="22">
        <v>0</v>
      </c>
      <c r="H2" s="22">
        <v>0</v>
      </c>
      <c r="I2" s="22">
        <v>0</v>
      </c>
      <c r="J2" s="20">
        <f>SUM(B2:I2)</f>
        <v>12</v>
      </c>
      <c r="K2" s="23">
        <f>SUMPRODUCT(B2:I2,N$21:U$21)</f>
        <v>19.799999999999997</v>
      </c>
      <c r="L2" s="22">
        <f>SUMPRODUCT(B2:I2,config!$B$5:$I$5)-C15</f>
        <v>175</v>
      </c>
      <c r="M2" s="24">
        <f t="shared" ref="M2:M9" si="0">B15/J2</f>
        <v>12</v>
      </c>
      <c r="N2" s="15">
        <f t="shared" ref="N2:N11" si="1">ABS(M2-M$12)</f>
        <v>0.10869565217391219</v>
      </c>
      <c r="O2" s="16">
        <f>S2*J2+config!$K$2+config!$L$2</f>
        <v>12</v>
      </c>
      <c r="P2" s="16">
        <f t="shared" ref="P2:P11" si="2">ABS(O2-O$12)</f>
        <v>0.14362657091561637</v>
      </c>
      <c r="Q2" s="17">
        <f>B15/config!$K$2</f>
        <v>12</v>
      </c>
      <c r="R2" s="17">
        <f>B15/config!$L$2</f>
        <v>9</v>
      </c>
      <c r="S2" s="17">
        <f>(config!$K$2-config!$L$2)/(Q2-R2)</f>
        <v>-1.3333333333333333</v>
      </c>
    </row>
    <row r="3" spans="1:22" x14ac:dyDescent="0.3">
      <c r="A3" t="s">
        <v>2</v>
      </c>
      <c r="B3" s="22">
        <v>0</v>
      </c>
      <c r="C3" s="22">
        <v>0</v>
      </c>
      <c r="D3" s="22">
        <v>2</v>
      </c>
      <c r="E3" s="22">
        <v>0</v>
      </c>
      <c r="F3" s="22">
        <v>0</v>
      </c>
      <c r="G3" s="22">
        <v>0</v>
      </c>
      <c r="H3" s="22">
        <v>0</v>
      </c>
      <c r="I3" s="22">
        <v>0</v>
      </c>
      <c r="J3" s="20">
        <f t="shared" ref="J3:J11" si="3">SUM(B3:I3)</f>
        <v>2</v>
      </c>
      <c r="K3" s="23">
        <f t="shared" ref="K3:K11" si="4">SUMPRODUCT(B3:I3,N$21:U$21)</f>
        <v>3.3</v>
      </c>
      <c r="L3" s="22">
        <f>SUMPRODUCT(B3:I3,config!$B$5:$I$5)-C16</f>
        <v>36</v>
      </c>
      <c r="M3" s="24">
        <f t="shared" si="0"/>
        <v>12</v>
      </c>
      <c r="N3" s="15">
        <f t="shared" si="1"/>
        <v>0.10869565217391219</v>
      </c>
      <c r="O3" s="16">
        <f>S3*J3+config!$K$2+config!$L$2</f>
        <v>12</v>
      </c>
      <c r="P3" s="16">
        <f t="shared" si="2"/>
        <v>0.14362657091561637</v>
      </c>
      <c r="Q3" s="17">
        <f>B16/config!$K$2</f>
        <v>2</v>
      </c>
      <c r="R3" s="17">
        <f>B16/config!$L$2</f>
        <v>1.5</v>
      </c>
      <c r="S3" s="17">
        <f>(config!$K$2-config!$L$2)/(Q3-R3)</f>
        <v>-8</v>
      </c>
    </row>
    <row r="4" spans="1:22" x14ac:dyDescent="0.3">
      <c r="A4" t="s">
        <v>3</v>
      </c>
      <c r="B4" s="22">
        <v>0</v>
      </c>
      <c r="C4" s="22">
        <v>0</v>
      </c>
      <c r="D4" s="22">
        <v>7</v>
      </c>
      <c r="E4" s="22">
        <v>0</v>
      </c>
      <c r="F4" s="22">
        <v>0</v>
      </c>
      <c r="G4" s="22">
        <v>0</v>
      </c>
      <c r="H4" s="22">
        <v>0</v>
      </c>
      <c r="I4" s="22">
        <v>0</v>
      </c>
      <c r="J4" s="20">
        <f t="shared" si="3"/>
        <v>7</v>
      </c>
      <c r="K4" s="23">
        <f t="shared" si="4"/>
        <v>11.549999999999999</v>
      </c>
      <c r="L4" s="22">
        <f>SUMPRODUCT(B4:I4,config!$B$5:$I$5)-C17</f>
        <v>126</v>
      </c>
      <c r="M4" s="24">
        <f t="shared" si="0"/>
        <v>12</v>
      </c>
      <c r="N4" s="15">
        <f t="shared" si="1"/>
        <v>0.10869565217391219</v>
      </c>
      <c r="O4" s="16">
        <f>S4*J4+config!$K$2+config!$L$2</f>
        <v>12</v>
      </c>
      <c r="P4" s="16">
        <f t="shared" si="2"/>
        <v>0.14362657091561637</v>
      </c>
      <c r="Q4" s="17">
        <f>B17/config!$K$2</f>
        <v>7</v>
      </c>
      <c r="R4" s="17">
        <f>B17/config!$L$2</f>
        <v>5.25</v>
      </c>
      <c r="S4" s="17">
        <f>(config!$K$2-config!$L$2)/(Q4-R4)</f>
        <v>-2.2857142857142856</v>
      </c>
    </row>
    <row r="5" spans="1:22" x14ac:dyDescent="0.3">
      <c r="A5" t="s">
        <v>71</v>
      </c>
      <c r="B5" s="22">
        <v>0</v>
      </c>
      <c r="C5" s="22">
        <v>0</v>
      </c>
      <c r="D5" s="22">
        <v>5</v>
      </c>
      <c r="E5" s="22">
        <v>2</v>
      </c>
      <c r="F5" s="22">
        <v>0</v>
      </c>
      <c r="G5" s="22">
        <v>0</v>
      </c>
      <c r="H5" s="22">
        <v>0</v>
      </c>
      <c r="I5" s="22">
        <v>0</v>
      </c>
      <c r="J5" s="20">
        <f t="shared" si="3"/>
        <v>7</v>
      </c>
      <c r="K5" s="23">
        <f t="shared" si="4"/>
        <v>11.55</v>
      </c>
      <c r="L5" s="22">
        <f>SUMPRODUCT(B5:I5,config!$B$5:$I$5)-C18</f>
        <v>114</v>
      </c>
      <c r="M5" s="24">
        <f t="shared" si="0"/>
        <v>12.714285714285714</v>
      </c>
      <c r="N5" s="15">
        <f t="shared" si="1"/>
        <v>0.60559006211180133</v>
      </c>
      <c r="O5" s="16">
        <f>S5*J5+config!$K$2+config!$L$2</f>
        <v>12.898876404494386</v>
      </c>
      <c r="P5" s="16">
        <f t="shared" si="2"/>
        <v>0.75524983357876962</v>
      </c>
      <c r="Q5" s="17">
        <f>B18/config!$K$2</f>
        <v>7.416666666666667</v>
      </c>
      <c r="R5" s="17">
        <f>B18/config!$L$2</f>
        <v>5.5625</v>
      </c>
      <c r="S5" s="17">
        <f>(config!$K$2-config!$L$2)/(Q5-R5)</f>
        <v>-2.1573033707865163</v>
      </c>
    </row>
    <row r="6" spans="1:22" x14ac:dyDescent="0.3">
      <c r="A6" t="s">
        <v>4</v>
      </c>
      <c r="B6" s="22">
        <v>0</v>
      </c>
      <c r="C6" s="22">
        <v>0</v>
      </c>
      <c r="D6" s="22">
        <v>2</v>
      </c>
      <c r="E6" s="22">
        <v>0</v>
      </c>
      <c r="F6" s="22">
        <v>0</v>
      </c>
      <c r="G6" s="22">
        <v>0</v>
      </c>
      <c r="H6" s="22">
        <v>0</v>
      </c>
      <c r="I6" s="22">
        <v>0</v>
      </c>
      <c r="J6" s="20">
        <f t="shared" si="3"/>
        <v>2</v>
      </c>
      <c r="K6" s="23">
        <f t="shared" si="4"/>
        <v>3.3</v>
      </c>
      <c r="L6" s="22">
        <f>SUMPRODUCT(B6:I6,config!$B$5:$I$5)-C19</f>
        <v>36</v>
      </c>
      <c r="M6" s="24">
        <f t="shared" si="0"/>
        <v>9.5</v>
      </c>
      <c r="N6" s="15">
        <f t="shared" si="1"/>
        <v>2.6086956521739122</v>
      </c>
      <c r="O6" s="16">
        <f>S6*J6+config!$K$2+config!$L$2</f>
        <v>7.7894736842105239</v>
      </c>
      <c r="P6" s="16">
        <f t="shared" si="2"/>
        <v>4.3541528867050925</v>
      </c>
      <c r="Q6" s="17">
        <f>B19/config!$K$2</f>
        <v>1.5833333333333333</v>
      </c>
      <c r="R6" s="17">
        <f>B19/config!$L$2</f>
        <v>1.1875</v>
      </c>
      <c r="S6" s="17">
        <f>(config!$K$2-config!$L$2)/(Q6-R6)</f>
        <v>-10.105263157894738</v>
      </c>
    </row>
    <row r="7" spans="1:22" x14ac:dyDescent="0.3">
      <c r="A7" t="s">
        <v>72</v>
      </c>
      <c r="B7" s="22">
        <v>0</v>
      </c>
      <c r="C7" s="22">
        <v>3</v>
      </c>
      <c r="D7" s="22">
        <v>27</v>
      </c>
      <c r="E7" s="22">
        <v>0</v>
      </c>
      <c r="F7" s="22">
        <v>0</v>
      </c>
      <c r="G7" s="22">
        <v>1</v>
      </c>
      <c r="H7" s="22">
        <v>0</v>
      </c>
      <c r="I7" s="22">
        <v>0</v>
      </c>
      <c r="J7" s="20">
        <f t="shared" si="3"/>
        <v>31</v>
      </c>
      <c r="K7" s="23">
        <f t="shared" si="4"/>
        <v>51.15</v>
      </c>
      <c r="L7" s="22">
        <f>SUMPRODUCT(B7:I7,config!$B$5:$I$5)-C20</f>
        <v>411.5</v>
      </c>
      <c r="M7" s="24">
        <f t="shared" si="0"/>
        <v>12.193548387096774</v>
      </c>
      <c r="N7" s="15">
        <f t="shared" si="1"/>
        <v>8.4852734922861828E-2</v>
      </c>
      <c r="O7" s="16">
        <f>S7*J7+config!$K$2+config!$L$2</f>
        <v>12.253968253968255</v>
      </c>
      <c r="P7" s="16">
        <f t="shared" si="2"/>
        <v>0.11034168305263847</v>
      </c>
      <c r="Q7" s="17">
        <f>B20/config!$K$2</f>
        <v>31.5</v>
      </c>
      <c r="R7" s="17">
        <f>B20/config!$L$2</f>
        <v>23.625</v>
      </c>
      <c r="S7" s="17">
        <f>(config!$K$2-config!$L$2)/(Q7-R7)</f>
        <v>-0.50793650793650791</v>
      </c>
    </row>
    <row r="8" spans="1:22" x14ac:dyDescent="0.3">
      <c r="A8" t="s">
        <v>73</v>
      </c>
      <c r="B8" s="22">
        <v>0</v>
      </c>
      <c r="C8" s="22">
        <v>0</v>
      </c>
      <c r="D8" s="22">
        <v>1</v>
      </c>
      <c r="E8" s="22">
        <v>0</v>
      </c>
      <c r="F8" s="22">
        <v>0</v>
      </c>
      <c r="G8" s="22">
        <v>0</v>
      </c>
      <c r="H8" s="22">
        <v>0</v>
      </c>
      <c r="I8" s="22">
        <v>0</v>
      </c>
      <c r="J8" s="20">
        <f t="shared" si="3"/>
        <v>1</v>
      </c>
      <c r="K8" s="23">
        <f t="shared" si="4"/>
        <v>1.65</v>
      </c>
      <c r="L8" s="22">
        <f>SUMPRODUCT(B8:I8,config!$B$5:$I$5)-C21</f>
        <v>18</v>
      </c>
      <c r="M8" s="24">
        <f t="shared" si="0"/>
        <v>12</v>
      </c>
      <c r="N8" s="15">
        <f t="shared" si="1"/>
        <v>0.10869565217391219</v>
      </c>
      <c r="O8" s="16">
        <f>S8*J8+config!$K$2+config!$L$2</f>
        <v>12</v>
      </c>
      <c r="P8" s="16">
        <f t="shared" si="2"/>
        <v>0.14362657091561637</v>
      </c>
      <c r="Q8" s="17">
        <f>B21/config!$K$2</f>
        <v>1</v>
      </c>
      <c r="R8" s="17">
        <f>B21/config!$L$2</f>
        <v>0.75</v>
      </c>
      <c r="S8" s="17">
        <f>(config!$K$2-config!$L$2)/(Q8-R8)</f>
        <v>-16</v>
      </c>
    </row>
    <row r="9" spans="1:22" x14ac:dyDescent="0.3">
      <c r="A9" t="s">
        <v>74</v>
      </c>
      <c r="B9" s="22">
        <v>0</v>
      </c>
      <c r="C9" s="22">
        <v>2</v>
      </c>
      <c r="D9" s="22">
        <v>18</v>
      </c>
      <c r="E9" s="22">
        <v>4</v>
      </c>
      <c r="F9" s="22">
        <v>0</v>
      </c>
      <c r="G9" s="22">
        <v>0</v>
      </c>
      <c r="H9" s="22">
        <v>0</v>
      </c>
      <c r="I9" s="22">
        <v>0</v>
      </c>
      <c r="J9" s="20">
        <f t="shared" si="3"/>
        <v>24</v>
      </c>
      <c r="K9" s="23">
        <f t="shared" si="4"/>
        <v>39.6</v>
      </c>
      <c r="L9" s="22">
        <f>SUMPRODUCT(B9:I9,config!$B$5:$I$5)-C22</f>
        <v>342</v>
      </c>
      <c r="M9" s="24">
        <f t="shared" si="0"/>
        <v>12.458333333333334</v>
      </c>
      <c r="N9" s="15">
        <f t="shared" si="1"/>
        <v>0.34963768115942173</v>
      </c>
      <c r="O9" s="16">
        <f>S9*J9+config!$K$2+config!$L$2</f>
        <v>12.588628762541809</v>
      </c>
      <c r="P9" s="16">
        <f t="shared" si="2"/>
        <v>0.44500219162619281</v>
      </c>
      <c r="Q9" s="17">
        <f>B22/config!$K$2</f>
        <v>24.916666666666668</v>
      </c>
      <c r="R9" s="17">
        <f>B22/config!$L$2</f>
        <v>18.6875</v>
      </c>
      <c r="S9" s="17">
        <f>(config!$K$2-config!$L$2)/(Q9-R9)</f>
        <v>-0.64214046822742465</v>
      </c>
    </row>
    <row r="10" spans="1:22" x14ac:dyDescent="0.3">
      <c r="A10" t="s">
        <v>5</v>
      </c>
      <c r="B10" s="22">
        <v>0</v>
      </c>
      <c r="C10" s="22">
        <v>0</v>
      </c>
      <c r="D10" s="22">
        <v>3</v>
      </c>
      <c r="E10" s="22">
        <v>0</v>
      </c>
      <c r="F10" s="22">
        <v>0</v>
      </c>
      <c r="G10" s="22">
        <v>0</v>
      </c>
      <c r="H10" s="22">
        <v>0</v>
      </c>
      <c r="I10" s="22">
        <v>0</v>
      </c>
      <c r="J10" s="20">
        <f t="shared" si="3"/>
        <v>3</v>
      </c>
      <c r="K10" s="23">
        <f t="shared" si="4"/>
        <v>4.9499999999999993</v>
      </c>
      <c r="L10" s="22">
        <f>SUMPRODUCT(B10:I10,config!$B$5:$I$5)-C23</f>
        <v>54</v>
      </c>
      <c r="M10" s="24">
        <f>B23/J10</f>
        <v>10.333333333333334</v>
      </c>
      <c r="N10" s="15">
        <f t="shared" si="1"/>
        <v>1.7753623188405783</v>
      </c>
      <c r="O10" s="16">
        <f>S10*J10+config!$K$2+config!$L$2</f>
        <v>9.4193548387096797</v>
      </c>
      <c r="P10" s="16">
        <f t="shared" si="2"/>
        <v>2.7242717322059367</v>
      </c>
      <c r="Q10" s="17">
        <f>B23/config!$K$2</f>
        <v>2.5833333333333335</v>
      </c>
      <c r="R10" s="17">
        <f>B23/config!$L$2</f>
        <v>1.9375</v>
      </c>
      <c r="S10" s="17">
        <f>(config!$K$2-config!$L$2)/(Q10-R10)</f>
        <v>-6.1935483870967731</v>
      </c>
    </row>
    <row r="11" spans="1:22" x14ac:dyDescent="0.3">
      <c r="A11" s="25" t="s">
        <v>6</v>
      </c>
      <c r="B11" s="26">
        <v>0</v>
      </c>
      <c r="C11" s="26">
        <v>0</v>
      </c>
      <c r="D11" s="26">
        <v>3</v>
      </c>
      <c r="E11" s="26">
        <v>0</v>
      </c>
      <c r="F11" s="26">
        <v>0</v>
      </c>
      <c r="G11" s="26">
        <v>0</v>
      </c>
      <c r="H11" s="26">
        <v>0</v>
      </c>
      <c r="I11" s="26">
        <v>0</v>
      </c>
      <c r="J11" s="31">
        <f t="shared" si="3"/>
        <v>3</v>
      </c>
      <c r="K11" s="27">
        <f t="shared" si="4"/>
        <v>4.9499999999999993</v>
      </c>
      <c r="L11" s="26">
        <f>SUMPRODUCT(B11:I11,config!$B$5:$I$5)-C24</f>
        <v>54</v>
      </c>
      <c r="M11" s="28">
        <f>B24/J11</f>
        <v>11.333333333333334</v>
      </c>
      <c r="N11" s="15">
        <f t="shared" si="1"/>
        <v>0.77536231884057827</v>
      </c>
      <c r="O11" s="16">
        <f>S11*J11+config!$K$2+config!$L$2</f>
        <v>11.058823529411768</v>
      </c>
      <c r="P11" s="16">
        <f t="shared" si="2"/>
        <v>1.0848030415038483</v>
      </c>
      <c r="Q11" s="17">
        <f>B24/config!$K$2</f>
        <v>2.8333333333333335</v>
      </c>
      <c r="R11" s="17">
        <f>B24/config!$L$2</f>
        <v>2.125</v>
      </c>
      <c r="S11" s="17">
        <f>(config!$K$2-config!$L$2)/(Q11-R11)</f>
        <v>-5.6470588235294104</v>
      </c>
    </row>
    <row r="12" spans="1:22" x14ac:dyDescent="0.3">
      <c r="A12" s="1" t="s">
        <v>7</v>
      </c>
      <c r="B12" s="20">
        <f t="shared" ref="B12:J12" si="5">SUM(B2:B11)</f>
        <v>0</v>
      </c>
      <c r="C12" s="20">
        <f t="shared" si="5"/>
        <v>6</v>
      </c>
      <c r="D12" s="20">
        <f t="shared" si="5"/>
        <v>78</v>
      </c>
      <c r="E12" s="20">
        <f t="shared" si="5"/>
        <v>7</v>
      </c>
      <c r="F12" s="20">
        <f t="shared" si="5"/>
        <v>0</v>
      </c>
      <c r="G12" s="20">
        <f t="shared" si="5"/>
        <v>1</v>
      </c>
      <c r="H12" s="20">
        <f t="shared" si="5"/>
        <v>0</v>
      </c>
      <c r="I12" s="20">
        <f t="shared" si="5"/>
        <v>0</v>
      </c>
      <c r="J12" s="20">
        <f t="shared" si="5"/>
        <v>92</v>
      </c>
      <c r="K12" s="29">
        <f>SUM(K2:K11)</f>
        <v>151.79999999999998</v>
      </c>
      <c r="L12" s="20">
        <f>SUM(L2:L11)</f>
        <v>1366.5</v>
      </c>
      <c r="M12" s="30">
        <f>B25/J12</f>
        <v>12.108695652173912</v>
      </c>
      <c r="N12" s="15">
        <f>SUM(N2:N11)/8</f>
        <v>0.8292854220931003</v>
      </c>
      <c r="O12" s="14">
        <f>S12*J12+config!$K$2+config!$L$2</f>
        <v>12.143626570915616</v>
      </c>
      <c r="P12" s="14">
        <f>SUM(P2:P11)/$V$1</f>
        <v>1.0048327652334943</v>
      </c>
      <c r="Q12" s="17">
        <f>B25/config!$K$2</f>
        <v>92.833333333333329</v>
      </c>
      <c r="R12" s="17">
        <f>B25/config!$L$2</f>
        <v>69.625</v>
      </c>
      <c r="S12" s="17">
        <f>(config!$K$2-config!$L$2)/(Q12-R12)</f>
        <v>-0.1723518850987433</v>
      </c>
    </row>
    <row r="13" spans="1:22" x14ac:dyDescent="0.3">
      <c r="F13" s="17"/>
      <c r="G13" s="2">
        <f>SUM(F12:G12)/J12</f>
        <v>1.0869565217391304E-2</v>
      </c>
      <c r="H13" s="3"/>
      <c r="I13" s="3">
        <f>SUM(H12:I12)/J12</f>
        <v>0</v>
      </c>
      <c r="J13" s="4">
        <f>I13+G13</f>
        <v>1.0869565217391304E-2</v>
      </c>
    </row>
    <row r="14" spans="1:22" x14ac:dyDescent="0.3">
      <c r="A14" t="s">
        <v>0</v>
      </c>
      <c r="B14" t="s">
        <v>14</v>
      </c>
      <c r="C14" t="s">
        <v>15</v>
      </c>
      <c r="D14" t="s">
        <v>16</v>
      </c>
      <c r="E14" t="s">
        <v>17</v>
      </c>
      <c r="F14" t="s">
        <v>18</v>
      </c>
      <c r="H14" t="s">
        <v>28</v>
      </c>
      <c r="I14" t="s">
        <v>31</v>
      </c>
      <c r="J14" t="s">
        <v>32</v>
      </c>
      <c r="M14" t="s">
        <v>33</v>
      </c>
      <c r="N14" t="s">
        <v>34</v>
      </c>
      <c r="O14" t="s">
        <v>35</v>
      </c>
      <c r="P14" t="s">
        <v>38</v>
      </c>
      <c r="Q14" t="s">
        <v>47</v>
      </c>
      <c r="R14" t="s">
        <v>39</v>
      </c>
    </row>
    <row r="15" spans="1:22" x14ac:dyDescent="0.3">
      <c r="A15" t="s">
        <v>1</v>
      </c>
      <c r="B15">
        <v>144</v>
      </c>
      <c r="C15">
        <v>17</v>
      </c>
      <c r="D15">
        <v>34</v>
      </c>
      <c r="E15">
        <v>0</v>
      </c>
      <c r="F15">
        <v>1</v>
      </c>
      <c r="H15">
        <f>SUMPRODUCT(B2:I2,config!$B$1:$I$1)</f>
        <v>146</v>
      </c>
      <c r="I15">
        <f>SUMPRODUCT(B2:I2,config!$B$2:$I$2)</f>
        <v>110</v>
      </c>
      <c r="J15">
        <f>SUMPRODUCT(B2:I2,config!$B$3:$I$3)</f>
        <v>88</v>
      </c>
      <c r="M15" t="s">
        <v>36</v>
      </c>
      <c r="N15">
        <v>93</v>
      </c>
      <c r="O15">
        <v>74</v>
      </c>
      <c r="P15">
        <f>J12</f>
        <v>92</v>
      </c>
      <c r="Q15" s="11">
        <f>(P15-N15)/(O15-N15)</f>
        <v>5.2631578947368418E-2</v>
      </c>
      <c r="R15">
        <v>0.1336</v>
      </c>
    </row>
    <row r="16" spans="1:22" x14ac:dyDescent="0.3">
      <c r="A16" t="s">
        <v>2</v>
      </c>
      <c r="B16">
        <v>24</v>
      </c>
      <c r="C16">
        <v>0</v>
      </c>
      <c r="D16">
        <v>0</v>
      </c>
      <c r="E16">
        <v>0</v>
      </c>
      <c r="F16">
        <v>0</v>
      </c>
      <c r="H16">
        <f>SUMPRODUCT(B3:I3,config!$B$1:$I$1)</f>
        <v>24</v>
      </c>
      <c r="I16">
        <f>SUMPRODUCT(B3:I3,config!$B$2:$I$2)</f>
        <v>20</v>
      </c>
      <c r="J16">
        <f>SUMPRODUCT(B3:I3,config!$B$3:$I$3)</f>
        <v>16</v>
      </c>
      <c r="M16" t="s">
        <v>12</v>
      </c>
      <c r="N16">
        <v>153.44999999999999</v>
      </c>
      <c r="O16">
        <v>72</v>
      </c>
      <c r="P16">
        <f>K12</f>
        <v>151.79999999999998</v>
      </c>
      <c r="Q16" s="11">
        <f>(P16-N16)/(O16-N16)</f>
        <v>2.0257826887661215E-2</v>
      </c>
      <c r="R16">
        <v>6.1400000000000003E-2</v>
      </c>
    </row>
    <row r="17" spans="1:21" x14ac:dyDescent="0.3">
      <c r="A17" t="s">
        <v>3</v>
      </c>
      <c r="B17">
        <v>84</v>
      </c>
      <c r="C17">
        <v>0</v>
      </c>
      <c r="D17">
        <v>0</v>
      </c>
      <c r="E17">
        <v>0</v>
      </c>
      <c r="F17">
        <v>0</v>
      </c>
      <c r="H17">
        <f>SUMPRODUCT(B4:I4,config!$B$1:$I$1)</f>
        <v>84</v>
      </c>
      <c r="I17">
        <f>SUMPRODUCT(B4:I4,config!$B$2:$I$2)</f>
        <v>70</v>
      </c>
      <c r="J17">
        <f>SUMPRODUCT(B4:I4,config!$B$3:$I$3)</f>
        <v>56</v>
      </c>
      <c r="M17" t="s">
        <v>13</v>
      </c>
      <c r="N17">
        <v>0</v>
      </c>
      <c r="O17">
        <v>1390.5</v>
      </c>
      <c r="P17">
        <f>L12</f>
        <v>1366.5</v>
      </c>
      <c r="Q17" s="11">
        <f>(P17-N17)/(O17-N17)</f>
        <v>0.98274002157497298</v>
      </c>
      <c r="R17">
        <v>0.31019999999999998</v>
      </c>
    </row>
    <row r="18" spans="1:21" x14ac:dyDescent="0.3">
      <c r="A18" t="s">
        <v>71</v>
      </c>
      <c r="B18">
        <v>89</v>
      </c>
      <c r="C18">
        <v>0</v>
      </c>
      <c r="D18">
        <v>0</v>
      </c>
      <c r="E18">
        <v>0</v>
      </c>
      <c r="F18">
        <v>0</v>
      </c>
      <c r="H18">
        <f>SUMPRODUCT(B5:I5,config!$B$1:$I$1)</f>
        <v>92</v>
      </c>
      <c r="I18">
        <f>SUMPRODUCT(B5:I5,config!$B$2:$I$2)</f>
        <v>70</v>
      </c>
      <c r="J18">
        <f>SUMPRODUCT(B5:I5,config!$B$3:$I$3)</f>
        <v>56</v>
      </c>
      <c r="M18" t="s">
        <v>37</v>
      </c>
      <c r="N18">
        <v>2</v>
      </c>
      <c r="O18">
        <v>1.0047999999999999</v>
      </c>
      <c r="P18">
        <f>P12</f>
        <v>1.0048327652334943</v>
      </c>
      <c r="Q18" s="11">
        <f>(P18-N18)/(O18-N18)</f>
        <v>0.99996707673483287</v>
      </c>
      <c r="R18">
        <v>0.49480000000000002</v>
      </c>
    </row>
    <row r="19" spans="1:21" x14ac:dyDescent="0.3">
      <c r="A19" t="s">
        <v>4</v>
      </c>
      <c r="B19">
        <v>19</v>
      </c>
      <c r="C19">
        <v>0</v>
      </c>
      <c r="D19">
        <v>0</v>
      </c>
      <c r="E19">
        <v>0</v>
      </c>
      <c r="F19">
        <v>0</v>
      </c>
      <c r="H19">
        <f>SUMPRODUCT(B6:I6,config!$B$1:$I$1)</f>
        <v>24</v>
      </c>
      <c r="I19">
        <f>SUMPRODUCT(B6:I6,config!$B$2:$I$2)</f>
        <v>20</v>
      </c>
      <c r="J19">
        <f>SUMPRODUCT(B6:I6,config!$B$3:$I$3)</f>
        <v>16</v>
      </c>
      <c r="P19" s="1" t="s">
        <v>48</v>
      </c>
      <c r="Q19" s="13">
        <f>SUMPRODUCT(Q15:Q18,R15:R18)</f>
        <v>0.80790507377922283</v>
      </c>
    </row>
    <row r="20" spans="1:21" x14ac:dyDescent="0.3">
      <c r="A20" t="s">
        <v>72</v>
      </c>
      <c r="B20">
        <v>378</v>
      </c>
      <c r="C20">
        <v>74.5</v>
      </c>
      <c r="D20">
        <v>125</v>
      </c>
      <c r="E20">
        <v>0</v>
      </c>
      <c r="F20">
        <v>2</v>
      </c>
      <c r="H20">
        <f>SUMPRODUCT(B7:I7,config!$B$1:$I$1)</f>
        <v>378</v>
      </c>
      <c r="I20">
        <f>SUMPRODUCT(B7:I7,config!$B$2:$I$2)</f>
        <v>270</v>
      </c>
      <c r="J20">
        <f>SUMPRODUCT(B7:I7,config!$B$3:$I$3)</f>
        <v>216</v>
      </c>
    </row>
    <row r="21" spans="1:21" x14ac:dyDescent="0.3">
      <c r="A21" t="s">
        <v>73</v>
      </c>
      <c r="B21">
        <v>12</v>
      </c>
      <c r="C21">
        <v>0</v>
      </c>
      <c r="D21">
        <v>0</v>
      </c>
      <c r="E21">
        <v>0</v>
      </c>
      <c r="F21">
        <v>0</v>
      </c>
      <c r="H21">
        <f>SUMPRODUCT(B8:I8,config!$B$1:$I$1)</f>
        <v>12</v>
      </c>
      <c r="I21">
        <f>SUMPRODUCT(B8:I8,config!$B$2:$I$2)</f>
        <v>10</v>
      </c>
      <c r="J21">
        <f>SUMPRODUCT(B8:I8,config!$B$3:$I$3)</f>
        <v>8</v>
      </c>
      <c r="M21" t="s">
        <v>12</v>
      </c>
      <c r="N21">
        <v>1.65</v>
      </c>
      <c r="O21">
        <v>1.65</v>
      </c>
      <c r="P21">
        <v>1.65</v>
      </c>
      <c r="Q21">
        <v>1.65</v>
      </c>
      <c r="R21">
        <v>1.65</v>
      </c>
      <c r="S21">
        <v>1.65</v>
      </c>
      <c r="T21">
        <v>0.6</v>
      </c>
      <c r="U21">
        <v>0.6</v>
      </c>
    </row>
    <row r="22" spans="1:21" x14ac:dyDescent="0.3">
      <c r="A22" t="s">
        <v>74</v>
      </c>
      <c r="B22">
        <v>299</v>
      </c>
      <c r="C22">
        <v>30</v>
      </c>
      <c r="D22">
        <v>60</v>
      </c>
      <c r="E22">
        <v>0</v>
      </c>
      <c r="F22">
        <v>2</v>
      </c>
      <c r="H22">
        <f>SUMPRODUCT(B9:I9,config!$B$1:$I$1)</f>
        <v>300</v>
      </c>
      <c r="I22">
        <f>SUMPRODUCT(B9:I9,config!$B$2:$I$2)</f>
        <v>220</v>
      </c>
      <c r="J22">
        <f>SUMPRODUCT(B9:I9,config!$B$3:$I$3)</f>
        <v>176</v>
      </c>
    </row>
    <row r="23" spans="1:21" x14ac:dyDescent="0.3">
      <c r="A23" t="s">
        <v>5</v>
      </c>
      <c r="B23">
        <v>31</v>
      </c>
      <c r="C23">
        <v>0</v>
      </c>
      <c r="D23">
        <v>0</v>
      </c>
      <c r="E23">
        <v>0</v>
      </c>
      <c r="F23">
        <v>0</v>
      </c>
      <c r="H23">
        <f>SUMPRODUCT(B10:I10,config!$B$1:$I$1)</f>
        <v>36</v>
      </c>
      <c r="I23">
        <f>SUMPRODUCT(B10:I10,config!$B$2:$I$2)</f>
        <v>30</v>
      </c>
      <c r="J23">
        <f>SUMPRODUCT(B10:I10,config!$B$3:$I$3)</f>
        <v>24</v>
      </c>
    </row>
    <row r="24" spans="1:21" x14ac:dyDescent="0.3">
      <c r="A24" t="s">
        <v>6</v>
      </c>
      <c r="B24">
        <v>34</v>
      </c>
      <c r="C24">
        <v>0</v>
      </c>
      <c r="D24">
        <v>0</v>
      </c>
      <c r="E24">
        <v>0</v>
      </c>
      <c r="F24">
        <v>0</v>
      </c>
      <c r="H24">
        <f>SUMPRODUCT(B11:I11,config!$B$1:$I$1)</f>
        <v>36</v>
      </c>
      <c r="I24">
        <f>SUMPRODUCT(B11:I11,config!$B$2:$I$2)</f>
        <v>30</v>
      </c>
      <c r="J24">
        <f>SUMPRODUCT(B11:I11,config!$B$3:$I$3)</f>
        <v>24</v>
      </c>
    </row>
    <row r="25" spans="1:21" x14ac:dyDescent="0.3">
      <c r="A25" s="1" t="s">
        <v>7</v>
      </c>
      <c r="B25" s="1">
        <f>SUM(B15:B24)</f>
        <v>1114</v>
      </c>
    </row>
  </sheetData>
  <conditionalFormatting sqref="H15:J24">
    <cfRule type="expression" dxfId="1" priority="1">
      <formula>AND(H15&gt;=B15,H15&lt;&gt;"")</formula>
    </cfRule>
    <cfRule type="expression" dxfId="0" priority="2">
      <formula>AND(H15&lt;B15,H15&lt;&gt;"")</formula>
    </cfRule>
  </conditionalFormatting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0DA09-4581-4F7B-8309-1C0303C1E021}">
  <dimension ref="A1:H18"/>
  <sheetViews>
    <sheetView workbookViewId="0">
      <selection activeCell="B2" sqref="B2"/>
    </sheetView>
  </sheetViews>
  <sheetFormatPr defaultRowHeight="14.4" x14ac:dyDescent="0.3"/>
  <cols>
    <col min="1" max="1" width="21.88671875" customWidth="1"/>
    <col min="2" max="6" width="12.21875" customWidth="1"/>
    <col min="7" max="7" width="15.88671875" customWidth="1"/>
  </cols>
  <sheetData>
    <row r="1" spans="1:8" ht="15" thickBot="1" x14ac:dyDescent="0.35">
      <c r="A1" s="5" t="s">
        <v>59</v>
      </c>
      <c r="B1" s="6" t="s">
        <v>54</v>
      </c>
      <c r="C1" s="6" t="s">
        <v>55</v>
      </c>
      <c r="D1" s="6" t="s">
        <v>56</v>
      </c>
      <c r="E1" s="6" t="s">
        <v>57</v>
      </c>
      <c r="F1" s="6" t="s">
        <v>58</v>
      </c>
      <c r="G1" s="6"/>
    </row>
    <row r="2" spans="1:8" x14ac:dyDescent="0.3">
      <c r="A2" s="7" t="s">
        <v>49</v>
      </c>
      <c r="B2" s="9" cm="1">
        <f t="array" aca="1" ref="B2" ca="1">INDIRECT(B$8&amp;"!Q"&amp;ROW(A2)+11)</f>
        <v>0</v>
      </c>
      <c r="C2" s="9" cm="1">
        <f t="array" aca="1" ref="C2" ca="1">INDIRECT(C$8&amp;"!Q"&amp;ROW(B2)+11)</f>
        <v>0</v>
      </c>
      <c r="D2" s="12" cm="1">
        <f t="array" aca="1" ref="D2" ca="1">INDIRECT(D$8&amp;"!Q"&amp;ROW(C2)+11)</f>
        <v>0</v>
      </c>
      <c r="E2" s="12" cm="1">
        <f t="array" aca="1" ref="E2" ca="1">INDIRECT(E$8&amp;"!Q"&amp;ROW(D2)+11)</f>
        <v>0</v>
      </c>
      <c r="F2" s="12" cm="1">
        <f t="array" aca="1" ref="F2" ca="1">INDIRECT(F$8&amp;"!Q"&amp;ROW(E2)+11)</f>
        <v>0</v>
      </c>
      <c r="G2" s="12" t="e" cm="1">
        <f t="array" aca="1" ref="G2" ca="1">INDIRECT(G$8&amp;"!Q"&amp;ROW(F2)+11)</f>
        <v>#REF!</v>
      </c>
      <c r="H2" s="12" t="e" cm="1">
        <f t="array" aca="1" ref="H2" ca="1">INDIRECT(H$8&amp;"!Q"&amp;ROW(G2)+11)</f>
        <v>#REF!</v>
      </c>
    </row>
    <row r="3" spans="1:8" x14ac:dyDescent="0.3">
      <c r="A3" s="7" t="s">
        <v>50</v>
      </c>
      <c r="B3" s="9" t="str" cm="1">
        <f t="array" aca="1" ref="B3" ca="1">INDIRECT(B$8&amp;"!Q"&amp;ROW(A3)+11)</f>
        <v>pontuação</v>
      </c>
      <c r="C3" s="9" t="str" cm="1">
        <f t="array" aca="1" ref="C3" ca="1">INDIRECT(C$8&amp;"!Q"&amp;ROW(B3)+11)</f>
        <v>pontuação</v>
      </c>
      <c r="D3" s="12" t="str" cm="1">
        <f t="array" aca="1" ref="D3" ca="1">INDIRECT(D$8&amp;"!Q"&amp;ROW(C3)+11)</f>
        <v>pontuação</v>
      </c>
      <c r="E3" s="12" t="str" cm="1">
        <f t="array" aca="1" ref="E3" ca="1">INDIRECT(E$8&amp;"!Q"&amp;ROW(D3)+11)</f>
        <v>pontuação</v>
      </c>
      <c r="F3" s="12" t="str" cm="1">
        <f t="array" aca="1" ref="F3" ca="1">INDIRECT(F$8&amp;"!Q"&amp;ROW(E3)+11)</f>
        <v>pontuação</v>
      </c>
      <c r="G3" s="12" t="e" cm="1">
        <f t="array" aca="1" ref="G3" ca="1">INDIRECT(G$8&amp;"!Q"&amp;ROW(F3)+11)</f>
        <v>#REF!</v>
      </c>
      <c r="H3" s="12" t="e" cm="1">
        <f t="array" aca="1" ref="H3" ca="1">INDIRECT(H$8&amp;"!Q"&amp;ROW(G3)+11)</f>
        <v>#REF!</v>
      </c>
    </row>
    <row r="4" spans="1:8" x14ac:dyDescent="0.3">
      <c r="A4" s="7" t="s">
        <v>51</v>
      </c>
      <c r="B4" s="9" cm="1">
        <f t="array" aca="1" ref="B4" ca="1">INDIRECT(B$8&amp;"!Q"&amp;ROW(A4)+11)</f>
        <v>1</v>
      </c>
      <c r="C4" s="9" cm="1">
        <f t="array" aca="1" ref="C4" ca="1">INDIRECT(C$8&amp;"!Q"&amp;ROW(B4)+11)</f>
        <v>0.94736842105263153</v>
      </c>
      <c r="D4" s="12" cm="1">
        <f t="array" aca="1" ref="D4" ca="1">INDIRECT(D$8&amp;"!Q"&amp;ROW(C4)+11)</f>
        <v>5.2631578947368418E-2</v>
      </c>
      <c r="E4" s="12" cm="1">
        <f t="array" aca="1" ref="E4" ca="1">INDIRECT(E$8&amp;"!Q"&amp;ROW(D4)+11)</f>
        <v>5.2631578947368418E-2</v>
      </c>
      <c r="F4" s="12" cm="1">
        <f t="array" aca="1" ref="F4" ca="1">INDIRECT(F$8&amp;"!Q"&amp;ROW(E4)+11)</f>
        <v>5.2631578947368418E-2</v>
      </c>
      <c r="G4" s="12" t="e" cm="1">
        <f t="array" aca="1" ref="G4" ca="1">INDIRECT(G$8&amp;"!Q"&amp;ROW(F4)+11)</f>
        <v>#REF!</v>
      </c>
      <c r="H4" s="12" t="e" cm="1">
        <f t="array" aca="1" ref="H4" ca="1">INDIRECT(H$8&amp;"!Q"&amp;ROW(G4)+11)</f>
        <v>#REF!</v>
      </c>
    </row>
    <row r="5" spans="1:8" x14ac:dyDescent="0.3">
      <c r="A5" s="7" t="s">
        <v>52</v>
      </c>
      <c r="B5" s="9" cm="1">
        <f t="array" aca="1" ref="B5" ca="1">INDIRECT(B$8&amp;"!Q"&amp;ROW(A5)+11)</f>
        <v>0.63264192139737985</v>
      </c>
      <c r="C5" s="9" cm="1">
        <f t="array" aca="1" ref="C5" ca="1">INDIRECT(C$8&amp;"!Q"&amp;ROW(B5)+11)</f>
        <v>1</v>
      </c>
      <c r="D5" s="12" cm="1">
        <f t="array" aca="1" ref="D5" ca="1">INDIRECT(D$8&amp;"!Q"&amp;ROW(C5)+11)</f>
        <v>1.8013100436680977E-2</v>
      </c>
      <c r="E5" s="12" cm="1">
        <f t="array" aca="1" ref="E5" ca="1">INDIRECT(E$8&amp;"!Q"&amp;ROW(D5)+11)</f>
        <v>0.59879912663755452</v>
      </c>
      <c r="F5" s="12" cm="1">
        <f t="array" aca="1" ref="F5" ca="1">INDIRECT(F$8&amp;"!Q"&amp;ROW(E5)+11)</f>
        <v>3.9301310043668373E-2</v>
      </c>
      <c r="G5" s="12" t="e" cm="1">
        <f t="array" aca="1" ref="G5" ca="1">INDIRECT(G$8&amp;"!Q"&amp;ROW(F5)+11)</f>
        <v>#REF!</v>
      </c>
      <c r="H5" s="12" t="e" cm="1">
        <f t="array" aca="1" ref="H5" ca="1">INDIRECT(H$8&amp;"!Q"&amp;ROW(G5)+11)</f>
        <v>#REF!</v>
      </c>
    </row>
    <row r="6" spans="1:8" ht="15" thickBot="1" x14ac:dyDescent="0.35">
      <c r="A6" s="8" t="s">
        <v>53</v>
      </c>
      <c r="B6" s="10" cm="1">
        <f t="array" aca="1" ref="B6" ca="1">INDIRECT(B$8&amp;"!Q"&amp;ROW(A6)+11)</f>
        <v>0.24056094929881339</v>
      </c>
      <c r="C6" s="10" cm="1">
        <f t="array" aca="1" ref="C6" ca="1">INDIRECT(C$8&amp;"!Q"&amp;ROW(B6)+11)</f>
        <v>7.551240560949299E-3</v>
      </c>
      <c r="D6" s="10" cm="1">
        <f t="array" aca="1" ref="D6" ca="1">INDIRECT(D$8&amp;"!Q"&amp;ROW(C6)+11)</f>
        <v>1</v>
      </c>
      <c r="E6" s="10" cm="1">
        <f t="array" aca="1" ref="E6" ca="1">INDIRECT(E$8&amp;"!Q"&amp;ROW(D6)+11)</f>
        <v>0.1966918374685365</v>
      </c>
      <c r="F6" s="10" cm="1">
        <f t="array" aca="1" ref="F6" ca="1">INDIRECT(F$8&amp;"!Q"&amp;ROW(E6)+11)</f>
        <v>0.9949658396260338</v>
      </c>
      <c r="G6" s="10" t="e" cm="1">
        <f t="array" aca="1" ref="G6" ca="1">INDIRECT(G$8&amp;"!Q"&amp;ROW(F6)+11)</f>
        <v>#REF!</v>
      </c>
      <c r="H6" s="10" t="e" cm="1">
        <f t="array" aca="1" ref="H6" ca="1">INDIRECT(H$8&amp;"!Q"&amp;ROW(G6)+11)</f>
        <v>#REF!</v>
      </c>
    </row>
    <row r="8" spans="1:8" x14ac:dyDescent="0.3">
      <c r="B8" t="s">
        <v>60</v>
      </c>
      <c r="C8" t="s">
        <v>61</v>
      </c>
      <c r="D8" t="s">
        <v>9</v>
      </c>
      <c r="E8" t="s">
        <v>62</v>
      </c>
      <c r="F8" t="s">
        <v>63</v>
      </c>
      <c r="G8" t="s">
        <v>66</v>
      </c>
      <c r="H8" t="s">
        <v>67</v>
      </c>
    </row>
    <row r="11" spans="1:8" x14ac:dyDescent="0.3">
      <c r="A11" t="s">
        <v>65</v>
      </c>
      <c r="B11" t="s">
        <v>60</v>
      </c>
      <c r="C11" t="s">
        <v>61</v>
      </c>
      <c r="D11" t="s">
        <v>9</v>
      </c>
      <c r="E11" t="s">
        <v>70</v>
      </c>
      <c r="F11" t="s">
        <v>68</v>
      </c>
      <c r="G11" t="s">
        <v>69</v>
      </c>
    </row>
    <row r="12" spans="1:8" x14ac:dyDescent="0.3">
      <c r="A12" t="s">
        <v>60</v>
      </c>
      <c r="B12" s="11" cm="1">
        <f t="array" aca="1" ref="B12" ca="1">INDIRECT($A12&amp;"!q13")</f>
        <v>0</v>
      </c>
      <c r="C12" s="11" t="str" cm="1">
        <f t="array" aca="1" ref="C12" ca="1">INDIRECT($A12&amp;"!q14")</f>
        <v>pontuação</v>
      </c>
      <c r="D12" s="11" t="str" cm="1">
        <f t="array" aca="1" ref="D12" ca="1">INDIRECT($A12&amp;"!q14")</f>
        <v>pontuação</v>
      </c>
      <c r="E12" s="11" cm="1">
        <f t="array" aca="1" ref="E12" ca="1">INDIRECT($A12&amp;"!q15")</f>
        <v>1</v>
      </c>
      <c r="F12" s="15" cm="1">
        <f t="array" aca="1" ref="F12" ca="1">INDIRECT($A12&amp;"!M10")</f>
        <v>15.5</v>
      </c>
      <c r="G12" s="15" cm="1">
        <f t="array" aca="1" ref="G12" ca="1">INDIRECT($A12&amp;"!N10")</f>
        <v>0.44594594594594561</v>
      </c>
    </row>
    <row r="13" spans="1:8" x14ac:dyDescent="0.3">
      <c r="A13" t="s">
        <v>61</v>
      </c>
      <c r="B13" s="11" cm="1">
        <f t="array" aca="1" ref="B13" ca="1">INDIRECT($A13&amp;"!q13")</f>
        <v>0</v>
      </c>
      <c r="C13" s="11" t="str" cm="1">
        <f t="array" aca="1" ref="C13" ca="1">INDIRECT($A13&amp;"!q14")</f>
        <v>pontuação</v>
      </c>
      <c r="D13" s="11" t="str" cm="1">
        <f t="array" aca="1" ref="D13" ca="1">INDIRECT($A13&amp;"!q14")</f>
        <v>pontuação</v>
      </c>
      <c r="E13" s="11" cm="1">
        <f t="array" aca="1" ref="E13" ca="1">INDIRECT($A13&amp;"!q15")</f>
        <v>0.94736842105263153</v>
      </c>
      <c r="F13" s="15" cm="1">
        <f t="array" aca="1" ref="F13" ca="1">INDIRECT($A13&amp;"!M10")</f>
        <v>15.5</v>
      </c>
      <c r="G13" s="15" cm="1">
        <f t="array" aca="1" ref="G13" ca="1">INDIRECT($A13&amp;"!N10")</f>
        <v>0.6466666666666665</v>
      </c>
    </row>
    <row r="14" spans="1:8" x14ac:dyDescent="0.3">
      <c r="A14" t="s">
        <v>9</v>
      </c>
      <c r="B14" s="11" cm="1">
        <f t="array" aca="1" ref="B14" ca="1">INDIRECT($A14&amp;"!q13")</f>
        <v>0</v>
      </c>
      <c r="C14" s="11" t="str" cm="1">
        <f t="array" aca="1" ref="C14" ca="1">INDIRECT($A14&amp;"!q14")</f>
        <v>pontuação</v>
      </c>
      <c r="D14" s="11" t="str" cm="1">
        <f t="array" aca="1" ref="D14" ca="1">INDIRECT($A14&amp;"!q14")</f>
        <v>pontuação</v>
      </c>
      <c r="E14" s="11" cm="1">
        <f t="array" aca="1" ref="E14" ca="1">INDIRECT($A14&amp;"!q15")</f>
        <v>5.2631578947368418E-2</v>
      </c>
      <c r="F14" s="15" cm="1">
        <f t="array" aca="1" ref="F14" ca="1">INDIRECT($A14&amp;"!M10")</f>
        <v>15.5</v>
      </c>
      <c r="G14" s="15" cm="1">
        <f t="array" aca="1" ref="G14" ca="1">INDIRECT($A14&amp;"!N10")</f>
        <v>3.3913043478260878</v>
      </c>
    </row>
    <row r="15" spans="1:8" x14ac:dyDescent="0.3">
      <c r="A15" t="s">
        <v>62</v>
      </c>
      <c r="B15" s="11" cm="1">
        <f t="array" aca="1" ref="B15" ca="1">INDIRECT($A15&amp;"!q13")</f>
        <v>0</v>
      </c>
      <c r="C15" s="11" t="str" cm="1">
        <f t="array" aca="1" ref="C15" ca="1">INDIRECT($A15&amp;"!q14")</f>
        <v>pontuação</v>
      </c>
      <c r="D15" s="11" t="str" cm="1">
        <f t="array" aca="1" ref="D15" ca="1">INDIRECT($A15&amp;"!q14")</f>
        <v>pontuação</v>
      </c>
      <c r="E15" s="11" cm="1">
        <f t="array" aca="1" ref="E15" ca="1">INDIRECT($A15&amp;"!q15")</f>
        <v>5.2631578947368418E-2</v>
      </c>
      <c r="F15" s="15" cm="1">
        <f t="array" aca="1" ref="F15" ca="1">INDIRECT($A15&amp;"!M10")</f>
        <v>10.333333333333334</v>
      </c>
      <c r="G15" s="15" cm="1">
        <f t="array" aca="1" ref="G15" ca="1">INDIRECT($A15&amp;"!N10")</f>
        <v>1.7753623188405783</v>
      </c>
    </row>
    <row r="16" spans="1:8" x14ac:dyDescent="0.3">
      <c r="A16" t="s">
        <v>63</v>
      </c>
      <c r="B16" s="11" cm="1">
        <f t="array" aca="1" ref="B16" ca="1">INDIRECT($A16&amp;"!q13")</f>
        <v>0</v>
      </c>
      <c r="C16" s="11" t="str" cm="1">
        <f t="array" aca="1" ref="C16" ca="1">INDIRECT($A16&amp;"!q14")</f>
        <v>pontuação</v>
      </c>
      <c r="D16" s="11" t="str" cm="1">
        <f t="array" aca="1" ref="D16" ca="1">INDIRECT($A16&amp;"!q14")</f>
        <v>pontuação</v>
      </c>
      <c r="E16" s="11" cm="1">
        <f t="array" aca="1" ref="E16" ca="1">INDIRECT($A16&amp;"!q15")</f>
        <v>5.2631578947368418E-2</v>
      </c>
      <c r="F16" s="15" cm="1">
        <f t="array" aca="1" ref="F16" ca="1">INDIRECT($A16&amp;"!M10")</f>
        <v>10.333333333333334</v>
      </c>
      <c r="G16" s="15" cm="1">
        <f t="array" aca="1" ref="G16" ca="1">INDIRECT($A16&amp;"!N10")</f>
        <v>1.7753623188405783</v>
      </c>
    </row>
    <row r="17" spans="1:7" x14ac:dyDescent="0.3">
      <c r="A17" t="s">
        <v>66</v>
      </c>
      <c r="B17" s="11" t="e" cm="1">
        <f t="array" aca="1" ref="B17" ca="1">INDIRECT($A17&amp;"!q13")</f>
        <v>#REF!</v>
      </c>
      <c r="C17" s="11" t="e" cm="1">
        <f t="array" aca="1" ref="C17" ca="1">INDIRECT($A17&amp;"!q14")</f>
        <v>#REF!</v>
      </c>
      <c r="D17" s="11" t="e" cm="1">
        <f t="array" aca="1" ref="D17" ca="1">INDIRECT($A17&amp;"!q14")</f>
        <v>#REF!</v>
      </c>
      <c r="E17" s="11" t="e" cm="1">
        <f t="array" aca="1" ref="E17" ca="1">INDIRECT($A17&amp;"!q15")</f>
        <v>#REF!</v>
      </c>
      <c r="F17" s="15" t="e" cm="1">
        <f t="array" aca="1" ref="F17" ca="1">INDIRECT($A17&amp;"!M10")</f>
        <v>#REF!</v>
      </c>
      <c r="G17" s="15" t="e" cm="1">
        <f t="array" aca="1" ref="G17" ca="1">INDIRECT($A17&amp;"!N10")</f>
        <v>#REF!</v>
      </c>
    </row>
    <row r="18" spans="1:7" x14ac:dyDescent="0.3">
      <c r="A18" t="s">
        <v>67</v>
      </c>
      <c r="B18" s="11" t="e" cm="1">
        <f t="array" aca="1" ref="B18" ca="1">INDIRECT($A18&amp;"!q13")</f>
        <v>#REF!</v>
      </c>
      <c r="C18" s="11" t="e" cm="1">
        <f t="array" aca="1" ref="C18" ca="1">INDIRECT($A18&amp;"!q14")</f>
        <v>#REF!</v>
      </c>
      <c r="D18" s="11" t="e" cm="1">
        <f t="array" aca="1" ref="D18" ca="1">INDIRECT($A18&amp;"!q14")</f>
        <v>#REF!</v>
      </c>
      <c r="E18" s="11" t="e" cm="1">
        <f t="array" aca="1" ref="E18" ca="1">INDIRECT($A18&amp;"!q15")</f>
        <v>#REF!</v>
      </c>
      <c r="F18" s="15" t="e" cm="1">
        <f t="array" aca="1" ref="F18" ca="1">INDIRECT($A18&amp;"!M10")</f>
        <v>#REF!</v>
      </c>
      <c r="G18" s="15" t="e" cm="1">
        <f t="array" aca="1" ref="G18" ca="1">INDIRECT($A18&amp;"!N10")</f>
        <v>#REF!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35D21-36DC-435B-B1F8-21D79261803B}">
  <dimension ref="A1:L5"/>
  <sheetViews>
    <sheetView workbookViewId="0">
      <selection activeCell="A4" sqref="A4:I4"/>
    </sheetView>
  </sheetViews>
  <sheetFormatPr defaultRowHeight="14.4" x14ac:dyDescent="0.3"/>
  <sheetData>
    <row r="1" spans="1:12" x14ac:dyDescent="0.3">
      <c r="A1" t="s">
        <v>27</v>
      </c>
      <c r="B1">
        <v>0</v>
      </c>
      <c r="C1">
        <v>10</v>
      </c>
      <c r="D1">
        <v>12</v>
      </c>
      <c r="E1">
        <v>16</v>
      </c>
      <c r="F1">
        <v>20</v>
      </c>
      <c r="G1">
        <v>24</v>
      </c>
      <c r="H1">
        <v>10</v>
      </c>
      <c r="I1">
        <v>12</v>
      </c>
      <c r="K1" t="s">
        <v>44</v>
      </c>
      <c r="L1" t="s">
        <v>45</v>
      </c>
    </row>
    <row r="2" spans="1:12" x14ac:dyDescent="0.3">
      <c r="A2" t="s">
        <v>30</v>
      </c>
      <c r="B2">
        <v>0</v>
      </c>
      <c r="C2">
        <v>0</v>
      </c>
      <c r="D2">
        <v>10</v>
      </c>
      <c r="E2">
        <v>10</v>
      </c>
      <c r="F2">
        <v>5</v>
      </c>
      <c r="G2">
        <v>0</v>
      </c>
      <c r="H2">
        <v>3</v>
      </c>
      <c r="I2">
        <v>0</v>
      </c>
      <c r="K2">
        <v>12</v>
      </c>
      <c r="L2">
        <v>16</v>
      </c>
    </row>
    <row r="3" spans="1:12" x14ac:dyDescent="0.3">
      <c r="A3" t="s">
        <v>29</v>
      </c>
      <c r="B3">
        <v>0</v>
      </c>
      <c r="C3">
        <v>0</v>
      </c>
      <c r="D3">
        <v>8</v>
      </c>
      <c r="E3">
        <v>8</v>
      </c>
      <c r="F3">
        <v>8</v>
      </c>
      <c r="G3">
        <v>0</v>
      </c>
      <c r="H3">
        <v>6</v>
      </c>
      <c r="I3">
        <v>0</v>
      </c>
    </row>
    <row r="4" spans="1:12" x14ac:dyDescent="0.3">
      <c r="A4" t="s">
        <v>12</v>
      </c>
      <c r="B4">
        <v>1.65</v>
      </c>
      <c r="C4">
        <v>1.65</v>
      </c>
      <c r="D4">
        <v>1.65</v>
      </c>
      <c r="E4">
        <v>1.65</v>
      </c>
      <c r="F4">
        <v>1</v>
      </c>
      <c r="G4">
        <v>1</v>
      </c>
      <c r="H4">
        <v>0.6</v>
      </c>
      <c r="I4">
        <v>0.6</v>
      </c>
    </row>
    <row r="5" spans="1:12" x14ac:dyDescent="0.3">
      <c r="A5" t="s">
        <v>13</v>
      </c>
      <c r="B5">
        <v>0</v>
      </c>
      <c r="C5">
        <v>0</v>
      </c>
      <c r="D5">
        <v>18</v>
      </c>
      <c r="E5">
        <v>12</v>
      </c>
      <c r="F5">
        <v>5</v>
      </c>
      <c r="G5">
        <v>0</v>
      </c>
      <c r="H5">
        <v>3</v>
      </c>
      <c r="I5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Num</vt:lpstr>
      <vt:lpstr>Peq</vt:lpstr>
      <vt:lpstr>PeqDE</vt:lpstr>
      <vt:lpstr>Tempo</vt:lpstr>
      <vt:lpstr>CH</vt:lpstr>
      <vt:lpstr>Geral</vt:lpstr>
      <vt:lpstr>GeralDE</vt:lpstr>
      <vt:lpstr>Pontuações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Santos</dc:creator>
  <cp:lastModifiedBy>Pedro Santos</cp:lastModifiedBy>
  <dcterms:created xsi:type="dcterms:W3CDTF">2023-06-29T19:50:32Z</dcterms:created>
  <dcterms:modified xsi:type="dcterms:W3CDTF">2023-07-01T21:25:20Z</dcterms:modified>
</cp:coreProperties>
</file>