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drawings/drawing5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7"/>
  <workbookPr codeName="EsteLibro"/>
  <mc:AlternateContent xmlns:mc="http://schemas.openxmlformats.org/markup-compatibility/2006">
    <mc:Choice Requires="x15">
      <x15ac:absPath xmlns:x15ac="http://schemas.microsoft.com/office/spreadsheetml/2010/11/ac" url="G:\pedropy\proyectopy\valorizador\referencias\"/>
    </mc:Choice>
  </mc:AlternateContent>
  <xr:revisionPtr revIDLastSave="0" documentId="13_ncr:1_{1ED97216-378E-4AD2-8D79-99035F7F5512}" xr6:coauthVersionLast="47" xr6:coauthVersionMax="47" xr10:uidLastSave="{00000000-0000-0000-0000-000000000000}"/>
  <bookViews>
    <workbookView xWindow="-120" yWindow="-120" windowWidth="29040" windowHeight="15720" tabRatio="832" firstSheet="1" activeTab="3" xr2:uid="{00000000-000D-0000-FFFF-FFFF00000000}"/>
  </bookViews>
  <sheets>
    <sheet name="Data" sheetId="69" state="hidden" r:id="rId1"/>
    <sheet name="Ficha" sheetId="81" r:id="rId2"/>
    <sheet name="Pago" sheetId="25" r:id="rId3"/>
    <sheet name="valoriz" sheetId="42" r:id="rId4"/>
    <sheet name="Retencion" sheetId="8" r:id="rId5"/>
    <sheet name="K" sheetId="71" r:id="rId6"/>
    <sheet name="Val_reaj" sheetId="43" r:id="rId7"/>
    <sheet name="Ae_De" sheetId="72" r:id="rId8"/>
    <sheet name="Mat Utiliza" sheetId="67" state="hidden" r:id="rId9"/>
    <sheet name="Amort mat" sheetId="38" state="hidden" r:id="rId10"/>
    <sheet name="D.Q.N.C." sheetId="46" state="hidden" r:id="rId11"/>
    <sheet name="Madera IU 45" sheetId="77" state="hidden" r:id="rId12"/>
    <sheet name="Combustible IU 49" sheetId="78" state="hidden" r:id="rId13"/>
    <sheet name="Asfalto IU 13" sheetId="82" state="hidden" r:id="rId14"/>
    <sheet name="Cem. Asfalt. IU 20" sheetId="83" state="hidden" r:id="rId15"/>
    <sheet name="Cemento IU 21 (2)" sheetId="84" state="hidden" r:id="rId16"/>
    <sheet name="Varios IU 30 (2)" sheetId="85" state="hidden" r:id="rId17"/>
    <sheet name="Madera IU 45 (2)" sheetId="86" state="hidden" r:id="rId18"/>
    <sheet name="Equipo IU 49" sheetId="87" state="hidden" r:id="rId19"/>
    <sheet name="Petróleo IU 53" sheetId="88" state="hidden" r:id="rId20"/>
    <sheet name="Concreto Pre IU 80" sheetId="95" r:id="rId21"/>
    <sheet name="Agregado Grueso IU 5" sheetId="94" state="hidden" r:id="rId22"/>
    <sheet name="Cemento Port I IU 21" sheetId="74" state="hidden" r:id="rId23"/>
    <sheet name="Res.Adel.Mat." sheetId="79" r:id="rId24"/>
    <sheet name="resumen" sheetId="4" r:id="rId25"/>
    <sheet name="Curva &quot;S&quot;" sheetId="93" r:id="rId26"/>
    <sheet name="Cartas Fianzas" sheetId="73" r:id="rId27"/>
    <sheet name="Módulo1" sheetId="17" state="veryHidden" r:id="rId28"/>
    <sheet name="Módulo2" sheetId="18" state="veryHidden" r:id="rId29"/>
    <sheet name="Módulo3" sheetId="19" state="veryHidden" r:id="rId30"/>
    <sheet name="Módulo4" sheetId="20" state="veryHidden" r:id="rId31"/>
    <sheet name="Módulo5" sheetId="21" state="veryHidden" r:id="rId32"/>
    <sheet name="Módulo6" sheetId="22" state="veryHidden" r:id="rId33"/>
    <sheet name="Módulo7" sheetId="23" state="veryHidden" r:id="rId34"/>
  </sheets>
  <externalReferences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</externalReferences>
  <definedNames>
    <definedName name="\a">#N/A</definedName>
    <definedName name="\b" localSheetId="7">#REF!</definedName>
    <definedName name="\b" localSheetId="21">#REF!</definedName>
    <definedName name="\b" localSheetId="26">#REF!</definedName>
    <definedName name="\b" localSheetId="20">#REF!</definedName>
    <definedName name="\b" localSheetId="25">#REF!</definedName>
    <definedName name="\b" localSheetId="1">#REF!</definedName>
    <definedName name="\b">#REF!</definedName>
    <definedName name="\c" localSheetId="7">#REF!</definedName>
    <definedName name="\c" localSheetId="21">#REF!</definedName>
    <definedName name="\c" localSheetId="26">#REF!</definedName>
    <definedName name="\c" localSheetId="20">#REF!</definedName>
    <definedName name="\c" localSheetId="25">#REF!</definedName>
    <definedName name="\c" localSheetId="1">#REF!</definedName>
    <definedName name="\c">#REF!</definedName>
    <definedName name="\d" localSheetId="7">#REF!</definedName>
    <definedName name="\d" localSheetId="21">#REF!</definedName>
    <definedName name="\d" localSheetId="26">#REF!</definedName>
    <definedName name="\d" localSheetId="20">#REF!</definedName>
    <definedName name="\d" localSheetId="25">#REF!</definedName>
    <definedName name="\d" localSheetId="1">#REF!</definedName>
    <definedName name="\d">#REF!</definedName>
    <definedName name="\i" localSheetId="7">#REF!</definedName>
    <definedName name="\i" localSheetId="21">#REF!</definedName>
    <definedName name="\i" localSheetId="26">#REF!</definedName>
    <definedName name="\i" localSheetId="20">#REF!</definedName>
    <definedName name="\i" localSheetId="25">#REF!</definedName>
    <definedName name="\i" localSheetId="1">#REF!</definedName>
    <definedName name="\i">#REF!</definedName>
    <definedName name="\PRECIOS">#REF!</definedName>
    <definedName name="\v" localSheetId="7">#REF!</definedName>
    <definedName name="\v" localSheetId="21">#REF!</definedName>
    <definedName name="\v" localSheetId="26">#REF!</definedName>
    <definedName name="\v" localSheetId="20">#REF!</definedName>
    <definedName name="\v" localSheetId="25">#REF!</definedName>
    <definedName name="\v" localSheetId="1">#REF!</definedName>
    <definedName name="\v">#REF!</definedName>
    <definedName name="\x" localSheetId="7">#REF!</definedName>
    <definedName name="\x" localSheetId="26">#REF!</definedName>
    <definedName name="\x" localSheetId="1">#REF!</definedName>
    <definedName name="\x">#REF!</definedName>
    <definedName name="__PAG1">#REF!</definedName>
    <definedName name="_CUN1" localSheetId="7">#REF!</definedName>
    <definedName name="_CUN1" localSheetId="26">#REF!</definedName>
    <definedName name="_CUN1" localSheetId="1">#REF!</definedName>
    <definedName name="_CUN1">#REF!</definedName>
    <definedName name="_Dist_Bin" localSheetId="7" hidden="1">'[1]Valorización CP'!$C$31</definedName>
    <definedName name="_Dist_Bin" localSheetId="26" hidden="1">'[2]Valorización CP'!$C$31</definedName>
    <definedName name="_Dist_Bin" localSheetId="1" hidden="1">'[2]Valorización CP'!$C$31</definedName>
    <definedName name="_Dist_Bin" hidden="1">'[3]Valorización CP'!$C$31</definedName>
    <definedName name="_Dist_Values" localSheetId="7" hidden="1">'[1]Valorización CP'!$C$31</definedName>
    <definedName name="_Dist_Values" localSheetId="26" hidden="1">'[2]Valorización CP'!$C$31</definedName>
    <definedName name="_Dist_Values" localSheetId="1" hidden="1">'[2]Valorización CP'!$C$31</definedName>
    <definedName name="_Dist_Values" hidden="1">'[3]Valorización CP'!$C$31</definedName>
    <definedName name="_Fill" localSheetId="7" hidden="1">#REF!</definedName>
    <definedName name="_Fill" localSheetId="26" hidden="1">#REF!</definedName>
    <definedName name="_Fill" localSheetId="1" hidden="1">#REF!</definedName>
    <definedName name="_Fill" hidden="1">#REF!</definedName>
    <definedName name="_Key1" localSheetId="7" hidden="1">'[4]RES,MET,ADI1'!#REF!</definedName>
    <definedName name="_Key1" localSheetId="21" hidden="1">'[5]RES,MET,ADI1'!#REF!</definedName>
    <definedName name="_Key1" localSheetId="26" hidden="1">'[6]RES,MET,ADI1'!#REF!</definedName>
    <definedName name="_Key1" localSheetId="20" hidden="1">'[5]RES,MET,ADI1'!#REF!</definedName>
    <definedName name="_Key1" localSheetId="25" hidden="1">'[5]RES,MET,ADI1'!#REF!</definedName>
    <definedName name="_Key1" localSheetId="1" hidden="1">'[6]RES,MET,ADI1'!#REF!</definedName>
    <definedName name="_Key1" hidden="1">'[5]RES,MET,ADI1'!#REF!</definedName>
    <definedName name="_Order1" hidden="1">0</definedName>
    <definedName name="_Order2" hidden="1">0</definedName>
    <definedName name="_PAG1" localSheetId="7">#REF!</definedName>
    <definedName name="_PAG1" localSheetId="21">#REF!</definedName>
    <definedName name="_PAG1" localSheetId="26">#REF!</definedName>
    <definedName name="_PAG1" localSheetId="20">#REF!</definedName>
    <definedName name="_PAG1" localSheetId="1">#REF!</definedName>
    <definedName name="_PAG1">#REF!</definedName>
    <definedName name="_Parse_Out" localSheetId="21" hidden="1">#REF!</definedName>
    <definedName name="_Parse_Out" localSheetId="20" hidden="1">#REF!</definedName>
    <definedName name="_Parse_Out" hidden="1">#REF!</definedName>
    <definedName name="_POL4" localSheetId="7">#REF!</definedName>
    <definedName name="_POL4" localSheetId="26">#REF!</definedName>
    <definedName name="_POL4" localSheetId="1">#REF!</definedName>
    <definedName name="_POL4" localSheetId="5">#REF!</definedName>
    <definedName name="_POL4">#REF!</definedName>
    <definedName name="A_impresión_IM" localSheetId="7">#REF!</definedName>
    <definedName name="A_impresión_IM" localSheetId="26">#REF!</definedName>
    <definedName name="A_impresión_IM" localSheetId="1">#REF!</definedName>
    <definedName name="A_impresión_IM">#REF!</definedName>
    <definedName name="AA">#REF!</definedName>
    <definedName name="ACUMULADO_ACTUAL">[7]Hoja1!$AO$20:$AO$93</definedName>
    <definedName name="ACUMULADO_ANTERIOR">[7]Hoja1!$AM$20:$AM$93</definedName>
    <definedName name="ADICIONAL" localSheetId="21">'[8]pagos efectuados'!#REF!</definedName>
    <definedName name="ADICIONAL" localSheetId="20">'[8]pagos efectuados'!#REF!</definedName>
    <definedName name="ADICIONAL">'[8]pagos efectuados'!#REF!</definedName>
    <definedName name="ALCANTARILLAS" localSheetId="7">#REF!</definedName>
    <definedName name="ALCANTARILLAS" localSheetId="26">#REF!</definedName>
    <definedName name="ALCANTARILLAS" localSheetId="1">#REF!</definedName>
    <definedName name="ALCANTARILLAS">#REF!</definedName>
    <definedName name="AM" localSheetId="7">#REF!</definedName>
    <definedName name="AM" localSheetId="26">#REF!</definedName>
    <definedName name="AM" localSheetId="1">#REF!</definedName>
    <definedName name="AM" localSheetId="5">#REF!</definedName>
    <definedName name="AM">#REF!</definedName>
    <definedName name="AMORTIZ" localSheetId="7">'[9]Amort. Adel. en Efectivo'!#REF!</definedName>
    <definedName name="AMORTIZ" localSheetId="21">'[10]Amort. Adel. en Efectivo'!#REF!</definedName>
    <definedName name="AMORTIZ" localSheetId="26">'[11]Amort. Adel. en Efectivo'!#REF!</definedName>
    <definedName name="AMORTIZ" localSheetId="20">'[10]Amort. Adel. en Efectivo'!#REF!</definedName>
    <definedName name="AMORTIZ" localSheetId="25">'[10]Amort. Adel. en Efectivo'!#REF!</definedName>
    <definedName name="AMORTIZ" localSheetId="1">'[11]Amort. Adel. en Efectivo'!#REF!</definedName>
    <definedName name="AMORTIZ">'[10]Amort. Adel. en Efectivo'!#REF!</definedName>
    <definedName name="AMORTIZACION" localSheetId="7">#REF!</definedName>
    <definedName name="AMORTIZACION" localSheetId="26">#REF!</definedName>
    <definedName name="AMORTIZACION" localSheetId="1">#REF!</definedName>
    <definedName name="AMORTIZACION">#REF!</definedName>
    <definedName name="AR">'[12]C.I.'!$J$13:$T$147</definedName>
    <definedName name="_xlnm.Print_Area" localSheetId="7">Ae_De!$A$1:$O$43</definedName>
    <definedName name="_xlnm.Print_Area" localSheetId="21">'Agregado Grueso IU 5'!$B$10:$O$213</definedName>
    <definedName name="_xlnm.Print_Area" localSheetId="9">'Amort mat'!$A$1:$N$163</definedName>
    <definedName name="_xlnm.Print_Area" localSheetId="13">'Asfalto IU 13'!$B$12:$O$102</definedName>
    <definedName name="_xlnm.Print_Area" localSheetId="26">'Cartas Fianzas'!$A$1:$J$25</definedName>
    <definedName name="_xlnm.Print_Area" localSheetId="14">'Cem. Asfalt. IU 20'!$B$12:$O$102</definedName>
    <definedName name="_xlnm.Print_Area" localSheetId="15">'Cemento IU 21 (2)'!$B$12:$O$124</definedName>
    <definedName name="_xlnm.Print_Area" localSheetId="22">'Cemento Port I IU 21'!$B$10:$O$448</definedName>
    <definedName name="_xlnm.Print_Area" localSheetId="12">'Combustible IU 49'!$A$12:$O$107</definedName>
    <definedName name="_xlnm.Print_Area" localSheetId="20">'Concreto Pre IU 80'!$B$1:$O$119</definedName>
    <definedName name="_xlnm.Print_Area" localSheetId="25">'Curva "S"'!$A$1:$X$52</definedName>
    <definedName name="_xlnm.Print_Area" localSheetId="10">D.Q.N.C.!$A$1:$N$214</definedName>
    <definedName name="_xlnm.Print_Area" localSheetId="18">'Equipo IU 49'!$A$12:$O$114</definedName>
    <definedName name="_xlnm.Print_Area" localSheetId="1">Ficha!$A$1:$E$68</definedName>
    <definedName name="_xlnm.Print_Area" localSheetId="5">K!$A$1:$Z$25</definedName>
    <definedName name="_xlnm.Print_Area" localSheetId="11">'Madera IU 45'!$A$12:$O$142</definedName>
    <definedName name="_xlnm.Print_Area" localSheetId="17">'Madera IU 45 (2)'!$A$12:$O$119</definedName>
    <definedName name="_xlnm.Print_Area" localSheetId="8">'Mat Utiliza'!$A$1:$J$626</definedName>
    <definedName name="_xlnm.Print_Area" localSheetId="2">Pago!$A$1:$G$58</definedName>
    <definedName name="_xlnm.Print_Area" localSheetId="19">'Petróleo IU 53'!$B$12:$O$102</definedName>
    <definedName name="_xlnm.Print_Area" localSheetId="23">'Res.Adel.Mat.'!$A$1:$K$35</definedName>
    <definedName name="_xlnm.Print_Area" localSheetId="24">resumen!$A$1:$F$41</definedName>
    <definedName name="_xlnm.Print_Area" localSheetId="4">Retencion!$A$1:$P$22</definedName>
    <definedName name="_xlnm.Print_Area" localSheetId="6">Val_reaj!$A$1:$J$35</definedName>
    <definedName name="_xlnm.Print_Area" localSheetId="3">valoriz!$A$1:$P$253</definedName>
    <definedName name="_xlnm.Print_Area" localSheetId="16">'Varios IU 30 (2)'!$A$12:$O$317</definedName>
    <definedName name="AreaEprd" localSheetId="21">#REF!</definedName>
    <definedName name="AreaEprd" localSheetId="20">#REF!</definedName>
    <definedName name="AreaEprd">#REF!</definedName>
    <definedName name="AreaPaste" localSheetId="21">#REF!</definedName>
    <definedName name="AreaPaste" localSheetId="20">#REF!</definedName>
    <definedName name="AreaPaste">#REF!</definedName>
    <definedName name="AreaTitulo" localSheetId="21">#REF!</definedName>
    <definedName name="AreaTitulo" localSheetId="20">#REF!</definedName>
    <definedName name="AreaTitulo">#REF!</definedName>
    <definedName name="AS" localSheetId="21">#REF!</definedName>
    <definedName name="AS" localSheetId="20">#REF!</definedName>
    <definedName name="AS" localSheetId="25">#REF!</definedName>
    <definedName name="AS">#REF!</definedName>
    <definedName name="AVAC">'[13]Deduc. Reaj.'!$A$3:$O$37</definedName>
    <definedName name="AZA" localSheetId="7">#REF!</definedName>
    <definedName name="AZA" localSheetId="21">#REF!</definedName>
    <definedName name="AZA" localSheetId="26">#REF!</definedName>
    <definedName name="AZA" localSheetId="20">#REF!</definedName>
    <definedName name="AZA" localSheetId="25">#REF!</definedName>
    <definedName name="AZA" localSheetId="1">#REF!</definedName>
    <definedName name="AZA">#REF!</definedName>
    <definedName name="_xlnm.Database" localSheetId="7">#REF!</definedName>
    <definedName name="_xlnm.Database">#REF!</definedName>
    <definedName name="C_">#N/A</definedName>
    <definedName name="CABEZA" localSheetId="7">#REF!</definedName>
    <definedName name="CABEZA" localSheetId="26">#REF!</definedName>
    <definedName name="CABEZA" localSheetId="1">#REF!</definedName>
    <definedName name="CABEZA">#REF!</definedName>
    <definedName name="CABEZA6" localSheetId="7">#REF!</definedName>
    <definedName name="CABEZA6" localSheetId="26">#REF!</definedName>
    <definedName name="CABEZA6" localSheetId="1">#REF!</definedName>
    <definedName name="CABEZA6">#REF!</definedName>
    <definedName name="CABEZA7" localSheetId="7">#REF!</definedName>
    <definedName name="CABEZA7" localSheetId="26">#REF!</definedName>
    <definedName name="CABEZA7" localSheetId="1">#REF!</definedName>
    <definedName name="CABEZA7">#REF!</definedName>
    <definedName name="de" localSheetId="21">#REF!</definedName>
    <definedName name="de" localSheetId="20">#REF!</definedName>
    <definedName name="de">#REF!</definedName>
    <definedName name="DEDUCC" localSheetId="7">'[9]Deducc. que no Corresp.'!#REF!</definedName>
    <definedName name="DEDUCC" localSheetId="21">'[10]Deducc. que no Corresp.'!#REF!</definedName>
    <definedName name="DEDUCC" localSheetId="26">'[11]Deducc. que no Corresp.'!#REF!</definedName>
    <definedName name="DEDUCC" localSheetId="20">'[10]Deducc. que no Corresp.'!#REF!</definedName>
    <definedName name="DEDUCC" localSheetId="25">'[10]Deducc. que no Corresp.'!#REF!</definedName>
    <definedName name="DEDUCC" localSheetId="1">'[11]Deducc. que no Corresp.'!#REF!</definedName>
    <definedName name="DEDUCC">'[10]Deducc. que no Corresp.'!#REF!</definedName>
    <definedName name="DEDUCCION" localSheetId="7">#REF!</definedName>
    <definedName name="DEDUCCION" localSheetId="26">#REF!</definedName>
    <definedName name="DEDUCCION" localSheetId="1">#REF!</definedName>
    <definedName name="DEDUCCION">#REF!</definedName>
    <definedName name="ECX" localSheetId="7">#REF!</definedName>
    <definedName name="ECX" localSheetId="21">#REF!</definedName>
    <definedName name="ECX" localSheetId="26">#REF!</definedName>
    <definedName name="ECX" localSheetId="20">#REF!</definedName>
    <definedName name="ECX" localSheetId="25">#REF!</definedName>
    <definedName name="ECX" localSheetId="1">#REF!</definedName>
    <definedName name="ECX">#REF!</definedName>
    <definedName name="FIN" localSheetId="7">#REF!</definedName>
    <definedName name="FIN" localSheetId="21">#REF!</definedName>
    <definedName name="FIN" localSheetId="26">#REF!</definedName>
    <definedName name="FIN" localSheetId="20">#REF!</definedName>
    <definedName name="FIN" localSheetId="25">#REF!</definedName>
    <definedName name="FIN" localSheetId="1">#REF!</definedName>
    <definedName name="FIN">#REF!</definedName>
    <definedName name="FINAL" localSheetId="7">#REF!</definedName>
    <definedName name="FINAL" localSheetId="21">#REF!</definedName>
    <definedName name="FINAL" localSheetId="26">#REF!</definedName>
    <definedName name="FINAL" localSheetId="20">#REF!</definedName>
    <definedName name="FINAL" localSheetId="25">#REF!</definedName>
    <definedName name="FINAL" localSheetId="1">#REF!</definedName>
    <definedName name="FINAL">#REF!</definedName>
    <definedName name="GENERAL" localSheetId="7">#REF!</definedName>
    <definedName name="GENERAL" localSheetId="21">#REF!</definedName>
    <definedName name="GENERAL" localSheetId="26">#REF!</definedName>
    <definedName name="GENERAL" localSheetId="20">#REF!</definedName>
    <definedName name="GENERAL" localSheetId="25">#REF!</definedName>
    <definedName name="GENERAL" localSheetId="1">#REF!</definedName>
    <definedName name="GENERAL">#REF!</definedName>
    <definedName name="INICIO" localSheetId="7">[14]II.3!$H$12:$H$12</definedName>
    <definedName name="INICIO" localSheetId="26">[15]II.3!$H$12:$H$12</definedName>
    <definedName name="INICIO" localSheetId="25">[16]II.3!$H$12:$H$12</definedName>
    <definedName name="INICIO" localSheetId="1">[15]II.3!$H$12:$H$12</definedName>
    <definedName name="INICIO">[17]II.3!$H$12:$H$12</definedName>
    <definedName name="IU_0" localSheetId="7">[18]Hoja1!$AW$20:$AW$28</definedName>
    <definedName name="IU_0" localSheetId="26">[19]Hoja1!$AW$20:$AW$28</definedName>
    <definedName name="IU_0" localSheetId="1">[19]Hoja1!$AW$20:$AW$28</definedName>
    <definedName name="IU_0">[20]Hoja1!$AW$20:$AW$28</definedName>
    <definedName name="IU_1" localSheetId="7">[18]Hoja1!$AX$20:$AX$28</definedName>
    <definedName name="IU_1" localSheetId="26">[19]Hoja1!$AX$20:$AX$28</definedName>
    <definedName name="IU_1" localSheetId="1">[19]Hoja1!$AX$20:$AX$28</definedName>
    <definedName name="IU_1">[20]Hoja1!$AX$20:$AX$28</definedName>
    <definedName name="IU_2" localSheetId="7">[18]Hoja1!$AY$20:$AY$28</definedName>
    <definedName name="IU_2" localSheetId="26">[19]Hoja1!$AY$20:$AY$28</definedName>
    <definedName name="IU_2" localSheetId="1">[19]Hoja1!$AY$20:$AY$28</definedName>
    <definedName name="IU_2">[20]Hoja1!$AY$20:$AY$28</definedName>
    <definedName name="IU_3" localSheetId="7">[18]Hoja1!$AZ$20:$AZ$28</definedName>
    <definedName name="IU_3" localSheetId="26">[19]Hoja1!$AZ$20:$AZ$28</definedName>
    <definedName name="IU_3" localSheetId="1">[19]Hoja1!$AZ$20:$AZ$28</definedName>
    <definedName name="IU_3">[20]Hoja1!$AZ$20:$AZ$28</definedName>
    <definedName name="IU_4" localSheetId="7">[18]Hoja1!$BA$20:$BA$28</definedName>
    <definedName name="IU_4" localSheetId="26">[19]Hoja1!$BA$20:$BA$28</definedName>
    <definedName name="IU_4" localSheetId="1">[19]Hoja1!$BA$20:$BA$28</definedName>
    <definedName name="IU_4">[20]Hoja1!$BA$20:$BA$28</definedName>
    <definedName name="IU_5" localSheetId="7">[18]Hoja1!$BB$20:$BB$28</definedName>
    <definedName name="IU_5" localSheetId="26">[19]Hoja1!$BB$20:$BB$28</definedName>
    <definedName name="IU_5" localSheetId="1">[19]Hoja1!$BB$20:$BB$28</definedName>
    <definedName name="IU_5">[20]Hoja1!$BB$20:$BB$28</definedName>
    <definedName name="IU_6" localSheetId="7">[18]Hoja1!$BC$20:$BC$28</definedName>
    <definedName name="IU_6" localSheetId="26">[19]Hoja1!$BC$20:$BC$28</definedName>
    <definedName name="IU_6" localSheetId="1">[19]Hoja1!$BC$20:$BC$28</definedName>
    <definedName name="IU_6">[20]Hoja1!$BC$20:$BC$28</definedName>
    <definedName name="IU_7" localSheetId="7">[21]Hoja1!#REF!</definedName>
    <definedName name="IU_7" localSheetId="21">[22]Hoja1!#REF!</definedName>
    <definedName name="IU_7" localSheetId="26">[23]Hoja1!#REF!</definedName>
    <definedName name="IU_7" localSheetId="20">[22]Hoja1!#REF!</definedName>
    <definedName name="IU_7" localSheetId="25">[22]Hoja1!#REF!</definedName>
    <definedName name="IU_7" localSheetId="1">[23]Hoja1!#REF!</definedName>
    <definedName name="IU_7">[22]Hoja1!#REF!</definedName>
    <definedName name="IU_ABRIL00" localSheetId="7">[24]Hoja1!$BM$20:$BM$32</definedName>
    <definedName name="IU_ABRIL00" localSheetId="26">[25]Hoja1!$BM$20:$BM$32</definedName>
    <definedName name="IU_ABRIL00" localSheetId="1">[25]Hoja1!$BM$20:$BM$32</definedName>
    <definedName name="IU_ABRIL00">[26]Hoja1!$BM$20:$BM$32</definedName>
    <definedName name="IU_ABRIL99" localSheetId="7">[24]Hoja1!$BA$20:$BA$32</definedName>
    <definedName name="IU_ABRIL99" localSheetId="26">[25]Hoja1!$BA$20:$BA$32</definedName>
    <definedName name="IU_ABRIL99" localSheetId="1">[25]Hoja1!$BA$20:$BA$32</definedName>
    <definedName name="IU_ABRIL99">[26]Hoja1!$BA$20:$BA$32</definedName>
    <definedName name="IU_AGOSTO99" localSheetId="7">[24]Hoja1!$BE$20:$BE$32</definedName>
    <definedName name="IU_AGOSTO99" localSheetId="26">[25]Hoja1!$BE$20:$BE$32</definedName>
    <definedName name="IU_AGOSTO99" localSheetId="1">[25]Hoja1!$BE$20:$BE$32</definedName>
    <definedName name="IU_AGOSTO99">[26]Hoja1!$BE$20:$BE$32</definedName>
    <definedName name="IU_BASE" localSheetId="7">[24]Hoja1!$AV$20:$AV$32</definedName>
    <definedName name="IU_BASE" localSheetId="26">[25]Hoja1!$AV$20:$AV$32</definedName>
    <definedName name="IU_BASE" localSheetId="1">[25]Hoja1!$AV$20:$AV$32</definedName>
    <definedName name="IU_BASE">[26]Hoja1!$AV$20:$AV$32</definedName>
    <definedName name="IU_DICIEMBRE98" localSheetId="7">[24]Hoja1!$AW$20:$AW$32</definedName>
    <definedName name="IU_DICIEMBRE98" localSheetId="26">[25]Hoja1!$AW$20:$AW$32</definedName>
    <definedName name="IU_DICIEMBRE98" localSheetId="1">[25]Hoja1!$AW$20:$AW$32</definedName>
    <definedName name="IU_DICIEMBRE98">[26]Hoja1!$AW$20:$AW$32</definedName>
    <definedName name="IU_DICIEMBRE99" localSheetId="7">[24]Hoja1!$BI$20:$BI$32</definedName>
    <definedName name="IU_DICIEMBRE99" localSheetId="26">[25]Hoja1!$BI$20:$BI$32</definedName>
    <definedName name="IU_DICIEMBRE99" localSheetId="1">[25]Hoja1!$BI$20:$BI$32</definedName>
    <definedName name="IU_DICIEMBRE99">[26]Hoja1!$BI$20:$BI$32</definedName>
    <definedName name="IU_ENERO00" localSheetId="7">[24]Hoja1!$BJ$20:$BJ$32</definedName>
    <definedName name="IU_ENERO00" localSheetId="26">[25]Hoja1!$BJ$20:$BJ$32</definedName>
    <definedName name="IU_ENERO00" localSheetId="1">[25]Hoja1!$BJ$20:$BJ$32</definedName>
    <definedName name="IU_ENERO00">[26]Hoja1!$BJ$20:$BJ$32</definedName>
    <definedName name="IU_ENERO99" localSheetId="7">[24]Hoja1!$AX$20:$AX$32</definedName>
    <definedName name="IU_ENERO99" localSheetId="26">[25]Hoja1!$AX$20:$AX$32</definedName>
    <definedName name="IU_ENERO99" localSheetId="1">[25]Hoja1!$AX$20:$AX$32</definedName>
    <definedName name="IU_ENERO99">[26]Hoja1!$AX$20:$AX$32</definedName>
    <definedName name="IU_FEBRERO00" localSheetId="7">[24]Hoja1!$BK$20:$BK$32</definedName>
    <definedName name="IU_FEBRERO00" localSheetId="26">[25]Hoja1!$BK$20:$BK$32</definedName>
    <definedName name="IU_FEBRERO00" localSheetId="1">[25]Hoja1!$BK$20:$BK$32</definedName>
    <definedName name="IU_FEBRERO00">[26]Hoja1!$BK$20:$BK$32</definedName>
    <definedName name="IU_FEBRERO99" localSheetId="7">[24]Hoja1!$AY$20:$AY$32</definedName>
    <definedName name="IU_FEBRERO99" localSheetId="26">[25]Hoja1!$AY$20:$AY$32</definedName>
    <definedName name="IU_FEBRERO99" localSheetId="1">[25]Hoja1!$AY$20:$AY$32</definedName>
    <definedName name="IU_FEBRERO99">[26]Hoja1!$AY$20:$AY$32</definedName>
    <definedName name="IU_JULIO99" localSheetId="7">[24]Hoja1!$BD$20:$BD$32</definedName>
    <definedName name="IU_JULIO99" localSheetId="26">[25]Hoja1!$BD$20:$BD$32</definedName>
    <definedName name="IU_JULIO99" localSheetId="1">[25]Hoja1!$BD$20:$BD$32</definedName>
    <definedName name="IU_JULIO99">[26]Hoja1!$BD$20:$BD$32</definedName>
    <definedName name="IU_JUNIO99" localSheetId="7">[24]Hoja1!$BC$20:$BC$32</definedName>
    <definedName name="IU_JUNIO99" localSheetId="26">[25]Hoja1!$BC$20:$BC$32</definedName>
    <definedName name="IU_JUNIO99" localSheetId="1">[25]Hoja1!$BC$20:$BC$32</definedName>
    <definedName name="IU_JUNIO99">[26]Hoja1!$BC$20:$BC$32</definedName>
    <definedName name="IU_MARZO00" localSheetId="7">[24]Hoja1!$BL$20:$BL$32</definedName>
    <definedName name="IU_MARZO00" localSheetId="26">[25]Hoja1!$BL$20:$BL$32</definedName>
    <definedName name="IU_MARZO00" localSheetId="1">[25]Hoja1!$BL$20:$BL$32</definedName>
    <definedName name="IU_MARZO00">[26]Hoja1!$BL$20:$BL$32</definedName>
    <definedName name="IU_MARZO99" localSheetId="7">[24]Hoja1!$AZ$20:$AZ$32</definedName>
    <definedName name="IU_MARZO99" localSheetId="26">[25]Hoja1!$AZ$20:$AZ$32</definedName>
    <definedName name="IU_MARZO99" localSheetId="1">[25]Hoja1!$AZ$20:$AZ$32</definedName>
    <definedName name="IU_MARZO99">[26]Hoja1!$AZ$20:$AZ$32</definedName>
    <definedName name="IU_MAYO99" localSheetId="7">[24]Hoja1!$BB$20:$BB$32</definedName>
    <definedName name="IU_MAYO99" localSheetId="26">[25]Hoja1!$BB$20:$BB$32</definedName>
    <definedName name="IU_MAYO99" localSheetId="1">[25]Hoja1!$BB$20:$BB$32</definedName>
    <definedName name="IU_MAYO99">[26]Hoja1!$BB$20:$BB$32</definedName>
    <definedName name="IU_NOVIEMBRE99" localSheetId="7">[24]Hoja1!$BH$20:$BH$32</definedName>
    <definedName name="IU_NOVIEMBRE99" localSheetId="26">[25]Hoja1!$BH$20:$BH$32</definedName>
    <definedName name="IU_NOVIEMBRE99" localSheetId="1">[25]Hoja1!$BH$20:$BH$32</definedName>
    <definedName name="IU_NOVIEMBRE99">[26]Hoja1!$BH$20:$BH$32</definedName>
    <definedName name="IU_OCTUBRE99" localSheetId="7">[24]Hoja1!$BG$20:$BG$32</definedName>
    <definedName name="IU_OCTUBRE99" localSheetId="26">[25]Hoja1!$BG$20:$BG$32</definedName>
    <definedName name="IU_OCTUBRE99" localSheetId="1">[25]Hoja1!$BG$20:$BG$32</definedName>
    <definedName name="IU_OCTUBRE99">[26]Hoja1!$BG$20:$BG$32</definedName>
    <definedName name="IU_SEPTIEMBRE99" localSheetId="7">[24]Hoja1!$BF$20:$BF$32</definedName>
    <definedName name="IU_SEPTIEMBRE99" localSheetId="26">[25]Hoja1!$BF$20:$BF$32</definedName>
    <definedName name="IU_SEPTIEMBRE99" localSheetId="1">[25]Hoja1!$BF$20:$BF$32</definedName>
    <definedName name="IU_SEPTIEMBRE99">[26]Hoja1!$BF$20:$BF$32</definedName>
    <definedName name="katy" localSheetId="21">#REF!</definedName>
    <definedName name="katy" localSheetId="20">#REF!</definedName>
    <definedName name="katy">#REF!</definedName>
    <definedName name="KR" localSheetId="7">[24]Hoja1!$AV$35:$BN$36</definedName>
    <definedName name="KR" localSheetId="26">[25]Hoja1!$AV$35:$BN$36</definedName>
    <definedName name="KR" localSheetId="1">[25]Hoja1!$AV$35:$BN$36</definedName>
    <definedName name="KR">[26]Hoja1!$AV$35:$BN$36</definedName>
    <definedName name="METRADO" localSheetId="7">'[4]RES,MET,ADI1'!#REF!</definedName>
    <definedName name="METRADO" localSheetId="21">'[5]RES,MET,ADI1'!#REF!</definedName>
    <definedName name="METRADO" localSheetId="26">'[6]RES,MET,ADI1'!#REF!</definedName>
    <definedName name="METRADO" localSheetId="20">'[5]RES,MET,ADI1'!#REF!</definedName>
    <definedName name="METRADO" localSheetId="25">'[5]RES,MET,ADI1'!#REF!</definedName>
    <definedName name="METRADO" localSheetId="1">'[6]RES,MET,ADI1'!#REF!</definedName>
    <definedName name="METRADO">'[5]RES,MET,ADI1'!#REF!</definedName>
    <definedName name="METRADO_BASE">[7]Hoja1!$J$20:$J$93</definedName>
    <definedName name="MetradosCP" localSheetId="7">'[1]Metrados CP'!$E$15:$T$92</definedName>
    <definedName name="MetradosCP" localSheetId="26">'[2]Metrados CP'!$E$15:$T$92</definedName>
    <definedName name="MetradosCP" localSheetId="1">'[2]Metrados CP'!$E$15:$T$92</definedName>
    <definedName name="MetradosCP">'[3]Metrados CP'!$E$15:$T$92</definedName>
    <definedName name="num_linhas" localSheetId="21">#REF!</definedName>
    <definedName name="num_linhas" localSheetId="20">#REF!</definedName>
    <definedName name="num_linhas">#REF!</definedName>
    <definedName name="obra">[27]Hoja1!$A$1</definedName>
    <definedName name="ORDEN" localSheetId="21">#REF!</definedName>
    <definedName name="ORDEN" localSheetId="20">#REF!</definedName>
    <definedName name="ORDEN">#REF!</definedName>
    <definedName name="PAG" localSheetId="7">#REF!</definedName>
    <definedName name="PAG">#REF!</definedName>
    <definedName name="PARTIDA" localSheetId="7">'[4]RES,MET,ADI1'!#REF!</definedName>
    <definedName name="PARTIDA" localSheetId="21">'[5]RES,MET,ADI1'!#REF!</definedName>
    <definedName name="PARTIDA" localSheetId="26">'[6]RES,MET,ADI1'!#REF!</definedName>
    <definedName name="PARTIDA" localSheetId="20">'[5]RES,MET,ADI1'!#REF!</definedName>
    <definedName name="PARTIDA" localSheetId="25">'[5]RES,MET,ADI1'!#REF!</definedName>
    <definedName name="PARTIDA" localSheetId="1">'[6]RES,MET,ADI1'!#REF!</definedName>
    <definedName name="PARTIDA">'[5]RES,MET,ADI1'!#REF!</definedName>
    <definedName name="POLI4" localSheetId="7">#REF!</definedName>
    <definedName name="POLI4" localSheetId="21">#REF!</definedName>
    <definedName name="POLI4" localSheetId="26">#REF!</definedName>
    <definedName name="POLI4" localSheetId="20">#REF!</definedName>
    <definedName name="POLI4" localSheetId="25">#REF!</definedName>
    <definedName name="POLI4" localSheetId="1">#REF!</definedName>
    <definedName name="POLI4" localSheetId="5">#REF!</definedName>
    <definedName name="POLI4">#REF!</definedName>
    <definedName name="PRECIOS_UNITARIOS">[7]Hoja1!$K$20:$K$93</definedName>
    <definedName name="PRESENTE_MES">[7]Hoja1!$AN$20:$AN$93</definedName>
    <definedName name="PRESUP.ADI1.TVI" localSheetId="7">'[28]RES,MET,ADI1'!#REF!</definedName>
    <definedName name="PRESUP.ADI1.TVI" localSheetId="21">'[29]RES,MET,ADI1'!#REF!</definedName>
    <definedName name="PRESUP.ADI1.TVI" localSheetId="26">'[30]RES,MET,ADI1'!#REF!</definedName>
    <definedName name="PRESUP.ADI1.TVI" localSheetId="20">'[29]RES,MET,ADI1'!#REF!</definedName>
    <definedName name="PRESUP.ADI1.TVI" localSheetId="25">'[29]RES,MET,ADI1'!#REF!</definedName>
    <definedName name="PRESUP.ADI1.TVI" localSheetId="1">'[30]RES,MET,ADI1'!#REF!</definedName>
    <definedName name="PRESUP.ADI1.TVI">'[29]RES,MET,ADI1'!#REF!</definedName>
    <definedName name="PRESUPUESTO" localSheetId="7">'[1]Valorización CP'!$F$19:$F$93</definedName>
    <definedName name="PRESUPUESTO" localSheetId="26">'[2]Valorización CP'!$F$19:$F$93</definedName>
    <definedName name="PRESUPUESTO" localSheetId="1">'[2]Valorización CP'!$F$19:$F$93</definedName>
    <definedName name="PRESUPUESTO">'[3]Valorización CP'!$F$19:$F$93</definedName>
    <definedName name="Print_Area_MI" localSheetId="21">#REF!</definedName>
    <definedName name="Print_Area_MI" localSheetId="20">#REF!</definedName>
    <definedName name="Print_Area_MI">#REF!</definedName>
    <definedName name="PROPIO" localSheetId="7">'[4]RES,MET,ADI1'!#REF!</definedName>
    <definedName name="PROPIO" localSheetId="21">'[5]RES,MET,ADI1'!#REF!</definedName>
    <definedName name="PROPIO" localSheetId="26">'[6]RES,MET,ADI1'!#REF!</definedName>
    <definedName name="PROPIO" localSheetId="20">'[5]RES,MET,ADI1'!#REF!</definedName>
    <definedName name="PROPIO" localSheetId="25">'[5]RES,MET,ADI1'!#REF!</definedName>
    <definedName name="PROPIO" localSheetId="1">'[6]RES,MET,ADI1'!#REF!</definedName>
    <definedName name="PROPIO">'[5]RES,MET,ADI1'!#REF!</definedName>
    <definedName name="REEUMEN" localSheetId="7">'[31]PER,COM.PRO.ADI1'!#REF!</definedName>
    <definedName name="REEUMEN" localSheetId="21">'[32]PER,COM.PRO.ADI1'!#REF!</definedName>
    <definedName name="REEUMEN" localSheetId="26">'[33]PER,COM.PRO.ADI1'!#REF!</definedName>
    <definedName name="REEUMEN" localSheetId="20">'[32]PER,COM.PRO.ADI1'!#REF!</definedName>
    <definedName name="REEUMEN" localSheetId="25">'[32]PER,COM.PRO.ADI1'!#REF!</definedName>
    <definedName name="REEUMEN" localSheetId="1">'[33]PER,COM.PRO.ADI1'!#REF!</definedName>
    <definedName name="REEUMEN">'[32]PER,COM.PRO.ADI1'!#REF!</definedName>
    <definedName name="REINTEGRO" localSheetId="7">#REF!</definedName>
    <definedName name="REINTEGRO" localSheetId="26">#REF!</definedName>
    <definedName name="REINTEGRO" localSheetId="1">#REF!</definedName>
    <definedName name="REINTEGRO">#REF!</definedName>
    <definedName name="RESUMEN" localSheetId="7">#REF!</definedName>
    <definedName name="RESUMEN" localSheetId="26">#REF!</definedName>
    <definedName name="RESUMEN" localSheetId="1">#REF!</definedName>
    <definedName name="RESUMEN">#REF!</definedName>
    <definedName name="s" localSheetId="7">#REF!</definedName>
    <definedName name="s" localSheetId="21">#REF!</definedName>
    <definedName name="s" localSheetId="26">#REF!</definedName>
    <definedName name="s" localSheetId="20">#REF!</definedName>
    <definedName name="s" localSheetId="25">#REF!</definedName>
    <definedName name="s" localSheetId="1">#REF!</definedName>
    <definedName name="s">#REF!</definedName>
    <definedName name="saldo" localSheetId="7">#REF!</definedName>
    <definedName name="saldo" localSheetId="21">#REF!</definedName>
    <definedName name="saldo" localSheetId="26">#REF!</definedName>
    <definedName name="saldo" localSheetId="20">#REF!</definedName>
    <definedName name="saldo" localSheetId="25">#REF!</definedName>
    <definedName name="saldo" localSheetId="1">#REF!</definedName>
    <definedName name="saldo" localSheetId="5">#REF!</definedName>
    <definedName name="saldo">#REF!</definedName>
    <definedName name="SUSTENTO" localSheetId="7">#REF!</definedName>
    <definedName name="SUSTENTO" localSheetId="26">#REF!</definedName>
    <definedName name="SUSTENTO" localSheetId="1">#REF!</definedName>
    <definedName name="SUSTENTO">#REF!</definedName>
    <definedName name="SUSTENTO6" localSheetId="7">#REF!</definedName>
    <definedName name="SUSTENTO6" localSheetId="26">#REF!</definedName>
    <definedName name="SUSTENTO6" localSheetId="1">#REF!</definedName>
    <definedName name="SUSTENTO6">#REF!</definedName>
    <definedName name="SUSTENTO7" localSheetId="7">#REF!</definedName>
    <definedName name="SUSTENTO7" localSheetId="26">#REF!</definedName>
    <definedName name="SUSTENTO7" localSheetId="1">#REF!</definedName>
    <definedName name="SUSTENTO7">#REF!</definedName>
    <definedName name="TABLA" localSheetId="7">'[34]Deduccion Reajuste'!#REF!</definedName>
    <definedName name="TABLA" localSheetId="21">'[35]Deduccion Reajuste'!#REF!</definedName>
    <definedName name="TABLA" localSheetId="26">'[36]Deduccion Reajuste'!#REF!</definedName>
    <definedName name="TABLA" localSheetId="20">'[35]Deduccion Reajuste'!#REF!</definedName>
    <definedName name="TABLA" localSheetId="25">'[37]Deduccion Reajuste'!#REF!</definedName>
    <definedName name="TABLA" localSheetId="1">'[36]Deduccion Reajuste'!#REF!</definedName>
    <definedName name="TABLA" localSheetId="8">'[38]Deduccion Reajuste'!#REF!</definedName>
    <definedName name="TABLA">'[35]Deduccion Reajuste'!#REF!</definedName>
    <definedName name="TABLA1" localSheetId="7">#REF!</definedName>
    <definedName name="TABLA1" localSheetId="21">#REF!</definedName>
    <definedName name="TABLA1" localSheetId="26">#REF!</definedName>
    <definedName name="TABLA1" localSheetId="20">#REF!</definedName>
    <definedName name="TABLA1" localSheetId="25">#REF!</definedName>
    <definedName name="TABLA1">#REF!</definedName>
    <definedName name="TABLA2" localSheetId="7">#REF!</definedName>
    <definedName name="TABLA2">#REF!</definedName>
    <definedName name="TABLAS" localSheetId="21">#REF!</definedName>
    <definedName name="TABLAS" localSheetId="20">#REF!</definedName>
    <definedName name="TABLAS">#REF!</definedName>
    <definedName name="TCOS" localSheetId="21">#REF!</definedName>
    <definedName name="TCOS" localSheetId="20">#REF!</definedName>
    <definedName name="TCOS">#REF!</definedName>
    <definedName name="_xlnm.Print_Titles" localSheetId="21">'Agregado Grueso IU 5'!$1:$9</definedName>
    <definedName name="_xlnm.Print_Titles" localSheetId="9">'Amort mat'!$1:$7</definedName>
    <definedName name="_xlnm.Print_Titles" localSheetId="13">'Asfalto IU 13'!$1:$11</definedName>
    <definedName name="_xlnm.Print_Titles" localSheetId="14">'Cem. Asfalt. IU 20'!$1:$11</definedName>
    <definedName name="_xlnm.Print_Titles" localSheetId="15">'Cemento IU 21 (2)'!$1:$11</definedName>
    <definedName name="_xlnm.Print_Titles" localSheetId="22">'Cemento Port I IU 21'!$1:$9</definedName>
    <definedName name="_xlnm.Print_Titles" localSheetId="12">'Combustible IU 49'!$1:$11</definedName>
    <definedName name="_xlnm.Print_Titles" localSheetId="20">'Concreto Pre IU 80'!$1:$11</definedName>
    <definedName name="_xlnm.Print_Titles" localSheetId="10">D.Q.N.C.!$1:$8</definedName>
    <definedName name="_xlnm.Print_Titles" localSheetId="18">'Equipo IU 49'!$1:$11</definedName>
    <definedName name="_xlnm.Print_Titles" localSheetId="5">K!$B:$K</definedName>
    <definedName name="_xlnm.Print_Titles" localSheetId="11">'Madera IU 45'!$1:$11</definedName>
    <definedName name="_xlnm.Print_Titles" localSheetId="17">'Madera IU 45 (2)'!$1:$11</definedName>
    <definedName name="_xlnm.Print_Titles" localSheetId="8">'Mat Utiliza'!$1:$10</definedName>
    <definedName name="_xlnm.Print_Titles" localSheetId="19">'Petróleo IU 53'!$1:$11</definedName>
    <definedName name="_xlnm.Print_Titles" localSheetId="23">'Res.Adel.Mat.'!$2:$8</definedName>
    <definedName name="_xlnm.Print_Titles" localSheetId="24">resumen!$A:$B,resumen!$1:$10</definedName>
    <definedName name="_xlnm.Print_Titles" localSheetId="3">valoriz!$1:$11</definedName>
    <definedName name="_xlnm.Print_Titles" localSheetId="16">'Varios IU 30 (2)'!$1:$11</definedName>
    <definedName name="Títulos_a_imprimir_IM" localSheetId="7">#REF!</definedName>
    <definedName name="Títulos_a_imprimir_IM" localSheetId="21">#REF!</definedName>
    <definedName name="Títulos_a_imprimir_IM" localSheetId="26">#REF!</definedName>
    <definedName name="Títulos_a_imprimir_IM" localSheetId="20">#REF!</definedName>
    <definedName name="Títulos_a_imprimir_IM" localSheetId="25">#REF!</definedName>
    <definedName name="Títulos_a_imprimir_IM" localSheetId="1">#REF!</definedName>
    <definedName name="Títulos_a_imprimir_IM">#REF!</definedName>
    <definedName name="TOTAL" localSheetId="7">#REF!</definedName>
    <definedName name="TOTAL" localSheetId="21">#REF!</definedName>
    <definedName name="TOTAL" localSheetId="26">#REF!</definedName>
    <definedName name="TOTAL" localSheetId="20">#REF!</definedName>
    <definedName name="TOTAL" localSheetId="25">#REF!</definedName>
    <definedName name="TOTAL" localSheetId="1">#REF!</definedName>
    <definedName name="TOTAL" localSheetId="5">#REF!</definedName>
    <definedName name="TOTAL">#REF!</definedName>
    <definedName name="Total_Scheduled_Jobhours">#REF!</definedName>
    <definedName name="UNIDAD" localSheetId="7">'[4]RES,MET,ADI1'!#REF!</definedName>
    <definedName name="UNIDAD" localSheetId="21">'[5]RES,MET,ADI1'!#REF!</definedName>
    <definedName name="UNIDAD" localSheetId="26">'[6]RES,MET,ADI1'!#REF!</definedName>
    <definedName name="UNIDAD" localSheetId="20">'[5]RES,MET,ADI1'!#REF!</definedName>
    <definedName name="UNIDAD" localSheetId="25">'[5]RES,MET,ADI1'!#REF!</definedName>
    <definedName name="UNIDAD" localSheetId="1">'[6]RES,MET,ADI1'!#REF!</definedName>
    <definedName name="UNIDAD">'[5]RES,MET,ADI1'!#REF!</definedName>
    <definedName name="VALA1" localSheetId="7">#REF!</definedName>
    <definedName name="VALA1" localSheetId="21">#REF!</definedName>
    <definedName name="VALA1" localSheetId="26">#REF!</definedName>
    <definedName name="VALA1" localSheetId="20">#REF!</definedName>
    <definedName name="VALA1" localSheetId="25">#REF!</definedName>
    <definedName name="VALA1" localSheetId="1">#REF!</definedName>
    <definedName name="VALA1">#REF!</definedName>
    <definedName name="VALO1" localSheetId="7">#REF!</definedName>
    <definedName name="VALO1" localSheetId="26">#REF!</definedName>
    <definedName name="VALO1" localSheetId="1">#REF!</definedName>
    <definedName name="VALO1">#REF!</definedName>
    <definedName name="VALOA1" localSheetId="7">#REF!</definedName>
    <definedName name="VALOA1" localSheetId="21">#REF!</definedName>
    <definedName name="VALOA1" localSheetId="26">#REF!</definedName>
    <definedName name="VALOA1" localSheetId="20">#REF!</definedName>
    <definedName name="VALOA1" localSheetId="25">#REF!</definedName>
    <definedName name="VALOA1" localSheetId="1">#REF!</definedName>
    <definedName name="VALOA1">#REF!</definedName>
    <definedName name="VALOAD1" localSheetId="7">#REF!</definedName>
    <definedName name="VALOAD1" localSheetId="21">#REF!</definedName>
    <definedName name="VALOAD1" localSheetId="26">#REF!</definedName>
    <definedName name="VALOAD1" localSheetId="20">#REF!</definedName>
    <definedName name="VALOAD1" localSheetId="25">#REF!</definedName>
    <definedName name="VALOAD1" localSheetId="1">#REF!</definedName>
    <definedName name="VALOAD1">#REF!</definedName>
    <definedName name="VALOADI1" localSheetId="7">#REF!</definedName>
    <definedName name="VALOADI1" localSheetId="26">#REF!</definedName>
    <definedName name="VALOADI1" localSheetId="1">#REF!</definedName>
    <definedName name="VALOADI1">#REF!</definedName>
    <definedName name="VALORIZACION_MES">'[39]VALORIZACION 10'!$J$90</definedName>
    <definedName name="xx">[40]Hoja1!$K$20:$K$93</definedName>
    <definedName name="xxx">[40]Hoja1!$J$20:$J$93</definedName>
    <definedName name="Z_45F329CA_E9E7_11D7_A877_00E07DA7DA85_.wvu.PrintArea" localSheetId="24" hidden="1">resumen!$A$1:$I$42</definedName>
    <definedName name="Z_45F329CA_E9E7_11D7_A877_00E07DA7DA85_.wvu.PrintArea" localSheetId="4" hidden="1">Retencion!$A$1:$Q$24</definedName>
    <definedName name="Z_45F329CA_E9E7_11D7_A877_00E07DA7DA85_.wvu.PrintArea" localSheetId="6" hidden="1">Val_reaj!$A$1:$J$34</definedName>
    <definedName name="Z_45F329CA_E9E7_11D7_A877_00E07DA7DA85_.wvu.PrintArea" localSheetId="3" hidden="1">valoriz!$A$1:$O$253</definedName>
    <definedName name="Z_45F329CA_E9E7_11D7_A877_00E07DA7DA85_.wvu.PrintTitles" localSheetId="3" hidden="1">valoriz!$5:$11</definedName>
    <definedName name="Z_5DD7C280_E9C1_11D7_A877_00E07DA7DA85_.wvu.Cols" localSheetId="24" hidden="1">resumen!$I:$I</definedName>
    <definedName name="Z_5DD7C280_E9C1_11D7_A877_00E07DA7DA85_.wvu.PrintArea" localSheetId="4" hidden="1">Retencion!$A$1:$Q$24</definedName>
    <definedName name="Z_5DD7C280_E9C1_11D7_A877_00E07DA7DA85_.wvu.PrintArea" localSheetId="6" hidden="1">Val_reaj!$A$1:$J$34</definedName>
    <definedName name="Z_5DD7C280_E9C1_11D7_A877_00E07DA7DA85_.wvu.PrintArea" localSheetId="3" hidden="1">valoriz!$A$1:$O$253</definedName>
    <definedName name="Z_5DD7C280_E9C1_11D7_A877_00E07DA7DA85_.wvu.PrintTitles" localSheetId="3" hidden="1">valoriz!$5:$11</definedName>
    <definedName name="Z_6E522E40_ADAC_11D9_BF96_E1679183EC62_.wvu.PrintArea" localSheetId="24" hidden="1">resumen!$A$1:$I$42</definedName>
    <definedName name="Z_6E522E40_ADAC_11D9_BF96_E1679183EC62_.wvu.PrintArea" localSheetId="4" hidden="1">Retencion!$A$1:$Q$24</definedName>
    <definedName name="Z_6E522E40_ADAC_11D9_BF96_E1679183EC62_.wvu.PrintArea" localSheetId="6" hidden="1">Val_reaj!$A$1:$J$34</definedName>
    <definedName name="Z_6E522E40_ADAC_11D9_BF96_E1679183EC62_.wvu.PrintArea" localSheetId="3" hidden="1">valoriz!$A$1:$O$253</definedName>
    <definedName name="Z_6E522E40_ADAC_11D9_BF96_E1679183EC62_.wvu.PrintTitles" localSheetId="3" hidden="1">valoriz!$5:$11</definedName>
    <definedName name="Z_96ADFEC0_F4F1_11D7_8BBA_444553540000_.wvu.PrintArea" localSheetId="24" hidden="1">resumen!$A$1:$I$42</definedName>
    <definedName name="Z_96ADFEC0_F4F1_11D7_8BBA_444553540000_.wvu.PrintArea" localSheetId="4" hidden="1">Retencion!$A$1:$Q$24</definedName>
    <definedName name="Z_96ADFEC0_F4F1_11D7_8BBA_444553540000_.wvu.PrintArea" localSheetId="6" hidden="1">Val_reaj!$A$1:$J$34</definedName>
    <definedName name="Z_96ADFEC0_F4F1_11D7_8BBA_444553540000_.wvu.PrintArea" localSheetId="3" hidden="1">valoriz!$A$1:$O$253</definedName>
    <definedName name="Z_96ADFEC0_F4F1_11D7_8BBA_444553540000_.wvu.PrintTitles" localSheetId="3" hidden="1">valoriz!$5:$11</definedName>
    <definedName name="Z_CEA23600_97CC_11D9_BFD0_00E07DEB8876_.wvu.PrintArea" localSheetId="24" hidden="1">resumen!$A$1:$I$42</definedName>
    <definedName name="Z_CEA23600_97CC_11D9_BFD0_00E07DEB8876_.wvu.PrintArea" localSheetId="4" hidden="1">Retencion!$A$1:$Q$24</definedName>
    <definedName name="Z_CEA23600_97CC_11D9_BFD0_00E07DEB8876_.wvu.PrintArea" localSheetId="6" hidden="1">Val_reaj!$A$1:$J$34</definedName>
    <definedName name="Z_CEA23600_97CC_11D9_BFD0_00E07DEB8876_.wvu.PrintArea" localSheetId="3" hidden="1">valoriz!$A$1:$O$253</definedName>
    <definedName name="Z_CEA23600_97CC_11D9_BFD0_00E07DEB8876_.wvu.PrintTitles" localSheetId="3" hidden="1">valoriz!$5:$11</definedName>
    <definedName name="Z_E2D6C99B_B71A_11D9_AA94_00E07DBAFB56_.wvu.PrintArea" localSheetId="24" hidden="1">resumen!$A$1:$I$42</definedName>
    <definedName name="Z_E2D6C99B_B71A_11D9_AA94_00E07DBAFB56_.wvu.PrintArea" localSheetId="4" hidden="1">Retencion!$A$1:$Q$26</definedName>
    <definedName name="Z_E2D6C99B_B71A_11D9_AA94_00E07DBAFB56_.wvu.PrintArea" localSheetId="6" hidden="1">Val_reaj!$A$1:$J$35</definedName>
    <definedName name="Z_E2D6C99B_B71A_11D9_AA94_00E07DBAFB56_.wvu.PrintArea" localSheetId="3" hidden="1">valoriz!$A$1:$O$253</definedName>
    <definedName name="Z_E2D6C99B_B71A_11D9_AA94_00E07DBAFB56_.wvu.PrintTitles" localSheetId="3" hidden="1">valoriz!$5:$11</definedName>
    <definedName name="ZANJAS" localSheetId="7">#REF!</definedName>
    <definedName name="ZANJAS" localSheetId="26">#REF!</definedName>
    <definedName name="ZANJAS" localSheetId="1">#REF!</definedName>
    <definedName name="ZANJAS">#REF!</definedName>
  </definedNames>
  <calcPr calcId="191029"/>
  <customWorkbookViews>
    <customWorkbookView name="PC03 - Vista personalizada" guid="{CEA23600-97CC-11D9-BFD0-00E07DEB8876}" mergeInterval="0" personalView="1" maximized="1" windowWidth="796" windowHeight="408" tabRatio="599" activeSheetId="25"/>
    <customWorkbookView name="Diseño - Vista personalizada" guid="{96ADFEC0-F4F1-11D7-8BBA-444553540000}" mergeInterval="0" personalView="1" maximized="1" xWindow="517" yWindow="24" windowWidth="498" windowHeight="259" tabRatio="599" activeSheetId="8"/>
    <customWorkbookView name="Antonio - Vista personalizada" guid="{5DD7C280-E9C1-11D7-A877-00E07DA7DA85}" mergeInterval="0" personalView="1" maximized="1" windowWidth="1020" windowHeight="579" tabRatio="599" activeSheetId="13"/>
    <customWorkbookView name="Marcos Mogollon - Vista personalizada" guid="{45F329CA-E9E7-11D7-A877-00E07DA7DA85}" mergeInterval="0" personalView="1" maximized="1" windowWidth="1020" windowHeight="579" tabRatio="599" activeSheetId="26"/>
    <customWorkbookView name="AREA TECNICA - Vista personalizada" guid="{6E522E40-ADAC-11D9-BF96-E1679183EC62}" mergeInterval="0" personalView="1" maximized="1" windowWidth="1020" windowHeight="606" tabRatio="599" activeSheetId="2" showComments="commIndAndComment"/>
    <customWorkbookView name="Jroose - Vista personalizada" guid="{E2D6C99B-B71A-11D9-AA94-00E07DBAFB56}" mergeInterval="0" personalView="1" maximized="1" windowWidth="796" windowHeight="410" tabRatio="599" activeSheetId="33"/>
  </customWorkbookViews>
</workbook>
</file>

<file path=xl/calcChain.xml><?xml version="1.0" encoding="utf-8"?>
<calcChain xmlns="http://schemas.openxmlformats.org/spreadsheetml/2006/main">
  <c r="X14" i="93" l="1"/>
  <c r="W14" i="93"/>
  <c r="K257" i="42" l="1"/>
  <c r="G257" i="42"/>
  <c r="G15" i="8" l="1"/>
  <c r="G17" i="8"/>
  <c r="B25" i="43"/>
  <c r="A25" i="43"/>
  <c r="A34" i="72" s="1"/>
  <c r="B34" i="72"/>
  <c r="F17" i="4"/>
  <c r="F9" i="4"/>
  <c r="K15" i="8"/>
  <c r="X13" i="93"/>
  <c r="K16" i="93"/>
  <c r="K15" i="93"/>
  <c r="I15" i="93"/>
  <c r="K34" i="72"/>
  <c r="F24" i="43"/>
  <c r="G25" i="43"/>
  <c r="O19" i="71" l="1"/>
  <c r="O18" i="71"/>
  <c r="O17" i="71"/>
  <c r="O16" i="71"/>
  <c r="O15" i="71"/>
  <c r="O14" i="71"/>
  <c r="M19" i="71"/>
  <c r="M18" i="71"/>
  <c r="M17" i="71"/>
  <c r="M16" i="71"/>
  <c r="M15" i="71"/>
  <c r="M14" i="71"/>
  <c r="M110" i="95"/>
  <c r="H110" i="95"/>
  <c r="D82" i="95"/>
  <c r="G97" i="95" s="1"/>
  <c r="J73" i="95"/>
  <c r="V24" i="95"/>
  <c r="D70" i="95"/>
  <c r="D61" i="95"/>
  <c r="D52" i="95"/>
  <c r="D25" i="95"/>
  <c r="D43" i="95"/>
  <c r="D34" i="95"/>
  <c r="B35" i="81"/>
  <c r="F207" i="42" l="1"/>
  <c r="F206" i="42" s="1"/>
  <c r="H207" i="42"/>
  <c r="H206" i="42" s="1"/>
  <c r="I207" i="42"/>
  <c r="J207" i="42"/>
  <c r="J206" i="42" s="1"/>
  <c r="L207" i="42"/>
  <c r="L206" i="42" s="1"/>
  <c r="N207" i="42"/>
  <c r="O207" i="42" s="1"/>
  <c r="O206" i="42" s="1"/>
  <c r="F209" i="42"/>
  <c r="H209" i="42"/>
  <c r="I209" i="42"/>
  <c r="J209" i="42"/>
  <c r="L209" i="42"/>
  <c r="N209" i="42"/>
  <c r="O209" i="42" s="1"/>
  <c r="F210" i="42"/>
  <c r="H210" i="42"/>
  <c r="I210" i="42"/>
  <c r="J210" i="42" s="1"/>
  <c r="L210" i="42"/>
  <c r="N210" i="42"/>
  <c r="O210" i="42" s="1"/>
  <c r="F211" i="42"/>
  <c r="H211" i="42"/>
  <c r="I211" i="42"/>
  <c r="J211" i="42" s="1"/>
  <c r="L211" i="42"/>
  <c r="N211" i="42"/>
  <c r="O211" i="42" s="1"/>
  <c r="F213" i="42"/>
  <c r="H213" i="42"/>
  <c r="I213" i="42"/>
  <c r="J213" i="42" s="1"/>
  <c r="L213" i="42"/>
  <c r="N213" i="42"/>
  <c r="O213" i="42" s="1"/>
  <c r="F214" i="42"/>
  <c r="H214" i="42"/>
  <c r="I214" i="42"/>
  <c r="J214" i="42" s="1"/>
  <c r="L214" i="42"/>
  <c r="N214" i="42"/>
  <c r="O214" i="42"/>
  <c r="F215" i="42"/>
  <c r="H215" i="42"/>
  <c r="I215" i="42"/>
  <c r="J215" i="42" s="1"/>
  <c r="L215" i="42"/>
  <c r="M215" i="42" s="1"/>
  <c r="N215" i="42"/>
  <c r="O215" i="42" s="1"/>
  <c r="P215" i="42" s="1"/>
  <c r="F216" i="42"/>
  <c r="H216" i="42"/>
  <c r="I216" i="42"/>
  <c r="J216" i="42" s="1"/>
  <c r="L216" i="42"/>
  <c r="M216" i="42" s="1"/>
  <c r="N216" i="42"/>
  <c r="O216" i="42" s="1"/>
  <c r="P216" i="42" s="1"/>
  <c r="F217" i="42"/>
  <c r="H217" i="42"/>
  <c r="I217" i="42"/>
  <c r="J217" i="42" s="1"/>
  <c r="L217" i="42"/>
  <c r="M217" i="42" s="1"/>
  <c r="N217" i="42"/>
  <c r="O217" i="42" s="1"/>
  <c r="F218" i="42"/>
  <c r="H218" i="42"/>
  <c r="I218" i="42"/>
  <c r="J218" i="42" s="1"/>
  <c r="L218" i="42"/>
  <c r="N218" i="42"/>
  <c r="O218" i="42" s="1"/>
  <c r="F219" i="42"/>
  <c r="H219" i="42"/>
  <c r="I219" i="42"/>
  <c r="J219" i="42"/>
  <c r="L219" i="42"/>
  <c r="M219" i="42" s="1"/>
  <c r="N219" i="42"/>
  <c r="O219" i="42" s="1"/>
  <c r="P219" i="42" s="1"/>
  <c r="M210" i="42" l="1"/>
  <c r="M211" i="42"/>
  <c r="M214" i="42"/>
  <c r="P210" i="42"/>
  <c r="L208" i="42"/>
  <c r="L205" i="42" s="1"/>
  <c r="O208" i="42"/>
  <c r="P218" i="42"/>
  <c r="H208" i="42"/>
  <c r="L212" i="42"/>
  <c r="H212" i="42"/>
  <c r="P217" i="42"/>
  <c r="M213" i="42"/>
  <c r="F212" i="42"/>
  <c r="M212" i="42" s="1"/>
  <c r="M218" i="42"/>
  <c r="F208" i="42"/>
  <c r="F205" i="42" s="1"/>
  <c r="P206" i="42"/>
  <c r="M206" i="42"/>
  <c r="J212" i="42"/>
  <c r="O212" i="42"/>
  <c r="P212" i="42" s="1"/>
  <c r="J208" i="42"/>
  <c r="P211" i="42"/>
  <c r="P209" i="42"/>
  <c r="P207" i="42"/>
  <c r="P214" i="42"/>
  <c r="P213" i="42"/>
  <c r="M209" i="42"/>
  <c r="M207" i="42"/>
  <c r="I241" i="42"/>
  <c r="I236" i="42"/>
  <c r="I235" i="42"/>
  <c r="I234" i="42"/>
  <c r="I233" i="42"/>
  <c r="I232" i="42"/>
  <c r="I231" i="42"/>
  <c r="I230" i="42"/>
  <c r="I228" i="42"/>
  <c r="I227" i="42"/>
  <c r="I225" i="42"/>
  <c r="I224" i="42"/>
  <c r="I204" i="42"/>
  <c r="I203" i="42"/>
  <c r="I202" i="42"/>
  <c r="I201" i="42"/>
  <c r="I200" i="42"/>
  <c r="I199" i="42"/>
  <c r="I197" i="42"/>
  <c r="I196" i="42"/>
  <c r="I194" i="42"/>
  <c r="I189" i="42"/>
  <c r="I188" i="42"/>
  <c r="I187" i="42"/>
  <c r="I185" i="42"/>
  <c r="I184" i="42"/>
  <c r="I183" i="42"/>
  <c r="I182" i="42"/>
  <c r="I181" i="42"/>
  <c r="I180" i="42"/>
  <c r="I179" i="42"/>
  <c r="I177" i="42"/>
  <c r="I176" i="42"/>
  <c r="I174" i="42"/>
  <c r="I173" i="42"/>
  <c r="I172" i="42"/>
  <c r="I171" i="42"/>
  <c r="I170" i="42"/>
  <c r="I168" i="42"/>
  <c r="I167" i="42"/>
  <c r="I166" i="42"/>
  <c r="I165" i="42"/>
  <c r="I163" i="42"/>
  <c r="I159" i="42"/>
  <c r="I157" i="42"/>
  <c r="I155" i="42"/>
  <c r="I153" i="42"/>
  <c r="I152" i="42"/>
  <c r="I151" i="42"/>
  <c r="I150" i="42"/>
  <c r="I149" i="42"/>
  <c r="I147" i="42"/>
  <c r="I146" i="42"/>
  <c r="I145" i="42"/>
  <c r="I144" i="42"/>
  <c r="I143" i="42"/>
  <c r="I142" i="42"/>
  <c r="I140" i="42"/>
  <c r="I139" i="42"/>
  <c r="I137" i="42"/>
  <c r="I136" i="42"/>
  <c r="I135" i="42"/>
  <c r="I134" i="42"/>
  <c r="I133" i="42"/>
  <c r="I132" i="42"/>
  <c r="I130" i="42"/>
  <c r="I129" i="42"/>
  <c r="I128" i="42"/>
  <c r="I126" i="42"/>
  <c r="I125" i="42"/>
  <c r="I124" i="42"/>
  <c r="I123" i="42"/>
  <c r="I122" i="42"/>
  <c r="I120" i="42"/>
  <c r="I119" i="42"/>
  <c r="I118" i="42"/>
  <c r="I117" i="42"/>
  <c r="I116" i="42"/>
  <c r="I114" i="42"/>
  <c r="I113" i="42"/>
  <c r="I112" i="42"/>
  <c r="I111" i="42"/>
  <c r="I109" i="42"/>
  <c r="I105" i="42"/>
  <c r="I104" i="42"/>
  <c r="I103" i="42"/>
  <c r="I102" i="42"/>
  <c r="I101" i="42"/>
  <c r="I100" i="42"/>
  <c r="I99" i="42"/>
  <c r="I98" i="42"/>
  <c r="I96" i="42"/>
  <c r="I94" i="42"/>
  <c r="I93" i="42"/>
  <c r="I92" i="42"/>
  <c r="I90" i="42"/>
  <c r="I87" i="42"/>
  <c r="I85" i="42"/>
  <c r="I84" i="42"/>
  <c r="I83" i="42"/>
  <c r="I81" i="42"/>
  <c r="I79" i="42"/>
  <c r="I76" i="42"/>
  <c r="I75" i="42"/>
  <c r="I74" i="42"/>
  <c r="I73" i="42"/>
  <c r="I70" i="42"/>
  <c r="I69" i="42"/>
  <c r="I67" i="42"/>
  <c r="I66" i="42"/>
  <c r="I65" i="42"/>
  <c r="I64" i="42"/>
  <c r="I63" i="42"/>
  <c r="I62" i="42"/>
  <c r="I61" i="42"/>
  <c r="I60" i="42"/>
  <c r="I58" i="42"/>
  <c r="I56" i="42"/>
  <c r="I55" i="42"/>
  <c r="I54" i="42"/>
  <c r="I53" i="42"/>
  <c r="I51" i="42"/>
  <c r="I49" i="42"/>
  <c r="I48" i="42"/>
  <c r="I47" i="42"/>
  <c r="I46" i="42"/>
  <c r="I45" i="42"/>
  <c r="I40" i="42"/>
  <c r="I39" i="42"/>
  <c r="I38" i="42"/>
  <c r="I37" i="42"/>
  <c r="I36" i="42"/>
  <c r="I34" i="42"/>
  <c r="I32" i="42"/>
  <c r="I29" i="42"/>
  <c r="I28" i="42"/>
  <c r="I26" i="42"/>
  <c r="I24" i="42"/>
  <c r="I23" i="42"/>
  <c r="I20" i="42"/>
  <c r="I19" i="42"/>
  <c r="I18" i="42"/>
  <c r="I17" i="42"/>
  <c r="P208" i="42" l="1"/>
  <c r="J205" i="42"/>
  <c r="M205" i="42"/>
  <c r="M208" i="42"/>
  <c r="H205" i="42"/>
  <c r="O205" i="42"/>
  <c r="P205" i="42" s="1"/>
  <c r="I17" i="8" l="1"/>
  <c r="H45" i="72" l="1"/>
  <c r="I21" i="71"/>
  <c r="F21" i="72"/>
  <c r="C22" i="43" l="1"/>
  <c r="A2" i="8" l="1"/>
  <c r="R23" i="42" l="1"/>
  <c r="N241" i="42" l="1"/>
  <c r="O241" i="42" s="1"/>
  <c r="O240" i="42" s="1"/>
  <c r="L236" i="42"/>
  <c r="L235" i="42"/>
  <c r="L233" i="42"/>
  <c r="L232" i="42"/>
  <c r="N231" i="42"/>
  <c r="O231" i="42" s="1"/>
  <c r="N230" i="42"/>
  <c r="O230" i="42" s="1"/>
  <c r="L228" i="42"/>
  <c r="N227" i="42"/>
  <c r="O227" i="42" s="1"/>
  <c r="N204" i="42"/>
  <c r="O204" i="42" s="1"/>
  <c r="N202" i="42"/>
  <c r="O202" i="42" s="1"/>
  <c r="N201" i="42"/>
  <c r="O201" i="42" s="1"/>
  <c r="L199" i="42"/>
  <c r="L197" i="42"/>
  <c r="N196" i="42"/>
  <c r="O196" i="42" s="1"/>
  <c r="N194" i="42"/>
  <c r="O194" i="42" s="1"/>
  <c r="O193" i="42" s="1"/>
  <c r="N187" i="42"/>
  <c r="O187" i="42" s="1"/>
  <c r="N185" i="42"/>
  <c r="O185" i="42" s="1"/>
  <c r="L184" i="42"/>
  <c r="L183" i="42"/>
  <c r="L182" i="42"/>
  <c r="N181" i="42"/>
  <c r="O181" i="42" s="1"/>
  <c r="N179" i="42"/>
  <c r="O179" i="42" s="1"/>
  <c r="N177" i="42"/>
  <c r="O177" i="42" s="1"/>
  <c r="N176" i="42"/>
  <c r="O176" i="42" s="1"/>
  <c r="N174" i="42"/>
  <c r="O174" i="42" s="1"/>
  <c r="N173" i="42"/>
  <c r="O173" i="42" s="1"/>
  <c r="L172" i="42"/>
  <c r="L171" i="42"/>
  <c r="N170" i="42"/>
  <c r="O170" i="42" s="1"/>
  <c r="N168" i="42"/>
  <c r="O168" i="42" s="1"/>
  <c r="N167" i="42"/>
  <c r="O167" i="42" s="1"/>
  <c r="L166" i="42"/>
  <c r="L165" i="42"/>
  <c r="L163" i="42"/>
  <c r="L162" i="42" s="1"/>
  <c r="L159" i="42"/>
  <c r="L158" i="42" s="1"/>
  <c r="N157" i="42"/>
  <c r="O157" i="42" s="1"/>
  <c r="O156" i="42" s="1"/>
  <c r="N153" i="42"/>
  <c r="O153" i="42" s="1"/>
  <c r="L150" i="42"/>
  <c r="N149" i="42"/>
  <c r="O149" i="42" s="1"/>
  <c r="N147" i="42"/>
  <c r="O147" i="42" s="1"/>
  <c r="L146" i="42"/>
  <c r="N144" i="42"/>
  <c r="O144" i="42" s="1"/>
  <c r="L140" i="42"/>
  <c r="N139" i="42"/>
  <c r="O139" i="42" s="1"/>
  <c r="N137" i="42"/>
  <c r="O137" i="42" s="1"/>
  <c r="N134" i="42"/>
  <c r="O134" i="42" s="1"/>
  <c r="L130" i="42"/>
  <c r="N129" i="42"/>
  <c r="O129" i="42" s="1"/>
  <c r="N128" i="42"/>
  <c r="O128" i="42" s="1"/>
  <c r="N126" i="42"/>
  <c r="O126" i="42" s="1"/>
  <c r="L124" i="42"/>
  <c r="L120" i="42"/>
  <c r="L119" i="42"/>
  <c r="N118" i="42"/>
  <c r="O118" i="42" s="1"/>
  <c r="N117" i="42"/>
  <c r="O117" i="42" s="1"/>
  <c r="L114" i="42"/>
  <c r="L111" i="42"/>
  <c r="L109" i="42"/>
  <c r="L108" i="42" s="1"/>
  <c r="L105" i="42"/>
  <c r="N104" i="42"/>
  <c r="O104" i="42" s="1"/>
  <c r="L103" i="42"/>
  <c r="L102" i="42"/>
  <c r="L100" i="42"/>
  <c r="L99" i="42"/>
  <c r="L98" i="42"/>
  <c r="N96" i="42"/>
  <c r="O96" i="42" s="1"/>
  <c r="O95" i="42" s="1"/>
  <c r="N93" i="42"/>
  <c r="O93" i="42" s="1"/>
  <c r="N87" i="42"/>
  <c r="O87" i="42" s="1"/>
  <c r="O86" i="42" s="1"/>
  <c r="L85" i="42"/>
  <c r="N84" i="42"/>
  <c r="O84" i="42" s="1"/>
  <c r="N83" i="42"/>
  <c r="O83" i="42" s="1"/>
  <c r="L79" i="42"/>
  <c r="L78" i="42" s="1"/>
  <c r="N76" i="42"/>
  <c r="O76" i="42" s="1"/>
  <c r="L74" i="42"/>
  <c r="L73" i="42"/>
  <c r="N70" i="42"/>
  <c r="O70" i="42" s="1"/>
  <c r="N69" i="42"/>
  <c r="O69" i="42" s="1"/>
  <c r="L66" i="42"/>
  <c r="N65" i="42"/>
  <c r="O65" i="42" s="1"/>
  <c r="L63" i="42"/>
  <c r="N62" i="42"/>
  <c r="O62" i="42" s="1"/>
  <c r="L61" i="42"/>
  <c r="N60" i="42"/>
  <c r="O60" i="42" s="1"/>
  <c r="N58" i="42"/>
  <c r="O58" i="42" s="1"/>
  <c r="O57" i="42" s="1"/>
  <c r="N56" i="42"/>
  <c r="O56" i="42" s="1"/>
  <c r="L55" i="42"/>
  <c r="N54" i="42"/>
  <c r="O54" i="42" s="1"/>
  <c r="L53" i="42"/>
  <c r="N51" i="42"/>
  <c r="O51" i="42" s="1"/>
  <c r="O50" i="42" s="1"/>
  <c r="N49" i="42"/>
  <c r="O49" i="42" s="1"/>
  <c r="N48" i="42"/>
  <c r="O48" i="42" s="1"/>
  <c r="N47" i="42"/>
  <c r="O47" i="42" s="1"/>
  <c r="L46" i="42"/>
  <c r="N45" i="42"/>
  <c r="O45" i="42" s="1"/>
  <c r="L26" i="42"/>
  <c r="L25" i="42" s="1"/>
  <c r="N235" i="42"/>
  <c r="O235" i="42" s="1"/>
  <c r="N234" i="42"/>
  <c r="O234" i="42" s="1"/>
  <c r="N233" i="42"/>
  <c r="O233" i="42" s="1"/>
  <c r="N225" i="42"/>
  <c r="O225" i="42" s="1"/>
  <c r="N224" i="42"/>
  <c r="O224" i="42" s="1"/>
  <c r="N203" i="42"/>
  <c r="O203" i="42" s="1"/>
  <c r="N200" i="42"/>
  <c r="O200" i="42" s="1"/>
  <c r="N189" i="42"/>
  <c r="O189" i="42" s="1"/>
  <c r="N188" i="42"/>
  <c r="O188" i="42" s="1"/>
  <c r="N180" i="42"/>
  <c r="O180" i="42" s="1"/>
  <c r="N166" i="42"/>
  <c r="O166" i="42" s="1"/>
  <c r="N155" i="42"/>
  <c r="O155" i="42" s="1"/>
  <c r="O154" i="42" s="1"/>
  <c r="N152" i="42"/>
  <c r="O152" i="42" s="1"/>
  <c r="N151" i="42"/>
  <c r="O151" i="42" s="1"/>
  <c r="N146" i="42"/>
  <c r="O146" i="42" s="1"/>
  <c r="N145" i="42"/>
  <c r="O145" i="42" s="1"/>
  <c r="N143" i="42"/>
  <c r="O143" i="42" s="1"/>
  <c r="N142" i="42"/>
  <c r="O142" i="42" s="1"/>
  <c r="N136" i="42"/>
  <c r="O136" i="42" s="1"/>
  <c r="N135" i="42"/>
  <c r="O135" i="42" s="1"/>
  <c r="N133" i="42"/>
  <c r="O133" i="42" s="1"/>
  <c r="N132" i="42"/>
  <c r="O132" i="42" s="1"/>
  <c r="N125" i="42"/>
  <c r="O125" i="42" s="1"/>
  <c r="N123" i="42"/>
  <c r="O123" i="42" s="1"/>
  <c r="N122" i="42"/>
  <c r="O122" i="42" s="1"/>
  <c r="N116" i="42"/>
  <c r="O116" i="42" s="1"/>
  <c r="N113" i="42"/>
  <c r="N112" i="42"/>
  <c r="O112" i="42" s="1"/>
  <c r="N111" i="42"/>
  <c r="O111" i="42" s="1"/>
  <c r="N101" i="42"/>
  <c r="O101" i="42" s="1"/>
  <c r="N100" i="42"/>
  <c r="O100" i="42" s="1"/>
  <c r="N94" i="42"/>
  <c r="O94" i="42" s="1"/>
  <c r="N92" i="42"/>
  <c r="O92" i="42" s="1"/>
  <c r="N90" i="42"/>
  <c r="O90" i="42" s="1"/>
  <c r="O89" i="42" s="1"/>
  <c r="N81" i="42"/>
  <c r="O81" i="42" s="1"/>
  <c r="O80" i="42" s="1"/>
  <c r="N75" i="42"/>
  <c r="O75" i="42" s="1"/>
  <c r="N67" i="42"/>
  <c r="O67" i="42" s="1"/>
  <c r="N64" i="42"/>
  <c r="O64" i="42" s="1"/>
  <c r="N63" i="42"/>
  <c r="O63" i="42" s="1"/>
  <c r="N55" i="42"/>
  <c r="O55" i="42" s="1"/>
  <c r="O113" i="42"/>
  <c r="L241" i="42"/>
  <c r="L240" i="42" s="1"/>
  <c r="L234" i="42"/>
  <c r="L227" i="42"/>
  <c r="L225" i="42"/>
  <c r="L224" i="42"/>
  <c r="L204" i="42"/>
  <c r="L203" i="42"/>
  <c r="L200" i="42"/>
  <c r="L196" i="42"/>
  <c r="L194" i="42"/>
  <c r="L193" i="42" s="1"/>
  <c r="L189" i="42"/>
  <c r="L188" i="42"/>
  <c r="L180" i="42"/>
  <c r="L179" i="42"/>
  <c r="L176" i="42"/>
  <c r="L170" i="42"/>
  <c r="L168" i="42"/>
  <c r="L155" i="42"/>
  <c r="L154" i="42" s="1"/>
  <c r="L152" i="42"/>
  <c r="L151" i="42"/>
  <c r="L147" i="42"/>
  <c r="L145" i="42"/>
  <c r="L143" i="42"/>
  <c r="L142" i="42"/>
  <c r="L136" i="42"/>
  <c r="L135" i="42"/>
  <c r="L134" i="42"/>
  <c r="L133" i="42"/>
  <c r="L132" i="42"/>
  <c r="L125" i="42"/>
  <c r="L123" i="42"/>
  <c r="L122" i="42"/>
  <c r="L116" i="42"/>
  <c r="L113" i="42"/>
  <c r="L112" i="42"/>
  <c r="L104" i="42"/>
  <c r="L101" i="42"/>
  <c r="L94" i="42"/>
  <c r="L92" i="42"/>
  <c r="L90" i="42"/>
  <c r="L89" i="42" s="1"/>
  <c r="L81" i="42"/>
  <c r="L80" i="42" s="1"/>
  <c r="L76" i="42"/>
  <c r="L75" i="42"/>
  <c r="L67" i="42"/>
  <c r="L65" i="42"/>
  <c r="L64" i="42"/>
  <c r="L47" i="42"/>
  <c r="L45" i="42"/>
  <c r="H241" i="42"/>
  <c r="H240" i="42" s="1"/>
  <c r="H238" i="42"/>
  <c r="H237" i="42"/>
  <c r="H236" i="42"/>
  <c r="H235" i="42"/>
  <c r="H234" i="42"/>
  <c r="H233" i="42"/>
  <c r="H232" i="42"/>
  <c r="H231" i="42"/>
  <c r="H230" i="42"/>
  <c r="H228" i="42"/>
  <c r="H227" i="42"/>
  <c r="H225" i="42"/>
  <c r="H224" i="42"/>
  <c r="H204" i="42"/>
  <c r="H203" i="42"/>
  <c r="H202" i="42"/>
  <c r="H201" i="42"/>
  <c r="H200" i="42"/>
  <c r="H199" i="42"/>
  <c r="H197" i="42"/>
  <c r="H196" i="42"/>
  <c r="H194" i="42"/>
  <c r="H193" i="42" s="1"/>
  <c r="H189" i="42"/>
  <c r="H188" i="42"/>
  <c r="H187" i="42"/>
  <c r="H185" i="42"/>
  <c r="H184" i="42"/>
  <c r="H183" i="42"/>
  <c r="H182" i="42"/>
  <c r="H181" i="42"/>
  <c r="H180" i="42"/>
  <c r="H179" i="42"/>
  <c r="H177" i="42"/>
  <c r="H176" i="42"/>
  <c r="H174" i="42"/>
  <c r="H173" i="42"/>
  <c r="H172" i="42"/>
  <c r="H171" i="42"/>
  <c r="H170" i="42"/>
  <c r="H168" i="42"/>
  <c r="H167" i="42"/>
  <c r="H166" i="42"/>
  <c r="H165" i="42"/>
  <c r="H163" i="42"/>
  <c r="H162" i="42" s="1"/>
  <c r="H159" i="42"/>
  <c r="H158" i="42" s="1"/>
  <c r="H157" i="42"/>
  <c r="H156" i="42" s="1"/>
  <c r="H155" i="42"/>
  <c r="H154" i="42" s="1"/>
  <c r="H153" i="42"/>
  <c r="H152" i="42"/>
  <c r="H151" i="42"/>
  <c r="H150" i="42"/>
  <c r="H149" i="42"/>
  <c r="H147" i="42"/>
  <c r="H146" i="42"/>
  <c r="H145" i="42"/>
  <c r="H144" i="42"/>
  <c r="H143" i="42"/>
  <c r="H142" i="42"/>
  <c r="H140" i="42"/>
  <c r="H139" i="42"/>
  <c r="H137" i="42"/>
  <c r="H136" i="42"/>
  <c r="H135" i="42"/>
  <c r="H134" i="42"/>
  <c r="H133" i="42"/>
  <c r="H132" i="42"/>
  <c r="H130" i="42"/>
  <c r="H129" i="42"/>
  <c r="H128" i="42"/>
  <c r="H126" i="42"/>
  <c r="H125" i="42"/>
  <c r="H124" i="42"/>
  <c r="H123" i="42"/>
  <c r="H122" i="42"/>
  <c r="H120" i="42"/>
  <c r="H119" i="42"/>
  <c r="H118" i="42"/>
  <c r="H117" i="42"/>
  <c r="H116" i="42"/>
  <c r="H114" i="42"/>
  <c r="H113" i="42"/>
  <c r="H112" i="42"/>
  <c r="H111" i="42"/>
  <c r="H109" i="42"/>
  <c r="H108" i="42" s="1"/>
  <c r="H105" i="42"/>
  <c r="H104" i="42"/>
  <c r="H103" i="42"/>
  <c r="H102" i="42"/>
  <c r="H101" i="42"/>
  <c r="H100" i="42"/>
  <c r="H99" i="42"/>
  <c r="H98" i="42"/>
  <c r="H96" i="42"/>
  <c r="H95" i="42" s="1"/>
  <c r="H94" i="42"/>
  <c r="H93" i="42"/>
  <c r="H92" i="42"/>
  <c r="H90" i="42"/>
  <c r="H89" i="42" s="1"/>
  <c r="H87" i="42"/>
  <c r="H86" i="42" s="1"/>
  <c r="H85" i="42"/>
  <c r="H84" i="42"/>
  <c r="H83" i="42"/>
  <c r="H81" i="42"/>
  <c r="H80" i="42" s="1"/>
  <c r="H79" i="42"/>
  <c r="H78" i="42" s="1"/>
  <c r="H76" i="42"/>
  <c r="H75" i="42"/>
  <c r="H74" i="42"/>
  <c r="H73" i="42"/>
  <c r="H70" i="42"/>
  <c r="H69" i="42"/>
  <c r="H67" i="42"/>
  <c r="H66" i="42"/>
  <c r="H65" i="42"/>
  <c r="H64" i="42"/>
  <c r="H63" i="42"/>
  <c r="H62" i="42"/>
  <c r="H61" i="42"/>
  <c r="H60" i="42"/>
  <c r="H58" i="42"/>
  <c r="H57" i="42" s="1"/>
  <c r="H56" i="42"/>
  <c r="H55" i="42"/>
  <c r="H54" i="42"/>
  <c r="H53" i="42"/>
  <c r="H51" i="42"/>
  <c r="H50" i="42" s="1"/>
  <c r="H49" i="42"/>
  <c r="H48" i="42"/>
  <c r="H47" i="42"/>
  <c r="H46" i="42"/>
  <c r="H45" i="42"/>
  <c r="H40" i="42"/>
  <c r="H39" i="42"/>
  <c r="H38" i="42"/>
  <c r="H37" i="42"/>
  <c r="H36" i="42"/>
  <c r="H34" i="42"/>
  <c r="H33" i="42" s="1"/>
  <c r="H32" i="42"/>
  <c r="H31" i="42" s="1"/>
  <c r="H29" i="42"/>
  <c r="H28" i="42"/>
  <c r="H26" i="42"/>
  <c r="H25" i="42" s="1"/>
  <c r="H24" i="42"/>
  <c r="H23" i="42"/>
  <c r="H20" i="42"/>
  <c r="H19" i="42"/>
  <c r="H18" i="42"/>
  <c r="H17" i="42"/>
  <c r="F241" i="42"/>
  <c r="F240" i="42" s="1"/>
  <c r="F238" i="42"/>
  <c r="F237" i="42"/>
  <c r="F236" i="42"/>
  <c r="F235" i="42"/>
  <c r="F234" i="42"/>
  <c r="F233" i="42"/>
  <c r="F232" i="42"/>
  <c r="F231" i="42"/>
  <c r="F230" i="42"/>
  <c r="F228" i="42"/>
  <c r="F227" i="42"/>
  <c r="F225" i="42"/>
  <c r="F224" i="42"/>
  <c r="J228" i="42"/>
  <c r="F204" i="42"/>
  <c r="F203" i="42"/>
  <c r="F202" i="42"/>
  <c r="F201" i="42"/>
  <c r="F200" i="42"/>
  <c r="F199" i="42"/>
  <c r="F197" i="42"/>
  <c r="F196" i="42"/>
  <c r="F194" i="42"/>
  <c r="F193" i="42" s="1"/>
  <c r="J203" i="42"/>
  <c r="J201" i="42"/>
  <c r="J199" i="42"/>
  <c r="J194" i="42"/>
  <c r="J193" i="42" s="1"/>
  <c r="F189" i="42"/>
  <c r="F188" i="42"/>
  <c r="F187" i="42"/>
  <c r="F185" i="42"/>
  <c r="F184" i="42"/>
  <c r="F183" i="42"/>
  <c r="F182" i="42"/>
  <c r="F181" i="42"/>
  <c r="F180" i="42"/>
  <c r="F179" i="42"/>
  <c r="F177" i="42"/>
  <c r="F176" i="42"/>
  <c r="F174" i="42"/>
  <c r="F173" i="42"/>
  <c r="F172" i="42"/>
  <c r="F171" i="42"/>
  <c r="F170" i="42"/>
  <c r="F168" i="42"/>
  <c r="F167" i="42"/>
  <c r="F166" i="42"/>
  <c r="F165" i="42"/>
  <c r="F163" i="42"/>
  <c r="F162" i="42" s="1"/>
  <c r="J176" i="42"/>
  <c r="J173" i="42"/>
  <c r="J171" i="42"/>
  <c r="F159" i="42"/>
  <c r="F158" i="42" s="1"/>
  <c r="F157" i="42"/>
  <c r="F156" i="42" s="1"/>
  <c r="F155" i="42"/>
  <c r="F154" i="42" s="1"/>
  <c r="F153" i="42"/>
  <c r="F152" i="42"/>
  <c r="F151" i="42"/>
  <c r="F150" i="42"/>
  <c r="F149" i="42"/>
  <c r="F147" i="42"/>
  <c r="F146" i="42"/>
  <c r="F145" i="42"/>
  <c r="F144" i="42"/>
  <c r="F143" i="42"/>
  <c r="F142" i="42"/>
  <c r="F140" i="42"/>
  <c r="F139" i="42"/>
  <c r="F137" i="42"/>
  <c r="F136" i="42"/>
  <c r="F135" i="42"/>
  <c r="F134" i="42"/>
  <c r="F133" i="42"/>
  <c r="F132" i="42"/>
  <c r="F130" i="42"/>
  <c r="F129" i="42"/>
  <c r="F128" i="42"/>
  <c r="F126" i="42"/>
  <c r="F125" i="42"/>
  <c r="F124" i="42"/>
  <c r="F123" i="42"/>
  <c r="F122" i="42"/>
  <c r="F120" i="42"/>
  <c r="F119" i="42"/>
  <c r="F118" i="42"/>
  <c r="F117" i="42"/>
  <c r="F116" i="42"/>
  <c r="F114" i="42"/>
  <c r="F113" i="42"/>
  <c r="F112" i="42"/>
  <c r="F111" i="42"/>
  <c r="F109" i="42"/>
  <c r="F108" i="42" s="1"/>
  <c r="J153" i="42"/>
  <c r="J152" i="42"/>
  <c r="J151" i="42"/>
  <c r="J149" i="42"/>
  <c r="F105" i="42"/>
  <c r="F104" i="42"/>
  <c r="F103" i="42"/>
  <c r="F102" i="42"/>
  <c r="F101" i="42"/>
  <c r="F100" i="42"/>
  <c r="F99" i="42"/>
  <c r="F98" i="42"/>
  <c r="F96" i="42"/>
  <c r="F95" i="42" s="1"/>
  <c r="F94" i="42"/>
  <c r="F93" i="42"/>
  <c r="F92" i="42"/>
  <c r="F90" i="42"/>
  <c r="F89" i="42" s="1"/>
  <c r="F87" i="42"/>
  <c r="F86" i="42" s="1"/>
  <c r="F85" i="42"/>
  <c r="F84" i="42"/>
  <c r="F83" i="42"/>
  <c r="F81" i="42"/>
  <c r="F80" i="42" s="1"/>
  <c r="F79" i="42"/>
  <c r="F78" i="42" s="1"/>
  <c r="F76" i="42"/>
  <c r="F75" i="42"/>
  <c r="F74" i="42"/>
  <c r="F73" i="42"/>
  <c r="F70" i="42"/>
  <c r="F69" i="42"/>
  <c r="F67" i="42"/>
  <c r="F66" i="42"/>
  <c r="F65" i="42"/>
  <c r="F64" i="42"/>
  <c r="F63" i="42"/>
  <c r="F62" i="42"/>
  <c r="F61" i="42"/>
  <c r="F60" i="42"/>
  <c r="F58" i="42"/>
  <c r="F57" i="42" s="1"/>
  <c r="F56" i="42"/>
  <c r="F55" i="42"/>
  <c r="F54" i="42"/>
  <c r="F53" i="42"/>
  <c r="F51" i="42"/>
  <c r="F50" i="42" s="1"/>
  <c r="F49" i="42"/>
  <c r="F48" i="42"/>
  <c r="F47" i="42"/>
  <c r="F46" i="42"/>
  <c r="F45" i="42"/>
  <c r="J94" i="42"/>
  <c r="J92" i="42"/>
  <c r="F40" i="42"/>
  <c r="F39" i="42"/>
  <c r="F38" i="42"/>
  <c r="F37" i="42"/>
  <c r="F36" i="42"/>
  <c r="F34" i="42"/>
  <c r="F33" i="42" s="1"/>
  <c r="F32" i="42"/>
  <c r="F31" i="42" s="1"/>
  <c r="F29" i="42"/>
  <c r="F28" i="42"/>
  <c r="F26" i="42"/>
  <c r="F25" i="42" s="1"/>
  <c r="F24" i="42"/>
  <c r="F23" i="42"/>
  <c r="F20" i="42"/>
  <c r="F19" i="42"/>
  <c r="F18" i="42"/>
  <c r="F17" i="42"/>
  <c r="H223" i="42" l="1"/>
  <c r="P139" i="42"/>
  <c r="L202" i="42"/>
  <c r="M202" i="42" s="1"/>
  <c r="L93" i="42"/>
  <c r="M93" i="42" s="1"/>
  <c r="N79" i="42"/>
  <c r="O79" i="42" s="1"/>
  <c r="O78" i="42" s="1"/>
  <c r="N236" i="42"/>
  <c r="O236" i="42" s="1"/>
  <c r="P236" i="42" s="1"/>
  <c r="L230" i="42"/>
  <c r="M230" i="42" s="1"/>
  <c r="N53" i="42"/>
  <c r="O53" i="42" s="1"/>
  <c r="O52" i="42" s="1"/>
  <c r="H68" i="42"/>
  <c r="H195" i="42"/>
  <c r="L48" i="42"/>
  <c r="N114" i="42"/>
  <c r="O114" i="42" s="1"/>
  <c r="O110" i="42" s="1"/>
  <c r="L49" i="42"/>
  <c r="N232" i="42"/>
  <c r="O232" i="42" s="1"/>
  <c r="P232" i="42" s="1"/>
  <c r="H27" i="42"/>
  <c r="N102" i="42"/>
  <c r="O102" i="42" s="1"/>
  <c r="P102" i="42" s="1"/>
  <c r="L149" i="42"/>
  <c r="M149" i="42" s="1"/>
  <c r="N109" i="42"/>
  <c r="O109" i="42" s="1"/>
  <c r="O108" i="42" s="1"/>
  <c r="N197" i="42"/>
  <c r="O197" i="42" s="1"/>
  <c r="O195" i="42" s="1"/>
  <c r="N99" i="42"/>
  <c r="O99" i="42" s="1"/>
  <c r="P99" i="42" s="1"/>
  <c r="N85" i="42"/>
  <c r="O85" i="42" s="1"/>
  <c r="O82" i="42" s="1"/>
  <c r="L87" i="42"/>
  <c r="L86" i="42" s="1"/>
  <c r="N74" i="42"/>
  <c r="O74" i="42" s="1"/>
  <c r="P74" i="42" s="1"/>
  <c r="L62" i="42"/>
  <c r="M62" i="42" s="1"/>
  <c r="N66" i="42"/>
  <c r="O66" i="42" s="1"/>
  <c r="N46" i="42"/>
  <c r="O46" i="42" s="1"/>
  <c r="O44" i="42" s="1"/>
  <c r="N103" i="42"/>
  <c r="O103" i="42" s="1"/>
  <c r="P103" i="42" s="1"/>
  <c r="N61" i="42"/>
  <c r="O61" i="42" s="1"/>
  <c r="P61" i="42" s="1"/>
  <c r="L83" i="42"/>
  <c r="L60" i="42"/>
  <c r="L69" i="42"/>
  <c r="M69" i="42" s="1"/>
  <c r="L84" i="42"/>
  <c r="M84" i="42" s="1"/>
  <c r="L96" i="42"/>
  <c r="L95" i="42" s="1"/>
  <c r="L70" i="42"/>
  <c r="M70" i="42" s="1"/>
  <c r="N105" i="42"/>
  <c r="O105" i="42" s="1"/>
  <c r="P105" i="42" s="1"/>
  <c r="N98" i="42"/>
  <c r="O98" i="42" s="1"/>
  <c r="P98" i="42" s="1"/>
  <c r="L126" i="42"/>
  <c r="M126" i="42" s="1"/>
  <c r="L157" i="42"/>
  <c r="L156" i="42" s="1"/>
  <c r="N124" i="42"/>
  <c r="O124" i="42" s="1"/>
  <c r="O121" i="42" s="1"/>
  <c r="N119" i="42"/>
  <c r="O119" i="42" s="1"/>
  <c r="L153" i="42"/>
  <c r="M153" i="42" s="1"/>
  <c r="L137" i="42"/>
  <c r="M137" i="42" s="1"/>
  <c r="N159" i="42"/>
  <c r="O159" i="42" s="1"/>
  <c r="O158" i="42" s="1"/>
  <c r="L128" i="42"/>
  <c r="M128" i="42" s="1"/>
  <c r="L139" i="42"/>
  <c r="M139" i="42" s="1"/>
  <c r="L118" i="42"/>
  <c r="L129" i="42"/>
  <c r="M129" i="42" s="1"/>
  <c r="H175" i="42"/>
  <c r="N163" i="42"/>
  <c r="O163" i="42" s="1"/>
  <c r="O162" i="42" s="1"/>
  <c r="L167" i="42"/>
  <c r="M167" i="42" s="1"/>
  <c r="L187" i="42"/>
  <c r="L186" i="42" s="1"/>
  <c r="N182" i="42"/>
  <c r="O182" i="42" s="1"/>
  <c r="P182" i="42" s="1"/>
  <c r="L173" i="42"/>
  <c r="M173" i="42" s="1"/>
  <c r="N171" i="42"/>
  <c r="O171" i="42" s="1"/>
  <c r="P171" i="42" s="1"/>
  <c r="N184" i="42"/>
  <c r="O184" i="42" s="1"/>
  <c r="P184" i="42" s="1"/>
  <c r="N183" i="42"/>
  <c r="O183" i="42" s="1"/>
  <c r="N172" i="42"/>
  <c r="O172" i="42" s="1"/>
  <c r="L177" i="42"/>
  <c r="L175" i="42" s="1"/>
  <c r="L72" i="42"/>
  <c r="F226" i="42"/>
  <c r="N120" i="42"/>
  <c r="O120" i="42" s="1"/>
  <c r="P120" i="42" s="1"/>
  <c r="N130" i="42"/>
  <c r="O130" i="42" s="1"/>
  <c r="O127" i="42" s="1"/>
  <c r="N140" i="42"/>
  <c r="O140" i="42" s="1"/>
  <c r="O138" i="42" s="1"/>
  <c r="N199" i="42"/>
  <c r="O199" i="42" s="1"/>
  <c r="P199" i="42" s="1"/>
  <c r="M179" i="42"/>
  <c r="L195" i="42"/>
  <c r="O223" i="42"/>
  <c r="L51" i="42"/>
  <c r="L50" i="42" s="1"/>
  <c r="F223" i="42"/>
  <c r="N228" i="42"/>
  <c r="O228" i="42" s="1"/>
  <c r="O226" i="42" s="1"/>
  <c r="L226" i="42"/>
  <c r="L223" i="42"/>
  <c r="L185" i="42"/>
  <c r="M185" i="42" s="1"/>
  <c r="L181" i="42"/>
  <c r="L174" i="42"/>
  <c r="M174" i="42" s="1"/>
  <c r="N165" i="42"/>
  <c r="O165" i="42" s="1"/>
  <c r="O164" i="42" s="1"/>
  <c r="L58" i="42"/>
  <c r="L57" i="42" s="1"/>
  <c r="M57" i="42" s="1"/>
  <c r="L54" i="42"/>
  <c r="L56" i="42"/>
  <c r="L231" i="42"/>
  <c r="L201" i="42"/>
  <c r="N150" i="42"/>
  <c r="O150" i="42" s="1"/>
  <c r="O148" i="42" s="1"/>
  <c r="L144" i="42"/>
  <c r="L141" i="42" s="1"/>
  <c r="O141" i="42"/>
  <c r="L121" i="42"/>
  <c r="L117" i="42"/>
  <c r="L110" i="42"/>
  <c r="L97" i="42"/>
  <c r="N73" i="42"/>
  <c r="O73" i="42" s="1"/>
  <c r="N26" i="42"/>
  <c r="O26" i="42" s="1"/>
  <c r="O25" i="42" s="1"/>
  <c r="O91" i="42"/>
  <c r="P133" i="42"/>
  <c r="O68" i="42"/>
  <c r="O131" i="42"/>
  <c r="O175" i="42"/>
  <c r="O186" i="42"/>
  <c r="H16" i="42"/>
  <c r="H44" i="42"/>
  <c r="H72" i="42"/>
  <c r="H82" i="42"/>
  <c r="H77" i="42" s="1"/>
  <c r="H110" i="42"/>
  <c r="H138" i="42"/>
  <c r="H148" i="42"/>
  <c r="H164" i="42"/>
  <c r="H226" i="42"/>
  <c r="H22" i="42"/>
  <c r="H21" i="42" s="1"/>
  <c r="H91" i="42"/>
  <c r="H127" i="42"/>
  <c r="M234" i="42"/>
  <c r="H52" i="42"/>
  <c r="H115" i="42"/>
  <c r="H169" i="42"/>
  <c r="H59" i="42"/>
  <c r="H121" i="42"/>
  <c r="H186" i="42"/>
  <c r="H198" i="42"/>
  <c r="H229" i="42"/>
  <c r="H35" i="42"/>
  <c r="H97" i="42"/>
  <c r="H131" i="42"/>
  <c r="H141" i="42"/>
  <c r="H178" i="42"/>
  <c r="H30" i="42"/>
  <c r="F229" i="42"/>
  <c r="F186" i="42"/>
  <c r="M236" i="42"/>
  <c r="P233" i="42"/>
  <c r="M225" i="42"/>
  <c r="M227" i="42"/>
  <c r="F198" i="42"/>
  <c r="M232" i="42"/>
  <c r="M241" i="42"/>
  <c r="F195" i="42"/>
  <c r="P231" i="42"/>
  <c r="P235" i="42"/>
  <c r="J232" i="42"/>
  <c r="J236" i="42"/>
  <c r="P227" i="42"/>
  <c r="M228" i="42"/>
  <c r="P225" i="42"/>
  <c r="J230" i="42"/>
  <c r="J227" i="42"/>
  <c r="J226" i="42" s="1"/>
  <c r="J241" i="42"/>
  <c r="J240" i="42" s="1"/>
  <c r="J225" i="42"/>
  <c r="J224" i="42"/>
  <c r="J234" i="42"/>
  <c r="M224" i="42"/>
  <c r="P230" i="42"/>
  <c r="M233" i="42"/>
  <c r="P234" i="42"/>
  <c r="M235" i="42"/>
  <c r="P241" i="42"/>
  <c r="J231" i="42"/>
  <c r="J233" i="42"/>
  <c r="J235" i="42"/>
  <c r="M204" i="42"/>
  <c r="F178" i="42"/>
  <c r="P204" i="42"/>
  <c r="P196" i="42"/>
  <c r="J204" i="42"/>
  <c r="J202" i="42"/>
  <c r="F164" i="42"/>
  <c r="F169" i="42"/>
  <c r="F82" i="42"/>
  <c r="F77" i="42" s="1"/>
  <c r="F175" i="42"/>
  <c r="J200" i="42"/>
  <c r="P202" i="42"/>
  <c r="P93" i="42"/>
  <c r="P200" i="42"/>
  <c r="M200" i="42"/>
  <c r="P201" i="42"/>
  <c r="M196" i="42"/>
  <c r="J196" i="42"/>
  <c r="P203" i="42"/>
  <c r="M197" i="42"/>
  <c r="J197" i="42"/>
  <c r="M199" i="42"/>
  <c r="M203" i="42"/>
  <c r="P167" i="42"/>
  <c r="J177" i="42"/>
  <c r="J175" i="42" s="1"/>
  <c r="J183" i="42"/>
  <c r="J185" i="42"/>
  <c r="F138" i="42"/>
  <c r="F148" i="42"/>
  <c r="M168" i="42"/>
  <c r="P187" i="42"/>
  <c r="P170" i="42"/>
  <c r="P185" i="42"/>
  <c r="J137" i="42"/>
  <c r="P125" i="42"/>
  <c r="M130" i="42"/>
  <c r="F121" i="42"/>
  <c r="F131" i="42"/>
  <c r="M172" i="42"/>
  <c r="F59" i="42"/>
  <c r="F72" i="42"/>
  <c r="M159" i="42"/>
  <c r="J172" i="42"/>
  <c r="P174" i="42"/>
  <c r="M183" i="42"/>
  <c r="P189" i="42"/>
  <c r="M170" i="42"/>
  <c r="M188" i="42"/>
  <c r="M85" i="42"/>
  <c r="F52" i="42"/>
  <c r="M147" i="42"/>
  <c r="F127" i="42"/>
  <c r="F141" i="42"/>
  <c r="M163" i="42"/>
  <c r="J170" i="42"/>
  <c r="M171" i="42"/>
  <c r="P188" i="42"/>
  <c r="F91" i="42"/>
  <c r="F97" i="42"/>
  <c r="F110" i="42"/>
  <c r="J163" i="42"/>
  <c r="J162" i="42" s="1"/>
  <c r="M166" i="42"/>
  <c r="J174" i="42"/>
  <c r="P104" i="42"/>
  <c r="F44" i="42"/>
  <c r="F68" i="42"/>
  <c r="M155" i="42"/>
  <c r="F115" i="42"/>
  <c r="M165" i="42"/>
  <c r="P173" i="42"/>
  <c r="J179" i="42"/>
  <c r="J181" i="42"/>
  <c r="J188" i="42"/>
  <c r="J165" i="42"/>
  <c r="J166" i="42"/>
  <c r="P166" i="42"/>
  <c r="J167" i="42"/>
  <c r="J168" i="42"/>
  <c r="P168" i="42"/>
  <c r="P180" i="42"/>
  <c r="J180" i="42"/>
  <c r="M180" i="42"/>
  <c r="J182" i="42"/>
  <c r="M182" i="42"/>
  <c r="P157" i="42"/>
  <c r="P176" i="42"/>
  <c r="M176" i="42"/>
  <c r="P177" i="42"/>
  <c r="P179" i="42"/>
  <c r="P181" i="42"/>
  <c r="M184" i="42"/>
  <c r="M189" i="42"/>
  <c r="J184" i="42"/>
  <c r="J187" i="42"/>
  <c r="J189" i="42"/>
  <c r="P146" i="42"/>
  <c r="P142" i="42"/>
  <c r="M132" i="42"/>
  <c r="M136" i="42"/>
  <c r="M140" i="42"/>
  <c r="M124" i="42"/>
  <c r="P123" i="42"/>
  <c r="P129" i="42"/>
  <c r="P135" i="42"/>
  <c r="M145" i="42"/>
  <c r="M120" i="42"/>
  <c r="M122" i="42"/>
  <c r="M134" i="42"/>
  <c r="J143" i="42"/>
  <c r="P144" i="42"/>
  <c r="M143" i="42"/>
  <c r="J157" i="42"/>
  <c r="J156" i="42" s="1"/>
  <c r="J159" i="42"/>
  <c r="J158" i="42" s="1"/>
  <c r="M152" i="42"/>
  <c r="P149" i="42"/>
  <c r="P152" i="42"/>
  <c r="P153" i="42"/>
  <c r="J155" i="42"/>
  <c r="J154" i="42" s="1"/>
  <c r="M150" i="42"/>
  <c r="P151" i="42"/>
  <c r="P137" i="42"/>
  <c r="J147" i="42"/>
  <c r="J145" i="42"/>
  <c r="J150" i="42"/>
  <c r="J148" i="42" s="1"/>
  <c r="P155" i="42"/>
  <c r="M151" i="42"/>
  <c r="J128" i="42"/>
  <c r="J139" i="42"/>
  <c r="M142" i="42"/>
  <c r="P143" i="42"/>
  <c r="P145" i="42"/>
  <c r="M146" i="42"/>
  <c r="P147" i="42"/>
  <c r="J142" i="42"/>
  <c r="J144" i="42"/>
  <c r="J146" i="42"/>
  <c r="J140" i="42"/>
  <c r="P132" i="42"/>
  <c r="P134" i="42"/>
  <c r="P136" i="42"/>
  <c r="J132" i="42"/>
  <c r="J134" i="42"/>
  <c r="J136" i="42"/>
  <c r="J130" i="42"/>
  <c r="M133" i="42"/>
  <c r="M135" i="42"/>
  <c r="J133" i="42"/>
  <c r="J135" i="42"/>
  <c r="J124" i="42"/>
  <c r="J126" i="42"/>
  <c r="P128" i="42"/>
  <c r="J129" i="42"/>
  <c r="J122" i="42"/>
  <c r="J120" i="42"/>
  <c r="P122" i="42"/>
  <c r="M123" i="42"/>
  <c r="M125" i="42"/>
  <c r="P126" i="42"/>
  <c r="J123" i="42"/>
  <c r="J125" i="42"/>
  <c r="M119" i="42"/>
  <c r="J119" i="42"/>
  <c r="P84" i="42"/>
  <c r="M98" i="42"/>
  <c r="J102" i="42"/>
  <c r="M103" i="42"/>
  <c r="M81" i="42"/>
  <c r="M105" i="42"/>
  <c r="M64" i="42"/>
  <c r="P76" i="42"/>
  <c r="M90" i="42"/>
  <c r="M67" i="42"/>
  <c r="P75" i="42"/>
  <c r="F16" i="42"/>
  <c r="P65" i="42"/>
  <c r="P63" i="42"/>
  <c r="M83" i="42"/>
  <c r="M101" i="42"/>
  <c r="M79" i="42"/>
  <c r="M100" i="42"/>
  <c r="J93" i="42"/>
  <c r="J91" i="42" s="1"/>
  <c r="J104" i="42"/>
  <c r="J101" i="42"/>
  <c r="J103" i="42"/>
  <c r="J105" i="42"/>
  <c r="J96" i="42"/>
  <c r="J95" i="42" s="1"/>
  <c r="P100" i="42"/>
  <c r="P101" i="42"/>
  <c r="M102" i="42"/>
  <c r="M104" i="42"/>
  <c r="J83" i="42"/>
  <c r="J87" i="42"/>
  <c r="J86" i="42" s="1"/>
  <c r="J90" i="42"/>
  <c r="J89" i="42" s="1"/>
  <c r="J98" i="42"/>
  <c r="J100" i="42"/>
  <c r="P92" i="42"/>
  <c r="M99" i="42"/>
  <c r="P96" i="42"/>
  <c r="J99" i="42"/>
  <c r="P94" i="42"/>
  <c r="P81" i="42"/>
  <c r="M92" i="42"/>
  <c r="M94" i="42"/>
  <c r="J79" i="42"/>
  <c r="J78" i="42" s="1"/>
  <c r="P90" i="42"/>
  <c r="J81" i="42"/>
  <c r="J80" i="42" s="1"/>
  <c r="J85" i="42"/>
  <c r="P87" i="42"/>
  <c r="P83" i="42"/>
  <c r="J84" i="42"/>
  <c r="J76" i="42"/>
  <c r="J66" i="42"/>
  <c r="M74" i="42"/>
  <c r="P79" i="42"/>
  <c r="M76" i="42"/>
  <c r="J74" i="42"/>
  <c r="M73" i="42"/>
  <c r="M75" i="42"/>
  <c r="J62" i="42"/>
  <c r="J73" i="42"/>
  <c r="J75" i="42"/>
  <c r="P70" i="42"/>
  <c r="J69" i="42"/>
  <c r="J70" i="42"/>
  <c r="J64" i="42"/>
  <c r="J67" i="42"/>
  <c r="P64" i="42"/>
  <c r="M65" i="42"/>
  <c r="M66" i="42"/>
  <c r="P67" i="42"/>
  <c r="J65" i="42"/>
  <c r="J60" i="42"/>
  <c r="P58" i="42"/>
  <c r="M61" i="42"/>
  <c r="P62" i="42"/>
  <c r="M63" i="42"/>
  <c r="J61" i="42"/>
  <c r="J63" i="42"/>
  <c r="J58" i="42"/>
  <c r="J57" i="42" s="1"/>
  <c r="M58" i="42"/>
  <c r="F30" i="42"/>
  <c r="F22" i="42"/>
  <c r="F27" i="42"/>
  <c r="F35" i="42"/>
  <c r="M26" i="42"/>
  <c r="J26" i="42"/>
  <c r="J25" i="42" s="1"/>
  <c r="P197" i="42" l="1"/>
  <c r="P159" i="42"/>
  <c r="M223" i="42"/>
  <c r="F222" i="42"/>
  <c r="F221" i="42" s="1"/>
  <c r="J223" i="42"/>
  <c r="O77" i="42"/>
  <c r="L91" i="42"/>
  <c r="L88" i="42" s="1"/>
  <c r="L59" i="42"/>
  <c r="M59" i="42" s="1"/>
  <c r="P130" i="42"/>
  <c r="L115" i="42"/>
  <c r="P124" i="42"/>
  <c r="L82" i="42"/>
  <c r="L77" i="42" s="1"/>
  <c r="L71" i="42" s="1"/>
  <c r="O72" i="42"/>
  <c r="O71" i="42" s="1"/>
  <c r="L198" i="42"/>
  <c r="L192" i="42" s="1"/>
  <c r="L191" i="42" s="1"/>
  <c r="F192" i="42"/>
  <c r="F191" i="42" s="1"/>
  <c r="H192" i="42"/>
  <c r="O198" i="42"/>
  <c r="O192" i="42" s="1"/>
  <c r="L148" i="42"/>
  <c r="P228" i="42"/>
  <c r="L44" i="42"/>
  <c r="L52" i="42"/>
  <c r="O59" i="42"/>
  <c r="O43" i="42" s="1"/>
  <c r="M60" i="42"/>
  <c r="O115" i="42"/>
  <c r="O107" i="42" s="1"/>
  <c r="J68" i="42"/>
  <c r="P85" i="42"/>
  <c r="M177" i="42"/>
  <c r="M87" i="42"/>
  <c r="P66" i="42"/>
  <c r="M96" i="42"/>
  <c r="H71" i="42"/>
  <c r="O97" i="42"/>
  <c r="O88" i="42" s="1"/>
  <c r="P73" i="42"/>
  <c r="L68" i="42"/>
  <c r="M68" i="42" s="1"/>
  <c r="L138" i="42"/>
  <c r="M144" i="42"/>
  <c r="P150" i="42"/>
  <c r="P119" i="42"/>
  <c r="M157" i="42"/>
  <c r="L127" i="42"/>
  <c r="L131" i="42"/>
  <c r="P163" i="42"/>
  <c r="L178" i="42"/>
  <c r="O178" i="42"/>
  <c r="P183" i="42"/>
  <c r="O169" i="42"/>
  <c r="M181" i="42"/>
  <c r="L164" i="42"/>
  <c r="P172" i="42"/>
  <c r="M187" i="42"/>
  <c r="P165" i="42"/>
  <c r="H15" i="42"/>
  <c r="H14" i="42" s="1"/>
  <c r="H13" i="42" s="1"/>
  <c r="H222" i="42"/>
  <c r="H221" i="42" s="1"/>
  <c r="M201" i="42"/>
  <c r="L169" i="42"/>
  <c r="P140" i="42"/>
  <c r="M231" i="42"/>
  <c r="P26" i="42"/>
  <c r="J138" i="42"/>
  <c r="J195" i="42"/>
  <c r="H161" i="42"/>
  <c r="J169" i="42"/>
  <c r="H88" i="42"/>
  <c r="J72" i="42"/>
  <c r="H107" i="42"/>
  <c r="H43" i="42"/>
  <c r="J186" i="42"/>
  <c r="J82" i="42"/>
  <c r="J77" i="42" s="1"/>
  <c r="J141" i="42"/>
  <c r="J127" i="42"/>
  <c r="J178" i="42"/>
  <c r="J131" i="42"/>
  <c r="J59" i="42"/>
  <c r="J97" i="42"/>
  <c r="J88" i="42" s="1"/>
  <c r="J121" i="42"/>
  <c r="J164" i="42"/>
  <c r="J198" i="42"/>
  <c r="F161" i="42"/>
  <c r="P226" i="42"/>
  <c r="M226" i="42"/>
  <c r="P224" i="42"/>
  <c r="P223" i="42"/>
  <c r="M194" i="42"/>
  <c r="P194" i="42"/>
  <c r="F107" i="42"/>
  <c r="F88" i="42"/>
  <c r="F71" i="42"/>
  <c r="F43" i="42"/>
  <c r="F21" i="42"/>
  <c r="F15" i="42" s="1"/>
  <c r="F14" i="42" s="1"/>
  <c r="F13" i="42" s="1"/>
  <c r="P57" i="42"/>
  <c r="P69" i="42"/>
  <c r="P68" i="42"/>
  <c r="P60" i="42"/>
  <c r="P59" i="42" l="1"/>
  <c r="L43" i="42"/>
  <c r="L42" i="42" s="1"/>
  <c r="H191" i="42"/>
  <c r="J192" i="42"/>
  <c r="O161" i="42"/>
  <c r="L107" i="42"/>
  <c r="O191" i="42"/>
  <c r="L161" i="42"/>
  <c r="J71" i="42"/>
  <c r="H42" i="42"/>
  <c r="O42" i="42"/>
  <c r="J161" i="42"/>
  <c r="F42" i="42"/>
  <c r="F245" i="42" s="1"/>
  <c r="H245" i="42" l="1"/>
  <c r="H251" i="42" s="1"/>
  <c r="J191" i="42"/>
  <c r="H247" i="42" l="1"/>
  <c r="H246" i="42"/>
  <c r="H248" i="42" s="1"/>
  <c r="H249" i="42" l="1"/>
  <c r="H250" i="42" s="1"/>
  <c r="J53" i="42"/>
  <c r="J54" i="42"/>
  <c r="D15" i="8"/>
  <c r="F15" i="8"/>
  <c r="L17" i="42"/>
  <c r="I54" i="94"/>
  <c r="J54" i="94" s="1"/>
  <c r="R54" i="94" s="1"/>
  <c r="C400" i="74"/>
  <c r="C54" i="82" s="1"/>
  <c r="C82" i="82" s="1"/>
  <c r="C166" i="94"/>
  <c r="C165" i="94"/>
  <c r="B19" i="25"/>
  <c r="C177" i="94"/>
  <c r="C205" i="94" s="1"/>
  <c r="C412" i="74"/>
  <c r="H70" i="95"/>
  <c r="H72" i="95" s="1"/>
  <c r="H61" i="95"/>
  <c r="H63" i="95" s="1"/>
  <c r="H52" i="95"/>
  <c r="H54" i="95" s="1"/>
  <c r="H43" i="95"/>
  <c r="H45" i="95" s="1"/>
  <c r="H34" i="95"/>
  <c r="H36" i="95" s="1"/>
  <c r="H25" i="95"/>
  <c r="H27" i="95" s="1"/>
  <c r="G112" i="95"/>
  <c r="F112" i="95"/>
  <c r="B112" i="95"/>
  <c r="G111" i="95"/>
  <c r="F111" i="95"/>
  <c r="D111" i="95"/>
  <c r="I111" i="95" s="1"/>
  <c r="B111" i="95"/>
  <c r="G110" i="95"/>
  <c r="F110" i="95"/>
  <c r="B110" i="95"/>
  <c r="G109" i="95"/>
  <c r="F109" i="95"/>
  <c r="E109" i="95"/>
  <c r="B109" i="95"/>
  <c r="G108" i="95"/>
  <c r="F108" i="95"/>
  <c r="E108" i="95"/>
  <c r="D108" i="95"/>
  <c r="B108" i="95"/>
  <c r="C99" i="95"/>
  <c r="C112" i="95" s="1"/>
  <c r="C98" i="95"/>
  <c r="C111" i="95" s="1"/>
  <c r="C97" i="95"/>
  <c r="C110" i="95" s="1"/>
  <c r="C96" i="95"/>
  <c r="C109" i="95" s="1"/>
  <c r="C95" i="95"/>
  <c r="C108" i="95" s="1"/>
  <c r="B86" i="95"/>
  <c r="D85" i="95"/>
  <c r="K112" i="95" s="1"/>
  <c r="B85" i="95"/>
  <c r="D84" i="95"/>
  <c r="B84" i="95"/>
  <c r="G99" i="95"/>
  <c r="B82" i="95"/>
  <c r="B81" i="95"/>
  <c r="B80" i="95"/>
  <c r="Q72" i="95"/>
  <c r="M70" i="95"/>
  <c r="V69" i="95"/>
  <c r="Q63" i="95"/>
  <c r="M61" i="95"/>
  <c r="V60" i="95"/>
  <c r="Q54" i="95"/>
  <c r="M52" i="95"/>
  <c r="V51" i="95"/>
  <c r="Q45" i="95"/>
  <c r="M43" i="95"/>
  <c r="V42" i="95"/>
  <c r="Q36" i="95"/>
  <c r="M34" i="95"/>
  <c r="V33" i="95"/>
  <c r="Q27" i="95"/>
  <c r="AJ25" i="95"/>
  <c r="AI25" i="95"/>
  <c r="AF25" i="95"/>
  <c r="AG25" i="95" s="1"/>
  <c r="AE25" i="95"/>
  <c r="AE27" i="95" s="1"/>
  <c r="M25" i="95"/>
  <c r="H135" i="94"/>
  <c r="H137" i="94" s="1"/>
  <c r="H126" i="94"/>
  <c r="H125" i="94"/>
  <c r="H124" i="94"/>
  <c r="H123" i="94"/>
  <c r="H122" i="94"/>
  <c r="H121" i="94"/>
  <c r="M125" i="94"/>
  <c r="L125" i="94"/>
  <c r="U125" i="94" s="1"/>
  <c r="M124" i="94"/>
  <c r="L124" i="94"/>
  <c r="U124" i="94" s="1"/>
  <c r="M123" i="94"/>
  <c r="L123" i="94"/>
  <c r="H112" i="94"/>
  <c r="H111" i="94"/>
  <c r="H110" i="94"/>
  <c r="H101" i="94"/>
  <c r="H100" i="94"/>
  <c r="H99" i="94"/>
  <c r="H98" i="94"/>
  <c r="H97" i="94"/>
  <c r="H96" i="94"/>
  <c r="H95" i="94"/>
  <c r="H94" i="94"/>
  <c r="H93" i="94"/>
  <c r="H92" i="94"/>
  <c r="H91" i="94"/>
  <c r="H90" i="94"/>
  <c r="H81" i="94"/>
  <c r="H80" i="94"/>
  <c r="H79" i="94"/>
  <c r="H78" i="94"/>
  <c r="H77" i="94"/>
  <c r="H76" i="94"/>
  <c r="H75" i="94"/>
  <c r="H74" i="94"/>
  <c r="H73" i="94"/>
  <c r="H72" i="94"/>
  <c r="H71" i="94"/>
  <c r="H70" i="94"/>
  <c r="H69" i="94"/>
  <c r="H68" i="94"/>
  <c r="H67" i="94"/>
  <c r="H66" i="94"/>
  <c r="H65" i="94"/>
  <c r="H64" i="94"/>
  <c r="H63" i="94"/>
  <c r="M79" i="94"/>
  <c r="L79" i="94"/>
  <c r="M78" i="94"/>
  <c r="L78" i="94"/>
  <c r="M77" i="94"/>
  <c r="L77" i="94"/>
  <c r="M76" i="94"/>
  <c r="L76" i="94"/>
  <c r="M75" i="94"/>
  <c r="L75" i="94"/>
  <c r="M74" i="94"/>
  <c r="L74" i="94"/>
  <c r="M73" i="94"/>
  <c r="L73" i="94"/>
  <c r="M72" i="94"/>
  <c r="L72" i="94"/>
  <c r="U72" i="94" s="1"/>
  <c r="M71" i="94"/>
  <c r="L71" i="94"/>
  <c r="M70" i="94"/>
  <c r="L70" i="94"/>
  <c r="M69" i="94"/>
  <c r="L69" i="94"/>
  <c r="M68" i="94"/>
  <c r="L68" i="94"/>
  <c r="M67" i="94"/>
  <c r="L67" i="94"/>
  <c r="M66" i="94"/>
  <c r="L66" i="94"/>
  <c r="H54" i="94"/>
  <c r="H53" i="94"/>
  <c r="H52" i="94"/>
  <c r="H51" i="94"/>
  <c r="H50" i="94"/>
  <c r="H49" i="94"/>
  <c r="H48" i="94"/>
  <c r="H47" i="94"/>
  <c r="H46" i="94"/>
  <c r="H45" i="94"/>
  <c r="H44" i="94"/>
  <c r="H43" i="94"/>
  <c r="H42" i="94"/>
  <c r="H41" i="94"/>
  <c r="H40" i="94"/>
  <c r="H39" i="94"/>
  <c r="H38" i="94"/>
  <c r="H37" i="94"/>
  <c r="H36" i="94"/>
  <c r="H35" i="94"/>
  <c r="H34" i="94"/>
  <c r="H33" i="94"/>
  <c r="H32" i="94"/>
  <c r="M43" i="94"/>
  <c r="L43" i="94"/>
  <c r="M42" i="94"/>
  <c r="L42" i="94"/>
  <c r="M41" i="94"/>
  <c r="L41" i="94"/>
  <c r="M40" i="94"/>
  <c r="U40" i="94" s="1"/>
  <c r="L40" i="94"/>
  <c r="M39" i="94"/>
  <c r="L39" i="94"/>
  <c r="H23" i="94"/>
  <c r="H25" i="94" s="1"/>
  <c r="G205" i="94"/>
  <c r="F205" i="94"/>
  <c r="D205" i="94"/>
  <c r="B205" i="94"/>
  <c r="G204" i="94"/>
  <c r="F204" i="94"/>
  <c r="D204" i="94"/>
  <c r="B204" i="94"/>
  <c r="G203" i="94"/>
  <c r="F203" i="94"/>
  <c r="D203" i="94"/>
  <c r="B203" i="94"/>
  <c r="G202" i="94"/>
  <c r="F202" i="94"/>
  <c r="D202" i="94"/>
  <c r="B202" i="94"/>
  <c r="G201" i="94"/>
  <c r="F201" i="94"/>
  <c r="D201" i="94"/>
  <c r="B201" i="94"/>
  <c r="G200" i="94"/>
  <c r="F200" i="94"/>
  <c r="D200" i="94"/>
  <c r="B200" i="94"/>
  <c r="G199" i="94"/>
  <c r="F199" i="94"/>
  <c r="D199" i="94"/>
  <c r="B199" i="94"/>
  <c r="G198" i="94"/>
  <c r="F198" i="94"/>
  <c r="D198" i="94"/>
  <c r="B198" i="94"/>
  <c r="G197" i="94"/>
  <c r="F197" i="94"/>
  <c r="D197" i="94"/>
  <c r="B197" i="94"/>
  <c r="G196" i="94"/>
  <c r="F196" i="94"/>
  <c r="B196" i="94"/>
  <c r="G195" i="94"/>
  <c r="F195" i="94"/>
  <c r="B195" i="94"/>
  <c r="G194" i="94"/>
  <c r="F194" i="94"/>
  <c r="B194" i="94"/>
  <c r="G193" i="94"/>
  <c r="F193" i="94"/>
  <c r="B193" i="94"/>
  <c r="G192" i="94"/>
  <c r="F192" i="94"/>
  <c r="B192" i="94"/>
  <c r="G191" i="94"/>
  <c r="F191" i="94"/>
  <c r="E191" i="94"/>
  <c r="D191" i="94"/>
  <c r="B191" i="94"/>
  <c r="G190" i="94"/>
  <c r="F190" i="94"/>
  <c r="E190" i="94"/>
  <c r="B190" i="94"/>
  <c r="G189" i="94"/>
  <c r="F189" i="94"/>
  <c r="E189" i="94"/>
  <c r="B189" i="94"/>
  <c r="G188" i="94"/>
  <c r="F188" i="94"/>
  <c r="E188" i="94"/>
  <c r="D188" i="94"/>
  <c r="B188" i="94"/>
  <c r="C176" i="94"/>
  <c r="C204" i="94" s="1"/>
  <c r="C175" i="94"/>
  <c r="C203" i="94" s="1"/>
  <c r="C174" i="94"/>
  <c r="C202" i="94" s="1"/>
  <c r="C173" i="94"/>
  <c r="C201" i="94" s="1"/>
  <c r="C172" i="94"/>
  <c r="C200" i="94" s="1"/>
  <c r="C171" i="94"/>
  <c r="C199" i="94" s="1"/>
  <c r="C170" i="94"/>
  <c r="C198" i="94" s="1"/>
  <c r="C169" i="94"/>
  <c r="C197" i="94" s="1"/>
  <c r="C168" i="94"/>
  <c r="C196" i="94" s="1"/>
  <c r="C167" i="94"/>
  <c r="C195" i="94" s="1"/>
  <c r="C194" i="94"/>
  <c r="C193" i="94"/>
  <c r="C164" i="94"/>
  <c r="C192" i="94" s="1"/>
  <c r="C163" i="94"/>
  <c r="C191" i="94" s="1"/>
  <c r="C162" i="94"/>
  <c r="C190" i="94" s="1"/>
  <c r="C161" i="94"/>
  <c r="C189" i="94" s="1"/>
  <c r="C160" i="94"/>
  <c r="C188" i="94" s="1"/>
  <c r="B151" i="94"/>
  <c r="D150" i="94"/>
  <c r="K204" i="94" s="1"/>
  <c r="B150" i="94"/>
  <c r="D149" i="94"/>
  <c r="B149" i="94"/>
  <c r="D147" i="94"/>
  <c r="G164" i="94" s="1"/>
  <c r="B147" i="94"/>
  <c r="B146" i="94"/>
  <c r="W145" i="94"/>
  <c r="B145" i="94"/>
  <c r="Q137" i="94"/>
  <c r="M135" i="94"/>
  <c r="Q128" i="94"/>
  <c r="M126" i="94"/>
  <c r="M122" i="94"/>
  <c r="M121" i="94"/>
  <c r="V120" i="94"/>
  <c r="Q114" i="94"/>
  <c r="M112" i="94"/>
  <c r="U112" i="94" s="1"/>
  <c r="M111" i="94"/>
  <c r="K111" i="94"/>
  <c r="K112" i="94" s="1"/>
  <c r="M110" i="94"/>
  <c r="V109" i="94"/>
  <c r="Q103" i="94"/>
  <c r="M101" i="94"/>
  <c r="M100" i="94"/>
  <c r="M99" i="94"/>
  <c r="M98" i="94"/>
  <c r="M97" i="94"/>
  <c r="M96" i="94"/>
  <c r="M95" i="94"/>
  <c r="M94" i="94"/>
  <c r="M93" i="94"/>
  <c r="M92" i="94"/>
  <c r="M91" i="94"/>
  <c r="K91" i="94"/>
  <c r="K92" i="94" s="1"/>
  <c r="K93" i="94" s="1"/>
  <c r="K94" i="94" s="1"/>
  <c r="K95" i="94" s="1"/>
  <c r="K96" i="94" s="1"/>
  <c r="K97" i="94" s="1"/>
  <c r="K98" i="94" s="1"/>
  <c r="K99" i="94" s="1"/>
  <c r="K100" i="94" s="1"/>
  <c r="K101" i="94" s="1"/>
  <c r="M90" i="94"/>
  <c r="V89" i="94"/>
  <c r="Q83" i="94"/>
  <c r="M81" i="94"/>
  <c r="M80" i="94"/>
  <c r="M65" i="94"/>
  <c r="L65" i="94"/>
  <c r="U65" i="94" s="1"/>
  <c r="M64" i="94"/>
  <c r="K64" i="94"/>
  <c r="K65" i="94" s="1"/>
  <c r="K66" i="94" s="1"/>
  <c r="K67" i="94" s="1"/>
  <c r="K68" i="94" s="1"/>
  <c r="K69" i="94" s="1"/>
  <c r="K70" i="94" s="1"/>
  <c r="K71" i="94" s="1"/>
  <c r="K72" i="94" s="1"/>
  <c r="K73" i="94" s="1"/>
  <c r="M63" i="94"/>
  <c r="L63" i="94"/>
  <c r="V62" i="94"/>
  <c r="Q56" i="94"/>
  <c r="M54" i="94"/>
  <c r="L54" i="94"/>
  <c r="M53" i="94"/>
  <c r="M52" i="94"/>
  <c r="L52" i="94"/>
  <c r="M51" i="94"/>
  <c r="M50" i="94"/>
  <c r="M49" i="94"/>
  <c r="M48" i="94"/>
  <c r="L48" i="94"/>
  <c r="U48" i="94" s="1"/>
  <c r="M47" i="94"/>
  <c r="L47" i="94"/>
  <c r="M46" i="94"/>
  <c r="L46" i="94"/>
  <c r="M45" i="94"/>
  <c r="M44" i="94"/>
  <c r="L44" i="94"/>
  <c r="M38" i="94"/>
  <c r="M37" i="94"/>
  <c r="M36" i="94"/>
  <c r="M35" i="94"/>
  <c r="L35" i="94"/>
  <c r="M34" i="94"/>
  <c r="L34" i="94"/>
  <c r="M33" i="94"/>
  <c r="L33" i="94"/>
  <c r="K33" i="94"/>
  <c r="K34" i="94" s="1"/>
  <c r="K35" i="94" s="1"/>
  <c r="K36" i="94" s="1"/>
  <c r="K37" i="94" s="1"/>
  <c r="K38" i="94" s="1"/>
  <c r="K39" i="94" s="1"/>
  <c r="K40" i="94" s="1"/>
  <c r="K41" i="94" s="1"/>
  <c r="K42" i="94" s="1"/>
  <c r="K43" i="94" s="1"/>
  <c r="K44" i="94" s="1"/>
  <c r="K45" i="94" s="1"/>
  <c r="K46" i="94" s="1"/>
  <c r="K47" i="94" s="1"/>
  <c r="K48" i="94" s="1"/>
  <c r="K49" i="94" s="1"/>
  <c r="K50" i="94" s="1"/>
  <c r="K51" i="94" s="1"/>
  <c r="K52" i="94" s="1"/>
  <c r="M32" i="94"/>
  <c r="L32" i="94"/>
  <c r="V31" i="94"/>
  <c r="Q25" i="94"/>
  <c r="AJ23" i="94"/>
  <c r="AI23" i="94"/>
  <c r="AF23" i="94"/>
  <c r="AG23" i="94" s="1"/>
  <c r="AE23" i="94"/>
  <c r="AE25" i="94" s="1"/>
  <c r="M23" i="94"/>
  <c r="V22" i="94"/>
  <c r="C411" i="74"/>
  <c r="C65" i="82" s="1"/>
  <c r="C93" i="82" s="1"/>
  <c r="C410" i="74"/>
  <c r="C71" i="78" s="1"/>
  <c r="C99" i="78" s="1"/>
  <c r="H370" i="74"/>
  <c r="H372" i="74" s="1"/>
  <c r="H361" i="74"/>
  <c r="H363" i="74" s="1"/>
  <c r="H352" i="74"/>
  <c r="H354" i="74" s="1"/>
  <c r="H343" i="74"/>
  <c r="H345" i="74" s="1"/>
  <c r="Q345" i="74"/>
  <c r="M343" i="74"/>
  <c r="V342" i="74"/>
  <c r="H334" i="74"/>
  <c r="H336" i="74" s="1"/>
  <c r="Q336" i="74"/>
  <c r="M334" i="74"/>
  <c r="V333" i="74"/>
  <c r="K325" i="74"/>
  <c r="H325" i="74"/>
  <c r="H324" i="74"/>
  <c r="Q327" i="74"/>
  <c r="M325" i="74"/>
  <c r="M324" i="74"/>
  <c r="V323" i="74"/>
  <c r="H315" i="74"/>
  <c r="H314" i="74"/>
  <c r="M315" i="74"/>
  <c r="Q317" i="74"/>
  <c r="M314" i="74"/>
  <c r="V313" i="74"/>
  <c r="H305" i="74"/>
  <c r="H307" i="74" s="1"/>
  <c r="H296" i="74"/>
  <c r="H298" i="74" s="1"/>
  <c r="H287" i="74"/>
  <c r="H286" i="74"/>
  <c r="M287" i="74"/>
  <c r="Q307" i="74"/>
  <c r="M305" i="74"/>
  <c r="V304" i="74"/>
  <c r="Q298" i="74"/>
  <c r="M296" i="74"/>
  <c r="V295" i="74"/>
  <c r="Q289" i="74"/>
  <c r="M286" i="74"/>
  <c r="V285" i="74"/>
  <c r="H277" i="74"/>
  <c r="H279" i="74" s="1"/>
  <c r="H268" i="74"/>
  <c r="H270" i="74" s="1"/>
  <c r="H259" i="74"/>
  <c r="H261" i="74" s="1"/>
  <c r="Q279" i="74"/>
  <c r="M277" i="74"/>
  <c r="V276" i="74"/>
  <c r="Q270" i="74"/>
  <c r="M268" i="74"/>
  <c r="V267" i="74"/>
  <c r="Q261" i="74"/>
  <c r="M259" i="74"/>
  <c r="V258" i="74"/>
  <c r="H250" i="74"/>
  <c r="H249" i="74"/>
  <c r="H248" i="74"/>
  <c r="H247" i="74"/>
  <c r="H246" i="74"/>
  <c r="H245" i="74"/>
  <c r="H244" i="74"/>
  <c r="Q252" i="74"/>
  <c r="M250" i="74"/>
  <c r="M249" i="74"/>
  <c r="M248" i="74"/>
  <c r="M247" i="74"/>
  <c r="M246" i="74"/>
  <c r="M245" i="74"/>
  <c r="K245" i="74"/>
  <c r="K246" i="74"/>
  <c r="M244" i="74"/>
  <c r="V243" i="74"/>
  <c r="H235" i="74"/>
  <c r="H237" i="74" s="1"/>
  <c r="Q237" i="74"/>
  <c r="M235" i="74"/>
  <c r="V234" i="74"/>
  <c r="H226" i="74"/>
  <c r="H228" i="74" s="1"/>
  <c r="Q228" i="74"/>
  <c r="M226" i="74"/>
  <c r="V225" i="74"/>
  <c r="H217" i="74"/>
  <c r="H219" i="74" s="1"/>
  <c r="Q219" i="74"/>
  <c r="M217" i="74"/>
  <c r="V216" i="74"/>
  <c r="H208" i="74"/>
  <c r="H207" i="74"/>
  <c r="H206" i="74"/>
  <c r="H205" i="74"/>
  <c r="H204" i="74"/>
  <c r="Q210" i="74"/>
  <c r="M208" i="74"/>
  <c r="M207" i="74"/>
  <c r="M206" i="74"/>
  <c r="M205" i="74"/>
  <c r="K205" i="74"/>
  <c r="K206" i="74" s="1"/>
  <c r="K207" i="74" s="1"/>
  <c r="K208" i="74" s="1"/>
  <c r="M204" i="74"/>
  <c r="V203" i="74"/>
  <c r="H195" i="74"/>
  <c r="H197" i="74" s="1"/>
  <c r="Q197" i="74"/>
  <c r="M195" i="74"/>
  <c r="V194" i="74"/>
  <c r="H186" i="74"/>
  <c r="H185" i="74"/>
  <c r="H184" i="74"/>
  <c r="H183" i="74"/>
  <c r="H182" i="74"/>
  <c r="H181" i="74"/>
  <c r="H180" i="74"/>
  <c r="H179" i="74"/>
  <c r="H178" i="74"/>
  <c r="H177" i="74"/>
  <c r="H176" i="74"/>
  <c r="M183" i="74"/>
  <c r="M182" i="74"/>
  <c r="M181" i="74"/>
  <c r="M180" i="74"/>
  <c r="Q354" i="74"/>
  <c r="M352" i="74"/>
  <c r="V351" i="74"/>
  <c r="H167" i="74"/>
  <c r="H169" i="74" s="1"/>
  <c r="Q169" i="74"/>
  <c r="M167" i="74"/>
  <c r="V166" i="74"/>
  <c r="H158" i="74"/>
  <c r="H160" i="74" s="1"/>
  <c r="Q160" i="74"/>
  <c r="M158" i="74"/>
  <c r="U158" i="74" s="1"/>
  <c r="U160" i="74" s="1"/>
  <c r="T160" i="74" s="1"/>
  <c r="V157" i="74"/>
  <c r="H149" i="74"/>
  <c r="H151" i="74" s="1"/>
  <c r="Q151" i="74"/>
  <c r="M149" i="74"/>
  <c r="V148" i="74"/>
  <c r="H140" i="74"/>
  <c r="H139" i="74"/>
  <c r="H138" i="74"/>
  <c r="H137" i="74"/>
  <c r="H136" i="74"/>
  <c r="H135" i="74"/>
  <c r="H134" i="74"/>
  <c r="H133" i="74"/>
  <c r="H132" i="74"/>
  <c r="H131" i="74"/>
  <c r="H130" i="74"/>
  <c r="M136" i="74"/>
  <c r="M135" i="74"/>
  <c r="M134" i="74"/>
  <c r="M133" i="74"/>
  <c r="Q142" i="74"/>
  <c r="M140" i="74"/>
  <c r="M139" i="74"/>
  <c r="U139" i="74" s="1"/>
  <c r="M138" i="74"/>
  <c r="M137" i="74"/>
  <c r="M132" i="74"/>
  <c r="M131" i="74"/>
  <c r="K131" i="74"/>
  <c r="K132" i="74" s="1"/>
  <c r="K133" i="74" s="1"/>
  <c r="K134" i="74" s="1"/>
  <c r="K135" i="74" s="1"/>
  <c r="K136" i="74" s="1"/>
  <c r="K137" i="74" s="1"/>
  <c r="K138" i="74" s="1"/>
  <c r="K139" i="74" s="1"/>
  <c r="K140" i="74" s="1"/>
  <c r="M130" i="74"/>
  <c r="V129" i="74"/>
  <c r="H121" i="74"/>
  <c r="H120" i="74"/>
  <c r="H119" i="74"/>
  <c r="Q123" i="74"/>
  <c r="M121" i="74"/>
  <c r="M120" i="74"/>
  <c r="M119" i="74"/>
  <c r="V118" i="74"/>
  <c r="H110" i="74"/>
  <c r="H112" i="74" s="1"/>
  <c r="Q112" i="74"/>
  <c r="M110" i="74"/>
  <c r="V109" i="74"/>
  <c r="K95" i="74"/>
  <c r="K96" i="74" s="1"/>
  <c r="K97" i="74" s="1"/>
  <c r="K98" i="74" s="1"/>
  <c r="K99" i="74" s="1"/>
  <c r="K100" i="74" s="1"/>
  <c r="K101" i="74" s="1"/>
  <c r="H101" i="74"/>
  <c r="H100" i="74"/>
  <c r="H99" i="74"/>
  <c r="H98" i="74"/>
  <c r="H97" i="74"/>
  <c r="H96" i="74"/>
  <c r="H95" i="74"/>
  <c r="H94" i="74"/>
  <c r="M97" i="74"/>
  <c r="Q103" i="74"/>
  <c r="M101" i="74"/>
  <c r="M100" i="74"/>
  <c r="M99" i="74"/>
  <c r="M98" i="74"/>
  <c r="M96" i="74"/>
  <c r="M95" i="74"/>
  <c r="M94" i="74"/>
  <c r="V93" i="74"/>
  <c r="H85" i="74"/>
  <c r="H84" i="74"/>
  <c r="H83" i="74"/>
  <c r="H82" i="74"/>
  <c r="H81" i="74"/>
  <c r="H80" i="74"/>
  <c r="H79" i="74"/>
  <c r="H78" i="74"/>
  <c r="H77" i="74"/>
  <c r="H76" i="74"/>
  <c r="H75" i="74"/>
  <c r="H74" i="74"/>
  <c r="H73" i="74"/>
  <c r="H72" i="74"/>
  <c r="H71" i="74"/>
  <c r="M82" i="74"/>
  <c r="M81" i="74"/>
  <c r="M80" i="74"/>
  <c r="M79" i="74"/>
  <c r="M78" i="74"/>
  <c r="M77" i="74"/>
  <c r="M76" i="74"/>
  <c r="M75" i="74"/>
  <c r="Q87" i="74"/>
  <c r="M85" i="74"/>
  <c r="M84" i="74"/>
  <c r="M83" i="74"/>
  <c r="M74" i="74"/>
  <c r="M73" i="74"/>
  <c r="M72" i="74"/>
  <c r="K72" i="74"/>
  <c r="K73" i="74" s="1"/>
  <c r="K74" i="74" s="1"/>
  <c r="K75" i="74" s="1"/>
  <c r="K76" i="74" s="1"/>
  <c r="K77" i="74" s="1"/>
  <c r="K78" i="74" s="1"/>
  <c r="K79" i="74" s="1"/>
  <c r="K80" i="74" s="1"/>
  <c r="K81" i="74" s="1"/>
  <c r="K82" i="74" s="1"/>
  <c r="K83" i="74" s="1"/>
  <c r="K84" i="74" s="1"/>
  <c r="K85" i="74" s="1"/>
  <c r="M71" i="74"/>
  <c r="V70" i="74"/>
  <c r="H62" i="74"/>
  <c r="H61" i="74"/>
  <c r="H60" i="74"/>
  <c r="H59" i="74"/>
  <c r="H58" i="74"/>
  <c r="H49" i="74"/>
  <c r="H48" i="74"/>
  <c r="H47" i="74"/>
  <c r="H46" i="74"/>
  <c r="H45" i="74"/>
  <c r="H44" i="74"/>
  <c r="H43" i="74"/>
  <c r="H42" i="74"/>
  <c r="H41" i="74"/>
  <c r="H40" i="74"/>
  <c r="H39" i="74"/>
  <c r="H38" i="74"/>
  <c r="H37" i="74"/>
  <c r="H36" i="74"/>
  <c r="H35" i="74"/>
  <c r="H34" i="74"/>
  <c r="H33" i="74"/>
  <c r="H32" i="74"/>
  <c r="M46" i="74"/>
  <c r="M45" i="74"/>
  <c r="M44" i="74"/>
  <c r="M43" i="74"/>
  <c r="M42" i="74"/>
  <c r="M41" i="74"/>
  <c r="M40" i="74"/>
  <c r="M39" i="74"/>
  <c r="M38" i="74"/>
  <c r="M37" i="74"/>
  <c r="M36" i="74"/>
  <c r="H23" i="74"/>
  <c r="H25" i="74" s="1"/>
  <c r="L43" i="74"/>
  <c r="I19" i="79"/>
  <c r="J19" i="79" s="1"/>
  <c r="I12" i="93"/>
  <c r="K12" i="93" s="1"/>
  <c r="S12" i="93"/>
  <c r="U12" i="93" s="1"/>
  <c r="I13" i="93"/>
  <c r="I14" i="93"/>
  <c r="I16" i="93"/>
  <c r="S16" i="93"/>
  <c r="I17" i="93"/>
  <c r="S17" i="93"/>
  <c r="D19" i="93"/>
  <c r="E19" i="93"/>
  <c r="F19" i="93"/>
  <c r="G19" i="93"/>
  <c r="H19" i="93"/>
  <c r="N19" i="93"/>
  <c r="O19" i="93"/>
  <c r="P19" i="93"/>
  <c r="Q19" i="93"/>
  <c r="R19" i="93"/>
  <c r="C9" i="4"/>
  <c r="D9" i="4"/>
  <c r="E9" i="4"/>
  <c r="G9" i="4"/>
  <c r="H9" i="4"/>
  <c r="M9" i="4"/>
  <c r="N9" i="4"/>
  <c r="O9" i="4"/>
  <c r="P9" i="4"/>
  <c r="Q9" i="4"/>
  <c r="C12" i="4"/>
  <c r="E12" i="4"/>
  <c r="G12" i="4"/>
  <c r="H12" i="4"/>
  <c r="I12" i="4"/>
  <c r="J12" i="4"/>
  <c r="K12" i="4"/>
  <c r="L12" i="4"/>
  <c r="M12" i="4"/>
  <c r="N12" i="4"/>
  <c r="P12" i="4"/>
  <c r="Q12" i="4"/>
  <c r="C16" i="4"/>
  <c r="G16" i="4"/>
  <c r="H16" i="4"/>
  <c r="I16" i="4"/>
  <c r="J16" i="4"/>
  <c r="K16" i="4"/>
  <c r="L16" i="4"/>
  <c r="M16" i="4"/>
  <c r="N16" i="4"/>
  <c r="O16" i="4"/>
  <c r="P16" i="4"/>
  <c r="Q16" i="4"/>
  <c r="B20" i="4"/>
  <c r="C21" i="4"/>
  <c r="G21" i="4"/>
  <c r="H21" i="4"/>
  <c r="I21" i="4"/>
  <c r="J21" i="4"/>
  <c r="K21" i="4"/>
  <c r="L21" i="4"/>
  <c r="M21" i="4"/>
  <c r="N21" i="4"/>
  <c r="O21" i="4"/>
  <c r="P21" i="4"/>
  <c r="Q21" i="4"/>
  <c r="B24" i="4"/>
  <c r="C26" i="4"/>
  <c r="G26" i="4"/>
  <c r="H26" i="4"/>
  <c r="I26" i="4"/>
  <c r="J26" i="4"/>
  <c r="K26" i="4"/>
  <c r="L26" i="4"/>
  <c r="M26" i="4"/>
  <c r="N26" i="4"/>
  <c r="O26" i="4"/>
  <c r="P26" i="4"/>
  <c r="Q26" i="4"/>
  <c r="B28" i="4"/>
  <c r="B29" i="4"/>
  <c r="C30" i="4"/>
  <c r="D30" i="4"/>
  <c r="G30" i="4"/>
  <c r="H30" i="4"/>
  <c r="I30" i="4"/>
  <c r="J30" i="4"/>
  <c r="J33" i="4" s="1"/>
  <c r="J41" i="4" s="1"/>
  <c r="K30" i="4"/>
  <c r="L30" i="4"/>
  <c r="M30" i="4"/>
  <c r="N30" i="4"/>
  <c r="O30" i="4"/>
  <c r="P30" i="4"/>
  <c r="Q30" i="4"/>
  <c r="B39" i="4"/>
  <c r="H21" i="79"/>
  <c r="B9" i="88"/>
  <c r="D16" i="88"/>
  <c r="D39" i="88" s="1"/>
  <c r="K85" i="88" s="1"/>
  <c r="D17" i="88"/>
  <c r="D40" i="88" s="1"/>
  <c r="L86" i="88" s="1"/>
  <c r="E17" i="88"/>
  <c r="B23" i="88"/>
  <c r="C23" i="88"/>
  <c r="H25" i="88"/>
  <c r="H27" i="88" s="1"/>
  <c r="Q26" i="88"/>
  <c r="B34" i="88"/>
  <c r="C34" i="88"/>
  <c r="B35" i="88"/>
  <c r="C35" i="88"/>
  <c r="B36" i="88"/>
  <c r="D36" i="88"/>
  <c r="G49" i="88" s="1"/>
  <c r="B38" i="88"/>
  <c r="B39" i="88"/>
  <c r="B40" i="88"/>
  <c r="F77" i="88"/>
  <c r="F78" i="88" s="1"/>
  <c r="F79" i="88" s="1"/>
  <c r="F80" i="88" s="1"/>
  <c r="F81" i="88" s="1"/>
  <c r="F82" i="88" s="1"/>
  <c r="F83" i="88" s="1"/>
  <c r="F84" i="88" s="1"/>
  <c r="F85" i="88" s="1"/>
  <c r="F86" i="88" s="1"/>
  <c r="F87" i="88" s="1"/>
  <c r="F88" i="88" s="1"/>
  <c r="F89" i="88" s="1"/>
  <c r="F90" i="88" s="1"/>
  <c r="F91" i="88" s="1"/>
  <c r="F92" i="88" s="1"/>
  <c r="F93" i="88" s="1"/>
  <c r="F94" i="88" s="1"/>
  <c r="F95" i="88" s="1"/>
  <c r="G77" i="88"/>
  <c r="G78" i="88" s="1"/>
  <c r="G79" i="88" s="1"/>
  <c r="G80" i="88" s="1"/>
  <c r="G81" i="88" s="1"/>
  <c r="G82" i="88" s="1"/>
  <c r="G83" i="88" s="1"/>
  <c r="G84" i="88" s="1"/>
  <c r="G85" i="88" s="1"/>
  <c r="G86" i="88" s="1"/>
  <c r="G87" i="88" s="1"/>
  <c r="G88" i="88" s="1"/>
  <c r="G89" i="88" s="1"/>
  <c r="G90" i="88" s="1"/>
  <c r="G91" i="88" s="1"/>
  <c r="G92" i="88" s="1"/>
  <c r="G93" i="88" s="1"/>
  <c r="G94" i="88" s="1"/>
  <c r="G95" i="88" s="1"/>
  <c r="B44" i="88"/>
  <c r="C66" i="88"/>
  <c r="C94" i="88" s="1"/>
  <c r="C67" i="88"/>
  <c r="C95" i="88"/>
  <c r="B72" i="88"/>
  <c r="B77" i="88"/>
  <c r="B78" i="88"/>
  <c r="B79" i="88"/>
  <c r="B80" i="88"/>
  <c r="B81" i="88"/>
  <c r="B82" i="88"/>
  <c r="M82" i="88"/>
  <c r="B83" i="88"/>
  <c r="M83" i="88"/>
  <c r="B84" i="88"/>
  <c r="M84" i="88"/>
  <c r="B85" i="88"/>
  <c r="M85" i="88"/>
  <c r="B86" i="88"/>
  <c r="M86" i="88"/>
  <c r="B87" i="88"/>
  <c r="M87" i="88"/>
  <c r="B88" i="88"/>
  <c r="M88" i="88"/>
  <c r="B89" i="88"/>
  <c r="M89" i="88"/>
  <c r="B90" i="88"/>
  <c r="M90" i="88"/>
  <c r="B91" i="88"/>
  <c r="M91" i="88"/>
  <c r="B92" i="88"/>
  <c r="M92" i="88"/>
  <c r="B93" i="88"/>
  <c r="B94" i="88"/>
  <c r="B95" i="88"/>
  <c r="D95" i="88"/>
  <c r="B9" i="87"/>
  <c r="B53" i="87"/>
  <c r="D16" i="87"/>
  <c r="M25" i="87" s="1"/>
  <c r="B17" i="87"/>
  <c r="B54" i="87" s="1"/>
  <c r="D17" i="87"/>
  <c r="L30" i="87" s="1"/>
  <c r="E17" i="87"/>
  <c r="B23" i="87"/>
  <c r="C23" i="87"/>
  <c r="V24" i="87"/>
  <c r="H25" i="87"/>
  <c r="Z25" i="87"/>
  <c r="AB25" i="87" s="1"/>
  <c r="F26" i="87"/>
  <c r="H26" i="87" s="1"/>
  <c r="K26" i="87"/>
  <c r="K28" i="87" s="1"/>
  <c r="K30" i="87" s="1"/>
  <c r="T26" i="87"/>
  <c r="Z26" i="87"/>
  <c r="AB26" i="87" s="1"/>
  <c r="F27" i="87"/>
  <c r="H27" i="87" s="1"/>
  <c r="K27" i="87"/>
  <c r="K29" i="87" s="1"/>
  <c r="K31" i="87" s="1"/>
  <c r="K32" i="87" s="1"/>
  <c r="T27" i="87"/>
  <c r="Z27" i="87"/>
  <c r="AB27" i="87" s="1"/>
  <c r="F28" i="87"/>
  <c r="H28" i="87" s="1"/>
  <c r="T28" i="87"/>
  <c r="Z28" i="87"/>
  <c r="AB28" i="87" s="1"/>
  <c r="F29" i="87"/>
  <c r="H29" i="87" s="1"/>
  <c r="Z29" i="87"/>
  <c r="AB29" i="87" s="1"/>
  <c r="F30" i="87"/>
  <c r="H30" i="87" s="1"/>
  <c r="Z30" i="87"/>
  <c r="AB30" i="87" s="1"/>
  <c r="F31" i="87"/>
  <c r="H31" i="87" s="1"/>
  <c r="T31" i="87"/>
  <c r="Z31" i="87"/>
  <c r="AB31" i="87" s="1"/>
  <c r="F32" i="87"/>
  <c r="H32" i="87" s="1"/>
  <c r="Z32" i="87"/>
  <c r="AB32" i="87" s="1"/>
  <c r="F33" i="87"/>
  <c r="H33" i="87" s="1"/>
  <c r="K33" i="87"/>
  <c r="Z33" i="87"/>
  <c r="AB33" i="87" s="1"/>
  <c r="F34" i="87"/>
  <c r="H34" i="87" s="1"/>
  <c r="K34" i="87"/>
  <c r="Z34" i="87"/>
  <c r="AB34" i="87" s="1"/>
  <c r="F35" i="87"/>
  <c r="H35" i="87" s="1"/>
  <c r="K35" i="87"/>
  <c r="Z35" i="87"/>
  <c r="AB35" i="87" s="1"/>
  <c r="F36" i="87"/>
  <c r="H36" i="87" s="1"/>
  <c r="K36" i="87"/>
  <c r="Z36" i="87"/>
  <c r="AB36" i="87"/>
  <c r="F37" i="87"/>
  <c r="H37" i="87" s="1"/>
  <c r="K37" i="87"/>
  <c r="T37" i="87"/>
  <c r="Z37" i="87"/>
  <c r="AB37" i="87" s="1"/>
  <c r="F38" i="87"/>
  <c r="H38" i="87" s="1"/>
  <c r="K38" i="87"/>
  <c r="Z38" i="87"/>
  <c r="AB38" i="87"/>
  <c r="F39" i="87"/>
  <c r="H39" i="87"/>
  <c r="K39" i="87"/>
  <c r="Z39" i="87"/>
  <c r="AB39" i="87" s="1"/>
  <c r="Q40" i="87"/>
  <c r="B46" i="87"/>
  <c r="B48" i="87"/>
  <c r="C48" i="87"/>
  <c r="B49" i="87"/>
  <c r="C49" i="87"/>
  <c r="B50" i="87"/>
  <c r="D50" i="87"/>
  <c r="G63" i="87" s="1"/>
  <c r="G64" i="87" s="1"/>
  <c r="H64" i="87" s="1"/>
  <c r="B52" i="87"/>
  <c r="F91" i="87"/>
  <c r="F92" i="87" s="1"/>
  <c r="F93" i="87" s="1"/>
  <c r="F94" i="87" s="1"/>
  <c r="F95" i="87" s="1"/>
  <c r="F96" i="87" s="1"/>
  <c r="F97" i="87" s="1"/>
  <c r="F98" i="87" s="1"/>
  <c r="F99" i="87" s="1"/>
  <c r="F100" i="87" s="1"/>
  <c r="F101" i="87" s="1"/>
  <c r="F102" i="87" s="1"/>
  <c r="F103" i="87" s="1"/>
  <c r="F104" i="87" s="1"/>
  <c r="F105" i="87" s="1"/>
  <c r="F106" i="87" s="1"/>
  <c r="F107" i="87" s="1"/>
  <c r="F108" i="87" s="1"/>
  <c r="F109" i="87" s="1"/>
  <c r="G91" i="87"/>
  <c r="G92" i="87" s="1"/>
  <c r="G93" i="87" s="1"/>
  <c r="G94" i="87" s="1"/>
  <c r="G95" i="87" s="1"/>
  <c r="G96" i="87" s="1"/>
  <c r="G97" i="87" s="1"/>
  <c r="G98" i="87" s="1"/>
  <c r="G99" i="87" s="1"/>
  <c r="G100" i="87" s="1"/>
  <c r="G101" i="87" s="1"/>
  <c r="G102" i="87" s="1"/>
  <c r="G103" i="87" s="1"/>
  <c r="G104" i="87" s="1"/>
  <c r="G105" i="87" s="1"/>
  <c r="G106" i="87" s="1"/>
  <c r="G107" i="87" s="1"/>
  <c r="G108" i="87" s="1"/>
  <c r="G109" i="87" s="1"/>
  <c r="B58" i="87"/>
  <c r="B91" i="87"/>
  <c r="C91" i="87"/>
  <c r="B92" i="87"/>
  <c r="C92" i="87"/>
  <c r="B93" i="87"/>
  <c r="C93" i="87"/>
  <c r="B94" i="87"/>
  <c r="C94" i="87"/>
  <c r="B95" i="87"/>
  <c r="C95" i="87"/>
  <c r="B96" i="87"/>
  <c r="C96" i="87"/>
  <c r="B97" i="87"/>
  <c r="C97" i="87"/>
  <c r="B98" i="87"/>
  <c r="C98" i="87"/>
  <c r="B99" i="87"/>
  <c r="C99" i="87"/>
  <c r="B100" i="87"/>
  <c r="C100" i="87"/>
  <c r="B101" i="87"/>
  <c r="C101" i="87"/>
  <c r="B102" i="87"/>
  <c r="C102" i="87"/>
  <c r="B103" i="87"/>
  <c r="C103" i="87"/>
  <c r="B104" i="87"/>
  <c r="C104" i="87"/>
  <c r="B105" i="87"/>
  <c r="C105" i="87"/>
  <c r="B106" i="87"/>
  <c r="C106" i="87"/>
  <c r="B107" i="87"/>
  <c r="C107" i="87"/>
  <c r="B108" i="87"/>
  <c r="C108" i="87"/>
  <c r="B109" i="87"/>
  <c r="C109" i="87"/>
  <c r="B86" i="87"/>
  <c r="M96" i="87"/>
  <c r="M97" i="87"/>
  <c r="M98" i="87"/>
  <c r="D109" i="87"/>
  <c r="B9" i="86"/>
  <c r="B57" i="86"/>
  <c r="D16" i="86"/>
  <c r="M25" i="86" s="1"/>
  <c r="B17" i="86"/>
  <c r="B58" i="86" s="1"/>
  <c r="D17" i="86"/>
  <c r="L42" i="86" s="1"/>
  <c r="E17" i="86"/>
  <c r="B23" i="86"/>
  <c r="C23" i="86"/>
  <c r="V24" i="86"/>
  <c r="H25" i="86"/>
  <c r="H26" i="86"/>
  <c r="K26" i="86"/>
  <c r="K27" i="86" s="1"/>
  <c r="K28" i="86" s="1"/>
  <c r="K29" i="86" s="1"/>
  <c r="K30" i="86" s="1"/>
  <c r="K31" i="86" s="1"/>
  <c r="K32" i="86" s="1"/>
  <c r="K33" i="86" s="1"/>
  <c r="H27" i="86"/>
  <c r="H28" i="86"/>
  <c r="H29" i="86"/>
  <c r="H30" i="86"/>
  <c r="H31" i="86"/>
  <c r="H32" i="86"/>
  <c r="H33" i="86"/>
  <c r="H34" i="86"/>
  <c r="H35" i="86"/>
  <c r="H36" i="86"/>
  <c r="H37" i="86"/>
  <c r="H38" i="86"/>
  <c r="H39" i="86"/>
  <c r="H40" i="86"/>
  <c r="H41" i="86"/>
  <c r="H42" i="86"/>
  <c r="H43" i="86"/>
  <c r="Q44" i="86"/>
  <c r="T44" i="86"/>
  <c r="B50" i="86"/>
  <c r="B52" i="86"/>
  <c r="C52" i="86"/>
  <c r="B53" i="86"/>
  <c r="C53" i="86"/>
  <c r="B54" i="86"/>
  <c r="D54" i="86"/>
  <c r="G67" i="86" s="1"/>
  <c r="B56" i="86"/>
  <c r="F96" i="86"/>
  <c r="F97" i="86" s="1"/>
  <c r="F98" i="86" s="1"/>
  <c r="F99" i="86" s="1"/>
  <c r="F100" i="86" s="1"/>
  <c r="F101" i="86" s="1"/>
  <c r="F102" i="86" s="1"/>
  <c r="F103" i="86" s="1"/>
  <c r="F104" i="86" s="1"/>
  <c r="F105" i="86" s="1"/>
  <c r="F106" i="86" s="1"/>
  <c r="F107" i="86" s="1"/>
  <c r="F108" i="86" s="1"/>
  <c r="F109" i="86" s="1"/>
  <c r="F110" i="86" s="1"/>
  <c r="F111" i="86" s="1"/>
  <c r="F112" i="86" s="1"/>
  <c r="F113" i="86" s="1"/>
  <c r="F114" i="86" s="1"/>
  <c r="G96" i="86"/>
  <c r="G97" i="86" s="1"/>
  <c r="G98" i="86" s="1"/>
  <c r="G99" i="86" s="1"/>
  <c r="G100" i="86" s="1"/>
  <c r="G101" i="86" s="1"/>
  <c r="G102" i="86" s="1"/>
  <c r="G103" i="86" s="1"/>
  <c r="G104" i="86" s="1"/>
  <c r="G105" i="86" s="1"/>
  <c r="G106" i="86" s="1"/>
  <c r="G107" i="86" s="1"/>
  <c r="G108" i="86" s="1"/>
  <c r="G109" i="86" s="1"/>
  <c r="G110" i="86" s="1"/>
  <c r="G111" i="86" s="1"/>
  <c r="G112" i="86" s="1"/>
  <c r="G113" i="86" s="1"/>
  <c r="G114" i="86" s="1"/>
  <c r="B62" i="86"/>
  <c r="B96" i="86"/>
  <c r="C96" i="86"/>
  <c r="B97" i="86"/>
  <c r="C97" i="86"/>
  <c r="B98" i="86"/>
  <c r="C98" i="86"/>
  <c r="B99" i="86"/>
  <c r="C99" i="86"/>
  <c r="B100" i="86"/>
  <c r="C100" i="86"/>
  <c r="B101" i="86"/>
  <c r="C101" i="86"/>
  <c r="B102" i="86"/>
  <c r="C102" i="86"/>
  <c r="B103" i="86"/>
  <c r="C103" i="86"/>
  <c r="B104" i="86"/>
  <c r="C104" i="86"/>
  <c r="B105" i="86"/>
  <c r="C105" i="86"/>
  <c r="B106" i="86"/>
  <c r="C106" i="86"/>
  <c r="B107" i="86"/>
  <c r="C107" i="86"/>
  <c r="B108" i="86"/>
  <c r="C108" i="86"/>
  <c r="B109" i="86"/>
  <c r="C109" i="86"/>
  <c r="B110" i="86"/>
  <c r="C110" i="86"/>
  <c r="B111" i="86"/>
  <c r="C111" i="86"/>
  <c r="B112" i="86"/>
  <c r="C112" i="86"/>
  <c r="B113" i="86"/>
  <c r="C113" i="86"/>
  <c r="B114" i="86"/>
  <c r="C114" i="86"/>
  <c r="B91" i="86"/>
  <c r="M101" i="86"/>
  <c r="M102" i="86"/>
  <c r="M103" i="86"/>
  <c r="M104" i="86"/>
  <c r="M105" i="86"/>
  <c r="M106" i="86"/>
  <c r="M107" i="86"/>
  <c r="M108" i="86"/>
  <c r="M109" i="86"/>
  <c r="M110" i="86"/>
  <c r="M111" i="86"/>
  <c r="D114" i="86"/>
  <c r="B9" i="85"/>
  <c r="B256" i="85"/>
  <c r="D16" i="85"/>
  <c r="M37" i="85" s="1"/>
  <c r="B17" i="85"/>
  <c r="B257" i="85" s="1"/>
  <c r="D17" i="85"/>
  <c r="L37" i="85" s="1"/>
  <c r="E17" i="85"/>
  <c r="N25" i="85"/>
  <c r="N27" i="85" s="1"/>
  <c r="B23" i="85"/>
  <c r="C23" i="85"/>
  <c r="H25" i="85"/>
  <c r="H27" i="85" s="1"/>
  <c r="R25" i="85"/>
  <c r="Q26" i="85"/>
  <c r="J27" i="85"/>
  <c r="B32" i="85"/>
  <c r="V33" i="85"/>
  <c r="H34" i="85"/>
  <c r="H35" i="85"/>
  <c r="K35" i="85"/>
  <c r="K36" i="85" s="1"/>
  <c r="K37" i="85" s="1"/>
  <c r="K38" i="85" s="1"/>
  <c r="H36" i="85"/>
  <c r="H37" i="85"/>
  <c r="H38" i="85"/>
  <c r="H39" i="85"/>
  <c r="H40" i="85"/>
  <c r="H41" i="85"/>
  <c r="H42" i="85"/>
  <c r="H43" i="85"/>
  <c r="H44" i="85"/>
  <c r="H45" i="85"/>
  <c r="H46" i="85"/>
  <c r="H47" i="85"/>
  <c r="H48" i="85"/>
  <c r="H49" i="85"/>
  <c r="H50" i="85"/>
  <c r="H51" i="85"/>
  <c r="Q52" i="85"/>
  <c r="B58" i="85"/>
  <c r="V59" i="85"/>
  <c r="H60" i="85"/>
  <c r="H61" i="85"/>
  <c r="K61" i="85"/>
  <c r="H62" i="85"/>
  <c r="K62" i="85"/>
  <c r="K63" i="85" s="1"/>
  <c r="K64" i="85" s="1"/>
  <c r="K65" i="85" s="1"/>
  <c r="H63" i="85"/>
  <c r="H64" i="85"/>
  <c r="H65" i="85"/>
  <c r="H66" i="85"/>
  <c r="K66" i="85"/>
  <c r="H67" i="85"/>
  <c r="H68" i="85"/>
  <c r="H69" i="85"/>
  <c r="H70" i="85"/>
  <c r="H71" i="85"/>
  <c r="H72" i="85"/>
  <c r="H73" i="85"/>
  <c r="H74" i="85"/>
  <c r="H75" i="85"/>
  <c r="H76" i="85"/>
  <c r="H77" i="85"/>
  <c r="H78" i="85"/>
  <c r="H79" i="85"/>
  <c r="H80" i="85"/>
  <c r="H81" i="85"/>
  <c r="H82" i="85"/>
  <c r="E83" i="85"/>
  <c r="H83" i="85" s="1"/>
  <c r="Q84" i="85"/>
  <c r="B90" i="85"/>
  <c r="V91" i="85"/>
  <c r="H92" i="85"/>
  <c r="H93" i="85"/>
  <c r="K93" i="85"/>
  <c r="K94" i="85" s="1"/>
  <c r="K95" i="85" s="1"/>
  <c r="K96" i="85" s="1"/>
  <c r="K97" i="85" s="1"/>
  <c r="H94" i="85"/>
  <c r="H95" i="85"/>
  <c r="H96" i="85"/>
  <c r="H97" i="85"/>
  <c r="H98" i="85"/>
  <c r="H99" i="85"/>
  <c r="H100" i="85"/>
  <c r="H101" i="85"/>
  <c r="H102" i="85"/>
  <c r="H103" i="85"/>
  <c r="H104" i="85"/>
  <c r="H105" i="85"/>
  <c r="H106" i="85"/>
  <c r="H107" i="85"/>
  <c r="H108" i="85"/>
  <c r="H109" i="85"/>
  <c r="Q110" i="85"/>
  <c r="B116" i="85"/>
  <c r="H118" i="85"/>
  <c r="H119" i="85"/>
  <c r="K119" i="85"/>
  <c r="K120" i="85" s="1"/>
  <c r="K121" i="85" s="1"/>
  <c r="H120" i="85"/>
  <c r="H121" i="85"/>
  <c r="H122" i="85"/>
  <c r="H123" i="85"/>
  <c r="K123" i="85"/>
  <c r="K124" i="85" s="1"/>
  <c r="K125" i="85" s="1"/>
  <c r="K126" i="85" s="1"/>
  <c r="H124" i="85"/>
  <c r="H125" i="85"/>
  <c r="H126" i="85"/>
  <c r="Q127" i="85"/>
  <c r="B133" i="85"/>
  <c r="V134" i="85"/>
  <c r="H135" i="85"/>
  <c r="H136" i="85"/>
  <c r="K136" i="85"/>
  <c r="K137" i="85" s="1"/>
  <c r="H137" i="85"/>
  <c r="H138" i="85"/>
  <c r="K138" i="85"/>
  <c r="K139" i="85" s="1"/>
  <c r="K140" i="85" s="1"/>
  <c r="K141" i="85" s="1"/>
  <c r="H139" i="85"/>
  <c r="H140" i="85"/>
  <c r="H141" i="85"/>
  <c r="H142" i="85"/>
  <c r="H143" i="85"/>
  <c r="H144" i="85"/>
  <c r="H145" i="85"/>
  <c r="H146" i="85"/>
  <c r="Q147" i="85"/>
  <c r="B153" i="85"/>
  <c r="H155" i="85"/>
  <c r="H156" i="85"/>
  <c r="K156" i="85"/>
  <c r="K157" i="85" s="1"/>
  <c r="K158" i="85" s="1"/>
  <c r="H157" i="85"/>
  <c r="H158" i="85"/>
  <c r="H159" i="85"/>
  <c r="H160" i="85"/>
  <c r="H161" i="85"/>
  <c r="H162" i="85"/>
  <c r="H163" i="85"/>
  <c r="H164" i="85"/>
  <c r="H165" i="85"/>
  <c r="H166" i="85"/>
  <c r="Q167" i="85"/>
  <c r="B173" i="85"/>
  <c r="H175" i="85"/>
  <c r="H176" i="85"/>
  <c r="K176" i="85"/>
  <c r="K177" i="85" s="1"/>
  <c r="K178" i="85" s="1"/>
  <c r="H177" i="85"/>
  <c r="H178" i="85"/>
  <c r="H179" i="85"/>
  <c r="F180" i="85"/>
  <c r="H180" i="85" s="1"/>
  <c r="F181" i="85"/>
  <c r="H181" i="85" s="1"/>
  <c r="F182" i="85"/>
  <c r="H182" i="85" s="1"/>
  <c r="F183" i="85"/>
  <c r="H183" i="85" s="1"/>
  <c r="F184" i="85"/>
  <c r="H184" i="85" s="1"/>
  <c r="F185" i="85"/>
  <c r="H185" i="85" s="1"/>
  <c r="F186" i="85"/>
  <c r="H186" i="85" s="1"/>
  <c r="F187" i="85"/>
  <c r="H187" i="85"/>
  <c r="F188" i="85"/>
  <c r="H188" i="85" s="1"/>
  <c r="F189" i="85"/>
  <c r="H189" i="85"/>
  <c r="F190" i="85"/>
  <c r="H190" i="85" s="1"/>
  <c r="F191" i="85"/>
  <c r="H191" i="85" s="1"/>
  <c r="F192" i="85"/>
  <c r="H192" i="85" s="1"/>
  <c r="F193" i="85"/>
  <c r="H193" i="85" s="1"/>
  <c r="F194" i="85"/>
  <c r="H194" i="85" s="1"/>
  <c r="F195" i="85"/>
  <c r="H195" i="85"/>
  <c r="F196" i="85"/>
  <c r="H196" i="85" s="1"/>
  <c r="F197" i="85"/>
  <c r="H197" i="85" s="1"/>
  <c r="F198" i="85"/>
  <c r="H198" i="85" s="1"/>
  <c r="F199" i="85"/>
  <c r="H199" i="85" s="1"/>
  <c r="F200" i="85"/>
  <c r="H200" i="85" s="1"/>
  <c r="Q201" i="85"/>
  <c r="B207" i="85"/>
  <c r="V208" i="85"/>
  <c r="H209" i="85"/>
  <c r="H210" i="85"/>
  <c r="K210" i="85"/>
  <c r="K211" i="85" s="1"/>
  <c r="H211" i="85"/>
  <c r="H212" i="85"/>
  <c r="H213" i="85"/>
  <c r="H214" i="85"/>
  <c r="H215" i="85"/>
  <c r="H216" i="85"/>
  <c r="H217" i="85"/>
  <c r="H218" i="85"/>
  <c r="H219" i="85"/>
  <c r="H220" i="85"/>
  <c r="H221" i="85"/>
  <c r="H222" i="85"/>
  <c r="H223" i="85"/>
  <c r="H224" i="85"/>
  <c r="H225" i="85"/>
  <c r="H226" i="85"/>
  <c r="H227" i="85"/>
  <c r="H228" i="85"/>
  <c r="H229" i="85"/>
  <c r="H230" i="85"/>
  <c r="H231" i="85"/>
  <c r="E232" i="85"/>
  <c r="H232" i="85" s="1"/>
  <c r="Q233" i="85"/>
  <c r="B239" i="85"/>
  <c r="C239" i="85"/>
  <c r="H241" i="85"/>
  <c r="H243" i="85" s="1"/>
  <c r="Q242" i="85"/>
  <c r="B249" i="85"/>
  <c r="B251" i="85"/>
  <c r="C251" i="85"/>
  <c r="B252" i="85"/>
  <c r="C252" i="85"/>
  <c r="B253" i="85"/>
  <c r="D253" i="85"/>
  <c r="G266" i="85" s="1"/>
  <c r="B255" i="85"/>
  <c r="F294" i="85"/>
  <c r="F295" i="85" s="1"/>
  <c r="F296" i="85" s="1"/>
  <c r="F297" i="85" s="1"/>
  <c r="F298" i="85" s="1"/>
  <c r="F299" i="85" s="1"/>
  <c r="F300" i="85" s="1"/>
  <c r="F301" i="85" s="1"/>
  <c r="F302" i="85" s="1"/>
  <c r="F303" i="85" s="1"/>
  <c r="F304" i="85" s="1"/>
  <c r="F305" i="85" s="1"/>
  <c r="F306" i="85" s="1"/>
  <c r="F307" i="85" s="1"/>
  <c r="F308" i="85" s="1"/>
  <c r="F309" i="85" s="1"/>
  <c r="F310" i="85" s="1"/>
  <c r="F311" i="85" s="1"/>
  <c r="F312" i="85" s="1"/>
  <c r="G294" i="85"/>
  <c r="G295" i="85" s="1"/>
  <c r="G296" i="85" s="1"/>
  <c r="G297" i="85" s="1"/>
  <c r="G298" i="85" s="1"/>
  <c r="G299" i="85" s="1"/>
  <c r="G300" i="85" s="1"/>
  <c r="G301" i="85" s="1"/>
  <c r="G302" i="85" s="1"/>
  <c r="G303" i="85" s="1"/>
  <c r="G304" i="85" s="1"/>
  <c r="G305" i="85" s="1"/>
  <c r="G306" i="85" s="1"/>
  <c r="G307" i="85" s="1"/>
  <c r="G308" i="85" s="1"/>
  <c r="G309" i="85" s="1"/>
  <c r="G310" i="85" s="1"/>
  <c r="G311" i="85" s="1"/>
  <c r="G312" i="85" s="1"/>
  <c r="B261" i="85"/>
  <c r="B294" i="85"/>
  <c r="C294" i="85"/>
  <c r="B295" i="85"/>
  <c r="C295" i="85"/>
  <c r="B296" i="85"/>
  <c r="C296" i="85"/>
  <c r="B297" i="85"/>
  <c r="C297" i="85"/>
  <c r="B298" i="85"/>
  <c r="C298" i="85"/>
  <c r="B299" i="85"/>
  <c r="C299" i="85"/>
  <c r="B300" i="85"/>
  <c r="C300" i="85"/>
  <c r="B301" i="85"/>
  <c r="C301" i="85"/>
  <c r="B302" i="85"/>
  <c r="C302" i="85"/>
  <c r="B303" i="85"/>
  <c r="C303" i="85"/>
  <c r="B304" i="85"/>
  <c r="C304" i="85"/>
  <c r="B305" i="85"/>
  <c r="C305" i="85"/>
  <c r="B306" i="85"/>
  <c r="C306" i="85"/>
  <c r="B307" i="85"/>
  <c r="C307" i="85"/>
  <c r="B308" i="85"/>
  <c r="C308" i="85"/>
  <c r="B309" i="85"/>
  <c r="C309" i="85"/>
  <c r="B310" i="85"/>
  <c r="C310" i="85"/>
  <c r="B311" i="85"/>
  <c r="C311" i="85"/>
  <c r="B312" i="85"/>
  <c r="C312" i="85"/>
  <c r="B289" i="85"/>
  <c r="M299" i="85"/>
  <c r="M300" i="85"/>
  <c r="M301" i="85"/>
  <c r="D312" i="85"/>
  <c r="B9" i="84"/>
  <c r="B16" i="84"/>
  <c r="B63" i="84" s="1"/>
  <c r="D16" i="84"/>
  <c r="M33" i="84" s="1"/>
  <c r="B17" i="84"/>
  <c r="B64" i="84" s="1"/>
  <c r="D17" i="84"/>
  <c r="L49" i="84" s="1"/>
  <c r="E17" i="84"/>
  <c r="B23" i="84"/>
  <c r="C23" i="84"/>
  <c r="H25" i="84"/>
  <c r="H26" i="84"/>
  <c r="K26" i="84"/>
  <c r="K27" i="84" s="1"/>
  <c r="K28" i="84" s="1"/>
  <c r="K29" i="84" s="1"/>
  <c r="K30" i="84" s="1"/>
  <c r="K31" i="84" s="1"/>
  <c r="K32" i="84" s="1"/>
  <c r="K33" i="84" s="1"/>
  <c r="K34" i="84" s="1"/>
  <c r="K35" i="84" s="1"/>
  <c r="K36" i="84" s="1"/>
  <c r="K37" i="84" s="1"/>
  <c r="K38" i="84" s="1"/>
  <c r="K39" i="84" s="1"/>
  <c r="K40" i="84" s="1"/>
  <c r="K41" i="84" s="1"/>
  <c r="K42" i="84" s="1"/>
  <c r="K43" i="84" s="1"/>
  <c r="K44" i="84" s="1"/>
  <c r="K45" i="84" s="1"/>
  <c r="K46" i="84" s="1"/>
  <c r="K47" i="84" s="1"/>
  <c r="K48" i="84" s="1"/>
  <c r="K49" i="84" s="1"/>
  <c r="H27" i="84"/>
  <c r="H28" i="84"/>
  <c r="H29" i="84"/>
  <c r="H30" i="84"/>
  <c r="H31" i="84"/>
  <c r="H32" i="84"/>
  <c r="H33" i="84"/>
  <c r="H34" i="84"/>
  <c r="H35" i="84"/>
  <c r="H36" i="84"/>
  <c r="H37" i="84"/>
  <c r="H38" i="84"/>
  <c r="H39" i="84"/>
  <c r="H40" i="84"/>
  <c r="H41" i="84"/>
  <c r="H42" i="84"/>
  <c r="H43" i="84"/>
  <c r="H44" i="84"/>
  <c r="H45" i="84"/>
  <c r="H46" i="84"/>
  <c r="H47" i="84"/>
  <c r="R47" i="84"/>
  <c r="H48" i="84"/>
  <c r="E49" i="84"/>
  <c r="H49" i="84" s="1"/>
  <c r="Q50" i="84"/>
  <c r="B56" i="84"/>
  <c r="B58" i="84"/>
  <c r="C58" i="84"/>
  <c r="B59" i="84"/>
  <c r="C59" i="84"/>
  <c r="B60" i="84"/>
  <c r="D60" i="84"/>
  <c r="G73" i="84" s="1"/>
  <c r="B62" i="84"/>
  <c r="F101" i="84"/>
  <c r="F102" i="84" s="1"/>
  <c r="F103" i="84" s="1"/>
  <c r="F104" i="84" s="1"/>
  <c r="F105" i="84" s="1"/>
  <c r="F106" i="84" s="1"/>
  <c r="F107" i="84" s="1"/>
  <c r="F108" i="84" s="1"/>
  <c r="F109" i="84" s="1"/>
  <c r="F110" i="84" s="1"/>
  <c r="F111" i="84" s="1"/>
  <c r="F112" i="84" s="1"/>
  <c r="F113" i="84" s="1"/>
  <c r="F114" i="84" s="1"/>
  <c r="F115" i="84" s="1"/>
  <c r="F116" i="84" s="1"/>
  <c r="F117" i="84" s="1"/>
  <c r="F118" i="84" s="1"/>
  <c r="F119" i="84" s="1"/>
  <c r="G101" i="84"/>
  <c r="G102" i="84" s="1"/>
  <c r="G103" i="84" s="1"/>
  <c r="G104" i="84" s="1"/>
  <c r="G105" i="84" s="1"/>
  <c r="G106" i="84" s="1"/>
  <c r="G107" i="84" s="1"/>
  <c r="G108" i="84" s="1"/>
  <c r="G109" i="84" s="1"/>
  <c r="G110" i="84" s="1"/>
  <c r="G111" i="84" s="1"/>
  <c r="G112" i="84" s="1"/>
  <c r="G113" i="84" s="1"/>
  <c r="G114" i="84" s="1"/>
  <c r="G115" i="84" s="1"/>
  <c r="G116" i="84" s="1"/>
  <c r="G117" i="84" s="1"/>
  <c r="G118" i="84" s="1"/>
  <c r="G119" i="84" s="1"/>
  <c r="B68" i="84"/>
  <c r="B101" i="84"/>
  <c r="C101" i="84"/>
  <c r="B102" i="84"/>
  <c r="C102" i="84"/>
  <c r="B103" i="84"/>
  <c r="C103" i="84"/>
  <c r="B104" i="84"/>
  <c r="C104" i="84"/>
  <c r="B105" i="84"/>
  <c r="C105" i="84"/>
  <c r="B106" i="84"/>
  <c r="C106" i="84"/>
  <c r="B107" i="84"/>
  <c r="C107" i="84"/>
  <c r="B108" i="84"/>
  <c r="C108" i="84"/>
  <c r="B109" i="84"/>
  <c r="C109" i="84"/>
  <c r="B110" i="84"/>
  <c r="C110" i="84"/>
  <c r="B111" i="84"/>
  <c r="C111" i="84"/>
  <c r="B112" i="84"/>
  <c r="C112" i="84"/>
  <c r="B113" i="84"/>
  <c r="C113" i="84"/>
  <c r="B114" i="84"/>
  <c r="C114" i="84"/>
  <c r="B115" i="84"/>
  <c r="C115" i="84"/>
  <c r="B116" i="84"/>
  <c r="C116" i="84"/>
  <c r="B117" i="84"/>
  <c r="C117" i="84"/>
  <c r="B118" i="84"/>
  <c r="C118" i="84"/>
  <c r="B119" i="84"/>
  <c r="C119" i="84"/>
  <c r="B96" i="84"/>
  <c r="M106" i="84"/>
  <c r="M107" i="84"/>
  <c r="M108" i="84"/>
  <c r="M109" i="84"/>
  <c r="M110" i="84"/>
  <c r="M111" i="84"/>
  <c r="M112" i="84"/>
  <c r="M113" i="84"/>
  <c r="M114" i="84"/>
  <c r="M115" i="84"/>
  <c r="M116" i="84"/>
  <c r="D119" i="84"/>
  <c r="B9" i="83"/>
  <c r="D16" i="83"/>
  <c r="D39" i="83" s="1"/>
  <c r="K95" i="83" s="1"/>
  <c r="D17" i="83"/>
  <c r="D40" i="83" s="1"/>
  <c r="L89" i="83" s="1"/>
  <c r="E17" i="83"/>
  <c r="N25" i="83"/>
  <c r="N27" i="83" s="1"/>
  <c r="N29" i="83" s="1"/>
  <c r="B23" i="83"/>
  <c r="C23" i="83"/>
  <c r="H25" i="83"/>
  <c r="H27" i="83" s="1"/>
  <c r="R25" i="83"/>
  <c r="Q26" i="83"/>
  <c r="J27" i="83"/>
  <c r="B34" i="83"/>
  <c r="C34" i="83"/>
  <c r="B35" i="83"/>
  <c r="C35" i="83"/>
  <c r="B36" i="83"/>
  <c r="D36" i="83"/>
  <c r="F36" i="83" s="1"/>
  <c r="B38" i="83"/>
  <c r="B39" i="83"/>
  <c r="B40" i="83"/>
  <c r="F77" i="83"/>
  <c r="F78" i="83" s="1"/>
  <c r="F79" i="83" s="1"/>
  <c r="F80" i="83" s="1"/>
  <c r="F81" i="83" s="1"/>
  <c r="F82" i="83" s="1"/>
  <c r="F83" i="83" s="1"/>
  <c r="F84" i="83" s="1"/>
  <c r="F85" i="83" s="1"/>
  <c r="F86" i="83" s="1"/>
  <c r="F87" i="83" s="1"/>
  <c r="F88" i="83" s="1"/>
  <c r="F89" i="83" s="1"/>
  <c r="F90" i="83" s="1"/>
  <c r="F91" i="83" s="1"/>
  <c r="F92" i="83" s="1"/>
  <c r="F93" i="83" s="1"/>
  <c r="F94" i="83" s="1"/>
  <c r="F95" i="83" s="1"/>
  <c r="G77" i="83"/>
  <c r="G78" i="83" s="1"/>
  <c r="G79" i="83" s="1"/>
  <c r="G80" i="83" s="1"/>
  <c r="G81" i="83" s="1"/>
  <c r="G82" i="83" s="1"/>
  <c r="G83" i="83" s="1"/>
  <c r="G84" i="83" s="1"/>
  <c r="G85" i="83" s="1"/>
  <c r="G86" i="83" s="1"/>
  <c r="G87" i="83" s="1"/>
  <c r="G88" i="83" s="1"/>
  <c r="G89" i="83" s="1"/>
  <c r="G90" i="83" s="1"/>
  <c r="G91" i="83" s="1"/>
  <c r="G92" i="83" s="1"/>
  <c r="G93" i="83" s="1"/>
  <c r="G94" i="83" s="1"/>
  <c r="G95" i="83" s="1"/>
  <c r="B44" i="83"/>
  <c r="B49" i="83"/>
  <c r="B77" i="83" s="1"/>
  <c r="B50" i="83"/>
  <c r="B78" i="83" s="1"/>
  <c r="B51" i="83"/>
  <c r="B79" i="83" s="1"/>
  <c r="B52" i="83"/>
  <c r="B80" i="83" s="1"/>
  <c r="B53" i="83"/>
  <c r="B81" i="83" s="1"/>
  <c r="B54" i="83"/>
  <c r="B82" i="83" s="1"/>
  <c r="B55" i="83"/>
  <c r="B83" i="83" s="1"/>
  <c r="B56" i="83"/>
  <c r="B84" i="83" s="1"/>
  <c r="B57" i="83"/>
  <c r="B85" i="83" s="1"/>
  <c r="B58" i="83"/>
  <c r="B86" i="83" s="1"/>
  <c r="B59" i="83"/>
  <c r="B87" i="83" s="1"/>
  <c r="B60" i="83"/>
  <c r="B88" i="83" s="1"/>
  <c r="B61" i="83"/>
  <c r="B89" i="83" s="1"/>
  <c r="B62" i="83"/>
  <c r="B90" i="83" s="1"/>
  <c r="B63" i="83"/>
  <c r="B91" i="83" s="1"/>
  <c r="B64" i="83"/>
  <c r="B92" i="83" s="1"/>
  <c r="G64" i="83"/>
  <c r="H64" i="83"/>
  <c r="E92" i="83" s="1"/>
  <c r="B65" i="83"/>
  <c r="B93" i="83" s="1"/>
  <c r="B66" i="83"/>
  <c r="B94" i="83" s="1"/>
  <c r="C66" i="83"/>
  <c r="C94" i="83" s="1"/>
  <c r="B67" i="83"/>
  <c r="B95" i="83" s="1"/>
  <c r="C67" i="83"/>
  <c r="C95" i="83" s="1"/>
  <c r="I70" i="83"/>
  <c r="B72" i="83"/>
  <c r="M82" i="83"/>
  <c r="M83" i="83"/>
  <c r="M84" i="83"/>
  <c r="M85" i="83"/>
  <c r="M86" i="83"/>
  <c r="M87" i="83"/>
  <c r="M88" i="83"/>
  <c r="M89" i="83"/>
  <c r="M90" i="83"/>
  <c r="E91" i="83"/>
  <c r="M91" i="83"/>
  <c r="M92" i="83"/>
  <c r="D95" i="83"/>
  <c r="D13" i="82"/>
  <c r="D13" i="88" s="1"/>
  <c r="D16" i="82"/>
  <c r="D39" i="82" s="1"/>
  <c r="D17" i="82"/>
  <c r="B19" i="82"/>
  <c r="B19" i="88" s="1"/>
  <c r="B23" i="82"/>
  <c r="C23" i="82"/>
  <c r="H25" i="82"/>
  <c r="H27" i="82" s="1"/>
  <c r="Q26" i="82"/>
  <c r="B34" i="82"/>
  <c r="C34" i="82"/>
  <c r="B35" i="82"/>
  <c r="C35" i="82"/>
  <c r="B36" i="82"/>
  <c r="D36" i="82"/>
  <c r="G49" i="82" s="1"/>
  <c r="B38" i="82"/>
  <c r="B39" i="82"/>
  <c r="B40" i="82"/>
  <c r="F77" i="82"/>
  <c r="F78" i="82" s="1"/>
  <c r="F79" i="82" s="1"/>
  <c r="F80" i="82" s="1"/>
  <c r="F81" i="82" s="1"/>
  <c r="F82" i="82" s="1"/>
  <c r="F83" i="82" s="1"/>
  <c r="F84" i="82" s="1"/>
  <c r="F85" i="82" s="1"/>
  <c r="F86" i="82" s="1"/>
  <c r="F87" i="82" s="1"/>
  <c r="F88" i="82" s="1"/>
  <c r="F89" i="82" s="1"/>
  <c r="F90" i="82" s="1"/>
  <c r="F91" i="82" s="1"/>
  <c r="F92" i="82" s="1"/>
  <c r="F93" i="82" s="1"/>
  <c r="F94" i="82" s="1"/>
  <c r="F95" i="82" s="1"/>
  <c r="G77" i="82"/>
  <c r="G78" i="82" s="1"/>
  <c r="G79" i="82" s="1"/>
  <c r="G80" i="82" s="1"/>
  <c r="G81" i="82" s="1"/>
  <c r="G82" i="82" s="1"/>
  <c r="G83" i="82" s="1"/>
  <c r="G84" i="82" s="1"/>
  <c r="G85" i="82" s="1"/>
  <c r="G86" i="82" s="1"/>
  <c r="G87" i="82" s="1"/>
  <c r="G88" i="82" s="1"/>
  <c r="G89" i="82" s="1"/>
  <c r="G90" i="82" s="1"/>
  <c r="G91" i="82" s="1"/>
  <c r="G92" i="82" s="1"/>
  <c r="G93" i="82" s="1"/>
  <c r="G94" i="82" s="1"/>
  <c r="G95" i="82" s="1"/>
  <c r="B49" i="82"/>
  <c r="B77" i="82"/>
  <c r="B50" i="82"/>
  <c r="B78" i="82" s="1"/>
  <c r="B51" i="82"/>
  <c r="B79" i="82" s="1"/>
  <c r="B52" i="82"/>
  <c r="B80" i="82"/>
  <c r="B53" i="82"/>
  <c r="B81" i="82" s="1"/>
  <c r="B54" i="82"/>
  <c r="B82" i="82" s="1"/>
  <c r="B55" i="82"/>
  <c r="B83" i="82" s="1"/>
  <c r="B56" i="82"/>
  <c r="B84" i="82" s="1"/>
  <c r="B57" i="82"/>
  <c r="B85" i="82" s="1"/>
  <c r="B58" i="82"/>
  <c r="B86" i="82" s="1"/>
  <c r="B59" i="82"/>
  <c r="B87" i="82" s="1"/>
  <c r="B60" i="82"/>
  <c r="B88" i="82" s="1"/>
  <c r="B61" i="82"/>
  <c r="B89" i="82" s="1"/>
  <c r="B62" i="82"/>
  <c r="B90" i="82" s="1"/>
  <c r="B63" i="82"/>
  <c r="B91" i="82" s="1"/>
  <c r="B64" i="82"/>
  <c r="B92" i="82" s="1"/>
  <c r="B65" i="82"/>
  <c r="B93" i="82" s="1"/>
  <c r="B66" i="82"/>
  <c r="B94" i="82" s="1"/>
  <c r="C66" i="82"/>
  <c r="C94" i="82" s="1"/>
  <c r="M82" i="82"/>
  <c r="M83" i="82"/>
  <c r="M84" i="82"/>
  <c r="M85" i="82"/>
  <c r="M86" i="82"/>
  <c r="M87" i="82"/>
  <c r="M88" i="82"/>
  <c r="M89" i="82"/>
  <c r="M90" i="82"/>
  <c r="M91" i="82"/>
  <c r="M92" i="82"/>
  <c r="B95" i="82"/>
  <c r="C95" i="82"/>
  <c r="D95" i="82"/>
  <c r="E95" i="82"/>
  <c r="B11" i="78"/>
  <c r="B16" i="78"/>
  <c r="B46" i="78" s="1"/>
  <c r="D46" i="78"/>
  <c r="K98" i="78" s="1"/>
  <c r="B17" i="78"/>
  <c r="B47" i="78" s="1"/>
  <c r="D17" i="78"/>
  <c r="L25" i="78" s="1"/>
  <c r="E17" i="78"/>
  <c r="B19" i="78"/>
  <c r="K19" i="78"/>
  <c r="B23" i="78"/>
  <c r="C23" i="78"/>
  <c r="V24" i="78"/>
  <c r="H25" i="78"/>
  <c r="H26" i="78"/>
  <c r="H27" i="78"/>
  <c r="K27" i="78"/>
  <c r="K29" i="78" s="1"/>
  <c r="H28" i="78"/>
  <c r="K28" i="78"/>
  <c r="K30" i="78" s="1"/>
  <c r="H29" i="78"/>
  <c r="H30" i="78"/>
  <c r="H31" i="78"/>
  <c r="K31" i="78"/>
  <c r="K32" i="78" s="1"/>
  <c r="H32" i="78"/>
  <c r="Q34" i="78"/>
  <c r="T34" i="78"/>
  <c r="B41" i="78"/>
  <c r="B42" i="78"/>
  <c r="B43" i="78"/>
  <c r="D43" i="78"/>
  <c r="B45" i="78"/>
  <c r="F86" i="78"/>
  <c r="G97" i="78"/>
  <c r="B56" i="78"/>
  <c r="B84" i="78"/>
  <c r="G56" i="78"/>
  <c r="H56" i="78" s="1"/>
  <c r="E84" i="78" s="1"/>
  <c r="B57" i="78"/>
  <c r="B85" i="78" s="1"/>
  <c r="G57" i="78"/>
  <c r="H57" i="78" s="1"/>
  <c r="E85" i="78" s="1"/>
  <c r="B58" i="78"/>
  <c r="B86" i="78" s="1"/>
  <c r="B59" i="78"/>
  <c r="B87" i="78" s="1"/>
  <c r="B60" i="78"/>
  <c r="B88" i="78" s="1"/>
  <c r="B61" i="78"/>
  <c r="B89" i="78" s="1"/>
  <c r="B62" i="78"/>
  <c r="B90" i="78"/>
  <c r="B63" i="78"/>
  <c r="B91" i="78"/>
  <c r="B64" i="78"/>
  <c r="B92" i="78"/>
  <c r="B65" i="78"/>
  <c r="B93" i="78" s="1"/>
  <c r="B66" i="78"/>
  <c r="B94" i="78" s="1"/>
  <c r="B67" i="78"/>
  <c r="B95" i="78" s="1"/>
  <c r="B68" i="78"/>
  <c r="B96" i="78" s="1"/>
  <c r="B69" i="78"/>
  <c r="B97" i="78" s="1"/>
  <c r="B70" i="78"/>
  <c r="B98" i="78" s="1"/>
  <c r="B71" i="78"/>
  <c r="B99" i="78"/>
  <c r="B72" i="78"/>
  <c r="B100" i="78" s="1"/>
  <c r="B73" i="78"/>
  <c r="B101" i="78" s="1"/>
  <c r="C73" i="78"/>
  <c r="C101" i="78" s="1"/>
  <c r="M84" i="78"/>
  <c r="P84" i="78"/>
  <c r="Q84" i="78"/>
  <c r="M85" i="78"/>
  <c r="P85" i="78"/>
  <c r="Q85" i="78"/>
  <c r="M86" i="78"/>
  <c r="P86" i="78"/>
  <c r="Q86" i="78"/>
  <c r="M87" i="78"/>
  <c r="P87" i="78"/>
  <c r="Q87" i="78"/>
  <c r="M88" i="78"/>
  <c r="P88" i="78"/>
  <c r="Q88" i="78"/>
  <c r="M89" i="78"/>
  <c r="P89" i="78"/>
  <c r="Q89" i="78"/>
  <c r="P90" i="78"/>
  <c r="Q90" i="78"/>
  <c r="P91" i="78"/>
  <c r="Q91" i="78"/>
  <c r="P92" i="78"/>
  <c r="Q92" i="78"/>
  <c r="P93" i="78"/>
  <c r="Q93" i="78"/>
  <c r="P94" i="78"/>
  <c r="Q94" i="78"/>
  <c r="P95" i="78"/>
  <c r="Q95" i="78"/>
  <c r="P96" i="78"/>
  <c r="Q96" i="78"/>
  <c r="P97" i="78"/>
  <c r="Q97" i="78"/>
  <c r="P98" i="78"/>
  <c r="Q98" i="78"/>
  <c r="P99" i="78"/>
  <c r="Q99" i="78"/>
  <c r="P100" i="78"/>
  <c r="Q100" i="78"/>
  <c r="P101" i="78"/>
  <c r="Q101" i="78"/>
  <c r="B11" i="77"/>
  <c r="B16" i="77"/>
  <c r="B80" i="77" s="1"/>
  <c r="M26" i="77"/>
  <c r="B17" i="77"/>
  <c r="B81" i="77" s="1"/>
  <c r="D17" i="77"/>
  <c r="L54" i="77" s="1"/>
  <c r="E17" i="77"/>
  <c r="B19" i="77"/>
  <c r="K19" i="77"/>
  <c r="B23" i="77"/>
  <c r="C23" i="77"/>
  <c r="V24" i="77"/>
  <c r="H25" i="77"/>
  <c r="H26" i="77"/>
  <c r="K26" i="77"/>
  <c r="K27" i="77" s="1"/>
  <c r="H27" i="77"/>
  <c r="H28" i="77"/>
  <c r="K28" i="77"/>
  <c r="K29" i="77" s="1"/>
  <c r="K30" i="77" s="1"/>
  <c r="K31" i="77" s="1"/>
  <c r="K32" i="77" s="1"/>
  <c r="K33" i="77" s="1"/>
  <c r="H29" i="77"/>
  <c r="H30" i="77"/>
  <c r="H31" i="77"/>
  <c r="H32" i="77"/>
  <c r="H33" i="77"/>
  <c r="H34" i="77"/>
  <c r="H35" i="77"/>
  <c r="H36" i="77"/>
  <c r="H37" i="77"/>
  <c r="H38" i="77"/>
  <c r="H39" i="77"/>
  <c r="H40" i="77"/>
  <c r="H41" i="77"/>
  <c r="Q43" i="77"/>
  <c r="T43" i="77"/>
  <c r="B48" i="77"/>
  <c r="H50" i="77"/>
  <c r="H51" i="77"/>
  <c r="K51" i="77"/>
  <c r="K52" i="77" s="1"/>
  <c r="K53" i="77" s="1"/>
  <c r="K54" i="77" s="1"/>
  <c r="K55" i="77" s="1"/>
  <c r="K56" i="77" s="1"/>
  <c r="K57" i="77" s="1"/>
  <c r="K58" i="77" s="1"/>
  <c r="K59" i="77" s="1"/>
  <c r="K60" i="77" s="1"/>
  <c r="K61" i="77" s="1"/>
  <c r="K62" i="77" s="1"/>
  <c r="K63" i="77" s="1"/>
  <c r="K64" i="77" s="1"/>
  <c r="K65" i="77" s="1"/>
  <c r="K66" i="77" s="1"/>
  <c r="H52" i="77"/>
  <c r="H53" i="77"/>
  <c r="H54" i="77"/>
  <c r="H55" i="77"/>
  <c r="H56" i="77"/>
  <c r="H57" i="77"/>
  <c r="H58" i="77"/>
  <c r="H59" i="77"/>
  <c r="H60" i="77"/>
  <c r="H61" i="77"/>
  <c r="H62" i="77"/>
  <c r="H63" i="77"/>
  <c r="H64" i="77"/>
  <c r="H65" i="77"/>
  <c r="H66" i="77"/>
  <c r="B75" i="77"/>
  <c r="B76" i="77"/>
  <c r="B77" i="77"/>
  <c r="D77" i="77"/>
  <c r="G90" i="77" s="1"/>
  <c r="G91" i="77" s="1"/>
  <c r="H91" i="77" s="1"/>
  <c r="B79" i="77"/>
  <c r="F124" i="77"/>
  <c r="G129" i="77"/>
  <c r="B90" i="77"/>
  <c r="B119" i="77" s="1"/>
  <c r="B91" i="77"/>
  <c r="B120" i="77" s="1"/>
  <c r="B92" i="77"/>
  <c r="B121" i="77" s="1"/>
  <c r="B93" i="77"/>
  <c r="B122" i="77" s="1"/>
  <c r="B94" i="77"/>
  <c r="B123" i="77" s="1"/>
  <c r="B95" i="77"/>
  <c r="B124" i="77" s="1"/>
  <c r="B96" i="77"/>
  <c r="B125" i="77" s="1"/>
  <c r="B97" i="77"/>
  <c r="B126" i="77" s="1"/>
  <c r="B98" i="77"/>
  <c r="B127" i="77" s="1"/>
  <c r="B99" i="77"/>
  <c r="B128" i="77" s="1"/>
  <c r="B100" i="77"/>
  <c r="B129" i="77" s="1"/>
  <c r="B101" i="77"/>
  <c r="B130" i="77" s="1"/>
  <c r="B102" i="77"/>
  <c r="B131" i="77" s="1"/>
  <c r="B103" i="77"/>
  <c r="B132" i="77" s="1"/>
  <c r="B104" i="77"/>
  <c r="B133" i="77" s="1"/>
  <c r="B105" i="77"/>
  <c r="B134" i="77" s="1"/>
  <c r="B106" i="77"/>
  <c r="B135" i="77" s="1"/>
  <c r="B107" i="77"/>
  <c r="B136" i="77" s="1"/>
  <c r="C107" i="77"/>
  <c r="C136" i="77" s="1"/>
  <c r="M119" i="77"/>
  <c r="P119" i="77"/>
  <c r="Q119" i="77"/>
  <c r="M120" i="77"/>
  <c r="P120" i="77"/>
  <c r="Q120" i="77"/>
  <c r="M121" i="77"/>
  <c r="P121" i="77"/>
  <c r="Q121" i="77"/>
  <c r="M122" i="77"/>
  <c r="P122" i="77"/>
  <c r="Q122" i="77"/>
  <c r="M123" i="77"/>
  <c r="P123" i="77"/>
  <c r="Q123" i="77"/>
  <c r="M124" i="77"/>
  <c r="P124" i="77"/>
  <c r="Q124" i="77"/>
  <c r="M125" i="77"/>
  <c r="P125" i="77"/>
  <c r="Q125" i="77"/>
  <c r="P126" i="77"/>
  <c r="Q126" i="77"/>
  <c r="P127" i="77"/>
  <c r="Q127" i="77"/>
  <c r="P128" i="77"/>
  <c r="Q128" i="77"/>
  <c r="P129" i="77"/>
  <c r="Q129" i="77"/>
  <c r="P130" i="77"/>
  <c r="Q130" i="77"/>
  <c r="P131" i="77"/>
  <c r="Q131" i="77"/>
  <c r="P132" i="77"/>
  <c r="Q132" i="77"/>
  <c r="P133" i="77"/>
  <c r="Q133" i="77"/>
  <c r="P134" i="77"/>
  <c r="Q134" i="77"/>
  <c r="P135" i="77"/>
  <c r="Q135" i="77"/>
  <c r="P136" i="77"/>
  <c r="Q136" i="77"/>
  <c r="V22" i="74"/>
  <c r="AE23" i="74"/>
  <c r="AE25" i="74" s="1"/>
  <c r="AF23" i="74"/>
  <c r="AG23" i="74" s="1"/>
  <c r="AG25" i="74" s="1"/>
  <c r="AI23" i="74"/>
  <c r="AJ23" i="74"/>
  <c r="Q25" i="74"/>
  <c r="V31" i="74"/>
  <c r="M32" i="74"/>
  <c r="K33" i="74"/>
  <c r="M34" i="74"/>
  <c r="M35" i="74"/>
  <c r="M47" i="74"/>
  <c r="M48" i="74"/>
  <c r="Q51" i="74"/>
  <c r="V57" i="74"/>
  <c r="M58" i="74"/>
  <c r="K59" i="74"/>
  <c r="K60" i="74" s="1"/>
  <c r="K61" i="74" s="1"/>
  <c r="K62" i="74" s="1"/>
  <c r="M59" i="74"/>
  <c r="M60" i="74"/>
  <c r="M61" i="74"/>
  <c r="Q64" i="74"/>
  <c r="V175" i="74"/>
  <c r="M176" i="74"/>
  <c r="K177" i="74"/>
  <c r="U177" i="74" s="1"/>
  <c r="M179" i="74"/>
  <c r="M184" i="74"/>
  <c r="M185" i="74"/>
  <c r="Q188" i="74"/>
  <c r="V360" i="74"/>
  <c r="M361" i="74"/>
  <c r="Q363" i="74"/>
  <c r="M370" i="74"/>
  <c r="Q372" i="74"/>
  <c r="B380" i="74"/>
  <c r="W380" i="74"/>
  <c r="B381" i="74"/>
  <c r="B382" i="74"/>
  <c r="D382" i="74"/>
  <c r="G399" i="74" s="1"/>
  <c r="B384" i="74"/>
  <c r="D384" i="74"/>
  <c r="B385" i="74"/>
  <c r="D385" i="74"/>
  <c r="B386" i="74"/>
  <c r="F425" i="74"/>
  <c r="G430" i="74"/>
  <c r="C395" i="74"/>
  <c r="C90" i="77" s="1"/>
  <c r="C119" i="77" s="1"/>
  <c r="C396" i="74"/>
  <c r="C50" i="83" s="1"/>
  <c r="C78" i="83" s="1"/>
  <c r="C397" i="74"/>
  <c r="C425" i="74" s="1"/>
  <c r="C398" i="74"/>
  <c r="C426" i="74" s="1"/>
  <c r="C399" i="74"/>
  <c r="C60" i="78" s="1"/>
  <c r="C88" i="78" s="1"/>
  <c r="C401" i="74"/>
  <c r="C429" i="74" s="1"/>
  <c r="C402" i="74"/>
  <c r="C430" i="74" s="1"/>
  <c r="C403" i="74"/>
  <c r="C98" i="77" s="1"/>
  <c r="C127" i="77" s="1"/>
  <c r="C404" i="74"/>
  <c r="C65" i="78" s="1"/>
  <c r="C93" i="78" s="1"/>
  <c r="C405" i="74"/>
  <c r="C66" i="78" s="1"/>
  <c r="C94" i="78" s="1"/>
  <c r="C406" i="74"/>
  <c r="C434" i="74" s="1"/>
  <c r="C407" i="74"/>
  <c r="C435" i="74" s="1"/>
  <c r="C408" i="74"/>
  <c r="C436" i="74" s="1"/>
  <c r="C409" i="74"/>
  <c r="C63" i="82" s="1"/>
  <c r="C91" i="82" s="1"/>
  <c r="B423" i="74"/>
  <c r="D423" i="74"/>
  <c r="D96" i="86" s="1"/>
  <c r="B424" i="74"/>
  <c r="B425" i="74"/>
  <c r="B426" i="74"/>
  <c r="D426" i="74"/>
  <c r="D80" i="82" s="1"/>
  <c r="B427" i="74"/>
  <c r="B428" i="74"/>
  <c r="B429" i="74"/>
  <c r="B430" i="74"/>
  <c r="B431" i="74"/>
  <c r="B432" i="74"/>
  <c r="D432" i="74"/>
  <c r="D128" i="77" s="1"/>
  <c r="B433" i="74"/>
  <c r="D433" i="74"/>
  <c r="D111" i="84" s="1"/>
  <c r="B434" i="74"/>
  <c r="D434" i="74"/>
  <c r="D102" i="87" s="1"/>
  <c r="B435" i="74"/>
  <c r="D435" i="74"/>
  <c r="D306" i="85" s="1"/>
  <c r="B436" i="74"/>
  <c r="D436" i="74"/>
  <c r="D90" i="83" s="1"/>
  <c r="B437" i="74"/>
  <c r="D437" i="74"/>
  <c r="D308" i="85" s="1"/>
  <c r="B438" i="74"/>
  <c r="D438" i="74"/>
  <c r="D92" i="88" s="1"/>
  <c r="B439" i="74"/>
  <c r="C439" i="74"/>
  <c r="D439" i="74"/>
  <c r="D93" i="83" s="1"/>
  <c r="B440" i="74"/>
  <c r="C440" i="74"/>
  <c r="D440" i="74"/>
  <c r="D118" i="84" s="1"/>
  <c r="L13" i="46"/>
  <c r="M13" i="46" s="1"/>
  <c r="M14" i="46" s="1"/>
  <c r="F21" i="46"/>
  <c r="L21" i="46" s="1"/>
  <c r="F22" i="46"/>
  <c r="L22" i="46" s="1"/>
  <c r="G25" i="46"/>
  <c r="L32" i="46"/>
  <c r="M32" i="46" s="1"/>
  <c r="M33" i="46" s="1"/>
  <c r="B39" i="46"/>
  <c r="B58" i="46" s="1"/>
  <c r="B77" i="46" s="1"/>
  <c r="B96" i="46" s="1"/>
  <c r="B115" i="46" s="1"/>
  <c r="B133" i="46" s="1"/>
  <c r="B151" i="46" s="1"/>
  <c r="B169" i="46" s="1"/>
  <c r="B189" i="46" s="1"/>
  <c r="G44" i="46"/>
  <c r="H58" i="46"/>
  <c r="H77" i="46" s="1"/>
  <c r="H96" i="46" s="1"/>
  <c r="I58" i="46"/>
  <c r="J58" i="46"/>
  <c r="J77" i="46" s="1"/>
  <c r="J96" i="46" s="1"/>
  <c r="G63" i="46"/>
  <c r="G82" i="46"/>
  <c r="G101" i="46"/>
  <c r="L108" i="46"/>
  <c r="K115" i="46" s="1"/>
  <c r="M108" i="46"/>
  <c r="G120" i="46"/>
  <c r="H133" i="46"/>
  <c r="I133" i="46"/>
  <c r="I151" i="46" s="1"/>
  <c r="I169" i="46" s="1"/>
  <c r="J133" i="46"/>
  <c r="J151" i="46" s="1"/>
  <c r="J169" i="46" s="1"/>
  <c r="G138" i="46"/>
  <c r="G155" i="46"/>
  <c r="G175" i="46"/>
  <c r="L182" i="46"/>
  <c r="G194" i="46"/>
  <c r="M201" i="46"/>
  <c r="G209" i="46"/>
  <c r="N209" i="46"/>
  <c r="N211" i="46" s="1"/>
  <c r="M14" i="38"/>
  <c r="N14" i="38" s="1"/>
  <c r="M23" i="38"/>
  <c r="N23" i="38" s="1"/>
  <c r="M32" i="38"/>
  <c r="N32" i="38" s="1"/>
  <c r="I33" i="38"/>
  <c r="I42" i="38" s="1"/>
  <c r="I51" i="38" s="1"/>
  <c r="J33" i="38"/>
  <c r="J42" i="38" s="1"/>
  <c r="J51" i="38" s="1"/>
  <c r="M41" i="38"/>
  <c r="N41" i="38" s="1"/>
  <c r="M50" i="38"/>
  <c r="N50" i="38" s="1"/>
  <c r="M59" i="38"/>
  <c r="N59" i="38" s="1"/>
  <c r="M68" i="38"/>
  <c r="N68" i="38" s="1"/>
  <c r="I69" i="38"/>
  <c r="J69" i="38"/>
  <c r="J76" i="38" s="1"/>
  <c r="J84" i="38" s="1"/>
  <c r="M75" i="38"/>
  <c r="N75" i="38" s="1"/>
  <c r="I76" i="38"/>
  <c r="I84" i="38" s="1"/>
  <c r="M83" i="38"/>
  <c r="N83" i="38" s="1"/>
  <c r="M91" i="38"/>
  <c r="N91" i="38" s="1"/>
  <c r="D98" i="38"/>
  <c r="R106" i="38"/>
  <c r="L110" i="38"/>
  <c r="L111" i="38" s="1"/>
  <c r="D111" i="38"/>
  <c r="Q111" i="38"/>
  <c r="K126" i="38"/>
  <c r="K127" i="38"/>
  <c r="K128" i="38"/>
  <c r="K130" i="38"/>
  <c r="K131" i="38"/>
  <c r="K132" i="38"/>
  <c r="K133" i="38"/>
  <c r="K135" i="38"/>
  <c r="K139" i="38"/>
  <c r="K140" i="38"/>
  <c r="K141" i="38"/>
  <c r="K144" i="38"/>
  <c r="H154" i="38"/>
  <c r="H155" i="38"/>
  <c r="I155" i="38"/>
  <c r="K155" i="38" s="1"/>
  <c r="H159" i="38"/>
  <c r="I159" i="38"/>
  <c r="K159" i="38" s="1"/>
  <c r="H160" i="38"/>
  <c r="I73" i="67"/>
  <c r="J73" i="67" s="1"/>
  <c r="I86" i="67"/>
  <c r="J86" i="67" s="1"/>
  <c r="I87" i="67"/>
  <c r="J87" i="67" s="1"/>
  <c r="I88" i="67"/>
  <c r="J88" i="67" s="1"/>
  <c r="J93" i="67"/>
  <c r="I129" i="67"/>
  <c r="J129" i="67" s="1"/>
  <c r="I138" i="67"/>
  <c r="J138" i="67" s="1"/>
  <c r="I139" i="67"/>
  <c r="J139" i="67" s="1"/>
  <c r="I140" i="67"/>
  <c r="J140" i="67" s="1"/>
  <c r="I142" i="67"/>
  <c r="J142" i="67" s="1"/>
  <c r="I179" i="67"/>
  <c r="J179" i="67" s="1"/>
  <c r="I208" i="67"/>
  <c r="J208" i="67" s="1"/>
  <c r="I209" i="67"/>
  <c r="J209" i="67" s="1"/>
  <c r="I210" i="67"/>
  <c r="J210" i="67" s="1"/>
  <c r="I212" i="67"/>
  <c r="J212" i="67" s="1"/>
  <c r="I213" i="67"/>
  <c r="J213" i="67" s="1"/>
  <c r="I463" i="67"/>
  <c r="J463" i="67" s="1"/>
  <c r="I477" i="67"/>
  <c r="J477" i="67" s="1"/>
  <c r="I478" i="67"/>
  <c r="J478" i="67" s="1"/>
  <c r="I479" i="67"/>
  <c r="J479" i="67" s="1"/>
  <c r="I521" i="67"/>
  <c r="J521" i="67" s="1"/>
  <c r="I606" i="67"/>
  <c r="J606" i="67" s="1"/>
  <c r="I607" i="67"/>
  <c r="J607" i="67" s="1"/>
  <c r="I608" i="67"/>
  <c r="J608" i="67" s="1"/>
  <c r="I610" i="67"/>
  <c r="J610" i="67" s="1"/>
  <c r="I611" i="67"/>
  <c r="J611" i="67" s="1"/>
  <c r="I612" i="67"/>
  <c r="J612" i="67" s="1"/>
  <c r="I613" i="67"/>
  <c r="J613" i="67" s="1"/>
  <c r="H632" i="67"/>
  <c r="H635" i="67"/>
  <c r="H644" i="67"/>
  <c r="H649" i="67"/>
  <c r="H656" i="67"/>
  <c r="H660" i="67"/>
  <c r="H664" i="67"/>
  <c r="H667" i="67"/>
  <c r="H670" i="67"/>
  <c r="H673" i="67"/>
  <c r="H676" i="67"/>
  <c r="H679" i="67"/>
  <c r="H682" i="67"/>
  <c r="H686" i="67"/>
  <c r="H689" i="67"/>
  <c r="H692" i="67"/>
  <c r="H695" i="67"/>
  <c r="H698" i="67"/>
  <c r="H701" i="67"/>
  <c r="H704" i="67"/>
  <c r="H708" i="67"/>
  <c r="H712" i="67"/>
  <c r="H716" i="67"/>
  <c r="F32" i="79"/>
  <c r="B31" i="72"/>
  <c r="E31" i="72"/>
  <c r="B32" i="72"/>
  <c r="B33" i="72"/>
  <c r="B35" i="72"/>
  <c r="E35" i="72"/>
  <c r="B36" i="72"/>
  <c r="A22" i="43"/>
  <c r="A31" i="72" s="1"/>
  <c r="B22" i="43"/>
  <c r="E22" i="43"/>
  <c r="G22" i="43"/>
  <c r="B23" i="43"/>
  <c r="G23" i="43"/>
  <c r="B24" i="43"/>
  <c r="G24" i="43"/>
  <c r="B26" i="43"/>
  <c r="C26" i="43"/>
  <c r="E26" i="43" s="1"/>
  <c r="G26" i="43"/>
  <c r="B27" i="43"/>
  <c r="G27" i="43"/>
  <c r="A28" i="43"/>
  <c r="B28" i="43"/>
  <c r="G28" i="43"/>
  <c r="Q14" i="71"/>
  <c r="S14" i="71"/>
  <c r="U14" i="71"/>
  <c r="W14" i="71"/>
  <c r="Y14" i="71"/>
  <c r="Q15" i="71"/>
  <c r="S15" i="71"/>
  <c r="U15" i="71"/>
  <c r="W15" i="71"/>
  <c r="Y15" i="71"/>
  <c r="Q16" i="71"/>
  <c r="S16" i="71"/>
  <c r="U16" i="71"/>
  <c r="W16" i="71"/>
  <c r="Y16" i="71"/>
  <c r="Q17" i="71"/>
  <c r="S17" i="71"/>
  <c r="U17" i="71"/>
  <c r="W17" i="71"/>
  <c r="Y17" i="71"/>
  <c r="Q18" i="71"/>
  <c r="S18" i="71"/>
  <c r="U18" i="71"/>
  <c r="W18" i="71"/>
  <c r="Y18" i="71"/>
  <c r="Q19" i="71"/>
  <c r="S19" i="71"/>
  <c r="U19" i="71"/>
  <c r="W19" i="71"/>
  <c r="Y19" i="71"/>
  <c r="N15" i="8"/>
  <c r="A16" i="8"/>
  <c r="A23" i="43" s="1"/>
  <c r="A32" i="72" s="1"/>
  <c r="D16" i="8"/>
  <c r="C7" i="42"/>
  <c r="M49" i="42"/>
  <c r="I554" i="67"/>
  <c r="J554" i="67" s="1"/>
  <c r="I226" i="74"/>
  <c r="J226" i="74" s="1"/>
  <c r="R226" i="74" s="1"/>
  <c r="R228" i="74" s="1"/>
  <c r="L252" i="42"/>
  <c r="O252" i="42" s="1"/>
  <c r="A4" i="42"/>
  <c r="A5" i="42"/>
  <c r="A4" i="4" s="1"/>
  <c r="B24" i="25"/>
  <c r="B28" i="25"/>
  <c r="B38" i="25"/>
  <c r="B43" i="25"/>
  <c r="F54" i="25"/>
  <c r="B31" i="81"/>
  <c r="A7" i="69"/>
  <c r="A8" i="69" s="1"/>
  <c r="D13" i="77"/>
  <c r="D79" i="77" s="1"/>
  <c r="D13" i="78"/>
  <c r="D45" i="78" s="1"/>
  <c r="M49" i="74"/>
  <c r="M178" i="74"/>
  <c r="M33" i="74"/>
  <c r="M23" i="74"/>
  <c r="M186" i="74"/>
  <c r="M177" i="74"/>
  <c r="M62" i="74"/>
  <c r="K426" i="74"/>
  <c r="K438" i="74"/>
  <c r="K437" i="74"/>
  <c r="K429" i="74"/>
  <c r="K431" i="74"/>
  <c r="K432" i="74"/>
  <c r="K423" i="74"/>
  <c r="K424" i="74"/>
  <c r="K427" i="74"/>
  <c r="K433" i="74"/>
  <c r="F21" i="79"/>
  <c r="G32" i="79" s="1"/>
  <c r="L52" i="95"/>
  <c r="U52" i="95" s="1"/>
  <c r="U54" i="95" s="1"/>
  <c r="T54" i="95" s="1"/>
  <c r="L70" i="95"/>
  <c r="U70" i="95" s="1"/>
  <c r="U72" i="95" s="1"/>
  <c r="L43" i="95"/>
  <c r="U43" i="95" s="1"/>
  <c r="U45" i="95" s="1"/>
  <c r="T45" i="95" s="1"/>
  <c r="D86" i="95"/>
  <c r="L112" i="95" s="1"/>
  <c r="L34" i="95"/>
  <c r="U34" i="95" s="1"/>
  <c r="U36" i="95" s="1"/>
  <c r="T36" i="95" s="1"/>
  <c r="L61" i="95"/>
  <c r="L25" i="95"/>
  <c r="U25" i="95" s="1"/>
  <c r="U27" i="95" s="1"/>
  <c r="K109" i="95"/>
  <c r="U123" i="94"/>
  <c r="U63" i="94"/>
  <c r="K191" i="94"/>
  <c r="U66" i="94"/>
  <c r="U32" i="94"/>
  <c r="U33" i="94"/>
  <c r="U35" i="94"/>
  <c r="L135" i="94"/>
  <c r="U135" i="94" s="1"/>
  <c r="U137" i="94" s="1"/>
  <c r="D151" i="94"/>
  <c r="L121" i="94"/>
  <c r="U121" i="94"/>
  <c r="L122" i="94"/>
  <c r="U122" i="94" s="1"/>
  <c r="L126" i="94"/>
  <c r="U126" i="94" s="1"/>
  <c r="L38" i="94"/>
  <c r="L51" i="94"/>
  <c r="U51" i="94"/>
  <c r="L100" i="94"/>
  <c r="L23" i="94"/>
  <c r="U23" i="94" s="1"/>
  <c r="U25" i="94" s="1"/>
  <c r="L37" i="94"/>
  <c r="L50" i="94"/>
  <c r="L94" i="94"/>
  <c r="L99" i="94"/>
  <c r="U99" i="94" s="1"/>
  <c r="L111" i="94"/>
  <c r="U111" i="94" s="1"/>
  <c r="U34" i="94"/>
  <c r="L36" i="94"/>
  <c r="L49" i="94"/>
  <c r="U49" i="94" s="1"/>
  <c r="L93" i="94"/>
  <c r="L98" i="94"/>
  <c r="L110" i="94"/>
  <c r="U110" i="94" s="1"/>
  <c r="L81" i="94"/>
  <c r="L92" i="94"/>
  <c r="L97" i="94"/>
  <c r="L80" i="94"/>
  <c r="L91" i="94"/>
  <c r="U91" i="94" s="1"/>
  <c r="L96" i="94"/>
  <c r="L90" i="94"/>
  <c r="U90" i="94" s="1"/>
  <c r="L95" i="94"/>
  <c r="U95" i="94" s="1"/>
  <c r="L45" i="94"/>
  <c r="L53" i="94"/>
  <c r="L64" i="94"/>
  <c r="U64" i="94" s="1"/>
  <c r="L101" i="94"/>
  <c r="U101" i="94" s="1"/>
  <c r="L112" i="94"/>
  <c r="K188" i="94"/>
  <c r="K193" i="94"/>
  <c r="K195" i="94"/>
  <c r="K197" i="94"/>
  <c r="K199" i="94"/>
  <c r="K201" i="94"/>
  <c r="K203" i="94"/>
  <c r="K205" i="94"/>
  <c r="K189" i="94"/>
  <c r="K192" i="94"/>
  <c r="K190" i="94"/>
  <c r="K194" i="94"/>
  <c r="K196" i="94"/>
  <c r="K198" i="94"/>
  <c r="K200" i="94"/>
  <c r="K202" i="94"/>
  <c r="L343" i="74"/>
  <c r="U343" i="74" s="1"/>
  <c r="U345" i="74" s="1"/>
  <c r="T345" i="74" s="1"/>
  <c r="L334" i="74"/>
  <c r="U334" i="74" s="1"/>
  <c r="U336" i="74" s="1"/>
  <c r="T336" i="74" s="1"/>
  <c r="L325" i="74"/>
  <c r="U325" i="74" s="1"/>
  <c r="L315" i="74"/>
  <c r="U315" i="74" s="1"/>
  <c r="L324" i="74"/>
  <c r="U324" i="74" s="1"/>
  <c r="L314" i="74"/>
  <c r="U314" i="74" s="1"/>
  <c r="L287" i="74"/>
  <c r="U287" i="74"/>
  <c r="L305" i="74"/>
  <c r="U305" i="74" s="1"/>
  <c r="U307" i="74" s="1"/>
  <c r="T307" i="74" s="1"/>
  <c r="L296" i="74"/>
  <c r="U296" i="74" s="1"/>
  <c r="U298" i="74" s="1"/>
  <c r="T298" i="74" s="1"/>
  <c r="L286" i="74"/>
  <c r="U286" i="74" s="1"/>
  <c r="U289" i="74" s="1"/>
  <c r="T289" i="74" s="1"/>
  <c r="L277" i="74"/>
  <c r="U277" i="74" s="1"/>
  <c r="U279" i="74" s="1"/>
  <c r="T279" i="74" s="1"/>
  <c r="L268" i="74"/>
  <c r="U268" i="74" s="1"/>
  <c r="U270" i="74" s="1"/>
  <c r="T270" i="74" s="1"/>
  <c r="L249" i="74"/>
  <c r="L259" i="74"/>
  <c r="U259" i="74"/>
  <c r="U261" i="74" s="1"/>
  <c r="T261" i="74" s="1"/>
  <c r="L246" i="74"/>
  <c r="U246" i="74" s="1"/>
  <c r="D91" i="87"/>
  <c r="L244" i="74"/>
  <c r="U244" i="74" s="1"/>
  <c r="K247" i="74"/>
  <c r="C58" i="78"/>
  <c r="D84" i="78"/>
  <c r="L247" i="74"/>
  <c r="L250" i="74"/>
  <c r="D77" i="83"/>
  <c r="L245" i="74"/>
  <c r="U245" i="74"/>
  <c r="L248" i="74"/>
  <c r="L235" i="74"/>
  <c r="U235" i="74" s="1"/>
  <c r="U237" i="74" s="1"/>
  <c r="T237" i="74" s="1"/>
  <c r="L226" i="74"/>
  <c r="U226" i="74"/>
  <c r="U228" i="74" s="1"/>
  <c r="T228" i="74" s="1"/>
  <c r="L217" i="74"/>
  <c r="U217" i="74"/>
  <c r="U219" i="74" s="1"/>
  <c r="T219" i="74" s="1"/>
  <c r="L207" i="74"/>
  <c r="U207" i="74" s="1"/>
  <c r="L204" i="74"/>
  <c r="U204" i="74" s="1"/>
  <c r="U210" i="74" s="1"/>
  <c r="T210" i="74" s="1"/>
  <c r="L208" i="74"/>
  <c r="L205" i="74"/>
  <c r="L206" i="74"/>
  <c r="U206" i="74" s="1"/>
  <c r="L183" i="74"/>
  <c r="L195" i="74"/>
  <c r="U195" i="74"/>
  <c r="U197" i="74" s="1"/>
  <c r="T197" i="74" s="1"/>
  <c r="L181" i="74"/>
  <c r="L182" i="74"/>
  <c r="L180" i="74"/>
  <c r="L352" i="74"/>
  <c r="L167" i="74"/>
  <c r="U167" i="74" s="1"/>
  <c r="U169" i="74" s="1"/>
  <c r="T169" i="74" s="1"/>
  <c r="L158" i="74"/>
  <c r="C62" i="82"/>
  <c r="C90" i="82" s="1"/>
  <c r="L149" i="74"/>
  <c r="L134" i="74"/>
  <c r="U134" i="74" s="1"/>
  <c r="D109" i="86"/>
  <c r="D103" i="87"/>
  <c r="B19" i="83"/>
  <c r="C103" i="77"/>
  <c r="C132" i="77" s="1"/>
  <c r="L136" i="74"/>
  <c r="G439" i="74"/>
  <c r="G427" i="74"/>
  <c r="L135" i="74"/>
  <c r="U135" i="74" s="1"/>
  <c r="G433" i="74"/>
  <c r="L133" i="74"/>
  <c r="L139" i="74"/>
  <c r="L62" i="74"/>
  <c r="L130" i="74"/>
  <c r="U130" i="74" s="1"/>
  <c r="L137" i="74"/>
  <c r="L140" i="74"/>
  <c r="U140" i="74" s="1"/>
  <c r="L132" i="74"/>
  <c r="U132" i="74" s="1"/>
  <c r="G424" i="74"/>
  <c r="L131" i="74"/>
  <c r="U131" i="74" s="1"/>
  <c r="L138" i="74"/>
  <c r="E423" i="74"/>
  <c r="L120" i="74"/>
  <c r="U120" i="74" s="1"/>
  <c r="L119" i="74"/>
  <c r="U119" i="74" s="1"/>
  <c r="L121" i="74"/>
  <c r="U121" i="74" s="1"/>
  <c r="L370" i="74"/>
  <c r="U373" i="74" s="1"/>
  <c r="U376" i="74" s="1"/>
  <c r="U370" i="74"/>
  <c r="U372" i="74" s="1"/>
  <c r="D77" i="82"/>
  <c r="D77" i="88"/>
  <c r="L32" i="74"/>
  <c r="D119" i="77"/>
  <c r="L178" i="74"/>
  <c r="D294" i="85"/>
  <c r="L184" i="74"/>
  <c r="D101" i="84"/>
  <c r="L110" i="74"/>
  <c r="U110" i="74" s="1"/>
  <c r="U112" i="74" s="1"/>
  <c r="L33" i="74"/>
  <c r="U33" i="74"/>
  <c r="L176" i="74"/>
  <c r="U176" i="74" s="1"/>
  <c r="D89" i="88"/>
  <c r="L58" i="74"/>
  <c r="U58" i="74" s="1"/>
  <c r="L97" i="74"/>
  <c r="U97" i="74" s="1"/>
  <c r="D108" i="86"/>
  <c r="L61" i="74"/>
  <c r="L49" i="74"/>
  <c r="D89" i="83"/>
  <c r="G432" i="74"/>
  <c r="G426" i="74"/>
  <c r="D386" i="74"/>
  <c r="L437" i="74" s="1"/>
  <c r="L185" i="74"/>
  <c r="L60" i="74"/>
  <c r="U60" i="74" s="1"/>
  <c r="L35" i="74"/>
  <c r="D131" i="77"/>
  <c r="G425" i="74"/>
  <c r="G440" i="74"/>
  <c r="G436" i="74"/>
  <c r="L179" i="74"/>
  <c r="C63" i="78"/>
  <c r="C91" i="78" s="1"/>
  <c r="L34" i="74"/>
  <c r="L47" i="74"/>
  <c r="D96" i="78"/>
  <c r="G431" i="74"/>
  <c r="G435" i="74"/>
  <c r="L177" i="74"/>
  <c r="C56" i="83"/>
  <c r="C84" i="83" s="1"/>
  <c r="L23" i="74"/>
  <c r="D89" i="82"/>
  <c r="D113" i="84"/>
  <c r="G428" i="74"/>
  <c r="L186" i="74"/>
  <c r="L73" i="74"/>
  <c r="C97" i="77"/>
  <c r="C126" i="77" s="1"/>
  <c r="L59" i="74"/>
  <c r="L361" i="74"/>
  <c r="U361" i="74" s="1"/>
  <c r="U363" i="74" s="1"/>
  <c r="D112" i="86"/>
  <c r="L48" i="74"/>
  <c r="L96" i="74"/>
  <c r="U96" i="74" s="1"/>
  <c r="L100" i="74"/>
  <c r="U100" i="74" s="1"/>
  <c r="D305" i="85"/>
  <c r="F428" i="74"/>
  <c r="L82" i="74"/>
  <c r="U82" i="74" s="1"/>
  <c r="L94" i="74"/>
  <c r="U94" i="74" s="1"/>
  <c r="L98" i="74"/>
  <c r="U98" i="74" s="1"/>
  <c r="L101" i="74"/>
  <c r="U101" i="74" s="1"/>
  <c r="L95" i="74"/>
  <c r="U95" i="74" s="1"/>
  <c r="L99" i="74"/>
  <c r="U99" i="74" s="1"/>
  <c r="G429" i="74"/>
  <c r="L77" i="74"/>
  <c r="C68" i="78"/>
  <c r="C96" i="78" s="1"/>
  <c r="C55" i="83"/>
  <c r="C83" i="83" s="1"/>
  <c r="D100" i="78"/>
  <c r="F429" i="74"/>
  <c r="L80" i="74"/>
  <c r="C102" i="77"/>
  <c r="C131" i="77" s="1"/>
  <c r="G438" i="74"/>
  <c r="L75" i="74"/>
  <c r="U75" i="74" s="1"/>
  <c r="C61" i="82"/>
  <c r="C89" i="82" s="1"/>
  <c r="D100" i="87"/>
  <c r="F427" i="74"/>
  <c r="L78" i="74"/>
  <c r="U78" i="74" s="1"/>
  <c r="C61" i="83"/>
  <c r="C89" i="83" s="1"/>
  <c r="L84" i="74"/>
  <c r="L81" i="74"/>
  <c r="C61" i="88"/>
  <c r="C89" i="88" s="1"/>
  <c r="D93" i="88"/>
  <c r="L76" i="74"/>
  <c r="F426" i="74"/>
  <c r="L79" i="74"/>
  <c r="G437" i="74"/>
  <c r="G434" i="74"/>
  <c r="L71" i="74"/>
  <c r="U71" i="74" s="1"/>
  <c r="L74" i="74"/>
  <c r="L85" i="74"/>
  <c r="G423" i="74"/>
  <c r="L72" i="74"/>
  <c r="U72" i="74" s="1"/>
  <c r="L83" i="74"/>
  <c r="C49" i="82"/>
  <c r="C77" i="82" s="1"/>
  <c r="K34" i="74"/>
  <c r="K35" i="74"/>
  <c r="U35" i="74" s="1"/>
  <c r="L38" i="74"/>
  <c r="L46" i="74"/>
  <c r="L41" i="74"/>
  <c r="L36" i="74"/>
  <c r="L44" i="74"/>
  <c r="L39" i="74"/>
  <c r="L42" i="74"/>
  <c r="L37" i="74"/>
  <c r="L45" i="74"/>
  <c r="L40" i="74"/>
  <c r="D304" i="85"/>
  <c r="E424" i="74"/>
  <c r="C92" i="77"/>
  <c r="C121" i="77" s="1"/>
  <c r="F439" i="74"/>
  <c r="K435" i="74"/>
  <c r="F435" i="74"/>
  <c r="F438" i="74"/>
  <c r="F423" i="74"/>
  <c r="F424" i="74"/>
  <c r="F431" i="74"/>
  <c r="F434" i="74"/>
  <c r="F437" i="74"/>
  <c r="F433" i="74"/>
  <c r="F430" i="74"/>
  <c r="F432" i="74"/>
  <c r="F436" i="74"/>
  <c r="F440" i="74"/>
  <c r="L110" i="95"/>
  <c r="U138" i="94"/>
  <c r="U141" i="94" s="1"/>
  <c r="U67" i="94"/>
  <c r="U36" i="94"/>
  <c r="U92" i="94"/>
  <c r="L204" i="94"/>
  <c r="L202" i="94"/>
  <c r="L200" i="94"/>
  <c r="L198" i="94"/>
  <c r="L196" i="94"/>
  <c r="L194" i="94"/>
  <c r="L190" i="94"/>
  <c r="L192" i="94"/>
  <c r="L189" i="94"/>
  <c r="L205" i="94"/>
  <c r="L203" i="94"/>
  <c r="L201" i="94"/>
  <c r="L199" i="94"/>
  <c r="L197" i="94"/>
  <c r="L195" i="94"/>
  <c r="L193" i="94"/>
  <c r="L191" i="94"/>
  <c r="L188" i="94"/>
  <c r="D148" i="94"/>
  <c r="D164" i="94"/>
  <c r="E164" i="94" s="1"/>
  <c r="D165" i="94" s="1"/>
  <c r="E165" i="94" s="1"/>
  <c r="D166" i="94" s="1"/>
  <c r="E166" i="94" s="1"/>
  <c r="D167" i="94" s="1"/>
  <c r="E167" i="94" s="1"/>
  <c r="D168" i="94" s="1"/>
  <c r="U61" i="74"/>
  <c r="U205" i="74"/>
  <c r="U352" i="74"/>
  <c r="U149" i="74"/>
  <c r="U151" i="74" s="1"/>
  <c r="T151" i="74" s="1"/>
  <c r="U62" i="74"/>
  <c r="U59" i="74"/>
  <c r="U34" i="74"/>
  <c r="E425" i="74"/>
  <c r="U68" i="94"/>
  <c r="H192" i="94"/>
  <c r="U93" i="94"/>
  <c r="U133" i="74"/>
  <c r="E426" i="74"/>
  <c r="U69" i="94"/>
  <c r="U39" i="94"/>
  <c r="U94" i="94"/>
  <c r="U84" i="74"/>
  <c r="U70" i="94"/>
  <c r="U44" i="94"/>
  <c r="U354" i="74"/>
  <c r="T354" i="74" s="1"/>
  <c r="T112" i="74"/>
  <c r="U71" i="94"/>
  <c r="U41" i="94"/>
  <c r="U208" i="74"/>
  <c r="U42" i="94"/>
  <c r="U47" i="94"/>
  <c r="U96" i="94"/>
  <c r="U97" i="94"/>
  <c r="U98" i="94"/>
  <c r="U100" i="94"/>
  <c r="I14" i="79"/>
  <c r="J14" i="79" s="1"/>
  <c r="I49" i="74"/>
  <c r="J49" i="74" s="1"/>
  <c r="R49" i="74" s="1"/>
  <c r="C63" i="88"/>
  <c r="C91" i="88" s="1"/>
  <c r="H99" i="95"/>
  <c r="E112" i="95" s="1"/>
  <c r="C27" i="43"/>
  <c r="E27" i="43" s="1"/>
  <c r="D427" i="74"/>
  <c r="D95" i="87" s="1"/>
  <c r="D112" i="95"/>
  <c r="I112" i="95" s="1"/>
  <c r="D192" i="94"/>
  <c r="E36" i="72"/>
  <c r="H399" i="74"/>
  <c r="G400" i="74" s="1"/>
  <c r="H400" i="74" s="1"/>
  <c r="H164" i="94"/>
  <c r="E192" i="94" s="1"/>
  <c r="H33" i="4"/>
  <c r="C65" i="88"/>
  <c r="C93" i="88" s="1"/>
  <c r="C106" i="77"/>
  <c r="C135" i="77" s="1"/>
  <c r="C72" i="78"/>
  <c r="C100" i="78" s="1"/>
  <c r="C432" i="74"/>
  <c r="C99" i="77"/>
  <c r="C128" i="77" s="1"/>
  <c r="C58" i="83"/>
  <c r="C86" i="83" s="1"/>
  <c r="C58" i="82"/>
  <c r="C86" i="82" s="1"/>
  <c r="C58" i="88"/>
  <c r="C86" i="88" s="1"/>
  <c r="C55" i="82"/>
  <c r="C83" i="82" s="1"/>
  <c r="C55" i="88"/>
  <c r="C83" i="88" s="1"/>
  <c r="C96" i="77"/>
  <c r="C125" i="77" s="1"/>
  <c r="C62" i="78"/>
  <c r="C90" i="78" s="1"/>
  <c r="C53" i="82"/>
  <c r="C81" i="82" s="1"/>
  <c r="C28" i="43"/>
  <c r="D428" i="74"/>
  <c r="D193" i="94"/>
  <c r="I33" i="4"/>
  <c r="I35" i="4" s="1"/>
  <c r="F131" i="77"/>
  <c r="F132" i="77"/>
  <c r="D40" i="82"/>
  <c r="L89" i="82" s="1"/>
  <c r="L25" i="82"/>
  <c r="L90" i="83"/>
  <c r="L88" i="83"/>
  <c r="L27" i="87"/>
  <c r="L26" i="87"/>
  <c r="L25" i="87"/>
  <c r="L39" i="87"/>
  <c r="L38" i="87"/>
  <c r="L37" i="87"/>
  <c r="L36" i="87"/>
  <c r="L35" i="87"/>
  <c r="L34" i="87"/>
  <c r="L33" i="87"/>
  <c r="D194" i="94"/>
  <c r="D429" i="74"/>
  <c r="D90" i="78" s="1"/>
  <c r="J49" i="42"/>
  <c r="D430" i="74"/>
  <c r="D126" i="77" s="1"/>
  <c r="D195" i="94"/>
  <c r="L90" i="88"/>
  <c r="K89" i="88"/>
  <c r="K94" i="88"/>
  <c r="K79" i="88"/>
  <c r="K82" i="88"/>
  <c r="K77" i="88"/>
  <c r="K88" i="88"/>
  <c r="K90" i="88"/>
  <c r="K80" i="88"/>
  <c r="M28" i="84"/>
  <c r="M32" i="84"/>
  <c r="M31" i="84"/>
  <c r="M25" i="88"/>
  <c r="K33" i="4"/>
  <c r="K41" i="4" s="1"/>
  <c r="D17" i="8"/>
  <c r="D19" i="8" s="1"/>
  <c r="J47" i="42"/>
  <c r="I191" i="85"/>
  <c r="J191" i="85" s="1"/>
  <c r="R191" i="85" s="1"/>
  <c r="S191" i="85" s="1"/>
  <c r="I27" i="87"/>
  <c r="J27" i="87" s="1"/>
  <c r="R27" i="87" s="1"/>
  <c r="I109" i="85"/>
  <c r="J109" i="85" s="1"/>
  <c r="I25" i="84"/>
  <c r="J25" i="84" s="1"/>
  <c r="I66" i="85"/>
  <c r="J66" i="85" s="1"/>
  <c r="R66" i="85" s="1"/>
  <c r="S66" i="85" s="1"/>
  <c r="I65" i="77"/>
  <c r="J65" i="77" s="1"/>
  <c r="I65" i="85"/>
  <c r="J65" i="85" s="1"/>
  <c r="I38" i="84"/>
  <c r="J38" i="84" s="1"/>
  <c r="I101" i="85"/>
  <c r="J101" i="85" s="1"/>
  <c r="R101" i="85" s="1"/>
  <c r="S101" i="85" s="1"/>
  <c r="I39" i="86"/>
  <c r="J39" i="86" s="1"/>
  <c r="R39" i="86" s="1"/>
  <c r="S39" i="86" s="1"/>
  <c r="I228" i="85"/>
  <c r="J228" i="85" s="1"/>
  <c r="R228" i="85" s="1"/>
  <c r="S228" i="85" s="1"/>
  <c r="I50" i="85"/>
  <c r="J50" i="85" s="1"/>
  <c r="R50" i="85" s="1"/>
  <c r="S50" i="85" s="1"/>
  <c r="I58" i="77"/>
  <c r="J58" i="77" s="1"/>
  <c r="I28" i="87"/>
  <c r="J28" i="87" s="1"/>
  <c r="R28" i="87" s="1"/>
  <c r="S28" i="87" s="1"/>
  <c r="I48" i="67"/>
  <c r="J48" i="67" s="1"/>
  <c r="I26" i="87"/>
  <c r="I163" i="85"/>
  <c r="J163" i="85" s="1"/>
  <c r="R163" i="85" s="1"/>
  <c r="I38" i="86"/>
  <c r="J38" i="86" s="1"/>
  <c r="R38" i="86" s="1"/>
  <c r="I199" i="85"/>
  <c r="J199" i="85" s="1"/>
  <c r="I74" i="85"/>
  <c r="J74" i="85" s="1"/>
  <c r="R74" i="85" s="1"/>
  <c r="S74" i="85" s="1"/>
  <c r="I214" i="85"/>
  <c r="J214" i="85" s="1"/>
  <c r="R214" i="85" s="1"/>
  <c r="I36" i="85"/>
  <c r="J36" i="85" s="1"/>
  <c r="R36" i="85" s="1"/>
  <c r="I179" i="85"/>
  <c r="J179" i="85" s="1"/>
  <c r="R179" i="85" s="1"/>
  <c r="S179" i="85" s="1"/>
  <c r="I56" i="77"/>
  <c r="J56" i="77" s="1"/>
  <c r="I178" i="85"/>
  <c r="J178" i="85" s="1"/>
  <c r="I164" i="85"/>
  <c r="J164" i="85" s="1"/>
  <c r="R164" i="85" s="1"/>
  <c r="S164" i="85" s="1"/>
  <c r="I41" i="86"/>
  <c r="J41" i="86" s="1"/>
  <c r="R41" i="86" s="1"/>
  <c r="S41" i="86" s="1"/>
  <c r="I39" i="87"/>
  <c r="J39" i="87" s="1"/>
  <c r="I48" i="85"/>
  <c r="J48" i="85" s="1"/>
  <c r="R48" i="85" s="1"/>
  <c r="S48" i="85" s="1"/>
  <c r="I48" i="84"/>
  <c r="J48" i="84" s="1"/>
  <c r="I28" i="67"/>
  <c r="J28" i="67" s="1"/>
  <c r="I118" i="85"/>
  <c r="J118" i="85" s="1"/>
  <c r="I42" i="67"/>
  <c r="J42" i="67" s="1"/>
  <c r="I35" i="67"/>
  <c r="J35" i="67" s="1"/>
  <c r="I38" i="77"/>
  <c r="J38" i="77" s="1"/>
  <c r="I47" i="84"/>
  <c r="I29" i="87"/>
  <c r="I36" i="84"/>
  <c r="J36" i="84" s="1"/>
  <c r="I189" i="85"/>
  <c r="J189" i="85" s="1"/>
  <c r="R189" i="85" s="1"/>
  <c r="I188" i="85"/>
  <c r="I26" i="84"/>
  <c r="J26" i="84" s="1"/>
  <c r="R26" i="84" s="1"/>
  <c r="I33" i="86"/>
  <c r="J33" i="86" s="1"/>
  <c r="R33" i="86" s="1"/>
  <c r="S33" i="86" s="1"/>
  <c r="I67" i="85"/>
  <c r="J67" i="85" s="1"/>
  <c r="R67" i="85" s="1"/>
  <c r="S67" i="85" s="1"/>
  <c r="I62" i="85"/>
  <c r="J62" i="85" s="1"/>
  <c r="I181" i="85"/>
  <c r="J181" i="85" s="1"/>
  <c r="R181" i="85" s="1"/>
  <c r="S181" i="85" s="1"/>
  <c r="I49" i="67"/>
  <c r="J49" i="67" s="1"/>
  <c r="I79" i="85"/>
  <c r="J79" i="85" s="1"/>
  <c r="R79" i="85" s="1"/>
  <c r="S79" i="85" s="1"/>
  <c r="I76" i="85"/>
  <c r="J76" i="85" s="1"/>
  <c r="R76" i="85" s="1"/>
  <c r="S76" i="85" s="1"/>
  <c r="I102" i="85"/>
  <c r="J102" i="85" s="1"/>
  <c r="I30" i="77"/>
  <c r="J30" i="77" s="1"/>
  <c r="I125" i="85"/>
  <c r="J125" i="85" s="1"/>
  <c r="I122" i="85"/>
  <c r="J122" i="85" s="1"/>
  <c r="I61" i="77"/>
  <c r="J61" i="77" s="1"/>
  <c r="I80" i="85"/>
  <c r="J80" i="85" s="1"/>
  <c r="I44" i="67"/>
  <c r="J44" i="67" s="1"/>
  <c r="I210" i="85"/>
  <c r="J210" i="85" s="1"/>
  <c r="I41" i="84"/>
  <c r="J41" i="84" s="1"/>
  <c r="I34" i="86"/>
  <c r="J34" i="86" s="1"/>
  <c r="R34" i="86" s="1"/>
  <c r="S34" i="86" s="1"/>
  <c r="I33" i="87"/>
  <c r="I183" i="85"/>
  <c r="I41" i="85"/>
  <c r="J41" i="85" s="1"/>
  <c r="I49" i="85"/>
  <c r="J49" i="85" s="1"/>
  <c r="I68" i="85"/>
  <c r="J68" i="85" s="1"/>
  <c r="R68" i="85" s="1"/>
  <c r="S68" i="85" s="1"/>
  <c r="I107" i="85"/>
  <c r="J107" i="85" s="1"/>
  <c r="R107" i="85" s="1"/>
  <c r="S107" i="85" s="1"/>
  <c r="I17" i="67"/>
  <c r="J17" i="67" s="1"/>
  <c r="I222" i="85"/>
  <c r="J222" i="85" s="1"/>
  <c r="R222" i="85" s="1"/>
  <c r="S222" i="85" s="1"/>
  <c r="I54" i="67"/>
  <c r="J54" i="67" s="1"/>
  <c r="I50" i="77"/>
  <c r="J50" i="77" s="1"/>
  <c r="I227" i="85"/>
  <c r="J227" i="85" s="1"/>
  <c r="I27" i="84"/>
  <c r="J27" i="84" s="1"/>
  <c r="I225" i="85"/>
  <c r="J225" i="85" s="1"/>
  <c r="R225" i="85" s="1"/>
  <c r="S225" i="85" s="1"/>
  <c r="I81" i="85"/>
  <c r="J81" i="85" s="1"/>
  <c r="R81" i="85" s="1"/>
  <c r="S81" i="85" s="1"/>
  <c r="I25" i="85"/>
  <c r="I92" i="85"/>
  <c r="J92" i="85" s="1"/>
  <c r="R92" i="85" s="1"/>
  <c r="S92" i="85" s="1"/>
  <c r="I50" i="67"/>
  <c r="J50" i="67" s="1"/>
  <c r="I14" i="67"/>
  <c r="J14" i="67" s="1"/>
  <c r="I103" i="85"/>
  <c r="J103" i="85" s="1"/>
  <c r="R103" i="85" s="1"/>
  <c r="S103" i="85" s="1"/>
  <c r="I63" i="77"/>
  <c r="J63" i="77" s="1"/>
  <c r="R63" i="77" s="1"/>
  <c r="I36" i="87"/>
  <c r="J36" i="87" s="1"/>
  <c r="I155" i="85"/>
  <c r="J155" i="85" s="1"/>
  <c r="I40" i="77"/>
  <c r="J40" i="77" s="1"/>
  <c r="I145" i="85"/>
  <c r="J145" i="85" s="1"/>
  <c r="R145" i="85" s="1"/>
  <c r="S145" i="85" s="1"/>
  <c r="I186" i="85"/>
  <c r="J186" i="85" s="1"/>
  <c r="R186" i="85" s="1"/>
  <c r="S186" i="85" s="1"/>
  <c r="I42" i="86"/>
  <c r="J42" i="86" s="1"/>
  <c r="I217" i="85"/>
  <c r="J217" i="85" s="1"/>
  <c r="R217" i="85" s="1"/>
  <c r="S217" i="85" s="1"/>
  <c r="I26" i="67"/>
  <c r="J26" i="67" s="1"/>
  <c r="I30" i="84"/>
  <c r="J30" i="84" s="1"/>
  <c r="I71" i="85"/>
  <c r="J71" i="85" s="1"/>
  <c r="I61" i="85"/>
  <c r="J61" i="85" s="1"/>
  <c r="I104" i="85"/>
  <c r="J104" i="85" s="1"/>
  <c r="R104" i="85" s="1"/>
  <c r="S104" i="85" s="1"/>
  <c r="I69" i="85"/>
  <c r="J69" i="85" s="1"/>
  <c r="R69" i="85" s="1"/>
  <c r="S69" i="85" s="1"/>
  <c r="I39" i="77"/>
  <c r="J39" i="77" s="1"/>
  <c r="I16" i="67"/>
  <c r="J16" i="67" s="1"/>
  <c r="I220" i="85"/>
  <c r="J220" i="85" s="1"/>
  <c r="R220" i="85" s="1"/>
  <c r="S220" i="85" s="1"/>
  <c r="I32" i="67"/>
  <c r="J32" i="67" s="1"/>
  <c r="I230" i="85"/>
  <c r="J230" i="85" s="1"/>
  <c r="R230" i="85" s="1"/>
  <c r="S230" i="85" s="1"/>
  <c r="I63" i="85"/>
  <c r="J63" i="85" s="1"/>
  <c r="I40" i="84"/>
  <c r="J40" i="84" s="1"/>
  <c r="I37" i="86"/>
  <c r="J37" i="86" s="1"/>
  <c r="R37" i="86" s="1"/>
  <c r="S37" i="86" s="1"/>
  <c r="I70" i="85"/>
  <c r="J70" i="85" s="1"/>
  <c r="R70" i="85" s="1"/>
  <c r="I36" i="67"/>
  <c r="J36" i="67" s="1"/>
  <c r="I39" i="85"/>
  <c r="J39" i="85" s="1"/>
  <c r="I32" i="84"/>
  <c r="J32" i="84" s="1"/>
  <c r="R32" i="84" s="1"/>
  <c r="I29" i="77"/>
  <c r="J29" i="77" s="1"/>
  <c r="I232" i="85"/>
  <c r="J232" i="85" s="1"/>
  <c r="R232" i="85" s="1"/>
  <c r="I46" i="85"/>
  <c r="J46" i="85" s="1"/>
  <c r="I78" i="85"/>
  <c r="J78" i="85" s="1"/>
  <c r="R78" i="85" s="1"/>
  <c r="I12" i="67"/>
  <c r="J12" i="67" s="1"/>
  <c r="I45" i="67"/>
  <c r="J45" i="67" s="1"/>
  <c r="I108" i="85"/>
  <c r="J108" i="85" s="1"/>
  <c r="I43" i="84"/>
  <c r="J43" i="84" s="1"/>
  <c r="I96" i="85"/>
  <c r="J96" i="85" s="1"/>
  <c r="R96" i="85" s="1"/>
  <c r="S96" i="85" s="1"/>
  <c r="I37" i="85"/>
  <c r="J37" i="85" s="1"/>
  <c r="R37" i="85" s="1"/>
  <c r="I24" i="67"/>
  <c r="J24" i="67" s="1"/>
  <c r="I161" i="85"/>
  <c r="J161" i="85" s="1"/>
  <c r="R161" i="85" s="1"/>
  <c r="S161" i="85" s="1"/>
  <c r="I38" i="87"/>
  <c r="J38" i="87" s="1"/>
  <c r="R38" i="87" s="1"/>
  <c r="S38" i="87" s="1"/>
  <c r="I28" i="77"/>
  <c r="J28" i="77" s="1"/>
  <c r="I190" i="85"/>
  <c r="J190" i="85" s="1"/>
  <c r="R190" i="85" s="1"/>
  <c r="S190" i="85" s="1"/>
  <c r="I25" i="77"/>
  <c r="J25" i="77" s="1"/>
  <c r="I142" i="85"/>
  <c r="J142" i="85" s="1"/>
  <c r="I241" i="85"/>
  <c r="J241" i="85" s="1"/>
  <c r="R241" i="85" s="1"/>
  <c r="Q243" i="85" s="1"/>
  <c r="I126" i="85"/>
  <c r="J126" i="85" s="1"/>
  <c r="I41" i="77"/>
  <c r="J41" i="77" s="1"/>
  <c r="R41" i="77" s="1"/>
  <c r="S41" i="77" s="1"/>
  <c r="I42" i="84"/>
  <c r="J42" i="84" s="1"/>
  <c r="I625" i="67"/>
  <c r="J625" i="67" s="1"/>
  <c r="I195" i="85"/>
  <c r="J195" i="85" s="1"/>
  <c r="R195" i="85" s="1"/>
  <c r="I139" i="85"/>
  <c r="J139" i="85" s="1"/>
  <c r="I196" i="85"/>
  <c r="J196" i="85" s="1"/>
  <c r="R196" i="85" s="1"/>
  <c r="S196" i="85" s="1"/>
  <c r="I93" i="85"/>
  <c r="J93" i="85" s="1"/>
  <c r="I28" i="86"/>
  <c r="J28" i="86" s="1"/>
  <c r="I38" i="85"/>
  <c r="J38" i="85" s="1"/>
  <c r="I29" i="67"/>
  <c r="J29" i="67" s="1"/>
  <c r="I49" i="84"/>
  <c r="I35" i="87"/>
  <c r="J35" i="87" s="1"/>
  <c r="I157" i="85"/>
  <c r="J157" i="85" s="1"/>
  <c r="I37" i="67"/>
  <c r="J37" i="67" s="1"/>
  <c r="I25" i="87"/>
  <c r="J25" i="87" s="1"/>
  <c r="I124" i="85"/>
  <c r="J124" i="85" s="1"/>
  <c r="I137" i="85"/>
  <c r="J137" i="85" s="1"/>
  <c r="I31" i="87"/>
  <c r="J31" i="87" s="1"/>
  <c r="R31" i="87" s="1"/>
  <c r="S31" i="87" s="1"/>
  <c r="I28" i="84"/>
  <c r="J28" i="84" s="1"/>
  <c r="I15" i="67"/>
  <c r="J15" i="67" s="1"/>
  <c r="I622" i="67"/>
  <c r="J622" i="67" s="1"/>
  <c r="I192" i="85"/>
  <c r="J192" i="85" s="1"/>
  <c r="I60" i="85"/>
  <c r="J60" i="85" s="1"/>
  <c r="I30" i="78"/>
  <c r="J30" i="78" s="1"/>
  <c r="I211" i="85"/>
  <c r="J211" i="85" s="1"/>
  <c r="I45" i="84"/>
  <c r="J45" i="84" s="1"/>
  <c r="R45" i="84" s="1"/>
  <c r="I619" i="67"/>
  <c r="J619" i="67" s="1"/>
  <c r="I27" i="78"/>
  <c r="J27" i="78" s="1"/>
  <c r="I82" i="85"/>
  <c r="J82" i="85" s="1"/>
  <c r="R82" i="85" s="1"/>
  <c r="S82" i="85" s="1"/>
  <c r="I52" i="77"/>
  <c r="J52" i="77" s="1"/>
  <c r="I200" i="85"/>
  <c r="J200" i="85" s="1"/>
  <c r="I146" i="85"/>
  <c r="J146" i="85" s="1"/>
  <c r="R146" i="85" s="1"/>
  <c r="S146" i="85" s="1"/>
  <c r="I40" i="86"/>
  <c r="J40" i="86" s="1"/>
  <c r="R40" i="86" s="1"/>
  <c r="S40" i="86" s="1"/>
  <c r="I29" i="84"/>
  <c r="J29" i="84" s="1"/>
  <c r="I224" i="85"/>
  <c r="J224" i="85" s="1"/>
  <c r="R224" i="85" s="1"/>
  <c r="S224" i="85" s="1"/>
  <c r="I94" i="85"/>
  <c r="J94" i="85" s="1"/>
  <c r="I43" i="67"/>
  <c r="J43" i="67" s="1"/>
  <c r="I197" i="85"/>
  <c r="J197" i="85" s="1"/>
  <c r="I25" i="86"/>
  <c r="J25" i="86" s="1"/>
  <c r="R25" i="86" s="1"/>
  <c r="I40" i="67"/>
  <c r="J40" i="67" s="1"/>
  <c r="I55" i="67"/>
  <c r="J55" i="67" s="1"/>
  <c r="I46" i="67"/>
  <c r="J46" i="67" s="1"/>
  <c r="I31" i="86"/>
  <c r="J31" i="86" s="1"/>
  <c r="I18" i="67"/>
  <c r="J18" i="67" s="1"/>
  <c r="I159" i="85"/>
  <c r="J159" i="85" s="1"/>
  <c r="R159" i="85" s="1"/>
  <c r="S159" i="85" s="1"/>
  <c r="I34" i="67"/>
  <c r="J34" i="67" s="1"/>
  <c r="I182" i="85"/>
  <c r="I83" i="85"/>
  <c r="J83" i="85" s="1"/>
  <c r="R83" i="85" s="1"/>
  <c r="I158" i="85"/>
  <c r="J158" i="85" s="1"/>
  <c r="I34" i="85"/>
  <c r="J34" i="85" s="1"/>
  <c r="R34" i="85" s="1"/>
  <c r="S34" i="85" s="1"/>
  <c r="I47" i="85"/>
  <c r="J47" i="85" s="1"/>
  <c r="R47" i="85" s="1"/>
  <c r="S47" i="85" s="1"/>
  <c r="I26" i="86"/>
  <c r="J26" i="86" s="1"/>
  <c r="R26" i="86" s="1"/>
  <c r="I51" i="67"/>
  <c r="J51" i="67" s="1"/>
  <c r="I97" i="85"/>
  <c r="J97" i="85" s="1"/>
  <c r="I52" i="67"/>
  <c r="J52" i="67" s="1"/>
  <c r="I25" i="78"/>
  <c r="J25" i="78" s="1"/>
  <c r="R25" i="78" s="1"/>
  <c r="I135" i="85"/>
  <c r="J135" i="85" s="1"/>
  <c r="R135" i="85" s="1"/>
  <c r="S135" i="85" s="1"/>
  <c r="I213" i="85"/>
  <c r="J213" i="85" s="1"/>
  <c r="R213" i="85" s="1"/>
  <c r="S213" i="85" s="1"/>
  <c r="I64" i="85"/>
  <c r="J64" i="85" s="1"/>
  <c r="I25" i="82"/>
  <c r="J25" i="82" s="1"/>
  <c r="I30" i="86"/>
  <c r="J30" i="86" s="1"/>
  <c r="F94" i="78" l="1"/>
  <c r="Q21" i="71"/>
  <c r="G18" i="8" s="1"/>
  <c r="I18" i="8" s="1"/>
  <c r="A9" i="69"/>
  <c r="D117" i="84"/>
  <c r="D310" i="85"/>
  <c r="H317" i="74"/>
  <c r="F92" i="78"/>
  <c r="G98" i="78"/>
  <c r="K108" i="95"/>
  <c r="N112" i="95"/>
  <c r="K110" i="95"/>
  <c r="AL25" i="95"/>
  <c r="AL27" i="95" s="1"/>
  <c r="D83" i="95"/>
  <c r="D97" i="95" s="1"/>
  <c r="L108" i="95"/>
  <c r="L111" i="95"/>
  <c r="L109" i="95"/>
  <c r="G91" i="78"/>
  <c r="F133" i="77"/>
  <c r="S49" i="74"/>
  <c r="F90" i="78"/>
  <c r="F85" i="78"/>
  <c r="F97" i="78"/>
  <c r="F88" i="78"/>
  <c r="F95" i="78"/>
  <c r="F98" i="78"/>
  <c r="H252" i="74"/>
  <c r="F101" i="78"/>
  <c r="M35" i="77"/>
  <c r="H123" i="74"/>
  <c r="F93" i="78"/>
  <c r="E92" i="87"/>
  <c r="G65" i="87"/>
  <c r="H65" i="87" s="1"/>
  <c r="S25" i="86"/>
  <c r="N60" i="85"/>
  <c r="S232" i="85"/>
  <c r="J33" i="87"/>
  <c r="N33" i="87" s="1"/>
  <c r="S214" i="85"/>
  <c r="G92" i="78"/>
  <c r="L94" i="88"/>
  <c r="G94" i="78"/>
  <c r="G101" i="78"/>
  <c r="L433" i="74"/>
  <c r="C59" i="83"/>
  <c r="C87" i="83" s="1"/>
  <c r="L435" i="74"/>
  <c r="H156" i="38"/>
  <c r="H161" i="38" s="1"/>
  <c r="C59" i="82"/>
  <c r="C87" i="82" s="1"/>
  <c r="I87" i="82" s="1"/>
  <c r="K178" i="74"/>
  <c r="K179" i="74" s="1"/>
  <c r="H128" i="85"/>
  <c r="N33" i="4"/>
  <c r="N157" i="85"/>
  <c r="N139" i="85"/>
  <c r="G89" i="78"/>
  <c r="G99" i="78"/>
  <c r="U178" i="74"/>
  <c r="U61" i="95"/>
  <c r="U63" i="95" s="1"/>
  <c r="T63" i="95" s="1"/>
  <c r="O21" i="71"/>
  <c r="G16" i="8" s="1"/>
  <c r="H168" i="85"/>
  <c r="S195" i="85"/>
  <c r="N178" i="85"/>
  <c r="S38" i="86"/>
  <c r="S27" i="87"/>
  <c r="G96" i="78"/>
  <c r="G86" i="78"/>
  <c r="H191" i="94"/>
  <c r="E427" i="74"/>
  <c r="K36" i="74"/>
  <c r="M21" i="71"/>
  <c r="J49" i="84"/>
  <c r="O49" i="84" s="1"/>
  <c r="S189" i="85"/>
  <c r="S163" i="85"/>
  <c r="G95" i="78"/>
  <c r="G88" i="78"/>
  <c r="U32" i="74"/>
  <c r="S70" i="85"/>
  <c r="J26" i="87"/>
  <c r="N26" i="87" s="1"/>
  <c r="G90" i="78"/>
  <c r="G93" i="78"/>
  <c r="L436" i="74"/>
  <c r="U23" i="74"/>
  <c r="U25" i="74" s="1"/>
  <c r="H64" i="74"/>
  <c r="N30" i="77"/>
  <c r="N211" i="85"/>
  <c r="N137" i="85"/>
  <c r="S78" i="85"/>
  <c r="G100" i="78"/>
  <c r="L85" i="88"/>
  <c r="G84" i="78"/>
  <c r="L430" i="74"/>
  <c r="U317" i="74"/>
  <c r="T317" i="74" s="1"/>
  <c r="N124" i="85"/>
  <c r="N126" i="85"/>
  <c r="J183" i="85"/>
  <c r="R183" i="85" s="1"/>
  <c r="S183" i="85" s="1"/>
  <c r="G87" i="78"/>
  <c r="G85" i="78"/>
  <c r="L88" i="88"/>
  <c r="C59" i="88"/>
  <c r="C87" i="88" s="1"/>
  <c r="U327" i="74"/>
  <c r="T327" i="74" s="1"/>
  <c r="N47" i="84"/>
  <c r="N56" i="77"/>
  <c r="G135" i="77"/>
  <c r="G120" i="77"/>
  <c r="G121" i="77"/>
  <c r="H56" i="94"/>
  <c r="H83" i="94"/>
  <c r="H103" i="94"/>
  <c r="N58" i="77"/>
  <c r="G119" i="77"/>
  <c r="N25" i="77"/>
  <c r="G136" i="77"/>
  <c r="H87" i="74"/>
  <c r="H103" i="74"/>
  <c r="H142" i="74"/>
  <c r="H128" i="94"/>
  <c r="M31" i="78"/>
  <c r="U31" i="78" s="1"/>
  <c r="M32" i="77"/>
  <c r="N31" i="86"/>
  <c r="M30" i="78"/>
  <c r="M55" i="77"/>
  <c r="M56" i="77"/>
  <c r="N28" i="86"/>
  <c r="M30" i="77"/>
  <c r="M51" i="77"/>
  <c r="M61" i="77"/>
  <c r="O61" i="77" s="1"/>
  <c r="M64" i="77"/>
  <c r="M54" i="77"/>
  <c r="H289" i="74"/>
  <c r="M57" i="77"/>
  <c r="H210" i="74"/>
  <c r="F128" i="77"/>
  <c r="G127" i="77"/>
  <c r="F136" i="77"/>
  <c r="F121" i="77"/>
  <c r="F127" i="77"/>
  <c r="G132" i="77"/>
  <c r="F126" i="77"/>
  <c r="F120" i="77"/>
  <c r="G134" i="77"/>
  <c r="G126" i="77"/>
  <c r="G125" i="77"/>
  <c r="F100" i="78"/>
  <c r="F123" i="77"/>
  <c r="F99" i="78"/>
  <c r="M28" i="77"/>
  <c r="F125" i="77"/>
  <c r="G123" i="77"/>
  <c r="M65" i="77"/>
  <c r="G130" i="77"/>
  <c r="F122" i="77"/>
  <c r="F134" i="77"/>
  <c r="M25" i="78"/>
  <c r="V25" i="78" s="1"/>
  <c r="V34" i="78" s="1"/>
  <c r="G128" i="77"/>
  <c r="F84" i="78"/>
  <c r="F96" i="78"/>
  <c r="F87" i="78"/>
  <c r="F91" i="78"/>
  <c r="M50" i="77"/>
  <c r="F129" i="77"/>
  <c r="F130" i="77"/>
  <c r="G131" i="77"/>
  <c r="G124" i="77"/>
  <c r="F135" i="77"/>
  <c r="F119" i="77"/>
  <c r="G122" i="77"/>
  <c r="F89" i="78"/>
  <c r="G133" i="77"/>
  <c r="M58" i="77"/>
  <c r="O58" i="77" s="1"/>
  <c r="M29" i="77"/>
  <c r="N42" i="84"/>
  <c r="M32" i="78"/>
  <c r="M29" i="78"/>
  <c r="M60" i="77"/>
  <c r="M25" i="77"/>
  <c r="O25" i="77" s="1"/>
  <c r="M53" i="77"/>
  <c r="M36" i="77"/>
  <c r="M40" i="77"/>
  <c r="M26" i="78"/>
  <c r="M39" i="77"/>
  <c r="M33" i="77"/>
  <c r="M63" i="77"/>
  <c r="N38" i="84"/>
  <c r="M28" i="78"/>
  <c r="M52" i="77"/>
  <c r="M27" i="78"/>
  <c r="M38" i="77"/>
  <c r="M59" i="77"/>
  <c r="M41" i="77"/>
  <c r="M62" i="77"/>
  <c r="D80" i="77"/>
  <c r="D78" i="77" s="1"/>
  <c r="M27" i="77"/>
  <c r="M37" i="77"/>
  <c r="N25" i="82"/>
  <c r="N27" i="82" s="1"/>
  <c r="N29" i="82" s="1"/>
  <c r="N35" i="87"/>
  <c r="N30" i="84"/>
  <c r="M31" i="77"/>
  <c r="M66" i="77"/>
  <c r="M34" i="77"/>
  <c r="K99" i="78"/>
  <c r="C33" i="4"/>
  <c r="G33" i="4"/>
  <c r="G41" i="4" s="1"/>
  <c r="K35" i="4"/>
  <c r="K37" i="4" s="1"/>
  <c r="J35" i="4"/>
  <c r="J37" i="4" s="1"/>
  <c r="M27" i="84"/>
  <c r="M45" i="84"/>
  <c r="M46" i="84"/>
  <c r="L175" i="85"/>
  <c r="D63" i="84"/>
  <c r="K111" i="84" s="1"/>
  <c r="M43" i="86"/>
  <c r="M47" i="84"/>
  <c r="M41" i="84"/>
  <c r="M26" i="84"/>
  <c r="M43" i="84"/>
  <c r="M35" i="84"/>
  <c r="M29" i="84"/>
  <c r="L100" i="85"/>
  <c r="M39" i="86"/>
  <c r="M37" i="84"/>
  <c r="M25" i="84"/>
  <c r="M42" i="84"/>
  <c r="M36" i="84"/>
  <c r="M44" i="84"/>
  <c r="M39" i="84"/>
  <c r="L32" i="87"/>
  <c r="M38" i="84"/>
  <c r="M48" i="84"/>
  <c r="M30" i="84"/>
  <c r="M40" i="84"/>
  <c r="M34" i="84"/>
  <c r="M49" i="84"/>
  <c r="L191" i="85"/>
  <c r="M29" i="86"/>
  <c r="L221" i="85"/>
  <c r="L108" i="85"/>
  <c r="L195" i="85"/>
  <c r="M32" i="86"/>
  <c r="L184" i="85"/>
  <c r="L158" i="85"/>
  <c r="M37" i="86"/>
  <c r="L188" i="85"/>
  <c r="L40" i="85"/>
  <c r="L83" i="85"/>
  <c r="L48" i="85"/>
  <c r="M38" i="86"/>
  <c r="M26" i="86"/>
  <c r="L67" i="85"/>
  <c r="L95" i="85"/>
  <c r="L139" i="85"/>
  <c r="M30" i="86"/>
  <c r="M34" i="86"/>
  <c r="L75" i="85"/>
  <c r="L218" i="85"/>
  <c r="L94" i="85"/>
  <c r="L156" i="85"/>
  <c r="M40" i="86"/>
  <c r="M42" i="86"/>
  <c r="L163" i="85"/>
  <c r="L226" i="85"/>
  <c r="L102" i="85"/>
  <c r="M189" i="85"/>
  <c r="L212" i="85"/>
  <c r="M181" i="85"/>
  <c r="M157" i="85"/>
  <c r="D54" i="87"/>
  <c r="M99" i="85"/>
  <c r="M103" i="85"/>
  <c r="M219" i="85"/>
  <c r="M177" i="85"/>
  <c r="K83" i="82"/>
  <c r="K86" i="82"/>
  <c r="K87" i="82"/>
  <c r="K88" i="82"/>
  <c r="K80" i="82"/>
  <c r="K77" i="82"/>
  <c r="K90" i="82"/>
  <c r="K84" i="82"/>
  <c r="K81" i="82"/>
  <c r="K79" i="82"/>
  <c r="K82" i="82"/>
  <c r="K91" i="82"/>
  <c r="K92" i="82"/>
  <c r="K93" i="82"/>
  <c r="K89" i="82"/>
  <c r="K78" i="82"/>
  <c r="K95" i="82"/>
  <c r="K85" i="82"/>
  <c r="K94" i="82"/>
  <c r="M25" i="82"/>
  <c r="U25" i="87"/>
  <c r="U40" i="87" s="1"/>
  <c r="D84" i="82"/>
  <c r="D87" i="83"/>
  <c r="D94" i="83"/>
  <c r="D129" i="77"/>
  <c r="D136" i="77"/>
  <c r="C57" i="83"/>
  <c r="C85" i="83" s="1"/>
  <c r="D106" i="86"/>
  <c r="D94" i="82"/>
  <c r="D108" i="87"/>
  <c r="D101" i="87"/>
  <c r="D311" i="85"/>
  <c r="D94" i="78"/>
  <c r="D113" i="86"/>
  <c r="D94" i="88"/>
  <c r="D87" i="82"/>
  <c r="D87" i="88"/>
  <c r="D101" i="78"/>
  <c r="D92" i="82"/>
  <c r="D107" i="86"/>
  <c r="C56" i="82"/>
  <c r="C84" i="82" s="1"/>
  <c r="I84" i="82" s="1"/>
  <c r="D95" i="78"/>
  <c r="D88" i="83"/>
  <c r="D93" i="82"/>
  <c r="C61" i="78"/>
  <c r="C89" i="78" s="1"/>
  <c r="C428" i="74"/>
  <c r="C100" i="77"/>
  <c r="C129" i="77" s="1"/>
  <c r="D116" i="84"/>
  <c r="D94" i="87"/>
  <c r="D130" i="77"/>
  <c r="C56" i="88"/>
  <c r="C84" i="88" s="1"/>
  <c r="I84" i="88" s="1"/>
  <c r="C93" i="77"/>
  <c r="C122" i="77" s="1"/>
  <c r="C62" i="88"/>
  <c r="C90" i="88" s="1"/>
  <c r="D92" i="83"/>
  <c r="D135" i="77"/>
  <c r="D99" i="78"/>
  <c r="C95" i="77"/>
  <c r="C124" i="77" s="1"/>
  <c r="C62" i="83"/>
  <c r="C90" i="83" s="1"/>
  <c r="C54" i="83"/>
  <c r="C82" i="83" s="1"/>
  <c r="C433" i="74"/>
  <c r="D107" i="87"/>
  <c r="D88" i="88"/>
  <c r="D107" i="84"/>
  <c r="D309" i="85"/>
  <c r="D112" i="84"/>
  <c r="C52" i="88"/>
  <c r="C80" i="88" s="1"/>
  <c r="C54" i="88"/>
  <c r="C82" i="88" s="1"/>
  <c r="D111" i="86"/>
  <c r="D88" i="82"/>
  <c r="D134" i="77"/>
  <c r="D106" i="87"/>
  <c r="C59" i="78"/>
  <c r="C87" i="78" s="1"/>
  <c r="C52" i="82"/>
  <c r="C80" i="82" s="1"/>
  <c r="I80" i="82" s="1"/>
  <c r="C52" i="83"/>
  <c r="C80" i="83" s="1"/>
  <c r="C69" i="78"/>
  <c r="C97" i="78" s="1"/>
  <c r="L83" i="82"/>
  <c r="L29" i="77"/>
  <c r="L57" i="77"/>
  <c r="D47" i="78"/>
  <c r="L85" i="78" s="1"/>
  <c r="L32" i="78"/>
  <c r="L35" i="77"/>
  <c r="L60" i="77"/>
  <c r="L34" i="77"/>
  <c r="L32" i="77"/>
  <c r="L55" i="77"/>
  <c r="L65" i="77"/>
  <c r="K85" i="83"/>
  <c r="L37" i="77"/>
  <c r="K78" i="83"/>
  <c r="L51" i="77"/>
  <c r="L28" i="77"/>
  <c r="L92" i="83"/>
  <c r="L232" i="85"/>
  <c r="L194" i="85"/>
  <c r="L42" i="85"/>
  <c r="L82" i="83"/>
  <c r="L81" i="85"/>
  <c r="L94" i="83"/>
  <c r="L84" i="83"/>
  <c r="L39" i="84"/>
  <c r="U39" i="84" s="1"/>
  <c r="L86" i="83"/>
  <c r="L91" i="83"/>
  <c r="K91" i="83"/>
  <c r="L140" i="85"/>
  <c r="L68" i="85"/>
  <c r="K88" i="83"/>
  <c r="K80" i="83"/>
  <c r="L84" i="88"/>
  <c r="L47" i="85"/>
  <c r="L155" i="85"/>
  <c r="L213" i="85"/>
  <c r="L80" i="85"/>
  <c r="L210" i="85"/>
  <c r="L92" i="85"/>
  <c r="L180" i="85"/>
  <c r="L79" i="85"/>
  <c r="L187" i="85"/>
  <c r="L25" i="85"/>
  <c r="L124" i="85"/>
  <c r="K87" i="83"/>
  <c r="U54" i="77"/>
  <c r="L29" i="78"/>
  <c r="L31" i="77"/>
  <c r="L41" i="77"/>
  <c r="L93" i="85"/>
  <c r="K86" i="83"/>
  <c r="K94" i="83"/>
  <c r="L89" i="88"/>
  <c r="L83" i="88"/>
  <c r="L98" i="85"/>
  <c r="L181" i="85"/>
  <c r="L103" i="85"/>
  <c r="L41" i="85"/>
  <c r="L125" i="85"/>
  <c r="L192" i="85"/>
  <c r="L35" i="85"/>
  <c r="L119" i="85"/>
  <c r="L199" i="85"/>
  <c r="L60" i="85"/>
  <c r="L164" i="85"/>
  <c r="L27" i="77"/>
  <c r="U27" i="77" s="1"/>
  <c r="L64" i="77"/>
  <c r="L52" i="77"/>
  <c r="D81" i="77"/>
  <c r="L123" i="77" s="1"/>
  <c r="M34" i="87"/>
  <c r="U34" i="87" s="1"/>
  <c r="K83" i="83"/>
  <c r="L196" i="85"/>
  <c r="L31" i="78"/>
  <c r="L25" i="77"/>
  <c r="L50" i="77"/>
  <c r="L66" i="77"/>
  <c r="L39" i="77"/>
  <c r="L63" i="77"/>
  <c r="L46" i="85"/>
  <c r="U37" i="85"/>
  <c r="K93" i="83"/>
  <c r="L82" i="88"/>
  <c r="L185" i="85"/>
  <c r="L49" i="85"/>
  <c r="L43" i="85"/>
  <c r="L176" i="85"/>
  <c r="K84" i="83"/>
  <c r="D37" i="83"/>
  <c r="D49" i="83" s="1"/>
  <c r="D50" i="83" s="1"/>
  <c r="E50" i="83" s="1"/>
  <c r="D51" i="83" s="1"/>
  <c r="E51" i="83" s="1"/>
  <c r="D52" i="83" s="1"/>
  <c r="E52" i="83" s="1"/>
  <c r="D53" i="83" s="1"/>
  <c r="E53" i="83" s="1"/>
  <c r="D54" i="83" s="1"/>
  <c r="E54" i="83" s="1"/>
  <c r="D55" i="83" s="1"/>
  <c r="E55" i="83" s="1"/>
  <c r="D56" i="83" s="1"/>
  <c r="E56" i="83" s="1"/>
  <c r="D57" i="83" s="1"/>
  <c r="E57" i="83" s="1"/>
  <c r="D58" i="83" s="1"/>
  <c r="E58" i="83" s="1"/>
  <c r="D59" i="83" s="1"/>
  <c r="E59" i="83" s="1"/>
  <c r="D60" i="83" s="1"/>
  <c r="E60" i="83" s="1"/>
  <c r="D61" i="83" s="1"/>
  <c r="E61" i="83" s="1"/>
  <c r="D62" i="83" s="1"/>
  <c r="E62" i="83" s="1"/>
  <c r="D63" i="83" s="1"/>
  <c r="E63" i="83" s="1"/>
  <c r="D64" i="83" s="1"/>
  <c r="L93" i="88"/>
  <c r="L95" i="88"/>
  <c r="L123" i="85"/>
  <c r="L189" i="85"/>
  <c r="L44" i="85"/>
  <c r="L135" i="85"/>
  <c r="L61" i="85"/>
  <c r="L157" i="85"/>
  <c r="L200" i="85"/>
  <c r="L51" i="85"/>
  <c r="L159" i="85"/>
  <c r="L217" i="85"/>
  <c r="L76" i="85"/>
  <c r="L214" i="85"/>
  <c r="L27" i="78"/>
  <c r="L30" i="77"/>
  <c r="L36" i="77"/>
  <c r="L61" i="77"/>
  <c r="L62" i="77"/>
  <c r="L53" i="77"/>
  <c r="U53" i="77" s="1"/>
  <c r="L70" i="85"/>
  <c r="K79" i="83"/>
  <c r="L106" i="85"/>
  <c r="L120" i="85"/>
  <c r="L142" i="85"/>
  <c r="K82" i="83"/>
  <c r="K92" i="83"/>
  <c r="L87" i="88"/>
  <c r="D37" i="88"/>
  <c r="H77" i="88" s="1"/>
  <c r="L138" i="85"/>
  <c r="L193" i="85"/>
  <c r="L64" i="85"/>
  <c r="L143" i="85"/>
  <c r="L69" i="85"/>
  <c r="L165" i="85"/>
  <c r="L215" i="85"/>
  <c r="L63" i="85"/>
  <c r="L179" i="85"/>
  <c r="L225" i="85"/>
  <c r="L99" i="85"/>
  <c r="L222" i="85"/>
  <c r="K90" i="83"/>
  <c r="L30" i="78"/>
  <c r="L38" i="77"/>
  <c r="L58" i="77"/>
  <c r="U58" i="77" s="1"/>
  <c r="L229" i="85"/>
  <c r="M161" i="85"/>
  <c r="M108" i="85"/>
  <c r="L40" i="86"/>
  <c r="L92" i="88"/>
  <c r="L36" i="85"/>
  <c r="L209" i="85"/>
  <c r="K77" i="83"/>
  <c r="K89" i="83"/>
  <c r="L91" i="88"/>
  <c r="L146" i="85"/>
  <c r="L197" i="85"/>
  <c r="L72" i="85"/>
  <c r="L160" i="85"/>
  <c r="L77" i="85"/>
  <c r="L177" i="85"/>
  <c r="U177" i="85" s="1"/>
  <c r="L223" i="85"/>
  <c r="L71" i="85"/>
  <c r="L183" i="85"/>
  <c r="L107" i="85"/>
  <c r="K81" i="83"/>
  <c r="L26" i="78"/>
  <c r="L28" i="78"/>
  <c r="U28" i="78" s="1"/>
  <c r="L40" i="77"/>
  <c r="L26" i="77"/>
  <c r="U26" i="77" s="1"/>
  <c r="L56" i="77"/>
  <c r="L33" i="77"/>
  <c r="L59" i="77"/>
  <c r="M119" i="85"/>
  <c r="L29" i="86"/>
  <c r="U29" i="86" s="1"/>
  <c r="K110" i="84"/>
  <c r="K106" i="84"/>
  <c r="D58" i="86"/>
  <c r="L113" i="86" s="1"/>
  <c r="L28" i="86"/>
  <c r="L30" i="86"/>
  <c r="O30" i="86" s="1"/>
  <c r="L26" i="86"/>
  <c r="L35" i="86"/>
  <c r="U49" i="84"/>
  <c r="L31" i="87"/>
  <c r="M48" i="85"/>
  <c r="L91" i="82"/>
  <c r="L103" i="87"/>
  <c r="L48" i="84"/>
  <c r="L44" i="84"/>
  <c r="U44" i="84" s="1"/>
  <c r="L35" i="84"/>
  <c r="U35" i="84" s="1"/>
  <c r="M232" i="85"/>
  <c r="M215" i="85"/>
  <c r="M211" i="85"/>
  <c r="M196" i="85"/>
  <c r="M193" i="85"/>
  <c r="M138" i="85"/>
  <c r="M123" i="85"/>
  <c r="U123" i="85" s="1"/>
  <c r="M95" i="85"/>
  <c r="M81" i="85"/>
  <c r="M77" i="85"/>
  <c r="L29" i="87"/>
  <c r="M68" i="85"/>
  <c r="M34" i="85"/>
  <c r="L82" i="82"/>
  <c r="L108" i="87"/>
  <c r="L43" i="84"/>
  <c r="L29" i="84"/>
  <c r="U29" i="84" s="1"/>
  <c r="L25" i="84"/>
  <c r="U25" i="84" s="1"/>
  <c r="U51" i="84" s="1"/>
  <c r="M228" i="85"/>
  <c r="M223" i="85"/>
  <c r="M214" i="85"/>
  <c r="M199" i="85"/>
  <c r="M195" i="85"/>
  <c r="M192" i="85"/>
  <c r="M185" i="85"/>
  <c r="M165" i="85"/>
  <c r="M141" i="85"/>
  <c r="M76" i="85"/>
  <c r="M63" i="85"/>
  <c r="M42" i="85"/>
  <c r="L92" i="82"/>
  <c r="L96" i="87"/>
  <c r="L106" i="87"/>
  <c r="L47" i="84"/>
  <c r="L33" i="84"/>
  <c r="U33" i="84" s="1"/>
  <c r="M241" i="85"/>
  <c r="M218" i="85"/>
  <c r="M180" i="85"/>
  <c r="M160" i="85"/>
  <c r="M145" i="85"/>
  <c r="M137" i="85"/>
  <c r="M122" i="85"/>
  <c r="M102" i="85"/>
  <c r="M98" i="85"/>
  <c r="M93" i="85"/>
  <c r="M80" i="85"/>
  <c r="L107" i="87"/>
  <c r="L101" i="87"/>
  <c r="L37" i="84"/>
  <c r="L28" i="84"/>
  <c r="U28" i="84" s="1"/>
  <c r="M231" i="85"/>
  <c r="M222" i="85"/>
  <c r="M209" i="85"/>
  <c r="M198" i="85"/>
  <c r="M188" i="85"/>
  <c r="M184" i="85"/>
  <c r="M164" i="85"/>
  <c r="M106" i="85"/>
  <c r="M83" i="85"/>
  <c r="M75" i="85"/>
  <c r="M70" i="85"/>
  <c r="M66" i="85"/>
  <c r="M62" i="85"/>
  <c r="M46" i="85"/>
  <c r="L28" i="87"/>
  <c r="M60" i="85"/>
  <c r="L109" i="87"/>
  <c r="L98" i="87"/>
  <c r="L41" i="84"/>
  <c r="O41" i="84" s="1"/>
  <c r="L32" i="84"/>
  <c r="U32" i="84" s="1"/>
  <c r="M226" i="85"/>
  <c r="M217" i="85"/>
  <c r="M212" i="85"/>
  <c r="M194" i="85"/>
  <c r="M191" i="85"/>
  <c r="M175" i="85"/>
  <c r="U175" i="85" s="1"/>
  <c r="U201" i="85" s="1"/>
  <c r="M144" i="85"/>
  <c r="M140" i="85"/>
  <c r="M125" i="85"/>
  <c r="M101" i="85"/>
  <c r="M79" i="85"/>
  <c r="M38" i="85"/>
  <c r="L104" i="87"/>
  <c r="L45" i="84"/>
  <c r="L36" i="84"/>
  <c r="L27" i="84"/>
  <c r="O27" i="84" s="1"/>
  <c r="M221" i="85"/>
  <c r="M187" i="85"/>
  <c r="M183" i="85"/>
  <c r="M178" i="85"/>
  <c r="M163" i="85"/>
  <c r="M158" i="85"/>
  <c r="M155" i="85"/>
  <c r="M120" i="85"/>
  <c r="M105" i="85"/>
  <c r="M96" i="85"/>
  <c r="M82" i="85"/>
  <c r="M72" i="85"/>
  <c r="L100" i="87"/>
  <c r="L40" i="84"/>
  <c r="U40" i="84" s="1"/>
  <c r="L31" i="84"/>
  <c r="U31" i="84" s="1"/>
  <c r="M229" i="85"/>
  <c r="M225" i="85"/>
  <c r="M190" i="85"/>
  <c r="M143" i="85"/>
  <c r="M135" i="85"/>
  <c r="M109" i="85"/>
  <c r="M100" i="85"/>
  <c r="M92" i="85"/>
  <c r="M73" i="85"/>
  <c r="M69" i="85"/>
  <c r="M65" i="85"/>
  <c r="M39" i="85"/>
  <c r="D57" i="86"/>
  <c r="K102" i="86" s="1"/>
  <c r="M50" i="85"/>
  <c r="M31" i="86"/>
  <c r="M49" i="85"/>
  <c r="M45" i="85"/>
  <c r="M41" i="85"/>
  <c r="M35" i="86"/>
  <c r="M44" i="85"/>
  <c r="S21" i="71"/>
  <c r="W21" i="71"/>
  <c r="M36" i="85"/>
  <c r="M27" i="86"/>
  <c r="M25" i="85"/>
  <c r="Y21" i="71"/>
  <c r="G20" i="8" s="1"/>
  <c r="M33" i="86"/>
  <c r="M25" i="83"/>
  <c r="C63" i="83"/>
  <c r="C91" i="83" s="1"/>
  <c r="C49" i="88"/>
  <c r="C77" i="88" s="1"/>
  <c r="D105" i="86"/>
  <c r="D86" i="88"/>
  <c r="D86" i="82"/>
  <c r="D132" i="77"/>
  <c r="D93" i="78"/>
  <c r="D108" i="84"/>
  <c r="C70" i="78"/>
  <c r="C98" i="78" s="1"/>
  <c r="D86" i="83"/>
  <c r="D90" i="82"/>
  <c r="D97" i="78"/>
  <c r="D90" i="88"/>
  <c r="C65" i="83"/>
  <c r="C93" i="83" s="1"/>
  <c r="D303" i="85"/>
  <c r="D104" i="87"/>
  <c r="C104" i="77"/>
  <c r="C133" i="77" s="1"/>
  <c r="C423" i="74"/>
  <c r="I423" i="74" s="1"/>
  <c r="D114" i="84"/>
  <c r="C437" i="74"/>
  <c r="D110" i="84"/>
  <c r="D307" i="85"/>
  <c r="D98" i="87"/>
  <c r="D301" i="85"/>
  <c r="I108" i="95"/>
  <c r="K13" i="93"/>
  <c r="K14" i="93" s="1"/>
  <c r="C57" i="82"/>
  <c r="C85" i="82" s="1"/>
  <c r="I85" i="82" s="1"/>
  <c r="C64" i="83"/>
  <c r="C92" i="83" s="1"/>
  <c r="C57" i="88"/>
  <c r="C85" i="88" s="1"/>
  <c r="D87" i="78"/>
  <c r="C91" i="77"/>
  <c r="C120" i="77" s="1"/>
  <c r="C431" i="74"/>
  <c r="D99" i="86"/>
  <c r="D297" i="85"/>
  <c r="D84" i="83"/>
  <c r="C64" i="78"/>
  <c r="C92" i="78" s="1"/>
  <c r="C64" i="88"/>
  <c r="C92" i="88" s="1"/>
  <c r="C50" i="82"/>
  <c r="C78" i="82" s="1"/>
  <c r="I78" i="82" s="1"/>
  <c r="C64" i="82"/>
  <c r="C92" i="82" s="1"/>
  <c r="D122" i="77"/>
  <c r="C105" i="77"/>
  <c r="C134" i="77" s="1"/>
  <c r="C57" i="78"/>
  <c r="C85" i="78" s="1"/>
  <c r="D84" i="88"/>
  <c r="C438" i="74"/>
  <c r="D80" i="83"/>
  <c r="D80" i="88"/>
  <c r="D104" i="84"/>
  <c r="C424" i="74"/>
  <c r="D123" i="77"/>
  <c r="C60" i="83"/>
  <c r="C88" i="83" s="1"/>
  <c r="C101" i="77"/>
  <c r="C130" i="77" s="1"/>
  <c r="C19" i="93"/>
  <c r="C60" i="88"/>
  <c r="C88" i="88" s="1"/>
  <c r="C67" i="78"/>
  <c r="C95" i="78" s="1"/>
  <c r="C60" i="82"/>
  <c r="C88" i="82" s="1"/>
  <c r="I88" i="82" s="1"/>
  <c r="D20" i="8"/>
  <c r="D91" i="78"/>
  <c r="D103" i="86"/>
  <c r="U103" i="94"/>
  <c r="T103" i="94" s="1"/>
  <c r="K98" i="85"/>
  <c r="H188" i="74"/>
  <c r="S83" i="85"/>
  <c r="D83" i="82"/>
  <c r="K115" i="84"/>
  <c r="K104" i="84"/>
  <c r="D96" i="87"/>
  <c r="D82" i="88"/>
  <c r="D82" i="83"/>
  <c r="L429" i="74"/>
  <c r="L432" i="74"/>
  <c r="L434" i="74"/>
  <c r="L423" i="74"/>
  <c r="L440" i="74"/>
  <c r="L425" i="74"/>
  <c r="L426" i="74"/>
  <c r="H35" i="4"/>
  <c r="H37" i="4" s="1"/>
  <c r="K92" i="78"/>
  <c r="K101" i="78"/>
  <c r="K85" i="78"/>
  <c r="K87" i="78"/>
  <c r="K97" i="78"/>
  <c r="K96" i="78"/>
  <c r="K90" i="78"/>
  <c r="K95" i="78"/>
  <c r="K93" i="78"/>
  <c r="K86" i="78"/>
  <c r="K107" i="84"/>
  <c r="K248" i="74"/>
  <c r="U248" i="74" s="1"/>
  <c r="U247" i="74"/>
  <c r="D98" i="78"/>
  <c r="D105" i="87"/>
  <c r="D91" i="88"/>
  <c r="D133" i="77"/>
  <c r="D91" i="82"/>
  <c r="D110" i="86"/>
  <c r="K180" i="74"/>
  <c r="U179" i="74"/>
  <c r="I19" i="93"/>
  <c r="E428" i="74"/>
  <c r="G401" i="74"/>
  <c r="H401" i="74" s="1"/>
  <c r="K114" i="84"/>
  <c r="K105" i="84"/>
  <c r="K109" i="84"/>
  <c r="K117" i="84"/>
  <c r="K108" i="84"/>
  <c r="K118" i="84"/>
  <c r="K119" i="84"/>
  <c r="K112" i="84"/>
  <c r="K102" i="84"/>
  <c r="K113" i="84"/>
  <c r="K88" i="78"/>
  <c r="K94" i="78"/>
  <c r="D83" i="83"/>
  <c r="D83" i="88"/>
  <c r="D125" i="77"/>
  <c r="D97" i="87"/>
  <c r="D102" i="86"/>
  <c r="D300" i="85"/>
  <c r="K103" i="84"/>
  <c r="U25" i="82"/>
  <c r="U26" i="82" s="1"/>
  <c r="U27" i="82"/>
  <c r="D105" i="84"/>
  <c r="D81" i="83"/>
  <c r="D88" i="78"/>
  <c r="D298" i="85"/>
  <c r="D100" i="86"/>
  <c r="D81" i="82"/>
  <c r="D115" i="84"/>
  <c r="N94" i="85"/>
  <c r="J188" i="85"/>
  <c r="R188" i="85" s="1"/>
  <c r="S188" i="85" s="1"/>
  <c r="K84" i="78"/>
  <c r="K100" i="78"/>
  <c r="K101" i="84"/>
  <c r="L84" i="82"/>
  <c r="L95" i="82"/>
  <c r="L90" i="82"/>
  <c r="L86" i="82"/>
  <c r="L87" i="82"/>
  <c r="L85" i="82"/>
  <c r="L88" i="82"/>
  <c r="L94" i="82"/>
  <c r="D37" i="82"/>
  <c r="L93" i="82"/>
  <c r="D81" i="88"/>
  <c r="D91" i="83"/>
  <c r="K91" i="78"/>
  <c r="K89" i="78"/>
  <c r="K116" i="84"/>
  <c r="U103" i="74"/>
  <c r="T103" i="74" s="1"/>
  <c r="J29" i="87"/>
  <c r="R29" i="87" s="1"/>
  <c r="S29" i="87" s="1"/>
  <c r="K86" i="88"/>
  <c r="K91" i="88"/>
  <c r="U81" i="74"/>
  <c r="U79" i="74"/>
  <c r="U37" i="94"/>
  <c r="U74" i="74"/>
  <c r="U128" i="94"/>
  <c r="T128" i="94" s="1"/>
  <c r="H43" i="77"/>
  <c r="J182" i="85"/>
  <c r="R182" i="85" s="1"/>
  <c r="S182" i="85" s="1"/>
  <c r="K95" i="88"/>
  <c r="K87" i="88"/>
  <c r="U50" i="94"/>
  <c r="U43" i="94"/>
  <c r="U136" i="74"/>
  <c r="U77" i="74"/>
  <c r="U83" i="74"/>
  <c r="H49" i="82"/>
  <c r="E77" i="82" s="1"/>
  <c r="G50" i="82"/>
  <c r="H50" i="82" s="1"/>
  <c r="G51" i="82" s="1"/>
  <c r="H51" i="82" s="1"/>
  <c r="K92" i="88"/>
  <c r="U80" i="74"/>
  <c r="K439" i="74"/>
  <c r="K430" i="74"/>
  <c r="K440" i="74"/>
  <c r="K434" i="74"/>
  <c r="K428" i="74"/>
  <c r="K425" i="74"/>
  <c r="K436" i="74"/>
  <c r="H51" i="84"/>
  <c r="K39" i="85"/>
  <c r="N39" i="85" s="1"/>
  <c r="K83" i="88"/>
  <c r="K78" i="88"/>
  <c r="K93" i="88"/>
  <c r="K84" i="88"/>
  <c r="K81" i="88"/>
  <c r="U46" i="94"/>
  <c r="U45" i="94"/>
  <c r="U138" i="74"/>
  <c r="U137" i="74"/>
  <c r="U85" i="74"/>
  <c r="U76" i="74"/>
  <c r="U73" i="74"/>
  <c r="C86" i="78"/>
  <c r="H114" i="94"/>
  <c r="A17" i="8"/>
  <c r="H90" i="77"/>
  <c r="E119" i="77" s="1"/>
  <c r="L25" i="83"/>
  <c r="D64" i="84"/>
  <c r="S47" i="84"/>
  <c r="L241" i="85"/>
  <c r="L161" i="85"/>
  <c r="L144" i="85"/>
  <c r="L39" i="86"/>
  <c r="T40" i="87"/>
  <c r="M32" i="87"/>
  <c r="U32" i="87" s="1"/>
  <c r="Q33" i="4"/>
  <c r="K111" i="95"/>
  <c r="K112" i="38"/>
  <c r="L83" i="83"/>
  <c r="L211" i="85"/>
  <c r="L198" i="85"/>
  <c r="L137" i="85"/>
  <c r="L105" i="85"/>
  <c r="L38" i="85"/>
  <c r="H51" i="74"/>
  <c r="H327" i="74"/>
  <c r="H68" i="77"/>
  <c r="H34" i="78"/>
  <c r="L231" i="85"/>
  <c r="L228" i="85"/>
  <c r="H53" i="85"/>
  <c r="U114" i="94"/>
  <c r="T114" i="94" s="1"/>
  <c r="G58" i="78"/>
  <c r="H58" i="78" s="1"/>
  <c r="E86" i="78" s="1"/>
  <c r="G49" i="83"/>
  <c r="L46" i="84"/>
  <c r="U46" i="84" s="1"/>
  <c r="L42" i="84"/>
  <c r="U42" i="84" s="1"/>
  <c r="L38" i="84"/>
  <c r="U38" i="84" s="1"/>
  <c r="L34" i="84"/>
  <c r="L30" i="84"/>
  <c r="U30" i="84" s="1"/>
  <c r="L26" i="84"/>
  <c r="U26" i="84" s="1"/>
  <c r="D257" i="85"/>
  <c r="L307" i="85" s="1"/>
  <c r="M224" i="85"/>
  <c r="M213" i="85"/>
  <c r="M210" i="85"/>
  <c r="M200" i="85"/>
  <c r="M186" i="85"/>
  <c r="M176" i="85"/>
  <c r="M166" i="85"/>
  <c r="M146" i="85"/>
  <c r="M139" i="85"/>
  <c r="M136" i="85"/>
  <c r="M124" i="85"/>
  <c r="M121" i="85"/>
  <c r="M104" i="85"/>
  <c r="M94" i="85"/>
  <c r="U94" i="85" s="1"/>
  <c r="L82" i="85"/>
  <c r="M71" i="85"/>
  <c r="M61" i="85"/>
  <c r="M51" i="85"/>
  <c r="M47" i="85"/>
  <c r="M40" i="85"/>
  <c r="M35" i="85"/>
  <c r="U35" i="85" s="1"/>
  <c r="L25" i="88"/>
  <c r="P33" i="4"/>
  <c r="I188" i="94"/>
  <c r="S54" i="94"/>
  <c r="U38" i="94"/>
  <c r="D256" i="85"/>
  <c r="M230" i="85"/>
  <c r="M227" i="85"/>
  <c r="L224" i="85"/>
  <c r="M220" i="85"/>
  <c r="M216" i="85"/>
  <c r="M197" i="85"/>
  <c r="L186" i="85"/>
  <c r="M182" i="85"/>
  <c r="M179" i="85"/>
  <c r="L166" i="85"/>
  <c r="M162" i="85"/>
  <c r="M159" i="85"/>
  <c r="M156" i="85"/>
  <c r="M142" i="85"/>
  <c r="M126" i="85"/>
  <c r="M118" i="85"/>
  <c r="M107" i="85"/>
  <c r="L104" i="85"/>
  <c r="M97" i="85"/>
  <c r="M78" i="85"/>
  <c r="M74" i="85"/>
  <c r="M67" i="85"/>
  <c r="M64" i="85"/>
  <c r="U64" i="85" s="1"/>
  <c r="M43" i="85"/>
  <c r="M41" i="86"/>
  <c r="M36" i="86"/>
  <c r="M28" i="86"/>
  <c r="M33" i="4"/>
  <c r="G65" i="83"/>
  <c r="H65" i="83" s="1"/>
  <c r="L227" i="85"/>
  <c r="L216" i="85"/>
  <c r="L182" i="85"/>
  <c r="L162" i="85"/>
  <c r="L126" i="85"/>
  <c r="L97" i="85"/>
  <c r="L74" i="85"/>
  <c r="AL23" i="94"/>
  <c r="AL25" i="94" s="1"/>
  <c r="C94" i="77"/>
  <c r="C123" i="77" s="1"/>
  <c r="C53" i="88"/>
  <c r="C81" i="88" s="1"/>
  <c r="I81" i="88" s="1"/>
  <c r="C53" i="83"/>
  <c r="C81" i="83" s="1"/>
  <c r="C427" i="74"/>
  <c r="C51" i="88"/>
  <c r="C79" i="88" s="1"/>
  <c r="I79" i="88" s="1"/>
  <c r="N79" i="88" s="1"/>
  <c r="C51" i="83"/>
  <c r="C79" i="83" s="1"/>
  <c r="C51" i="82"/>
  <c r="C79" i="82" s="1"/>
  <c r="C50" i="88"/>
  <c r="C78" i="88" s="1"/>
  <c r="I78" i="88" s="1"/>
  <c r="C56" i="78"/>
  <c r="C84" i="78" s="1"/>
  <c r="C49" i="83"/>
  <c r="C77" i="83" s="1"/>
  <c r="J19" i="42"/>
  <c r="N19" i="42"/>
  <c r="O19" i="42" s="1"/>
  <c r="P19" i="42" s="1"/>
  <c r="L19" i="42"/>
  <c r="M19" i="42" s="1"/>
  <c r="J28" i="42"/>
  <c r="L28" i="42"/>
  <c r="M28" i="42" s="1"/>
  <c r="N28" i="42"/>
  <c r="O28" i="42" s="1"/>
  <c r="P28" i="42" s="1"/>
  <c r="J37" i="42"/>
  <c r="N37" i="42"/>
  <c r="O37" i="42" s="1"/>
  <c r="P37" i="42" s="1"/>
  <c r="L37" i="42"/>
  <c r="M37" i="42" s="1"/>
  <c r="N29" i="42"/>
  <c r="O29" i="42" s="1"/>
  <c r="P29" i="42" s="1"/>
  <c r="L29" i="42"/>
  <c r="M29" i="42" s="1"/>
  <c r="N20" i="42"/>
  <c r="O20" i="42" s="1"/>
  <c r="P20" i="42" s="1"/>
  <c r="L20" i="42"/>
  <c r="M20" i="42" s="1"/>
  <c r="N32" i="42"/>
  <c r="O32" i="42" s="1"/>
  <c r="O31" i="42" s="1"/>
  <c r="L32" i="42"/>
  <c r="L31" i="42" s="1"/>
  <c r="L38" i="42"/>
  <c r="M38" i="42" s="1"/>
  <c r="N38" i="42"/>
  <c r="O38" i="42" s="1"/>
  <c r="P38" i="42" s="1"/>
  <c r="N23" i="42"/>
  <c r="O23" i="42" s="1"/>
  <c r="P23" i="42" s="1"/>
  <c r="L23" i="42"/>
  <c r="M23" i="42" s="1"/>
  <c r="L34" i="42"/>
  <c r="L33" i="42" s="1"/>
  <c r="M33" i="42" s="1"/>
  <c r="N34" i="42"/>
  <c r="O34" i="42" s="1"/>
  <c r="O33" i="42" s="1"/>
  <c r="L39" i="42"/>
  <c r="N39" i="42"/>
  <c r="O39" i="42" s="1"/>
  <c r="P39" i="42" s="1"/>
  <c r="J18" i="42"/>
  <c r="N18" i="42"/>
  <c r="O18" i="42" s="1"/>
  <c r="P18" i="42" s="1"/>
  <c r="L18" i="42"/>
  <c r="N24" i="42"/>
  <c r="O24" i="42" s="1"/>
  <c r="L24" i="42"/>
  <c r="M24" i="42" s="1"/>
  <c r="L36" i="42"/>
  <c r="M36" i="42" s="1"/>
  <c r="N36" i="42"/>
  <c r="O36" i="42" s="1"/>
  <c r="P36" i="42" s="1"/>
  <c r="L40" i="42"/>
  <c r="M40" i="42" s="1"/>
  <c r="N40" i="42"/>
  <c r="O40" i="42" s="1"/>
  <c r="P40" i="42" s="1"/>
  <c r="P240" i="42"/>
  <c r="M240" i="42"/>
  <c r="J29" i="42"/>
  <c r="I163" i="67"/>
  <c r="J163" i="67" s="1"/>
  <c r="I552" i="67"/>
  <c r="J552" i="67" s="1"/>
  <c r="I550" i="67"/>
  <c r="J550" i="67" s="1"/>
  <c r="I186" i="67"/>
  <c r="J186" i="67" s="1"/>
  <c r="I46" i="94"/>
  <c r="J46" i="94" s="1"/>
  <c r="R46" i="94" s="1"/>
  <c r="V46" i="94" s="1"/>
  <c r="P78" i="42"/>
  <c r="I110" i="74"/>
  <c r="J110" i="74" s="1"/>
  <c r="O110" i="74" s="1"/>
  <c r="O112" i="74" s="1"/>
  <c r="V113" i="74" s="1"/>
  <c r="W112" i="74" s="1"/>
  <c r="I211" i="67"/>
  <c r="J211" i="67" s="1"/>
  <c r="I235" i="74"/>
  <c r="J235" i="74" s="1"/>
  <c r="O235" i="74" s="1"/>
  <c r="O237" i="74" s="1"/>
  <c r="V238" i="74" s="1"/>
  <c r="W237" i="74" s="1"/>
  <c r="M47" i="42"/>
  <c r="J55" i="42"/>
  <c r="P46" i="42"/>
  <c r="S32" i="84"/>
  <c r="J38" i="42"/>
  <c r="P53" i="42"/>
  <c r="J46" i="42"/>
  <c r="M53" i="42"/>
  <c r="M78" i="42"/>
  <c r="I544" i="67"/>
  <c r="J544" i="67" s="1"/>
  <c r="I121" i="74"/>
  <c r="J121" i="74" s="1"/>
  <c r="N121" i="74" s="1"/>
  <c r="I162" i="67"/>
  <c r="J162" i="67" s="1"/>
  <c r="I548" i="67"/>
  <c r="J548" i="67" s="1"/>
  <c r="J109" i="42"/>
  <c r="J108" i="42" s="1"/>
  <c r="I609" i="67"/>
  <c r="J609" i="67" s="1"/>
  <c r="M54" i="42"/>
  <c r="I259" i="74"/>
  <c r="J259" i="74" s="1"/>
  <c r="N259" i="74" s="1"/>
  <c r="N261" i="74" s="1"/>
  <c r="S26" i="86"/>
  <c r="I595" i="67"/>
  <c r="J595" i="67" s="1"/>
  <c r="I603" i="67"/>
  <c r="J603" i="67" s="1"/>
  <c r="I549" i="67"/>
  <c r="J549" i="67" s="1"/>
  <c r="AL23" i="74"/>
  <c r="AL25" i="74" s="1"/>
  <c r="I185" i="67"/>
  <c r="J185" i="67" s="1"/>
  <c r="I137" i="67"/>
  <c r="J137" i="67" s="1"/>
  <c r="AK23" i="74"/>
  <c r="AK25" i="74" s="1"/>
  <c r="I167" i="67"/>
  <c r="J167" i="67" s="1"/>
  <c r="J23" i="42"/>
  <c r="P49" i="42"/>
  <c r="I181" i="67"/>
  <c r="J181" i="67" s="1"/>
  <c r="I557" i="67"/>
  <c r="J557" i="67" s="1"/>
  <c r="J36" i="42"/>
  <c r="J24" i="42"/>
  <c r="S226" i="74"/>
  <c r="S228" i="74" s="1"/>
  <c r="I537" i="67"/>
  <c r="J537" i="67" s="1"/>
  <c r="I576" i="67"/>
  <c r="J576" i="67" s="1"/>
  <c r="I551" i="67"/>
  <c r="J551" i="67" s="1"/>
  <c r="I76" i="67"/>
  <c r="J76" i="67" s="1"/>
  <c r="I584" i="67"/>
  <c r="J584" i="67" s="1"/>
  <c r="I553" i="67"/>
  <c r="J553" i="67" s="1"/>
  <c r="I352" i="74"/>
  <c r="J352" i="74" s="1"/>
  <c r="R352" i="74" s="1"/>
  <c r="I89" i="67"/>
  <c r="J89" i="67" s="1"/>
  <c r="I546" i="67"/>
  <c r="J546" i="67" s="1"/>
  <c r="I545" i="67"/>
  <c r="J545" i="67" s="1"/>
  <c r="I182" i="67"/>
  <c r="J182" i="67" s="1"/>
  <c r="I159" i="67"/>
  <c r="J159" i="67" s="1"/>
  <c r="I119" i="74"/>
  <c r="J119" i="74" s="1"/>
  <c r="R119" i="74" s="1"/>
  <c r="I183" i="67"/>
  <c r="J183" i="67" s="1"/>
  <c r="I540" i="67"/>
  <c r="J540" i="67" s="1"/>
  <c r="I465" i="67"/>
  <c r="J465" i="67" s="1"/>
  <c r="I559" i="67"/>
  <c r="J559" i="67" s="1"/>
  <c r="I480" i="67"/>
  <c r="J480" i="67" s="1"/>
  <c r="I334" i="74"/>
  <c r="J334" i="74" s="1"/>
  <c r="N334" i="74" s="1"/>
  <c r="N336" i="74" s="1"/>
  <c r="I556" i="67"/>
  <c r="J556" i="67" s="1"/>
  <c r="I75" i="67"/>
  <c r="J75" i="67" s="1"/>
  <c r="I543" i="67"/>
  <c r="J543" i="67" s="1"/>
  <c r="I184" i="67"/>
  <c r="J184" i="67" s="1"/>
  <c r="I305" i="74"/>
  <c r="J305" i="74" s="1"/>
  <c r="N305" i="74" s="1"/>
  <c r="N307" i="74" s="1"/>
  <c r="I361" i="74"/>
  <c r="J361" i="74" s="1"/>
  <c r="N361" i="74" s="1"/>
  <c r="N363" i="74" s="1"/>
  <c r="I141" i="67"/>
  <c r="J141" i="67" s="1"/>
  <c r="P111" i="42"/>
  <c r="P116" i="42"/>
  <c r="J228" i="74"/>
  <c r="N66" i="85"/>
  <c r="R56" i="77"/>
  <c r="N27" i="87"/>
  <c r="R58" i="77"/>
  <c r="S58" i="77" s="1"/>
  <c r="R27" i="84"/>
  <c r="S27" i="84" s="1"/>
  <c r="AK23" i="94"/>
  <c r="AK25" i="94" s="1"/>
  <c r="J117" i="42"/>
  <c r="I82" i="67"/>
  <c r="J82" i="67" s="1"/>
  <c r="I583" i="67"/>
  <c r="J583" i="67" s="1"/>
  <c r="I122" i="67"/>
  <c r="J122" i="67" s="1"/>
  <c r="J121" i="67" s="1"/>
  <c r="I158" i="67"/>
  <c r="J158" i="67" s="1"/>
  <c r="I533" i="67"/>
  <c r="J533" i="67" s="1"/>
  <c r="M112" i="42"/>
  <c r="N52" i="77"/>
  <c r="I580" i="67"/>
  <c r="J580" i="67" s="1"/>
  <c r="I83" i="67"/>
  <c r="J83" i="67" s="1"/>
  <c r="I561" i="67"/>
  <c r="J561" i="67" s="1"/>
  <c r="I207" i="67"/>
  <c r="J207" i="67" s="1"/>
  <c r="N226" i="74"/>
  <c r="N228" i="74" s="1"/>
  <c r="O226" i="74"/>
  <c r="O228" i="74" s="1"/>
  <c r="V229" i="74" s="1"/>
  <c r="W228" i="74" s="1"/>
  <c r="P109" i="42"/>
  <c r="I34" i="95"/>
  <c r="J34" i="95" s="1"/>
  <c r="J36" i="95" s="1"/>
  <c r="I80" i="94"/>
  <c r="J80" i="94" s="1"/>
  <c r="R80" i="94" s="1"/>
  <c r="AG25" i="94"/>
  <c r="I268" i="74"/>
  <c r="J268" i="74" s="1"/>
  <c r="I538" i="67"/>
  <c r="J538" i="67" s="1"/>
  <c r="R29" i="84"/>
  <c r="S29" i="84" s="1"/>
  <c r="N29" i="84"/>
  <c r="R65" i="77"/>
  <c r="S65" i="77" s="1"/>
  <c r="I154" i="67"/>
  <c r="J154" i="67" s="1"/>
  <c r="I541" i="67"/>
  <c r="J541" i="67" s="1"/>
  <c r="I166" i="67"/>
  <c r="J166" i="67" s="1"/>
  <c r="I542" i="67"/>
  <c r="J542" i="67" s="1"/>
  <c r="J112" i="42"/>
  <c r="P112" i="42"/>
  <c r="I472" i="67"/>
  <c r="J472" i="67" s="1"/>
  <c r="I206" i="67"/>
  <c r="J206" i="67" s="1"/>
  <c r="I569" i="67"/>
  <c r="J569" i="67" s="1"/>
  <c r="I578" i="67"/>
  <c r="J578" i="67" s="1"/>
  <c r="I577" i="67"/>
  <c r="J577" i="67" s="1"/>
  <c r="I69" i="67"/>
  <c r="J69" i="67" s="1"/>
  <c r="J68" i="67" s="1"/>
  <c r="I599" i="67"/>
  <c r="J599" i="67" s="1"/>
  <c r="I572" i="67"/>
  <c r="J572" i="67" s="1"/>
  <c r="I589" i="67"/>
  <c r="J589" i="67" s="1"/>
  <c r="I205" i="67"/>
  <c r="J205" i="67" s="1"/>
  <c r="I582" i="67"/>
  <c r="J582" i="67" s="1"/>
  <c r="I604" i="67"/>
  <c r="J604" i="67" s="1"/>
  <c r="I134" i="67"/>
  <c r="J134" i="67" s="1"/>
  <c r="I468" i="67"/>
  <c r="J468" i="67" s="1"/>
  <c r="P55" i="42"/>
  <c r="I120" i="74"/>
  <c r="J120" i="74" s="1"/>
  <c r="R120" i="74" s="1"/>
  <c r="S120" i="74" s="1"/>
  <c r="I555" i="67"/>
  <c r="J555" i="67" s="1"/>
  <c r="I539" i="67"/>
  <c r="J539" i="67" s="1"/>
  <c r="I130" i="67"/>
  <c r="J130" i="67" s="1"/>
  <c r="I527" i="67"/>
  <c r="J527" i="67" s="1"/>
  <c r="J114" i="42"/>
  <c r="I466" i="67"/>
  <c r="J466" i="67" s="1"/>
  <c r="M55" i="42"/>
  <c r="I547" i="67"/>
  <c r="J547" i="67" s="1"/>
  <c r="M109" i="42"/>
  <c r="I187" i="67"/>
  <c r="J187" i="67" s="1"/>
  <c r="I558" i="67"/>
  <c r="J558" i="67" s="1"/>
  <c r="R62" i="85"/>
  <c r="S62" i="85" s="1"/>
  <c r="N62" i="85"/>
  <c r="J20" i="42"/>
  <c r="M48" i="42"/>
  <c r="P48" i="42"/>
  <c r="J48" i="42"/>
  <c r="N33" i="86"/>
  <c r="R137" i="85"/>
  <c r="S137" i="85" s="1"/>
  <c r="R38" i="84"/>
  <c r="S38" i="84" s="1"/>
  <c r="I191" i="67"/>
  <c r="J191" i="67" s="1"/>
  <c r="I565" i="67"/>
  <c r="J565" i="67" s="1"/>
  <c r="I200" i="67"/>
  <c r="J200" i="67" s="1"/>
  <c r="I85" i="67"/>
  <c r="J85" i="67" s="1"/>
  <c r="I133" i="67"/>
  <c r="J133" i="67" s="1"/>
  <c r="I598" i="67"/>
  <c r="J598" i="67" s="1"/>
  <c r="I473" i="67"/>
  <c r="J473" i="67" s="1"/>
  <c r="I189" i="67"/>
  <c r="J189" i="67" s="1"/>
  <c r="I564" i="67"/>
  <c r="J564" i="67" s="1"/>
  <c r="I575" i="67"/>
  <c r="J575" i="67" s="1"/>
  <c r="I516" i="67"/>
  <c r="J516" i="67" s="1"/>
  <c r="M169" i="42"/>
  <c r="I196" i="67"/>
  <c r="J196" i="67" s="1"/>
  <c r="I192" i="67"/>
  <c r="J192" i="67" s="1"/>
  <c r="I469" i="67"/>
  <c r="J469" i="67" s="1"/>
  <c r="I562" i="67"/>
  <c r="J562" i="67" s="1"/>
  <c r="I197" i="67"/>
  <c r="J197" i="67" s="1"/>
  <c r="I81" i="67"/>
  <c r="J81" i="67" s="1"/>
  <c r="I202" i="67"/>
  <c r="J202" i="67" s="1"/>
  <c r="I78" i="67"/>
  <c r="J78" i="67" s="1"/>
  <c r="I188" i="67"/>
  <c r="J188" i="67" s="1"/>
  <c r="I201" i="67"/>
  <c r="J201" i="67" s="1"/>
  <c r="I600" i="67"/>
  <c r="J600" i="67" s="1"/>
  <c r="I474" i="67"/>
  <c r="J474" i="67" s="1"/>
  <c r="I132" i="67"/>
  <c r="J132" i="67" s="1"/>
  <c r="I193" i="67"/>
  <c r="J193" i="67" s="1"/>
  <c r="I79" i="67"/>
  <c r="J79" i="67" s="1"/>
  <c r="I470" i="67"/>
  <c r="J470" i="67" s="1"/>
  <c r="I476" i="67"/>
  <c r="J476" i="67" s="1"/>
  <c r="I587" i="67"/>
  <c r="J587" i="67" s="1"/>
  <c r="I131" i="67"/>
  <c r="J131" i="67" s="1"/>
  <c r="I586" i="67"/>
  <c r="J586" i="67" s="1"/>
  <c r="I84" i="67"/>
  <c r="J84" i="67" s="1"/>
  <c r="I195" i="67"/>
  <c r="J195" i="67" s="1"/>
  <c r="I570" i="67"/>
  <c r="J570" i="67" s="1"/>
  <c r="I574" i="67"/>
  <c r="J574" i="67" s="1"/>
  <c r="I517" i="67"/>
  <c r="J517" i="67" s="1"/>
  <c r="I593" i="67"/>
  <c r="J593" i="67" s="1"/>
  <c r="I566" i="67"/>
  <c r="J566" i="67" s="1"/>
  <c r="I471" i="67"/>
  <c r="J471" i="67" s="1"/>
  <c r="I592" i="67"/>
  <c r="J592" i="67" s="1"/>
  <c r="I596" i="67"/>
  <c r="J596" i="67" s="1"/>
  <c r="I171" i="67"/>
  <c r="J171" i="67" s="1"/>
  <c r="I579" i="67"/>
  <c r="J579" i="67" s="1"/>
  <c r="I585" i="67"/>
  <c r="J585" i="67" s="1"/>
  <c r="I588" i="67"/>
  <c r="J588" i="67" s="1"/>
  <c r="I199" i="67"/>
  <c r="J199" i="67" s="1"/>
  <c r="I591" i="67"/>
  <c r="J591" i="67" s="1"/>
  <c r="I194" i="67"/>
  <c r="J194" i="67" s="1"/>
  <c r="I563" i="67"/>
  <c r="J563" i="67" s="1"/>
  <c r="I190" i="67"/>
  <c r="J190" i="67" s="1"/>
  <c r="I172" i="67"/>
  <c r="J172" i="67" s="1"/>
  <c r="I136" i="67"/>
  <c r="J136" i="67" s="1"/>
  <c r="I475" i="67"/>
  <c r="J475" i="67" s="1"/>
  <c r="I204" i="67"/>
  <c r="J204" i="67" s="1"/>
  <c r="I601" i="67"/>
  <c r="J601" i="67" s="1"/>
  <c r="I198" i="67"/>
  <c r="J198" i="67" s="1"/>
  <c r="I597" i="67"/>
  <c r="J597" i="67" s="1"/>
  <c r="I203" i="67"/>
  <c r="J203" i="67" s="1"/>
  <c r="I81" i="94"/>
  <c r="J81" i="94" s="1"/>
  <c r="R81" i="94" s="1"/>
  <c r="S81" i="94" s="1"/>
  <c r="I25" i="95"/>
  <c r="J25" i="95" s="1"/>
  <c r="N25" i="95" s="1"/>
  <c r="N27" i="95" s="1"/>
  <c r="I573" i="67"/>
  <c r="J573" i="67" s="1"/>
  <c r="I135" i="67"/>
  <c r="J135" i="67" s="1"/>
  <c r="I590" i="67"/>
  <c r="J590" i="67" s="1"/>
  <c r="J39" i="42"/>
  <c r="O25" i="82"/>
  <c r="O27" i="82" s="1"/>
  <c r="O29" i="82" s="1"/>
  <c r="I568" i="67"/>
  <c r="J568" i="67" s="1"/>
  <c r="I602" i="67"/>
  <c r="J602" i="67" s="1"/>
  <c r="I594" i="67"/>
  <c r="J594" i="67" s="1"/>
  <c r="I571" i="67"/>
  <c r="J571" i="67" s="1"/>
  <c r="I605" i="67"/>
  <c r="J605" i="67" s="1"/>
  <c r="I80" i="67"/>
  <c r="J80" i="67" s="1"/>
  <c r="I47" i="74"/>
  <c r="J47" i="74" s="1"/>
  <c r="R47" i="74" s="1"/>
  <c r="S47" i="74" s="1"/>
  <c r="I567" i="67"/>
  <c r="J567" i="67" s="1"/>
  <c r="I581" i="67"/>
  <c r="J581" i="67" s="1"/>
  <c r="J111" i="42"/>
  <c r="M111" i="42"/>
  <c r="J116" i="42"/>
  <c r="M116" i="42"/>
  <c r="I222" i="67"/>
  <c r="J222" i="67" s="1"/>
  <c r="P114" i="42"/>
  <c r="I529" i="67"/>
  <c r="J529" i="67" s="1"/>
  <c r="M114" i="42"/>
  <c r="M46" i="42"/>
  <c r="I155" i="67"/>
  <c r="J155" i="67" s="1"/>
  <c r="I528" i="67"/>
  <c r="J528" i="67" s="1"/>
  <c r="P117" i="42"/>
  <c r="I43" i="95"/>
  <c r="J43" i="95" s="1"/>
  <c r="O43" i="95" s="1"/>
  <c r="O45" i="95" s="1"/>
  <c r="V46" i="95" s="1"/>
  <c r="W45" i="95" s="1"/>
  <c r="N64" i="85"/>
  <c r="I205" i="74"/>
  <c r="J205" i="74" s="1"/>
  <c r="N205" i="74" s="1"/>
  <c r="I177" i="74"/>
  <c r="J177" i="74" s="1"/>
  <c r="I72" i="74"/>
  <c r="J72" i="74" s="1"/>
  <c r="R72" i="74" s="1"/>
  <c r="I287" i="74"/>
  <c r="J287" i="74" s="1"/>
  <c r="N287" i="74" s="1"/>
  <c r="N27" i="78"/>
  <c r="R126" i="85"/>
  <c r="R108" i="85"/>
  <c r="N40" i="84"/>
  <c r="R40" i="84"/>
  <c r="N41" i="84"/>
  <c r="R41" i="84"/>
  <c r="R61" i="77"/>
  <c r="N61" i="77"/>
  <c r="N26" i="84"/>
  <c r="N65" i="77"/>
  <c r="I236" i="67"/>
  <c r="J236" i="67" s="1"/>
  <c r="I250" i="67"/>
  <c r="J250" i="67" s="1"/>
  <c r="R178" i="85"/>
  <c r="S178" i="85" s="1"/>
  <c r="I53" i="94"/>
  <c r="J53" i="94" s="1"/>
  <c r="R53" i="94" s="1"/>
  <c r="R52" i="77"/>
  <c r="S52" i="77" s="1"/>
  <c r="N34" i="85"/>
  <c r="N31" i="87"/>
  <c r="S36" i="85"/>
  <c r="N32" i="84"/>
  <c r="R139" i="85"/>
  <c r="S139" i="85" s="1"/>
  <c r="R25" i="82"/>
  <c r="Q27" i="82" s="1"/>
  <c r="R158" i="85"/>
  <c r="S158" i="85" s="1"/>
  <c r="J27" i="82"/>
  <c r="S26" i="84"/>
  <c r="N96" i="85"/>
  <c r="R27" i="78"/>
  <c r="R242" i="85"/>
  <c r="R64" i="85"/>
  <c r="R155" i="85"/>
  <c r="S63" i="77"/>
  <c r="S45" i="84"/>
  <c r="V226" i="74"/>
  <c r="V228" i="74" s="1"/>
  <c r="R31" i="86"/>
  <c r="S31" i="86" s="1"/>
  <c r="N26" i="86"/>
  <c r="R36" i="87"/>
  <c r="S36" i="87" s="1"/>
  <c r="N36" i="87"/>
  <c r="S25" i="78"/>
  <c r="R124" i="85"/>
  <c r="V37" i="85"/>
  <c r="S37" i="85"/>
  <c r="N25" i="84"/>
  <c r="J17" i="42"/>
  <c r="N17" i="42"/>
  <c r="R28" i="84"/>
  <c r="N28" i="84"/>
  <c r="R28" i="77"/>
  <c r="N28" i="77"/>
  <c r="J56" i="42"/>
  <c r="M56" i="42"/>
  <c r="P56" i="42"/>
  <c r="N125" i="85"/>
  <c r="N28" i="87"/>
  <c r="R109" i="85"/>
  <c r="S109" i="85" s="1"/>
  <c r="N30" i="86"/>
  <c r="R30" i="86"/>
  <c r="N45" i="84"/>
  <c r="N118" i="85"/>
  <c r="R118" i="85"/>
  <c r="S118" i="85" s="1"/>
  <c r="N39" i="87"/>
  <c r="R39" i="87"/>
  <c r="S39" i="87" s="1"/>
  <c r="N210" i="85"/>
  <c r="R210" i="85"/>
  <c r="J45" i="42"/>
  <c r="P45" i="42"/>
  <c r="R25" i="84"/>
  <c r="R60" i="85"/>
  <c r="R93" i="85"/>
  <c r="N93" i="85"/>
  <c r="N61" i="85"/>
  <c r="R61" i="85"/>
  <c r="N92" i="85"/>
  <c r="S241" i="85"/>
  <c r="S242" i="85" s="1"/>
  <c r="R50" i="77"/>
  <c r="R125" i="85"/>
  <c r="N155" i="85"/>
  <c r="N63" i="77"/>
  <c r="M51" i="42"/>
  <c r="N36" i="84"/>
  <c r="R36" i="84"/>
  <c r="P54" i="42"/>
  <c r="I241" i="67"/>
  <c r="J241" i="67" s="1"/>
  <c r="I231" i="67"/>
  <c r="J231" i="67" s="1"/>
  <c r="I226" i="67"/>
  <c r="J226" i="67" s="1"/>
  <c r="J225" i="67" s="1"/>
  <c r="I255" i="67"/>
  <c r="J255" i="67" s="1"/>
  <c r="I526" i="67"/>
  <c r="J526" i="67" s="1"/>
  <c r="I99" i="85"/>
  <c r="J99" i="85" s="1"/>
  <c r="I27" i="77"/>
  <c r="J27" i="77" s="1"/>
  <c r="I51" i="77"/>
  <c r="J51" i="77" s="1"/>
  <c r="I31" i="78"/>
  <c r="J31" i="78" s="1"/>
  <c r="I216" i="85"/>
  <c r="J216" i="85" s="1"/>
  <c r="R216" i="85" s="1"/>
  <c r="S216" i="85" s="1"/>
  <c r="I160" i="85"/>
  <c r="J160" i="85" s="1"/>
  <c r="R160" i="85" s="1"/>
  <c r="S160" i="85" s="1"/>
  <c r="I32" i="77"/>
  <c r="J32" i="77" s="1"/>
  <c r="I35" i="84"/>
  <c r="J35" i="84" s="1"/>
  <c r="I77" i="85"/>
  <c r="J77" i="85" s="1"/>
  <c r="R77" i="85" s="1"/>
  <c r="S77" i="85" s="1"/>
  <c r="I72" i="85"/>
  <c r="J72" i="85" s="1"/>
  <c r="R72" i="85" s="1"/>
  <c r="S72" i="85" s="1"/>
  <c r="I29" i="78"/>
  <c r="J29" i="78" s="1"/>
  <c r="R29" i="78" s="1"/>
  <c r="I62" i="77"/>
  <c r="J62" i="77" s="1"/>
  <c r="I119" i="85"/>
  <c r="J119" i="85" s="1"/>
  <c r="I44" i="85"/>
  <c r="J44" i="85" s="1"/>
  <c r="R44" i="85" s="1"/>
  <c r="S44" i="85" s="1"/>
  <c r="I215" i="85"/>
  <c r="J215" i="85" s="1"/>
  <c r="R215" i="85" s="1"/>
  <c r="S215" i="85" s="1"/>
  <c r="I33" i="77"/>
  <c r="J33" i="77" s="1"/>
  <c r="I105" i="85"/>
  <c r="J105" i="85" s="1"/>
  <c r="R105" i="85" s="1"/>
  <c r="I37" i="87"/>
  <c r="J37" i="87" s="1"/>
  <c r="I35" i="86"/>
  <c r="J35" i="86" s="1"/>
  <c r="R35" i="86" s="1"/>
  <c r="S35" i="86" s="1"/>
  <c r="I21" i="67"/>
  <c r="J21" i="67" s="1"/>
  <c r="I33" i="84"/>
  <c r="J33" i="84" s="1"/>
  <c r="N33" i="84" s="1"/>
  <c r="I34" i="87"/>
  <c r="J34" i="87" s="1"/>
  <c r="I43" i="85"/>
  <c r="J43" i="85" s="1"/>
  <c r="R43" i="85" s="1"/>
  <c r="I34" i="77"/>
  <c r="J34" i="77" s="1"/>
  <c r="R34" i="77" s="1"/>
  <c r="S34" i="77" s="1"/>
  <c r="I121" i="85"/>
  <c r="J121" i="85" s="1"/>
  <c r="I31" i="67"/>
  <c r="J31" i="67" s="1"/>
  <c r="I33" i="67"/>
  <c r="J33" i="67" s="1"/>
  <c r="I43" i="86"/>
  <c r="J43" i="86" s="1"/>
  <c r="R43" i="86" s="1"/>
  <c r="S43" i="86" s="1"/>
  <c r="I45" i="85"/>
  <c r="J45" i="85" s="1"/>
  <c r="R45" i="85" s="1"/>
  <c r="S45" i="85" s="1"/>
  <c r="I231" i="85"/>
  <c r="J231" i="85" s="1"/>
  <c r="R231" i="85" s="1"/>
  <c r="S231" i="85" s="1"/>
  <c r="I53" i="77"/>
  <c r="J53" i="77" s="1"/>
  <c r="I193" i="85"/>
  <c r="J193" i="85" s="1"/>
  <c r="R193" i="85" s="1"/>
  <c r="S193" i="85" s="1"/>
  <c r="I53" i="67"/>
  <c r="J53" i="67" s="1"/>
  <c r="I75" i="85"/>
  <c r="J75" i="85" s="1"/>
  <c r="R75" i="85" s="1"/>
  <c r="S75" i="85" s="1"/>
  <c r="I73" i="85"/>
  <c r="J73" i="85" s="1"/>
  <c r="R73" i="85" s="1"/>
  <c r="S73" i="85" s="1"/>
  <c r="I30" i="67"/>
  <c r="J30" i="67" s="1"/>
  <c r="I55" i="77"/>
  <c r="J55" i="77" s="1"/>
  <c r="N55" i="77" s="1"/>
  <c r="I209" i="85"/>
  <c r="J209" i="85" s="1"/>
  <c r="I621" i="67"/>
  <c r="J621" i="67" s="1"/>
  <c r="I176" i="85"/>
  <c r="J176" i="85" s="1"/>
  <c r="R176" i="85" s="1"/>
  <c r="I46" i="84"/>
  <c r="J46" i="84" s="1"/>
  <c r="I187" i="85"/>
  <c r="J187" i="85" s="1"/>
  <c r="R187" i="85" s="1"/>
  <c r="S187" i="85" s="1"/>
  <c r="I156" i="85"/>
  <c r="J156" i="85" s="1"/>
  <c r="I106" i="85"/>
  <c r="J106" i="85" s="1"/>
  <c r="R106" i="85" s="1"/>
  <c r="S106" i="85" s="1"/>
  <c r="I229" i="85"/>
  <c r="J229" i="85" s="1"/>
  <c r="R229" i="85" s="1"/>
  <c r="S229" i="85" s="1"/>
  <c r="I32" i="78"/>
  <c r="J32" i="78" s="1"/>
  <c r="I60" i="77"/>
  <c r="J60" i="77" s="1"/>
  <c r="I23" i="67"/>
  <c r="J23" i="67" s="1"/>
  <c r="I36" i="86"/>
  <c r="J36" i="86" s="1"/>
  <c r="R36" i="86" s="1"/>
  <c r="S36" i="86" s="1"/>
  <c r="I29" i="86"/>
  <c r="J29" i="86" s="1"/>
  <c r="I57" i="77"/>
  <c r="J57" i="77" s="1"/>
  <c r="N57" i="77" s="1"/>
  <c r="I624" i="67"/>
  <c r="J624" i="67" s="1"/>
  <c r="I37" i="77"/>
  <c r="J37" i="77" s="1"/>
  <c r="R37" i="77" s="1"/>
  <c r="S37" i="77" s="1"/>
  <c r="I56" i="67"/>
  <c r="J56" i="67" s="1"/>
  <c r="I40" i="85"/>
  <c r="J40" i="85" s="1"/>
  <c r="R40" i="85" s="1"/>
  <c r="S40" i="85" s="1"/>
  <c r="I138" i="85"/>
  <c r="J138" i="85" s="1"/>
  <c r="I64" i="77"/>
  <c r="J64" i="77" s="1"/>
  <c r="N64" i="77" s="1"/>
  <c r="I59" i="77"/>
  <c r="J59" i="77" s="1"/>
  <c r="I219" i="85"/>
  <c r="J219" i="85" s="1"/>
  <c r="R219" i="85" s="1"/>
  <c r="I37" i="84"/>
  <c r="J37" i="84" s="1"/>
  <c r="I36" i="77"/>
  <c r="J36" i="77" s="1"/>
  <c r="R36" i="77" s="1"/>
  <c r="S36" i="77" s="1"/>
  <c r="I221" i="85"/>
  <c r="J221" i="85" s="1"/>
  <c r="R221" i="85" s="1"/>
  <c r="S221" i="85" s="1"/>
  <c r="I98" i="85"/>
  <c r="J98" i="85" s="1"/>
  <c r="N98" i="85" s="1"/>
  <c r="I35" i="85"/>
  <c r="J35" i="85" s="1"/>
  <c r="I44" i="84"/>
  <c r="J44" i="84" s="1"/>
  <c r="I162" i="85"/>
  <c r="J162" i="85" s="1"/>
  <c r="R162" i="85" s="1"/>
  <c r="S162" i="85" s="1"/>
  <c r="I194" i="85"/>
  <c r="J194" i="85" s="1"/>
  <c r="R194" i="85" s="1"/>
  <c r="S194" i="85" s="1"/>
  <c r="I47" i="67"/>
  <c r="J47" i="67" s="1"/>
  <c r="I22" i="67"/>
  <c r="J22" i="67" s="1"/>
  <c r="I26" i="77"/>
  <c r="J26" i="77" s="1"/>
  <c r="I66" i="77"/>
  <c r="J66" i="77" s="1"/>
  <c r="I39" i="84"/>
  <c r="J39" i="84" s="1"/>
  <c r="N39" i="84" s="1"/>
  <c r="I226" i="85"/>
  <c r="J226" i="85" s="1"/>
  <c r="R226" i="85" s="1"/>
  <c r="S226" i="85" s="1"/>
  <c r="I32" i="87"/>
  <c r="J32" i="87" s="1"/>
  <c r="N32" i="87" s="1"/>
  <c r="I30" i="87"/>
  <c r="J30" i="87" s="1"/>
  <c r="I13" i="67"/>
  <c r="J13" i="67" s="1"/>
  <c r="J11" i="67" s="1"/>
  <c r="F42" i="38" s="1"/>
  <c r="H42" i="38" s="1"/>
  <c r="K42" i="38" s="1"/>
  <c r="L42" i="38" s="1"/>
  <c r="I42" i="85"/>
  <c r="J42" i="85" s="1"/>
  <c r="R42" i="85" s="1"/>
  <c r="I141" i="85"/>
  <c r="J141" i="85" s="1"/>
  <c r="I212" i="85"/>
  <c r="J212" i="85" s="1"/>
  <c r="R212" i="85" s="1"/>
  <c r="I34" i="84"/>
  <c r="J34" i="84" s="1"/>
  <c r="N34" i="84" s="1"/>
  <c r="I31" i="84"/>
  <c r="J31" i="84" s="1"/>
  <c r="I198" i="85"/>
  <c r="J198" i="85" s="1"/>
  <c r="R198" i="85" s="1"/>
  <c r="S198" i="85" s="1"/>
  <c r="I41" i="67"/>
  <c r="J41" i="67" s="1"/>
  <c r="I35" i="77"/>
  <c r="J35" i="77" s="1"/>
  <c r="R35" i="77" s="1"/>
  <c r="S35" i="77" s="1"/>
  <c r="I100" i="85"/>
  <c r="J100" i="85" s="1"/>
  <c r="I27" i="86"/>
  <c r="J27" i="86" s="1"/>
  <c r="I180" i="85"/>
  <c r="J180" i="85" s="1"/>
  <c r="R180" i="85" s="1"/>
  <c r="S180" i="85" s="1"/>
  <c r="I144" i="85"/>
  <c r="J144" i="85" s="1"/>
  <c r="R144" i="85" s="1"/>
  <c r="S144" i="85" s="1"/>
  <c r="I143" i="85"/>
  <c r="J143" i="85" s="1"/>
  <c r="R143" i="85" s="1"/>
  <c r="S143" i="85" s="1"/>
  <c r="I28" i="78"/>
  <c r="J28" i="78" s="1"/>
  <c r="I54" i="77"/>
  <c r="J54" i="77" s="1"/>
  <c r="N54" i="77" s="1"/>
  <c r="I623" i="67"/>
  <c r="J623" i="67" s="1"/>
  <c r="I136" i="85"/>
  <c r="J136" i="85" s="1"/>
  <c r="N136" i="85" s="1"/>
  <c r="I177" i="85"/>
  <c r="J177" i="85" s="1"/>
  <c r="N177" i="85" s="1"/>
  <c r="I123" i="85"/>
  <c r="J123" i="85" s="1"/>
  <c r="I27" i="67"/>
  <c r="J27" i="67" s="1"/>
  <c r="I25" i="67"/>
  <c r="J25" i="67" s="1"/>
  <c r="I51" i="85"/>
  <c r="J51" i="85" s="1"/>
  <c r="R51" i="85" s="1"/>
  <c r="S51" i="85" s="1"/>
  <c r="I25" i="83"/>
  <c r="I223" i="85"/>
  <c r="J223" i="85" s="1"/>
  <c r="R223" i="85" s="1"/>
  <c r="S223" i="85" s="1"/>
  <c r="I120" i="85"/>
  <c r="J120" i="85" s="1"/>
  <c r="I95" i="85"/>
  <c r="J95" i="85" s="1"/>
  <c r="I184" i="85"/>
  <c r="J184" i="85" s="1"/>
  <c r="R184" i="85" s="1"/>
  <c r="S184" i="85" s="1"/>
  <c r="I25" i="88"/>
  <c r="J25" i="88" s="1"/>
  <c r="I620" i="67"/>
  <c r="J620" i="67" s="1"/>
  <c r="I218" i="85"/>
  <c r="J218" i="85" s="1"/>
  <c r="R218" i="85" s="1"/>
  <c r="S218" i="85" s="1"/>
  <c r="I175" i="85"/>
  <c r="J175" i="85" s="1"/>
  <c r="R175" i="85" s="1"/>
  <c r="I165" i="85"/>
  <c r="J165" i="85" s="1"/>
  <c r="R165" i="85" s="1"/>
  <c r="S165" i="85" s="1"/>
  <c r="I31" i="77"/>
  <c r="J31" i="77" s="1"/>
  <c r="I32" i="86"/>
  <c r="J32" i="86" s="1"/>
  <c r="N32" i="86" s="1"/>
  <c r="I185" i="85"/>
  <c r="J185" i="85" s="1"/>
  <c r="R185" i="85" s="1"/>
  <c r="S185" i="85" s="1"/>
  <c r="I26" i="78"/>
  <c r="J26" i="78" s="1"/>
  <c r="I140" i="85"/>
  <c r="J140" i="85" s="1"/>
  <c r="I166" i="85"/>
  <c r="J166" i="85" s="1"/>
  <c r="R166" i="85" s="1"/>
  <c r="P82" i="42"/>
  <c r="P77" i="42"/>
  <c r="M77" i="42"/>
  <c r="J118" i="42"/>
  <c r="P118" i="42"/>
  <c r="M118" i="42"/>
  <c r="I78" i="74"/>
  <c r="J78" i="74" s="1"/>
  <c r="AK25" i="95"/>
  <c r="AK27" i="95" s="1"/>
  <c r="AG27" i="95"/>
  <c r="J32" i="42"/>
  <c r="J31" i="42" s="1"/>
  <c r="B1" i="4"/>
  <c r="C1" i="74"/>
  <c r="C1" i="93"/>
  <c r="C1" i="94"/>
  <c r="D1" i="43"/>
  <c r="N25" i="78"/>
  <c r="N25" i="86"/>
  <c r="R200" i="85"/>
  <c r="O25" i="87"/>
  <c r="O41" i="87" s="1"/>
  <c r="N25" i="87"/>
  <c r="R25" i="87"/>
  <c r="N241" i="85"/>
  <c r="N243" i="85" s="1"/>
  <c r="J243" i="85"/>
  <c r="N37" i="85"/>
  <c r="O37" i="85"/>
  <c r="N63" i="85"/>
  <c r="R63" i="85"/>
  <c r="R30" i="84"/>
  <c r="R42" i="86"/>
  <c r="N27" i="84"/>
  <c r="R49" i="85"/>
  <c r="R80" i="85"/>
  <c r="R197" i="85"/>
  <c r="R192" i="85"/>
  <c r="R42" i="84"/>
  <c r="R142" i="85"/>
  <c r="N38" i="87"/>
  <c r="R29" i="77"/>
  <c r="N29" i="77"/>
  <c r="R39" i="77"/>
  <c r="R71" i="85"/>
  <c r="R227" i="85"/>
  <c r="R122" i="85"/>
  <c r="R30" i="77"/>
  <c r="N36" i="85"/>
  <c r="N97" i="85"/>
  <c r="R97" i="85"/>
  <c r="R211" i="85"/>
  <c r="R157" i="85"/>
  <c r="N38" i="85"/>
  <c r="R38" i="85"/>
  <c r="R25" i="77"/>
  <c r="R43" i="84"/>
  <c r="N43" i="84"/>
  <c r="N50" i="77"/>
  <c r="N135" i="85"/>
  <c r="R94" i="85"/>
  <c r="R30" i="78"/>
  <c r="N30" i="78"/>
  <c r="R35" i="87"/>
  <c r="R28" i="86"/>
  <c r="R46" i="85"/>
  <c r="R39" i="85"/>
  <c r="R40" i="77"/>
  <c r="R41" i="85"/>
  <c r="R102" i="85"/>
  <c r="R38" i="77"/>
  <c r="R48" i="84"/>
  <c r="N48" i="84"/>
  <c r="R199" i="85"/>
  <c r="N158" i="85"/>
  <c r="R65" i="85"/>
  <c r="N65" i="85"/>
  <c r="P47" i="42"/>
  <c r="G19" i="8"/>
  <c r="K249" i="74"/>
  <c r="U123" i="74"/>
  <c r="T123" i="74" s="1"/>
  <c r="I37" i="4"/>
  <c r="D101" i="86"/>
  <c r="D124" i="77"/>
  <c r="D106" i="84"/>
  <c r="D89" i="78"/>
  <c r="D299" i="85"/>
  <c r="L86" i="78"/>
  <c r="F4" i="69"/>
  <c r="I41" i="4"/>
  <c r="E28" i="43"/>
  <c r="U142" i="74"/>
  <c r="T142" i="74" s="1"/>
  <c r="I524" i="67"/>
  <c r="J524" i="67" s="1"/>
  <c r="D82" i="82"/>
  <c r="H41" i="4"/>
  <c r="G165" i="94"/>
  <c r="H165" i="94" s="1"/>
  <c r="U64" i="74"/>
  <c r="K34" i="77"/>
  <c r="U21" i="71"/>
  <c r="L51" i="46"/>
  <c r="I77" i="46"/>
  <c r="H202" i="85"/>
  <c r="K40" i="85"/>
  <c r="L438" i="74"/>
  <c r="L428" i="74"/>
  <c r="D383" i="74"/>
  <c r="L424" i="74"/>
  <c r="I195" i="74"/>
  <c r="J195" i="74" s="1"/>
  <c r="I157" i="38"/>
  <c r="D112" i="38"/>
  <c r="M182" i="46"/>
  <c r="K189" i="46"/>
  <c r="G59" i="78"/>
  <c r="H59" i="78" s="1"/>
  <c r="K212" i="85"/>
  <c r="H49" i="88"/>
  <c r="E77" i="88" s="1"/>
  <c r="G50" i="88"/>
  <c r="H50" i="88" s="1"/>
  <c r="L427" i="74"/>
  <c r="L431" i="74"/>
  <c r="L439" i="74"/>
  <c r="L127" i="46"/>
  <c r="H151" i="46"/>
  <c r="E120" i="77"/>
  <c r="G92" i="77"/>
  <c r="H92" i="77" s="1"/>
  <c r="H148" i="85"/>
  <c r="H73" i="84"/>
  <c r="E101" i="84" s="1"/>
  <c r="G74" i="84"/>
  <c r="H74" i="84" s="1"/>
  <c r="H266" i="85"/>
  <c r="E294" i="85" s="1"/>
  <c r="G267" i="85"/>
  <c r="H267" i="85" s="1"/>
  <c r="R26" i="85"/>
  <c r="Q27" i="85"/>
  <c r="S25" i="85"/>
  <c r="S26" i="85" s="1"/>
  <c r="K39" i="46"/>
  <c r="G52" i="82"/>
  <c r="H52" i="82" s="1"/>
  <c r="E79" i="82"/>
  <c r="L85" i="83"/>
  <c r="L93" i="83"/>
  <c r="L87" i="83"/>
  <c r="H234" i="85"/>
  <c r="K179" i="85"/>
  <c r="K142" i="85"/>
  <c r="Q35" i="4"/>
  <c r="Q37" i="4" s="1"/>
  <c r="Q41" i="4"/>
  <c r="K20" i="46"/>
  <c r="E78" i="82"/>
  <c r="L95" i="83"/>
  <c r="S25" i="83"/>
  <c r="S26" i="83" s="1"/>
  <c r="K159" i="85"/>
  <c r="H85" i="85"/>
  <c r="H67" i="86"/>
  <c r="E96" i="86" s="1"/>
  <c r="G68" i="86"/>
  <c r="H68" i="86" s="1"/>
  <c r="G66" i="87"/>
  <c r="H66" i="87" s="1"/>
  <c r="E93" i="87"/>
  <c r="R26" i="83"/>
  <c r="Q27" i="83"/>
  <c r="K122" i="85"/>
  <c r="L101" i="86"/>
  <c r="L39" i="85"/>
  <c r="L50" i="85"/>
  <c r="L65" i="85"/>
  <c r="U65" i="85" s="1"/>
  <c r="L66" i="85"/>
  <c r="L78" i="85"/>
  <c r="L101" i="85"/>
  <c r="L118" i="85"/>
  <c r="L121" i="85"/>
  <c r="L141" i="85"/>
  <c r="L145" i="85"/>
  <c r="L34" i="85"/>
  <c r="L45" i="85"/>
  <c r="L62" i="85"/>
  <c r="L73" i="85"/>
  <c r="L96" i="85"/>
  <c r="L109" i="85"/>
  <c r="L122" i="85"/>
  <c r="L136" i="85"/>
  <c r="L178" i="85"/>
  <c r="L190" i="85"/>
  <c r="L219" i="85"/>
  <c r="L220" i="85"/>
  <c r="L230" i="85"/>
  <c r="K34" i="86"/>
  <c r="M26" i="87"/>
  <c r="U26" i="87" s="1"/>
  <c r="M29" i="87"/>
  <c r="M30" i="87"/>
  <c r="M31" i="87"/>
  <c r="M33" i="87"/>
  <c r="M35" i="87"/>
  <c r="O35" i="87" s="1"/>
  <c r="M38" i="87"/>
  <c r="V38" i="87" s="1"/>
  <c r="D53" i="87"/>
  <c r="M28" i="87"/>
  <c r="M36" i="87"/>
  <c r="U36" i="87" s="1"/>
  <c r="I87" i="88"/>
  <c r="H111" i="85"/>
  <c r="K67" i="85"/>
  <c r="M39" i="87"/>
  <c r="U39" i="87" s="1"/>
  <c r="M37" i="87"/>
  <c r="M27" i="87"/>
  <c r="H41" i="87"/>
  <c r="P37" i="4"/>
  <c r="P35" i="4"/>
  <c r="P41" i="4"/>
  <c r="K53" i="94"/>
  <c r="U52" i="94"/>
  <c r="H63" i="87"/>
  <c r="E91" i="87" s="1"/>
  <c r="L33" i="4"/>
  <c r="H45" i="86"/>
  <c r="L25" i="86"/>
  <c r="L33" i="86"/>
  <c r="L34" i="86"/>
  <c r="L36" i="86"/>
  <c r="L38" i="86"/>
  <c r="L27" i="86"/>
  <c r="L31" i="86"/>
  <c r="L32" i="86"/>
  <c r="U32" i="86" s="1"/>
  <c r="L37" i="86"/>
  <c r="L41" i="86"/>
  <c r="L43" i="86"/>
  <c r="L102" i="87"/>
  <c r="L105" i="87"/>
  <c r="N35" i="4"/>
  <c r="N37" i="4" s="1"/>
  <c r="N41" i="4"/>
  <c r="M37" i="4"/>
  <c r="M35" i="4"/>
  <c r="M41" i="4"/>
  <c r="U73" i="94"/>
  <c r="K74" i="94"/>
  <c r="I90" i="82"/>
  <c r="I92" i="82"/>
  <c r="I83" i="82"/>
  <c r="I89" i="88"/>
  <c r="N89" i="88" s="1"/>
  <c r="I77" i="82"/>
  <c r="I89" i="82"/>
  <c r="I80" i="88"/>
  <c r="N80" i="88" s="1"/>
  <c r="O30" i="82"/>
  <c r="I94" i="82"/>
  <c r="N30" i="82"/>
  <c r="I86" i="82"/>
  <c r="I82" i="82"/>
  <c r="I91" i="82"/>
  <c r="I95" i="82"/>
  <c r="I81" i="82"/>
  <c r="I79" i="82"/>
  <c r="N79" i="82" s="1"/>
  <c r="D13" i="83"/>
  <c r="I89" i="83" s="1"/>
  <c r="F35" i="72"/>
  <c r="F36" i="72"/>
  <c r="G31" i="72"/>
  <c r="G35" i="72"/>
  <c r="A4" i="43"/>
  <c r="B4" i="93"/>
  <c r="B4" i="73"/>
  <c r="C5" i="95"/>
  <c r="B4" i="79"/>
  <c r="C4" i="74"/>
  <c r="C4" i="94"/>
  <c r="B4" i="72"/>
  <c r="B3" i="73"/>
  <c r="C3" i="94"/>
  <c r="C3" i="74"/>
  <c r="B3" i="79"/>
  <c r="A3" i="43"/>
  <c r="A3" i="4" s="1"/>
  <c r="B3" i="72"/>
  <c r="C4" i="95"/>
  <c r="B3" i="93"/>
  <c r="D38" i="88"/>
  <c r="I82" i="88"/>
  <c r="N82" i="88" s="1"/>
  <c r="I92" i="88"/>
  <c r="I93" i="88"/>
  <c r="I94" i="88"/>
  <c r="N94" i="88" s="1"/>
  <c r="I95" i="88"/>
  <c r="I90" i="88"/>
  <c r="N90" i="88" s="1"/>
  <c r="I88" i="88"/>
  <c r="N88" i="88" s="1"/>
  <c r="O30" i="88"/>
  <c r="I85" i="88"/>
  <c r="N85" i="88" s="1"/>
  <c r="F64" i="88"/>
  <c r="I83" i="88"/>
  <c r="I77" i="88"/>
  <c r="I91" i="88"/>
  <c r="I86" i="88"/>
  <c r="I90" i="83"/>
  <c r="G36" i="72"/>
  <c r="D13" i="84"/>
  <c r="F31" i="72"/>
  <c r="D13" i="85"/>
  <c r="D13" i="86"/>
  <c r="D13" i="87"/>
  <c r="I93" i="82"/>
  <c r="E32" i="79"/>
  <c r="D38" i="82"/>
  <c r="C2" i="93"/>
  <c r="C2" i="79"/>
  <c r="A2" i="4"/>
  <c r="C2" i="95"/>
  <c r="C2" i="74"/>
  <c r="A2" i="72"/>
  <c r="C2" i="73"/>
  <c r="C2" i="94"/>
  <c r="O25" i="78" l="1"/>
  <c r="O34" i="78" s="1"/>
  <c r="U55" i="77"/>
  <c r="F25" i="43"/>
  <c r="J34" i="72"/>
  <c r="J14" i="93"/>
  <c r="L15" i="93"/>
  <c r="J15" i="93"/>
  <c r="U61" i="77"/>
  <c r="U57" i="77"/>
  <c r="U62" i="77"/>
  <c r="F22" i="43"/>
  <c r="H22" i="43" s="1"/>
  <c r="J22" i="43" s="1"/>
  <c r="L15" i="8"/>
  <c r="N108" i="95"/>
  <c r="J108" i="95"/>
  <c r="I94" i="83"/>
  <c r="N94" i="83" s="1"/>
  <c r="I78" i="83"/>
  <c r="N78" i="83" s="1"/>
  <c r="I85" i="83"/>
  <c r="N85" i="83" s="1"/>
  <c r="I119" i="77"/>
  <c r="K17" i="93"/>
  <c r="M34" i="42"/>
  <c r="U33" i="77"/>
  <c r="U32" i="77"/>
  <c r="O56" i="77"/>
  <c r="P34" i="42"/>
  <c r="R33" i="87"/>
  <c r="O33" i="87"/>
  <c r="R49" i="84"/>
  <c r="R26" i="87"/>
  <c r="L94" i="78"/>
  <c r="L89" i="78"/>
  <c r="N49" i="84"/>
  <c r="U34" i="84"/>
  <c r="U43" i="84"/>
  <c r="L100" i="78"/>
  <c r="L96" i="78"/>
  <c r="O65" i="77"/>
  <c r="U36" i="74"/>
  <c r="K37" i="74"/>
  <c r="L87" i="78"/>
  <c r="L101" i="78"/>
  <c r="L99" i="78"/>
  <c r="I92" i="83"/>
  <c r="N92" i="83" s="1"/>
  <c r="U36" i="84"/>
  <c r="L93" i="78"/>
  <c r="L95" i="78"/>
  <c r="L91" i="78"/>
  <c r="U45" i="84"/>
  <c r="L92" i="78"/>
  <c r="U87" i="74"/>
  <c r="T87" i="74" s="1"/>
  <c r="C35" i="4"/>
  <c r="C37" i="4" s="1"/>
  <c r="C41" i="4"/>
  <c r="O52" i="77"/>
  <c r="L97" i="78"/>
  <c r="L16" i="42"/>
  <c r="M16" i="42" s="1"/>
  <c r="O27" i="78"/>
  <c r="O30" i="77"/>
  <c r="U25" i="78"/>
  <c r="U34" i="78" s="1"/>
  <c r="U64" i="77"/>
  <c r="U65" i="77"/>
  <c r="U29" i="78"/>
  <c r="U51" i="77"/>
  <c r="O30" i="78"/>
  <c r="O29" i="77"/>
  <c r="O28" i="77"/>
  <c r="U50" i="77"/>
  <c r="U31" i="77"/>
  <c r="U63" i="77"/>
  <c r="U60" i="77"/>
  <c r="U25" i="77"/>
  <c r="I84" i="78"/>
  <c r="U66" i="77"/>
  <c r="U26" i="78"/>
  <c r="U52" i="77"/>
  <c r="U32" i="78"/>
  <c r="U59" i="77"/>
  <c r="K129" i="77"/>
  <c r="K135" i="77"/>
  <c r="K126" i="77"/>
  <c r="K125" i="77"/>
  <c r="K120" i="77"/>
  <c r="K121" i="77"/>
  <c r="K122" i="77"/>
  <c r="K123" i="77"/>
  <c r="K124" i="77"/>
  <c r="K127" i="77"/>
  <c r="K119" i="77"/>
  <c r="K136" i="77"/>
  <c r="K131" i="77"/>
  <c r="K132" i="77"/>
  <c r="K130" i="77"/>
  <c r="K134" i="77"/>
  <c r="K128" i="77"/>
  <c r="K133" i="77"/>
  <c r="G35" i="4"/>
  <c r="G37" i="4" s="1"/>
  <c r="L102" i="86"/>
  <c r="U27" i="78"/>
  <c r="N82" i="82"/>
  <c r="L104" i="86"/>
  <c r="O157" i="85"/>
  <c r="L112" i="86"/>
  <c r="L111" i="86"/>
  <c r="O61" i="85"/>
  <c r="U139" i="85"/>
  <c r="O47" i="84"/>
  <c r="L109" i="86"/>
  <c r="L110" i="86"/>
  <c r="O45" i="84"/>
  <c r="O241" i="85"/>
  <c r="O243" i="85" s="1"/>
  <c r="U37" i="84"/>
  <c r="N91" i="88"/>
  <c r="L103" i="86"/>
  <c r="L107" i="86"/>
  <c r="V27" i="78"/>
  <c r="L114" i="86"/>
  <c r="U158" i="85"/>
  <c r="L108" i="86"/>
  <c r="L106" i="86"/>
  <c r="U48" i="84"/>
  <c r="O93" i="85"/>
  <c r="L84" i="78"/>
  <c r="O158" i="85"/>
  <c r="K31" i="72"/>
  <c r="N93" i="88"/>
  <c r="O138" i="85"/>
  <c r="J33" i="72"/>
  <c r="U156" i="85"/>
  <c r="D44" i="78"/>
  <c r="L98" i="78"/>
  <c r="U157" i="85"/>
  <c r="U28" i="86"/>
  <c r="U95" i="85"/>
  <c r="U56" i="77"/>
  <c r="U29" i="77"/>
  <c r="O125" i="85"/>
  <c r="O26" i="86"/>
  <c r="N86" i="88"/>
  <c r="U30" i="77"/>
  <c r="V61" i="77"/>
  <c r="N93" i="82"/>
  <c r="U136" i="85"/>
  <c r="N94" i="82"/>
  <c r="O97" i="85"/>
  <c r="V96" i="85"/>
  <c r="N80" i="82"/>
  <c r="U137" i="85"/>
  <c r="U210" i="85"/>
  <c r="J31" i="72"/>
  <c r="N89" i="83"/>
  <c r="K113" i="86"/>
  <c r="L105" i="86"/>
  <c r="K97" i="86"/>
  <c r="H77" i="83"/>
  <c r="N81" i="82"/>
  <c r="E49" i="83"/>
  <c r="L99" i="87"/>
  <c r="L97" i="87"/>
  <c r="O25" i="84"/>
  <c r="O51" i="84" s="1"/>
  <c r="O53" i="84" s="1"/>
  <c r="V51" i="84" s="1"/>
  <c r="W50" i="84" s="1"/>
  <c r="I15" i="8"/>
  <c r="J15" i="8" s="1"/>
  <c r="N83" i="82"/>
  <c r="U209" i="85"/>
  <c r="U233" i="85" s="1"/>
  <c r="N84" i="82"/>
  <c r="U41" i="84"/>
  <c r="U63" i="85"/>
  <c r="O60" i="85"/>
  <c r="O85" i="85" s="1"/>
  <c r="N95" i="82"/>
  <c r="N89" i="82"/>
  <c r="O28" i="86"/>
  <c r="N78" i="82"/>
  <c r="U92" i="85"/>
  <c r="U110" i="85" s="1"/>
  <c r="D49" i="88"/>
  <c r="O35" i="84"/>
  <c r="U30" i="78"/>
  <c r="V56" i="77"/>
  <c r="H31" i="72"/>
  <c r="H36" i="72"/>
  <c r="I36" i="72" s="1"/>
  <c r="N30" i="88"/>
  <c r="H35" i="72"/>
  <c r="O27" i="42"/>
  <c r="P27" i="42" s="1"/>
  <c r="J22" i="42"/>
  <c r="N29" i="87"/>
  <c r="F64" i="82"/>
  <c r="F70" i="82" s="1"/>
  <c r="F37" i="82" s="1"/>
  <c r="I64" i="82"/>
  <c r="I70" i="82" s="1"/>
  <c r="F36" i="82" s="1"/>
  <c r="K110" i="86"/>
  <c r="L129" i="77"/>
  <c r="O211" i="85"/>
  <c r="L90" i="78"/>
  <c r="L130" i="77"/>
  <c r="O119" i="85"/>
  <c r="O92" i="85"/>
  <c r="O111" i="85" s="1"/>
  <c r="N91" i="82"/>
  <c r="L88" i="78"/>
  <c r="O42" i="84"/>
  <c r="L121" i="77"/>
  <c r="U119" i="85"/>
  <c r="L126" i="77"/>
  <c r="N95" i="88"/>
  <c r="V47" i="84"/>
  <c r="U47" i="84"/>
  <c r="U211" i="85"/>
  <c r="U28" i="77"/>
  <c r="K100" i="86"/>
  <c r="U36" i="85"/>
  <c r="N83" i="88"/>
  <c r="K99" i="86"/>
  <c r="O36" i="85"/>
  <c r="U120" i="85"/>
  <c r="U140" i="85"/>
  <c r="U26" i="86"/>
  <c r="O34" i="87"/>
  <c r="K98" i="86"/>
  <c r="U30" i="86"/>
  <c r="K104" i="86"/>
  <c r="K105" i="86"/>
  <c r="V241" i="85"/>
  <c r="V242" i="85" s="1"/>
  <c r="U138" i="85"/>
  <c r="K108" i="86"/>
  <c r="U60" i="85"/>
  <c r="U84" i="85" s="1"/>
  <c r="N78" i="88"/>
  <c r="V92" i="85"/>
  <c r="V110" i="85" s="1"/>
  <c r="O135" i="85"/>
  <c r="O148" i="85" s="1"/>
  <c r="O29" i="84"/>
  <c r="N90" i="82"/>
  <c r="V135" i="85"/>
  <c r="V147" i="85" s="1"/>
  <c r="O137" i="85"/>
  <c r="O32" i="84"/>
  <c r="O126" i="85"/>
  <c r="U176" i="85"/>
  <c r="L122" i="77"/>
  <c r="U135" i="85"/>
  <c r="U147" i="85" s="1"/>
  <c r="O155" i="85"/>
  <c r="O168" i="85" s="1"/>
  <c r="O50" i="77"/>
  <c r="V63" i="77"/>
  <c r="V32" i="84"/>
  <c r="V26" i="86"/>
  <c r="U93" i="85"/>
  <c r="V36" i="85"/>
  <c r="U25" i="85"/>
  <c r="U26" i="85" s="1"/>
  <c r="L124" i="77"/>
  <c r="L133" i="77"/>
  <c r="L125" i="77"/>
  <c r="L135" i="77"/>
  <c r="L134" i="77"/>
  <c r="L136" i="77"/>
  <c r="L119" i="77"/>
  <c r="L120" i="77"/>
  <c r="N92" i="88"/>
  <c r="N87" i="88"/>
  <c r="N90" i="83"/>
  <c r="N86" i="82"/>
  <c r="O33" i="77"/>
  <c r="O63" i="77"/>
  <c r="V40" i="84"/>
  <c r="U124" i="85"/>
  <c r="O48" i="84"/>
  <c r="L131" i="77"/>
  <c r="L128" i="77"/>
  <c r="O179" i="85"/>
  <c r="N84" i="88"/>
  <c r="L305" i="85"/>
  <c r="O38" i="84"/>
  <c r="O40" i="84"/>
  <c r="L132" i="77"/>
  <c r="L127" i="77"/>
  <c r="O26" i="84"/>
  <c r="L306" i="85"/>
  <c r="U155" i="85"/>
  <c r="U167" i="85" s="1"/>
  <c r="V31" i="87"/>
  <c r="L304" i="85"/>
  <c r="L312" i="85"/>
  <c r="L303" i="85"/>
  <c r="V41" i="84"/>
  <c r="O38" i="85"/>
  <c r="K111" i="86"/>
  <c r="O63" i="85"/>
  <c r="V155" i="85"/>
  <c r="V167" i="85" s="1"/>
  <c r="O39" i="85"/>
  <c r="L299" i="85"/>
  <c r="U27" i="85"/>
  <c r="O43" i="84"/>
  <c r="N88" i="82"/>
  <c r="L311" i="85"/>
  <c r="N92" i="82"/>
  <c r="L308" i="85"/>
  <c r="V25" i="85"/>
  <c r="V26" i="85" s="1"/>
  <c r="L302" i="85"/>
  <c r="N81" i="88"/>
  <c r="K106" i="86"/>
  <c r="V26" i="84"/>
  <c r="K96" i="86"/>
  <c r="N85" i="82"/>
  <c r="U97" i="85"/>
  <c r="O36" i="84"/>
  <c r="D55" i="86"/>
  <c r="D67" i="86" s="1"/>
  <c r="D68" i="86" s="1"/>
  <c r="E68" i="86" s="1"/>
  <c r="D69" i="86" s="1"/>
  <c r="E69" i="86" s="1"/>
  <c r="D70" i="86" s="1"/>
  <c r="E70" i="86" s="1"/>
  <c r="D71" i="86" s="1"/>
  <c r="E71" i="86" s="1"/>
  <c r="D72" i="86" s="1"/>
  <c r="E72" i="86" s="1"/>
  <c r="D73" i="86" s="1"/>
  <c r="E73" i="86" s="1"/>
  <c r="D74" i="86" s="1"/>
  <c r="E74" i="86" s="1"/>
  <c r="D75" i="86" s="1"/>
  <c r="E75" i="86" s="1"/>
  <c r="D76" i="86" s="1"/>
  <c r="E76" i="86" s="1"/>
  <c r="D77" i="86" s="1"/>
  <c r="E77" i="86" s="1"/>
  <c r="D78" i="86" s="1"/>
  <c r="E78" i="86" s="1"/>
  <c r="D79" i="86" s="1"/>
  <c r="E79" i="86" s="1"/>
  <c r="D80" i="86" s="1"/>
  <c r="E80" i="86" s="1"/>
  <c r="D81" i="86" s="1"/>
  <c r="E81" i="86" s="1"/>
  <c r="D82" i="86" s="1"/>
  <c r="V45" i="84"/>
  <c r="K114" i="86"/>
  <c r="K101" i="86"/>
  <c r="O28" i="84"/>
  <c r="K107" i="86"/>
  <c r="U27" i="84"/>
  <c r="O25" i="83"/>
  <c r="U125" i="85"/>
  <c r="O122" i="85"/>
  <c r="K112" i="86"/>
  <c r="O25" i="85"/>
  <c r="O27" i="85" s="1"/>
  <c r="U121" i="85"/>
  <c r="O139" i="85"/>
  <c r="K103" i="86"/>
  <c r="K109" i="86"/>
  <c r="O210" i="85"/>
  <c r="O124" i="85"/>
  <c r="U25" i="83"/>
  <c r="U26" i="83" s="1"/>
  <c r="U27" i="83"/>
  <c r="V25" i="83"/>
  <c r="V26" i="83" s="1"/>
  <c r="W26" i="83" s="1"/>
  <c r="N423" i="74"/>
  <c r="J423" i="74"/>
  <c r="I424" i="74" s="1"/>
  <c r="N424" i="74" s="1"/>
  <c r="I64" i="88"/>
  <c r="I70" i="88" s="1"/>
  <c r="F36" i="88" s="1"/>
  <c r="O22" i="42"/>
  <c r="K296" i="85"/>
  <c r="K294" i="85"/>
  <c r="K312" i="85"/>
  <c r="K306" i="85"/>
  <c r="K304" i="85"/>
  <c r="K300" i="85"/>
  <c r="K310" i="85"/>
  <c r="K303" i="85"/>
  <c r="K299" i="85"/>
  <c r="K295" i="85"/>
  <c r="K302" i="85"/>
  <c r="K309" i="85"/>
  <c r="K305" i="85"/>
  <c r="K298" i="85"/>
  <c r="K297" i="85"/>
  <c r="K307" i="85"/>
  <c r="K311" i="85"/>
  <c r="K301" i="85"/>
  <c r="K308" i="85"/>
  <c r="G66" i="83"/>
  <c r="H66" i="83" s="1"/>
  <c r="E93" i="83"/>
  <c r="M18" i="42"/>
  <c r="J13" i="93"/>
  <c r="J17" i="93"/>
  <c r="J12" i="93"/>
  <c r="T12" i="93"/>
  <c r="L12" i="93"/>
  <c r="V12" i="93"/>
  <c r="T16" i="93"/>
  <c r="T17" i="93"/>
  <c r="V64" i="85"/>
  <c r="I109" i="95"/>
  <c r="N188" i="94"/>
  <c r="J188" i="94"/>
  <c r="I189" i="94" s="1"/>
  <c r="U243" i="85"/>
  <c r="U241" i="85"/>
  <c r="U242" i="85" s="1"/>
  <c r="A24" i="43"/>
  <c r="A33" i="72" s="1"/>
  <c r="H119" i="77"/>
  <c r="D90" i="77"/>
  <c r="U128" i="85"/>
  <c r="U126" i="85"/>
  <c r="E429" i="74"/>
  <c r="G402" i="74"/>
  <c r="L14" i="93"/>
  <c r="H49" i="83"/>
  <c r="E77" i="83" s="1"/>
  <c r="G50" i="83"/>
  <c r="H50" i="83" s="1"/>
  <c r="L119" i="84"/>
  <c r="L110" i="84"/>
  <c r="L106" i="84"/>
  <c r="L113" i="84"/>
  <c r="L115" i="84"/>
  <c r="L117" i="84"/>
  <c r="L109" i="84"/>
  <c r="L111" i="84"/>
  <c r="L107" i="84"/>
  <c r="L112" i="84"/>
  <c r="L116" i="84"/>
  <c r="L108" i="84"/>
  <c r="L114" i="84"/>
  <c r="D61" i="84"/>
  <c r="L118" i="84"/>
  <c r="H77" i="82"/>
  <c r="D49" i="82"/>
  <c r="K181" i="74"/>
  <c r="U180" i="74"/>
  <c r="J16" i="93"/>
  <c r="N87" i="82"/>
  <c r="U31" i="87"/>
  <c r="O94" i="85"/>
  <c r="O30" i="84"/>
  <c r="L310" i="85"/>
  <c r="L301" i="85"/>
  <c r="L309" i="85"/>
  <c r="D254" i="85"/>
  <c r="L300" i="85"/>
  <c r="U38" i="85"/>
  <c r="O64" i="85"/>
  <c r="U27" i="88"/>
  <c r="U25" i="88"/>
  <c r="U26" i="88" s="1"/>
  <c r="U61" i="85"/>
  <c r="L13" i="93"/>
  <c r="K99" i="85"/>
  <c r="N99" i="85" s="1"/>
  <c r="U98" i="85"/>
  <c r="J161" i="67"/>
  <c r="F69" i="38" s="1"/>
  <c r="H69" i="38" s="1"/>
  <c r="K69" i="38" s="1"/>
  <c r="R69" i="38" s="1"/>
  <c r="L30" i="42"/>
  <c r="M30" i="42" s="1"/>
  <c r="P24" i="42"/>
  <c r="O17" i="42"/>
  <c r="O16" i="42" s="1"/>
  <c r="O35" i="42"/>
  <c r="P35" i="42" s="1"/>
  <c r="O30" i="42"/>
  <c r="J27" i="42"/>
  <c r="L22" i="42"/>
  <c r="L35" i="42"/>
  <c r="M35" i="42" s="1"/>
  <c r="L27" i="42"/>
  <c r="M27" i="42" s="1"/>
  <c r="J16" i="42"/>
  <c r="R235" i="74"/>
  <c r="V235" i="74" s="1"/>
  <c r="V237" i="74" s="1"/>
  <c r="R334" i="74"/>
  <c r="R336" i="74" s="1"/>
  <c r="J44" i="42"/>
  <c r="I464" i="67"/>
  <c r="J464" i="67" s="1"/>
  <c r="J40" i="42"/>
  <c r="J35" i="42" s="1"/>
  <c r="I158" i="74"/>
  <c r="J158" i="74" s="1"/>
  <c r="R158" i="74" s="1"/>
  <c r="R160" i="74" s="1"/>
  <c r="J113" i="42"/>
  <c r="J110" i="42" s="1"/>
  <c r="R259" i="74"/>
  <c r="S259" i="74" s="1"/>
  <c r="S261" i="74" s="1"/>
  <c r="I296" i="74"/>
  <c r="J296" i="74" s="1"/>
  <c r="O296" i="74" s="1"/>
  <c r="O298" i="74" s="1"/>
  <c r="V299" i="74" s="1"/>
  <c r="W298" i="74" s="1"/>
  <c r="J34" i="42"/>
  <c r="J33" i="42" s="1"/>
  <c r="J30" i="42" s="1"/>
  <c r="I61" i="95"/>
  <c r="J61" i="95" s="1"/>
  <c r="O61" i="95" s="1"/>
  <c r="O63" i="95" s="1"/>
  <c r="V64" i="95" s="1"/>
  <c r="W63" i="95" s="1"/>
  <c r="J51" i="42"/>
  <c r="J50" i="42" s="1"/>
  <c r="J115" i="42"/>
  <c r="J52" i="42"/>
  <c r="N110" i="74"/>
  <c r="N112" i="74" s="1"/>
  <c r="P195" i="42"/>
  <c r="M175" i="42"/>
  <c r="M193" i="42"/>
  <c r="P158" i="42"/>
  <c r="M192" i="42"/>
  <c r="M191" i="42"/>
  <c r="P191" i="42"/>
  <c r="P192" i="42"/>
  <c r="V65" i="77"/>
  <c r="P175" i="42"/>
  <c r="P193" i="42"/>
  <c r="R110" i="74"/>
  <c r="R112" i="74" s="1"/>
  <c r="I95" i="74"/>
  <c r="J95" i="74" s="1"/>
  <c r="R95" i="74" s="1"/>
  <c r="J112" i="74"/>
  <c r="I34" i="74"/>
  <c r="J34" i="74" s="1"/>
  <c r="N34" i="74" s="1"/>
  <c r="I36" i="74"/>
  <c r="J36" i="74" s="1"/>
  <c r="O36" i="74" s="1"/>
  <c r="I67" i="94"/>
  <c r="J67" i="94" s="1"/>
  <c r="O67" i="94" s="1"/>
  <c r="M198" i="42"/>
  <c r="M195" i="42"/>
  <c r="P198" i="42"/>
  <c r="I44" i="94"/>
  <c r="J44" i="94" s="1"/>
  <c r="R44" i="94" s="1"/>
  <c r="I79" i="94"/>
  <c r="J79" i="94" s="1"/>
  <c r="R79" i="94" s="1"/>
  <c r="S79" i="94" s="1"/>
  <c r="N352" i="74"/>
  <c r="N354" i="74" s="1"/>
  <c r="M158" i="42"/>
  <c r="I315" i="74"/>
  <c r="J315" i="74" s="1"/>
  <c r="O315" i="74" s="1"/>
  <c r="S46" i="94"/>
  <c r="J237" i="74"/>
  <c r="I83" i="74"/>
  <c r="J83" i="74" s="1"/>
  <c r="R83" i="74" s="1"/>
  <c r="S83" i="74" s="1"/>
  <c r="N235" i="74"/>
  <c r="N237" i="74" s="1"/>
  <c r="P169" i="42"/>
  <c r="I70" i="95"/>
  <c r="J70" i="95" s="1"/>
  <c r="J72" i="95" s="1"/>
  <c r="I99" i="94"/>
  <c r="J99" i="94" s="1"/>
  <c r="O99" i="94" s="1"/>
  <c r="M186" i="42"/>
  <c r="I125" i="94"/>
  <c r="J125" i="94" s="1"/>
  <c r="R125" i="94" s="1"/>
  <c r="I97" i="94"/>
  <c r="J97" i="94" s="1"/>
  <c r="O97" i="94" s="1"/>
  <c r="P186" i="42"/>
  <c r="P148" i="42"/>
  <c r="O46" i="94"/>
  <c r="M148" i="42"/>
  <c r="N46" i="94"/>
  <c r="M141" i="42"/>
  <c r="P141" i="42"/>
  <c r="P138" i="42"/>
  <c r="M138" i="42"/>
  <c r="M127" i="42"/>
  <c r="P127" i="42"/>
  <c r="P115" i="42"/>
  <c r="M115" i="42"/>
  <c r="O334" i="74"/>
  <c r="O336" i="74" s="1"/>
  <c r="V337" i="74" s="1"/>
  <c r="W336" i="74" s="1"/>
  <c r="J336" i="74"/>
  <c r="O121" i="74"/>
  <c r="J363" i="74"/>
  <c r="I247" i="74"/>
  <c r="J247" i="74" s="1"/>
  <c r="O247" i="74" s="1"/>
  <c r="P80" i="42"/>
  <c r="O352" i="74"/>
  <c r="O354" i="74" s="1"/>
  <c r="V355" i="74" s="1"/>
  <c r="W354" i="74" s="1"/>
  <c r="J354" i="74"/>
  <c r="O305" i="74"/>
  <c r="O307" i="74" s="1"/>
  <c r="V308" i="74" s="1"/>
  <c r="W307" i="74" s="1"/>
  <c r="M97" i="42"/>
  <c r="P97" i="42"/>
  <c r="P95" i="42"/>
  <c r="M95" i="42"/>
  <c r="M117" i="42"/>
  <c r="M80" i="42"/>
  <c r="I522" i="67"/>
  <c r="J522" i="67" s="1"/>
  <c r="O259" i="74"/>
  <c r="O261" i="74" s="1"/>
  <c r="V262" i="74" s="1"/>
  <c r="W261" i="74" s="1"/>
  <c r="V27" i="84"/>
  <c r="R121" i="74"/>
  <c r="V121" i="74" s="1"/>
  <c r="I74" i="67"/>
  <c r="J74" i="67" s="1"/>
  <c r="I180" i="67"/>
  <c r="J180" i="67" s="1"/>
  <c r="J178" i="67" s="1"/>
  <c r="F15" i="38" s="1"/>
  <c r="H15" i="38" s="1"/>
  <c r="K15" i="38" s="1"/>
  <c r="I523" i="67"/>
  <c r="J523" i="67" s="1"/>
  <c r="J261" i="74"/>
  <c r="S119" i="74"/>
  <c r="V119" i="74"/>
  <c r="M52" i="42"/>
  <c r="O120" i="74"/>
  <c r="O34" i="95"/>
  <c r="O36" i="95" s="1"/>
  <c r="V37" i="95" s="1"/>
  <c r="W36" i="95" s="1"/>
  <c r="J165" i="67"/>
  <c r="F76" i="38" s="1"/>
  <c r="H76" i="38" s="1"/>
  <c r="K76" i="38" s="1"/>
  <c r="L76" i="38" s="1"/>
  <c r="L80" i="38" s="1"/>
  <c r="I139" i="74"/>
  <c r="J139" i="74" s="1"/>
  <c r="R139" i="74" s="1"/>
  <c r="J157" i="67"/>
  <c r="F60" i="38" s="1"/>
  <c r="H60" i="38" s="1"/>
  <c r="K60" i="38" s="1"/>
  <c r="L60" i="38" s="1"/>
  <c r="M60" i="38" s="1"/>
  <c r="N60" i="38" s="1"/>
  <c r="J307" i="74"/>
  <c r="I185" i="74"/>
  <c r="J185" i="74" s="1"/>
  <c r="R185" i="74" s="1"/>
  <c r="S185" i="74" s="1"/>
  <c r="O361" i="74"/>
  <c r="O363" i="74" s="1"/>
  <c r="V364" i="74" s="1"/>
  <c r="W363" i="74" s="1"/>
  <c r="I250" i="74"/>
  <c r="J250" i="74" s="1"/>
  <c r="R250" i="74" s="1"/>
  <c r="S250" i="74" s="1"/>
  <c r="V58" i="77"/>
  <c r="R361" i="74"/>
  <c r="R305" i="74"/>
  <c r="S305" i="74" s="1"/>
  <c r="S307" i="74" s="1"/>
  <c r="I207" i="74"/>
  <c r="J207" i="74" s="1"/>
  <c r="N207" i="74" s="1"/>
  <c r="I325" i="74"/>
  <c r="J325" i="74" s="1"/>
  <c r="O325" i="74" s="1"/>
  <c r="I84" i="74"/>
  <c r="J84" i="74" s="1"/>
  <c r="N84" i="74" s="1"/>
  <c r="I42" i="94"/>
  <c r="J42" i="94" s="1"/>
  <c r="N42" i="94" s="1"/>
  <c r="I23" i="74"/>
  <c r="J23" i="74" s="1"/>
  <c r="R23" i="74" s="1"/>
  <c r="R25" i="74" s="1"/>
  <c r="I66" i="94"/>
  <c r="J66" i="94" s="1"/>
  <c r="R66" i="94" s="1"/>
  <c r="I78" i="94"/>
  <c r="J78" i="94" s="1"/>
  <c r="R78" i="94" s="1"/>
  <c r="S78" i="94" s="1"/>
  <c r="S56" i="77"/>
  <c r="J153" i="67"/>
  <c r="F84" i="38" s="1"/>
  <c r="H84" i="38" s="1"/>
  <c r="K84" i="38" s="1"/>
  <c r="R84" i="38" s="1"/>
  <c r="I52" i="94"/>
  <c r="J52" i="94" s="1"/>
  <c r="N52" i="94" s="1"/>
  <c r="V29" i="84"/>
  <c r="I101" i="74"/>
  <c r="J101" i="74" s="1"/>
  <c r="R101" i="74" s="1"/>
  <c r="S101" i="74" s="1"/>
  <c r="I43" i="94"/>
  <c r="J43" i="94" s="1"/>
  <c r="O43" i="94" s="1"/>
  <c r="P52" i="42"/>
  <c r="M39" i="42"/>
  <c r="I110" i="94"/>
  <c r="J110" i="94" s="1"/>
  <c r="R110" i="94" s="1"/>
  <c r="V110" i="94" s="1"/>
  <c r="N119" i="74"/>
  <c r="O119" i="74"/>
  <c r="J128" i="67"/>
  <c r="F24" i="38" s="1"/>
  <c r="H24" i="38" s="1"/>
  <c r="K24" i="38" s="1"/>
  <c r="L24" i="38" s="1"/>
  <c r="M24" i="38" s="1"/>
  <c r="N24" i="38" s="1"/>
  <c r="M91" i="42"/>
  <c r="V137" i="85"/>
  <c r="O72" i="74"/>
  <c r="O64" i="77"/>
  <c r="O33" i="84"/>
  <c r="J123" i="74"/>
  <c r="R43" i="95"/>
  <c r="V43" i="95" s="1"/>
  <c r="V45" i="95" s="1"/>
  <c r="I46" i="74"/>
  <c r="J46" i="74" s="1"/>
  <c r="R46" i="74" s="1"/>
  <c r="S46" i="74" s="1"/>
  <c r="V178" i="85"/>
  <c r="R55" i="77"/>
  <c r="S55" i="77" s="1"/>
  <c r="R287" i="74"/>
  <c r="S287" i="74" s="1"/>
  <c r="S40" i="84"/>
  <c r="N120" i="74"/>
  <c r="N43" i="95"/>
  <c r="N45" i="95" s="1"/>
  <c r="V120" i="74"/>
  <c r="I249" i="74"/>
  <c r="J249" i="74" s="1"/>
  <c r="R249" i="74" s="1"/>
  <c r="V249" i="74" s="1"/>
  <c r="R57" i="77"/>
  <c r="S57" i="77" s="1"/>
  <c r="R26" i="82"/>
  <c r="S25" i="82"/>
  <c r="S26" i="82" s="1"/>
  <c r="V25" i="82"/>
  <c r="V26" i="82" s="1"/>
  <c r="W26" i="82" s="1"/>
  <c r="J45" i="95"/>
  <c r="O268" i="74"/>
  <c r="O270" i="74" s="1"/>
  <c r="V271" i="74" s="1"/>
  <c r="W270" i="74" s="1"/>
  <c r="R268" i="74"/>
  <c r="N268" i="74"/>
  <c r="N270" i="74" s="1"/>
  <c r="J270" i="74"/>
  <c r="O176" i="85"/>
  <c r="N72" i="74"/>
  <c r="S108" i="85"/>
  <c r="V27" i="82"/>
  <c r="S61" i="77"/>
  <c r="P33" i="42"/>
  <c r="I111" i="94"/>
  <c r="J111" i="94" s="1"/>
  <c r="I149" i="74"/>
  <c r="J149" i="74" s="1"/>
  <c r="P43" i="42"/>
  <c r="V38" i="84"/>
  <c r="N34" i="95"/>
  <c r="N36" i="95" s="1"/>
  <c r="R34" i="95"/>
  <c r="S64" i="85"/>
  <c r="O205" i="74"/>
  <c r="M156" i="42"/>
  <c r="I50" i="94"/>
  <c r="J50" i="94" s="1"/>
  <c r="R50" i="94" s="1"/>
  <c r="I135" i="74"/>
  <c r="J135" i="74" s="1"/>
  <c r="I44" i="74"/>
  <c r="J44" i="74" s="1"/>
  <c r="R44" i="74" s="1"/>
  <c r="S44" i="74" s="1"/>
  <c r="I245" i="74"/>
  <c r="J245" i="74" s="1"/>
  <c r="I34" i="94"/>
  <c r="J34" i="94" s="1"/>
  <c r="I99" i="74"/>
  <c r="J99" i="74" s="1"/>
  <c r="I38" i="94"/>
  <c r="J38" i="94" s="1"/>
  <c r="I98" i="94"/>
  <c r="J98" i="94" s="1"/>
  <c r="I97" i="74"/>
  <c r="J97" i="74" s="1"/>
  <c r="I60" i="74"/>
  <c r="J60" i="74" s="1"/>
  <c r="I45" i="74"/>
  <c r="J45" i="74" s="1"/>
  <c r="R45" i="74" s="1"/>
  <c r="S45" i="74" s="1"/>
  <c r="I136" i="74"/>
  <c r="J136" i="74" s="1"/>
  <c r="I123" i="94"/>
  <c r="J123" i="94" s="1"/>
  <c r="I70" i="94"/>
  <c r="J70" i="94" s="1"/>
  <c r="I74" i="94"/>
  <c r="J74" i="94" s="1"/>
  <c r="R74" i="94" s="1"/>
  <c r="S74" i="94" s="1"/>
  <c r="I95" i="94"/>
  <c r="J95" i="94" s="1"/>
  <c r="I39" i="94"/>
  <c r="J39" i="94" s="1"/>
  <c r="I137" i="74"/>
  <c r="J137" i="74" s="1"/>
  <c r="I80" i="74"/>
  <c r="J80" i="74" s="1"/>
  <c r="I138" i="74"/>
  <c r="J138" i="74" s="1"/>
  <c r="I134" i="74"/>
  <c r="J134" i="74" s="1"/>
  <c r="I35" i="94"/>
  <c r="J35" i="94" s="1"/>
  <c r="I131" i="74"/>
  <c r="J131" i="74" s="1"/>
  <c r="I61" i="74"/>
  <c r="J61" i="74" s="1"/>
  <c r="I73" i="94"/>
  <c r="J73" i="94" s="1"/>
  <c r="I59" i="74"/>
  <c r="J59" i="74" s="1"/>
  <c r="I82" i="74"/>
  <c r="J82" i="74" s="1"/>
  <c r="I38" i="74"/>
  <c r="J38" i="74" s="1"/>
  <c r="R38" i="74" s="1"/>
  <c r="S38" i="74" s="1"/>
  <c r="I244" i="74"/>
  <c r="J244" i="74" s="1"/>
  <c r="I51" i="94"/>
  <c r="J51" i="94" s="1"/>
  <c r="I130" i="74"/>
  <c r="J130" i="74" s="1"/>
  <c r="O130" i="74" s="1"/>
  <c r="N29" i="78"/>
  <c r="O287" i="74"/>
  <c r="O57" i="77"/>
  <c r="I41" i="94"/>
  <c r="J41" i="94" s="1"/>
  <c r="O41" i="94" s="1"/>
  <c r="I64" i="94"/>
  <c r="J64" i="94" s="1"/>
  <c r="R64" i="94" s="1"/>
  <c r="I49" i="94"/>
  <c r="J49" i="94" s="1"/>
  <c r="N49" i="94" s="1"/>
  <c r="I94" i="94"/>
  <c r="J94" i="94" s="1"/>
  <c r="R94" i="94" s="1"/>
  <c r="V94" i="94" s="1"/>
  <c r="I122" i="94"/>
  <c r="J122" i="94" s="1"/>
  <c r="O122" i="94" s="1"/>
  <c r="I235" i="67"/>
  <c r="J235" i="67" s="1"/>
  <c r="J234" i="67" s="1"/>
  <c r="I221" i="67"/>
  <c r="J221" i="67" s="1"/>
  <c r="J220" i="67" s="1"/>
  <c r="I249" i="67"/>
  <c r="J249" i="67" s="1"/>
  <c r="J248" i="67" s="1"/>
  <c r="I254" i="67"/>
  <c r="J254" i="67" s="1"/>
  <c r="J253" i="67" s="1"/>
  <c r="I230" i="67"/>
  <c r="J230" i="67" s="1"/>
  <c r="J229" i="67" s="1"/>
  <c r="I525" i="67"/>
  <c r="J525" i="67" s="1"/>
  <c r="I43" i="74"/>
  <c r="J43" i="74" s="1"/>
  <c r="R43" i="74" s="1"/>
  <c r="S43" i="74" s="1"/>
  <c r="I184" i="74"/>
  <c r="J184" i="74" s="1"/>
  <c r="R184" i="74" s="1"/>
  <c r="S184" i="74" s="1"/>
  <c r="R205" i="74"/>
  <c r="V205" i="74" s="1"/>
  <c r="S41" i="84"/>
  <c r="I124" i="94"/>
  <c r="J124" i="94" s="1"/>
  <c r="I246" i="74"/>
  <c r="J246" i="74" s="1"/>
  <c r="I240" i="67"/>
  <c r="J240" i="67" s="1"/>
  <c r="J239" i="67" s="1"/>
  <c r="P156" i="42"/>
  <c r="J27" i="95"/>
  <c r="R25" i="95"/>
  <c r="V25" i="95" s="1"/>
  <c r="O25" i="95"/>
  <c r="O27" i="95" s="1"/>
  <c r="V28" i="95" s="1"/>
  <c r="I93" i="94"/>
  <c r="J93" i="94" s="1"/>
  <c r="I37" i="74"/>
  <c r="J37" i="74" s="1"/>
  <c r="R37" i="74" s="1"/>
  <c r="O29" i="78"/>
  <c r="I73" i="74"/>
  <c r="J73" i="74" s="1"/>
  <c r="I324" i="74"/>
  <c r="J324" i="74" s="1"/>
  <c r="I178" i="74"/>
  <c r="J178" i="74" s="1"/>
  <c r="I343" i="74"/>
  <c r="J343" i="74" s="1"/>
  <c r="I76" i="74"/>
  <c r="J76" i="74" s="1"/>
  <c r="R76" i="74" s="1"/>
  <c r="I71" i="94"/>
  <c r="J71" i="94" s="1"/>
  <c r="N71" i="94" s="1"/>
  <c r="I32" i="94"/>
  <c r="J32" i="94" s="1"/>
  <c r="O32" i="94" s="1"/>
  <c r="I96" i="74"/>
  <c r="J96" i="74" s="1"/>
  <c r="R96" i="74" s="1"/>
  <c r="I77" i="74"/>
  <c r="J77" i="74" s="1"/>
  <c r="N77" i="74" s="1"/>
  <c r="I35" i="74"/>
  <c r="J35" i="74" s="1"/>
  <c r="R35" i="74" s="1"/>
  <c r="I37" i="94"/>
  <c r="J37" i="94" s="1"/>
  <c r="O37" i="94" s="1"/>
  <c r="I72" i="94"/>
  <c r="J72" i="94" s="1"/>
  <c r="I183" i="74"/>
  <c r="J183" i="74" s="1"/>
  <c r="I42" i="74"/>
  <c r="J42" i="74" s="1"/>
  <c r="R42" i="74" s="1"/>
  <c r="S42" i="74" s="1"/>
  <c r="I181" i="74"/>
  <c r="J181" i="74" s="1"/>
  <c r="I534" i="67"/>
  <c r="J534" i="67" s="1"/>
  <c r="M164" i="42"/>
  <c r="I560" i="67"/>
  <c r="J560" i="67" s="1"/>
  <c r="I314" i="74"/>
  <c r="J314" i="74" s="1"/>
  <c r="I77" i="67"/>
  <c r="J77" i="67" s="1"/>
  <c r="I467" i="67"/>
  <c r="J467" i="67" s="1"/>
  <c r="I58" i="74"/>
  <c r="J58" i="74" s="1"/>
  <c r="N58" i="74" s="1"/>
  <c r="N175" i="85"/>
  <c r="O98" i="85"/>
  <c r="O54" i="77"/>
  <c r="N40" i="85"/>
  <c r="I121" i="94"/>
  <c r="J121" i="94" s="1"/>
  <c r="R121" i="94" s="1"/>
  <c r="O175" i="85"/>
  <c r="R98" i="85"/>
  <c r="S98" i="85" s="1"/>
  <c r="R54" i="77"/>
  <c r="S54" i="77" s="1"/>
  <c r="I77" i="94"/>
  <c r="J77" i="94" s="1"/>
  <c r="R77" i="94" s="1"/>
  <c r="S77" i="94" s="1"/>
  <c r="I92" i="94"/>
  <c r="J92" i="94" s="1"/>
  <c r="N92" i="94" s="1"/>
  <c r="I39" i="74"/>
  <c r="J39" i="74" s="1"/>
  <c r="R39" i="74" s="1"/>
  <c r="S39" i="74" s="1"/>
  <c r="I68" i="94"/>
  <c r="J68" i="94" s="1"/>
  <c r="R68" i="94" s="1"/>
  <c r="S68" i="94" s="1"/>
  <c r="M50" i="42"/>
  <c r="I75" i="94"/>
  <c r="J75" i="94" s="1"/>
  <c r="R75" i="94" s="1"/>
  <c r="S75" i="94" s="1"/>
  <c r="I65" i="94"/>
  <c r="J65" i="94" s="1"/>
  <c r="N65" i="94" s="1"/>
  <c r="I96" i="94"/>
  <c r="J96" i="94" s="1"/>
  <c r="N96" i="94" s="1"/>
  <c r="V158" i="85"/>
  <c r="I36" i="94"/>
  <c r="J36" i="94" s="1"/>
  <c r="I41" i="74"/>
  <c r="J41" i="74" s="1"/>
  <c r="R41" i="74" s="1"/>
  <c r="S41" i="74" s="1"/>
  <c r="I217" i="74"/>
  <c r="J217" i="74" s="1"/>
  <c r="I98" i="74"/>
  <c r="J98" i="74" s="1"/>
  <c r="I45" i="94"/>
  <c r="J45" i="94" s="1"/>
  <c r="I167" i="74"/>
  <c r="J167" i="74" s="1"/>
  <c r="I132" i="74"/>
  <c r="J132" i="74" s="1"/>
  <c r="P164" i="42"/>
  <c r="O177" i="74"/>
  <c r="N177" i="74"/>
  <c r="R177" i="74"/>
  <c r="N33" i="77"/>
  <c r="V139" i="85"/>
  <c r="O39" i="84"/>
  <c r="S155" i="85"/>
  <c r="V52" i="77"/>
  <c r="L69" i="38"/>
  <c r="S126" i="85"/>
  <c r="V126" i="85"/>
  <c r="N53" i="94"/>
  <c r="R35" i="84"/>
  <c r="S35" i="84" s="1"/>
  <c r="S27" i="78"/>
  <c r="R32" i="87"/>
  <c r="S32" i="87" s="1"/>
  <c r="R34" i="87"/>
  <c r="S34" i="87" s="1"/>
  <c r="R177" i="85"/>
  <c r="V177" i="85" s="1"/>
  <c r="J39" i="67"/>
  <c r="J20" i="67"/>
  <c r="F51" i="38" s="1"/>
  <c r="H51" i="38" s="1"/>
  <c r="K51" i="38" s="1"/>
  <c r="L51" i="38" s="1"/>
  <c r="M51" i="38" s="1"/>
  <c r="N51" i="38" s="1"/>
  <c r="J68" i="77"/>
  <c r="O34" i="84"/>
  <c r="R33" i="77"/>
  <c r="S33" i="77" s="1"/>
  <c r="R39" i="84"/>
  <c r="S39" i="84" s="1"/>
  <c r="N35" i="84"/>
  <c r="R34" i="84"/>
  <c r="V34" i="84" s="1"/>
  <c r="J45" i="86"/>
  <c r="N138" i="85"/>
  <c r="N176" i="85"/>
  <c r="R138" i="85"/>
  <c r="V138" i="85" s="1"/>
  <c r="V124" i="85"/>
  <c r="S124" i="85"/>
  <c r="I40" i="74"/>
  <c r="J40" i="74" s="1"/>
  <c r="R40" i="74" s="1"/>
  <c r="S40" i="74" s="1"/>
  <c r="P113" i="42"/>
  <c r="O95" i="85"/>
  <c r="R95" i="85"/>
  <c r="N95" i="85"/>
  <c r="R28" i="78"/>
  <c r="N28" i="78"/>
  <c r="O28" i="78"/>
  <c r="R59" i="77"/>
  <c r="N59" i="77"/>
  <c r="O59" i="77"/>
  <c r="N29" i="86"/>
  <c r="R29" i="86"/>
  <c r="O29" i="86"/>
  <c r="O27" i="77"/>
  <c r="R27" i="77"/>
  <c r="N27" i="77"/>
  <c r="V49" i="84"/>
  <c r="S49" i="84"/>
  <c r="M17" i="42"/>
  <c r="J168" i="85"/>
  <c r="J53" i="85"/>
  <c r="R31" i="77"/>
  <c r="N31" i="77"/>
  <c r="O31" i="77"/>
  <c r="R120" i="85"/>
  <c r="O120" i="85"/>
  <c r="N120" i="85"/>
  <c r="N31" i="84"/>
  <c r="R31" i="84"/>
  <c r="O31" i="84"/>
  <c r="R44" i="84"/>
  <c r="N44" i="84"/>
  <c r="O44" i="84"/>
  <c r="R119" i="85"/>
  <c r="N119" i="85"/>
  <c r="I126" i="94"/>
  <c r="J126" i="94" s="1"/>
  <c r="I40" i="94"/>
  <c r="J40" i="94" s="1"/>
  <c r="I100" i="74"/>
  <c r="J100" i="74" s="1"/>
  <c r="I76" i="94"/>
  <c r="J76" i="94" s="1"/>
  <c r="R76" i="94" s="1"/>
  <c r="S76" i="94" s="1"/>
  <c r="I69" i="94"/>
  <c r="J69" i="94" s="1"/>
  <c r="V28" i="77"/>
  <c r="S28" i="77"/>
  <c r="J111" i="85"/>
  <c r="I204" i="74"/>
  <c r="J204" i="74" s="1"/>
  <c r="I176" i="74"/>
  <c r="J176" i="74" s="1"/>
  <c r="I286" i="74"/>
  <c r="J286" i="74" s="1"/>
  <c r="I71" i="74"/>
  <c r="J71" i="74" s="1"/>
  <c r="I81" i="74"/>
  <c r="J81" i="74" s="1"/>
  <c r="I133" i="74"/>
  <c r="J133" i="74" s="1"/>
  <c r="I182" i="74"/>
  <c r="J182" i="74" s="1"/>
  <c r="O37" i="87"/>
  <c r="I180" i="74"/>
  <c r="J180" i="74" s="1"/>
  <c r="R180" i="74" s="1"/>
  <c r="R64" i="77"/>
  <c r="V64" i="77" s="1"/>
  <c r="R33" i="84"/>
  <c r="S33" i="84" s="1"/>
  <c r="J202" i="85"/>
  <c r="R136" i="85"/>
  <c r="V136" i="85" s="1"/>
  <c r="M32" i="42"/>
  <c r="R78" i="74"/>
  <c r="O78" i="74"/>
  <c r="N78" i="74"/>
  <c r="M113" i="42"/>
  <c r="O26" i="78"/>
  <c r="R26" i="78"/>
  <c r="J34" i="78"/>
  <c r="N26" i="78"/>
  <c r="J27" i="88"/>
  <c r="O25" i="88"/>
  <c r="O27" i="88" s="1"/>
  <c r="N25" i="88"/>
  <c r="N27" i="88" s="1"/>
  <c r="N29" i="88" s="1"/>
  <c r="R25" i="88"/>
  <c r="O35" i="85"/>
  <c r="R35" i="85"/>
  <c r="N35" i="85"/>
  <c r="R37" i="84"/>
  <c r="O37" i="84"/>
  <c r="N37" i="84"/>
  <c r="V176" i="85"/>
  <c r="S176" i="85"/>
  <c r="R62" i="77"/>
  <c r="O62" i="77"/>
  <c r="N62" i="77"/>
  <c r="N31" i="78"/>
  <c r="R31" i="78"/>
  <c r="O31" i="78"/>
  <c r="V125" i="85"/>
  <c r="S125" i="85"/>
  <c r="S93" i="85"/>
  <c r="V93" i="85"/>
  <c r="S210" i="85"/>
  <c r="V210" i="85"/>
  <c r="N27" i="86"/>
  <c r="R27" i="86"/>
  <c r="S27" i="86" s="1"/>
  <c r="N141" i="85"/>
  <c r="R141" i="85"/>
  <c r="S141" i="85" s="1"/>
  <c r="O26" i="77"/>
  <c r="R26" i="77"/>
  <c r="J43" i="77"/>
  <c r="N26" i="77"/>
  <c r="N32" i="78"/>
  <c r="R32" i="78"/>
  <c r="O32" i="78"/>
  <c r="R209" i="85"/>
  <c r="N209" i="85"/>
  <c r="O209" i="85"/>
  <c r="O234" i="85" s="1"/>
  <c r="V234" i="85" s="1"/>
  <c r="W233" i="85" s="1"/>
  <c r="J234" i="85"/>
  <c r="N37" i="87"/>
  <c r="R37" i="87"/>
  <c r="S37" i="87" s="1"/>
  <c r="I112" i="94"/>
  <c r="J112" i="94" s="1"/>
  <c r="I277" i="74"/>
  <c r="J277" i="74" s="1"/>
  <c r="P51" i="42"/>
  <c r="P50" i="42"/>
  <c r="V72" i="74"/>
  <c r="S72" i="74"/>
  <c r="M45" i="42"/>
  <c r="I101" i="94"/>
  <c r="J101" i="94" s="1"/>
  <c r="I530" i="67"/>
  <c r="J530" i="67" s="1"/>
  <c r="I90" i="94"/>
  <c r="J90" i="94" s="1"/>
  <c r="I47" i="94"/>
  <c r="J47" i="94" s="1"/>
  <c r="I532" i="67"/>
  <c r="J532" i="67" s="1"/>
  <c r="I32" i="74"/>
  <c r="J32" i="74" s="1"/>
  <c r="I52" i="95"/>
  <c r="J52" i="95" s="1"/>
  <c r="I531" i="67"/>
  <c r="J531" i="67" s="1"/>
  <c r="O32" i="87"/>
  <c r="P32" i="42"/>
  <c r="R140" i="85"/>
  <c r="N140" i="85"/>
  <c r="O140" i="85"/>
  <c r="O46" i="84"/>
  <c r="R46" i="84"/>
  <c r="N46" i="84"/>
  <c r="N121" i="85"/>
  <c r="R121" i="85"/>
  <c r="S121" i="85" s="1"/>
  <c r="R99" i="85"/>
  <c r="O99" i="85"/>
  <c r="I100" i="94"/>
  <c r="J100" i="94" s="1"/>
  <c r="I23" i="94"/>
  <c r="J23" i="94" s="1"/>
  <c r="J85" i="85"/>
  <c r="I176" i="67"/>
  <c r="J176" i="67" s="1"/>
  <c r="J175" i="67" s="1"/>
  <c r="I536" i="67"/>
  <c r="J536" i="67" s="1"/>
  <c r="I85" i="74"/>
  <c r="J85" i="74" s="1"/>
  <c r="I170" i="67"/>
  <c r="J170" i="67" s="1"/>
  <c r="J169" i="67" s="1"/>
  <c r="I208" i="74"/>
  <c r="J208" i="74" s="1"/>
  <c r="I515" i="67"/>
  <c r="J515" i="67" s="1"/>
  <c r="J514" i="67" s="1"/>
  <c r="I535" i="67"/>
  <c r="J535" i="67" s="1"/>
  <c r="I48" i="74"/>
  <c r="J48" i="74" s="1"/>
  <c r="R48" i="74" s="1"/>
  <c r="S48" i="74" s="1"/>
  <c r="I370" i="74"/>
  <c r="J370" i="74" s="1"/>
  <c r="I186" i="74"/>
  <c r="J186" i="74" s="1"/>
  <c r="R186" i="74" s="1"/>
  <c r="S186" i="74" s="1"/>
  <c r="I79" i="74"/>
  <c r="J79" i="74" s="1"/>
  <c r="O79" i="74" s="1"/>
  <c r="I33" i="94"/>
  <c r="J33" i="94" s="1"/>
  <c r="N33" i="94" s="1"/>
  <c r="R100" i="85"/>
  <c r="S100" i="85" s="1"/>
  <c r="R32" i="86"/>
  <c r="S32" i="86" s="1"/>
  <c r="J148" i="85"/>
  <c r="J128" i="85"/>
  <c r="N34" i="87"/>
  <c r="O55" i="77"/>
  <c r="O177" i="85"/>
  <c r="J51" i="84"/>
  <c r="I75" i="74"/>
  <c r="J75" i="74" s="1"/>
  <c r="I91" i="94"/>
  <c r="J91" i="94" s="1"/>
  <c r="I33" i="74"/>
  <c r="J33" i="74" s="1"/>
  <c r="I63" i="94"/>
  <c r="J63" i="94" s="1"/>
  <c r="I48" i="94"/>
  <c r="J48" i="94" s="1"/>
  <c r="S175" i="85"/>
  <c r="V175" i="85"/>
  <c r="V201" i="85" s="1"/>
  <c r="N123" i="85"/>
  <c r="R123" i="85"/>
  <c r="O123" i="85"/>
  <c r="N30" i="87"/>
  <c r="R30" i="87"/>
  <c r="S30" i="87" s="1"/>
  <c r="J41" i="87"/>
  <c r="R66" i="77"/>
  <c r="O66" i="77"/>
  <c r="N66" i="77"/>
  <c r="N60" i="77"/>
  <c r="O60" i="77"/>
  <c r="R60" i="77"/>
  <c r="O156" i="85"/>
  <c r="R156" i="85"/>
  <c r="R167" i="85" s="1"/>
  <c r="N156" i="85"/>
  <c r="O53" i="77"/>
  <c r="N53" i="77"/>
  <c r="R53" i="77"/>
  <c r="O32" i="77"/>
  <c r="R32" i="77"/>
  <c r="N32" i="77"/>
  <c r="O51" i="77"/>
  <c r="N51" i="77"/>
  <c r="R51" i="77"/>
  <c r="S36" i="84"/>
  <c r="V36" i="84"/>
  <c r="V50" i="77"/>
  <c r="S50" i="77"/>
  <c r="V61" i="85"/>
  <c r="S61" i="85"/>
  <c r="V60" i="85"/>
  <c r="V84" i="85" s="1"/>
  <c r="S60" i="85"/>
  <c r="S25" i="84"/>
  <c r="V25" i="84"/>
  <c r="I248" i="74"/>
  <c r="J248" i="74" s="1"/>
  <c r="V30" i="86"/>
  <c r="S30" i="86"/>
  <c r="I179" i="74"/>
  <c r="J179" i="74" s="1"/>
  <c r="I94" i="74"/>
  <c r="J94" i="74" s="1"/>
  <c r="I135" i="94"/>
  <c r="J135" i="94" s="1"/>
  <c r="I206" i="74"/>
  <c r="J206" i="74" s="1"/>
  <c r="I74" i="74"/>
  <c r="J74" i="74" s="1"/>
  <c r="S28" i="84"/>
  <c r="V28" i="84"/>
  <c r="S29" i="78"/>
  <c r="V29" i="78"/>
  <c r="S352" i="74"/>
  <c r="S354" i="74" s="1"/>
  <c r="R354" i="74"/>
  <c r="V352" i="74"/>
  <c r="V354" i="74" s="1"/>
  <c r="I87" i="83"/>
  <c r="N87" i="83" s="1"/>
  <c r="K75" i="94"/>
  <c r="U74" i="94"/>
  <c r="U27" i="86"/>
  <c r="O27" i="86"/>
  <c r="O33" i="86"/>
  <c r="V33" i="86"/>
  <c r="K68" i="85"/>
  <c r="U67" i="85"/>
  <c r="O67" i="85"/>
  <c r="V67" i="85"/>
  <c r="N67" i="85"/>
  <c r="K99" i="87"/>
  <c r="K100" i="87"/>
  <c r="K101" i="87"/>
  <c r="K102" i="87"/>
  <c r="K103" i="87"/>
  <c r="K104" i="87"/>
  <c r="K105" i="87"/>
  <c r="K106" i="87"/>
  <c r="K91" i="87"/>
  <c r="K92" i="87"/>
  <c r="K93" i="87"/>
  <c r="K94" i="87"/>
  <c r="K95" i="87"/>
  <c r="K96" i="87"/>
  <c r="K97" i="87"/>
  <c r="K107" i="87"/>
  <c r="K98" i="87"/>
  <c r="K108" i="87"/>
  <c r="K109" i="87"/>
  <c r="D51" i="87"/>
  <c r="K35" i="86"/>
  <c r="U34" i="86"/>
  <c r="V34" i="86"/>
  <c r="U62" i="85"/>
  <c r="O62" i="85"/>
  <c r="V62" i="85"/>
  <c r="K143" i="85"/>
  <c r="U142" i="85"/>
  <c r="N142" i="85"/>
  <c r="E295" i="85"/>
  <c r="G268" i="85"/>
  <c r="H268" i="85" s="1"/>
  <c r="E121" i="77"/>
  <c r="G93" i="77"/>
  <c r="H93" i="77" s="1"/>
  <c r="K133" i="46"/>
  <c r="M127" i="46"/>
  <c r="G51" i="88"/>
  <c r="H51" i="88" s="1"/>
  <c r="E78" i="88"/>
  <c r="H427" i="74"/>
  <c r="D399" i="74"/>
  <c r="U39" i="85"/>
  <c r="O65" i="85"/>
  <c r="S199" i="85"/>
  <c r="O178" i="85"/>
  <c r="O32" i="86"/>
  <c r="S42" i="85"/>
  <c r="V28" i="86"/>
  <c r="S28" i="86"/>
  <c r="S30" i="78"/>
  <c r="V30" i="78"/>
  <c r="S43" i="85"/>
  <c r="V43" i="84"/>
  <c r="S43" i="84"/>
  <c r="S25" i="77"/>
  <c r="V25" i="77"/>
  <c r="S30" i="77"/>
  <c r="V30" i="77"/>
  <c r="O34" i="86"/>
  <c r="O38" i="87"/>
  <c r="S42" i="84"/>
  <c r="V42" i="84"/>
  <c r="S192" i="85"/>
  <c r="S49" i="85"/>
  <c r="V30" i="84"/>
  <c r="S30" i="84"/>
  <c r="V41" i="87"/>
  <c r="O43" i="87"/>
  <c r="I140" i="74"/>
  <c r="J140" i="74" s="1"/>
  <c r="I62" i="74"/>
  <c r="J62" i="74" s="1"/>
  <c r="U25" i="86"/>
  <c r="U44" i="86" s="1"/>
  <c r="V25" i="86"/>
  <c r="V44" i="86" s="1"/>
  <c r="W44" i="86" s="1"/>
  <c r="U37" i="87"/>
  <c r="U33" i="86"/>
  <c r="O121" i="85"/>
  <c r="O66" i="85"/>
  <c r="V66" i="85"/>
  <c r="U96" i="85"/>
  <c r="E94" i="87"/>
  <c r="G67" i="87"/>
  <c r="H67" i="87" s="1"/>
  <c r="K160" i="85"/>
  <c r="U159" i="85"/>
  <c r="N159" i="85"/>
  <c r="O159" i="85"/>
  <c r="V159" i="85"/>
  <c r="U178" i="85"/>
  <c r="O195" i="74"/>
  <c r="O197" i="74" s="1"/>
  <c r="V198" i="74" s="1"/>
  <c r="W197" i="74" s="1"/>
  <c r="J197" i="74"/>
  <c r="R195" i="74"/>
  <c r="N195" i="74"/>
  <c r="N197" i="74" s="1"/>
  <c r="K32" i="72"/>
  <c r="K35" i="72"/>
  <c r="K36" i="72"/>
  <c r="K33" i="72"/>
  <c r="D7" i="42"/>
  <c r="B8" i="94"/>
  <c r="B8" i="74"/>
  <c r="B9" i="95"/>
  <c r="B6" i="67"/>
  <c r="U249" i="74"/>
  <c r="K250" i="74"/>
  <c r="F28" i="43"/>
  <c r="H28" i="43" s="1"/>
  <c r="J28" i="43" s="1"/>
  <c r="U38" i="87"/>
  <c r="S26" i="87"/>
  <c r="V26" i="87"/>
  <c r="V65" i="85"/>
  <c r="S65" i="85"/>
  <c r="S39" i="85"/>
  <c r="V39" i="85"/>
  <c r="V35" i="87"/>
  <c r="S35" i="87"/>
  <c r="V157" i="85"/>
  <c r="S157" i="85"/>
  <c r="V97" i="85"/>
  <c r="S97" i="85"/>
  <c r="O136" i="85"/>
  <c r="S166" i="85"/>
  <c r="S227" i="85"/>
  <c r="S29" i="77"/>
  <c r="V29" i="77"/>
  <c r="V33" i="87"/>
  <c r="S33" i="87"/>
  <c r="S212" i="85"/>
  <c r="V212" i="85"/>
  <c r="O25" i="86"/>
  <c r="O45" i="86" s="1"/>
  <c r="U29" i="87"/>
  <c r="O29" i="87"/>
  <c r="V29" i="87"/>
  <c r="U34" i="85"/>
  <c r="U52" i="85" s="1"/>
  <c r="O34" i="85"/>
  <c r="O53" i="85" s="1"/>
  <c r="V34" i="85"/>
  <c r="V52" i="85" s="1"/>
  <c r="U118" i="85"/>
  <c r="U127" i="85" s="1"/>
  <c r="O118" i="85"/>
  <c r="O128" i="85" s="1"/>
  <c r="V118" i="85"/>
  <c r="V127" i="85" s="1"/>
  <c r="E97" i="86"/>
  <c r="G69" i="86"/>
  <c r="H69" i="86" s="1"/>
  <c r="E102" i="84"/>
  <c r="G75" i="84"/>
  <c r="H75" i="84" s="1"/>
  <c r="U212" i="85"/>
  <c r="K213" i="85"/>
  <c r="N212" i="85"/>
  <c r="E87" i="78"/>
  <c r="I87" i="78" s="1"/>
  <c r="N87" i="78" s="1"/>
  <c r="G60" i="78"/>
  <c r="H60" i="78" s="1"/>
  <c r="K157" i="38"/>
  <c r="K160" i="38" s="1"/>
  <c r="I160" i="38"/>
  <c r="L70" i="46"/>
  <c r="I96" i="46"/>
  <c r="F23" i="43"/>
  <c r="J32" i="72"/>
  <c r="I16" i="8"/>
  <c r="E49" i="88"/>
  <c r="D50" i="88"/>
  <c r="E50" i="88" s="1"/>
  <c r="D51" i="88" s="1"/>
  <c r="E51" i="88" s="1"/>
  <c r="D52" i="88" s="1"/>
  <c r="E52" i="88" s="1"/>
  <c r="D53" i="88" s="1"/>
  <c r="E53" i="88" s="1"/>
  <c r="D54" i="88" s="1"/>
  <c r="E54" i="88" s="1"/>
  <c r="D55" i="88" s="1"/>
  <c r="E55" i="88" s="1"/>
  <c r="D56" i="88" s="1"/>
  <c r="E56" i="88" s="1"/>
  <c r="D57" i="88" s="1"/>
  <c r="E57" i="88" s="1"/>
  <c r="D58" i="88" s="1"/>
  <c r="E58" i="88" s="1"/>
  <c r="D59" i="88" s="1"/>
  <c r="E59" i="88" s="1"/>
  <c r="D60" i="88" s="1"/>
  <c r="E60" i="88" s="1"/>
  <c r="D61" i="88" s="1"/>
  <c r="E61" i="88" s="1"/>
  <c r="D62" i="88" s="1"/>
  <c r="E62" i="88" s="1"/>
  <c r="D63" i="88" s="1"/>
  <c r="E63" i="88" s="1"/>
  <c r="D64" i="88" s="1"/>
  <c r="E64" i="88" s="1"/>
  <c r="D65" i="88" s="1"/>
  <c r="E65" i="88" s="1"/>
  <c r="D66" i="88" s="1"/>
  <c r="E66" i="88" s="1"/>
  <c r="D67" i="88" s="1"/>
  <c r="E67" i="88" s="1"/>
  <c r="F26" i="43"/>
  <c r="H26" i="43" s="1"/>
  <c r="J26" i="43" s="1"/>
  <c r="J35" i="72"/>
  <c r="U35" i="87"/>
  <c r="L17" i="93"/>
  <c r="X17" i="93" s="1"/>
  <c r="U33" i="87"/>
  <c r="S53" i="94"/>
  <c r="V53" i="94"/>
  <c r="S48" i="84"/>
  <c r="V48" i="84"/>
  <c r="S102" i="85"/>
  <c r="S94" i="85"/>
  <c r="V94" i="85"/>
  <c r="S80" i="94"/>
  <c r="S105" i="85"/>
  <c r="V38" i="85"/>
  <c r="S38" i="85"/>
  <c r="O30" i="87"/>
  <c r="S71" i="85"/>
  <c r="M42" i="38"/>
  <c r="N42" i="38" s="1"/>
  <c r="L47" i="38"/>
  <c r="V142" i="85"/>
  <c r="S142" i="85"/>
  <c r="O212" i="85"/>
  <c r="S42" i="86"/>
  <c r="S63" i="85"/>
  <c r="Q85" i="85"/>
  <c r="V63" i="85"/>
  <c r="R84" i="85"/>
  <c r="V25" i="87"/>
  <c r="V40" i="87" s="1"/>
  <c r="W40" i="87" s="1"/>
  <c r="S25" i="87"/>
  <c r="S200" i="85"/>
  <c r="O36" i="78"/>
  <c r="O37" i="78" s="1"/>
  <c r="O39" i="87"/>
  <c r="V39" i="87"/>
  <c r="O36" i="87"/>
  <c r="V36" i="87"/>
  <c r="K180" i="85"/>
  <c r="K181" i="85"/>
  <c r="U179" i="85"/>
  <c r="V179" i="85"/>
  <c r="N179" i="85"/>
  <c r="U31" i="86"/>
  <c r="O31" i="86"/>
  <c r="V31" i="86"/>
  <c r="L35" i="4"/>
  <c r="L37" i="4" s="1"/>
  <c r="L41" i="4"/>
  <c r="K54" i="94"/>
  <c r="U53" i="94"/>
  <c r="O53" i="94"/>
  <c r="U27" i="87"/>
  <c r="O27" i="87"/>
  <c r="V27" i="87"/>
  <c r="U66" i="85"/>
  <c r="U28" i="87"/>
  <c r="O28" i="87"/>
  <c r="V28" i="87"/>
  <c r="U122" i="85"/>
  <c r="N122" i="85"/>
  <c r="U30" i="87"/>
  <c r="U141" i="85"/>
  <c r="G53" i="82"/>
  <c r="H53" i="82" s="1"/>
  <c r="E80" i="82"/>
  <c r="L145" i="46"/>
  <c r="H169" i="46"/>
  <c r="K41" i="85"/>
  <c r="V41" i="85" s="1"/>
  <c r="U40" i="85"/>
  <c r="V40" i="85"/>
  <c r="O40" i="85"/>
  <c r="K58" i="46"/>
  <c r="M51" i="46"/>
  <c r="K35" i="77"/>
  <c r="U34" i="77"/>
  <c r="N34" i="77"/>
  <c r="O34" i="77"/>
  <c r="V34" i="77"/>
  <c r="G166" i="94"/>
  <c r="H166" i="94" s="1"/>
  <c r="E193" i="94"/>
  <c r="F27" i="43"/>
  <c r="H27" i="43" s="1"/>
  <c r="J27" i="43" s="1"/>
  <c r="J36" i="72"/>
  <c r="O26" i="87"/>
  <c r="S38" i="77"/>
  <c r="S41" i="85"/>
  <c r="S40" i="77"/>
  <c r="S46" i="85"/>
  <c r="S211" i="85"/>
  <c r="V211" i="85"/>
  <c r="V122" i="85"/>
  <c r="S122" i="85"/>
  <c r="N34" i="86"/>
  <c r="O141" i="85"/>
  <c r="S39" i="77"/>
  <c r="O96" i="85"/>
  <c r="O142" i="85"/>
  <c r="O31" i="87"/>
  <c r="S197" i="85"/>
  <c r="S219" i="85"/>
  <c r="S80" i="85"/>
  <c r="I93" i="83"/>
  <c r="N93" i="83" s="1"/>
  <c r="I91" i="83"/>
  <c r="N91" i="83" s="1"/>
  <c r="I80" i="83"/>
  <c r="N80" i="83" s="1"/>
  <c r="I35" i="72"/>
  <c r="F64" i="83"/>
  <c r="F70" i="83" s="1"/>
  <c r="F37" i="83" s="1"/>
  <c r="I81" i="83"/>
  <c r="N81" i="83" s="1"/>
  <c r="I82" i="83"/>
  <c r="N82" i="83" s="1"/>
  <c r="I77" i="83"/>
  <c r="I97" i="83" s="1"/>
  <c r="I79" i="83"/>
  <c r="N79" i="83" s="1"/>
  <c r="I88" i="83"/>
  <c r="N88" i="83" s="1"/>
  <c r="I95" i="83"/>
  <c r="N95" i="83" s="1"/>
  <c r="I83" i="83"/>
  <c r="N83" i="83" s="1"/>
  <c r="N30" i="83"/>
  <c r="D38" i="83"/>
  <c r="I86" i="83"/>
  <c r="N86" i="83" s="1"/>
  <c r="O30" i="83"/>
  <c r="I84" i="83"/>
  <c r="N84" i="83" s="1"/>
  <c r="I97" i="82"/>
  <c r="N77" i="82"/>
  <c r="N98" i="82" s="1"/>
  <c r="N100" i="82" s="1"/>
  <c r="J77" i="82"/>
  <c r="I97" i="88"/>
  <c r="N77" i="88"/>
  <c r="N98" i="88" s="1"/>
  <c r="N100" i="88" s="1"/>
  <c r="J77" i="88"/>
  <c r="H32" i="79"/>
  <c r="I294" i="85"/>
  <c r="I295" i="85"/>
  <c r="N246" i="85"/>
  <c r="I303" i="85"/>
  <c r="N303" i="85" s="1"/>
  <c r="I304" i="85"/>
  <c r="I305" i="85"/>
  <c r="I306" i="85"/>
  <c r="I307" i="85"/>
  <c r="I308" i="85"/>
  <c r="I302" i="85"/>
  <c r="I311" i="85"/>
  <c r="I298" i="85"/>
  <c r="I301" i="85"/>
  <c r="I312" i="85"/>
  <c r="D255" i="85"/>
  <c r="I297" i="85"/>
  <c r="I281" i="85"/>
  <c r="F281" i="85"/>
  <c r="I296" i="85"/>
  <c r="I299" i="85"/>
  <c r="O246" i="85"/>
  <c r="I309" i="85"/>
  <c r="I310" i="85"/>
  <c r="I300" i="85"/>
  <c r="N300" i="85" s="1"/>
  <c r="F70" i="88"/>
  <c r="F37" i="88" s="1"/>
  <c r="I98" i="86"/>
  <c r="I112" i="86"/>
  <c r="N112" i="86" s="1"/>
  <c r="I114" i="86"/>
  <c r="N114" i="86" s="1"/>
  <c r="N48" i="86"/>
  <c r="D56" i="86"/>
  <c r="I97" i="86"/>
  <c r="I103" i="86"/>
  <c r="I104" i="86"/>
  <c r="I105" i="86"/>
  <c r="N105" i="86" s="1"/>
  <c r="I106" i="86"/>
  <c r="N106" i="86" s="1"/>
  <c r="I107" i="86"/>
  <c r="I108" i="86"/>
  <c r="N108" i="86" s="1"/>
  <c r="I109" i="86"/>
  <c r="I110" i="86"/>
  <c r="I111" i="86"/>
  <c r="I96" i="86"/>
  <c r="I100" i="86"/>
  <c r="I102" i="86"/>
  <c r="N102" i="86" s="1"/>
  <c r="I113" i="86"/>
  <c r="I99" i="86"/>
  <c r="I101" i="86"/>
  <c r="I82" i="86"/>
  <c r="F82" i="86"/>
  <c r="O48" i="86"/>
  <c r="D62" i="84"/>
  <c r="I104" i="84"/>
  <c r="N104" i="84" s="1"/>
  <c r="O54" i="84"/>
  <c r="I88" i="84"/>
  <c r="I103" i="84"/>
  <c r="N103" i="84" s="1"/>
  <c r="I117" i="84"/>
  <c r="I119" i="84"/>
  <c r="F88" i="84"/>
  <c r="I101" i="84"/>
  <c r="I102" i="84"/>
  <c r="N102" i="84" s="1"/>
  <c r="I108" i="84"/>
  <c r="I109" i="84"/>
  <c r="N109" i="84" s="1"/>
  <c r="I110" i="84"/>
  <c r="I111" i="84"/>
  <c r="I112" i="84"/>
  <c r="I113" i="84"/>
  <c r="I114" i="84"/>
  <c r="I115" i="84"/>
  <c r="I116" i="84"/>
  <c r="N116" i="84" s="1"/>
  <c r="I106" i="84"/>
  <c r="I118" i="84"/>
  <c r="I105" i="84"/>
  <c r="N105" i="84" s="1"/>
  <c r="I107" i="84"/>
  <c r="N54" i="84"/>
  <c r="I92" i="87"/>
  <c r="N92" i="87" s="1"/>
  <c r="I93" i="87"/>
  <c r="I94" i="87"/>
  <c r="I95" i="87"/>
  <c r="I99" i="87"/>
  <c r="I100" i="87"/>
  <c r="I101" i="87"/>
  <c r="I102" i="87"/>
  <c r="I103" i="87"/>
  <c r="I104" i="87"/>
  <c r="I105" i="87"/>
  <c r="I107" i="87"/>
  <c r="I109" i="87"/>
  <c r="I96" i="87"/>
  <c r="I78" i="87"/>
  <c r="I91" i="87"/>
  <c r="I98" i="87"/>
  <c r="I97" i="87"/>
  <c r="I108" i="87"/>
  <c r="N108" i="87" s="1"/>
  <c r="D52" i="87"/>
  <c r="N44" i="87"/>
  <c r="O44" i="87"/>
  <c r="I106" i="87"/>
  <c r="F78" i="87"/>
  <c r="V35" i="78" l="1"/>
  <c r="W34" i="78" s="1"/>
  <c r="L16" i="93"/>
  <c r="X16" i="93" s="1"/>
  <c r="N109" i="95"/>
  <c r="J109" i="95"/>
  <c r="J119" i="77"/>
  <c r="H120" i="77" s="1"/>
  <c r="M36" i="72"/>
  <c r="O36" i="72" s="1"/>
  <c r="J16" i="8"/>
  <c r="J17" i="8" s="1"/>
  <c r="J18" i="8" s="1"/>
  <c r="M31" i="72"/>
  <c r="O31" i="72" s="1"/>
  <c r="I31" i="72"/>
  <c r="N119" i="77"/>
  <c r="K38" i="74"/>
  <c r="U37" i="74"/>
  <c r="N84" i="78"/>
  <c r="N105" i="78" s="1"/>
  <c r="N107" i="78" s="1"/>
  <c r="V85" i="85"/>
  <c r="W84" i="85" s="1"/>
  <c r="V243" i="85"/>
  <c r="W242" i="85" s="1"/>
  <c r="N113" i="86"/>
  <c r="N107" i="86"/>
  <c r="N296" i="85"/>
  <c r="N311" i="85"/>
  <c r="N299" i="85"/>
  <c r="N111" i="86"/>
  <c r="N101" i="86"/>
  <c r="N103" i="87"/>
  <c r="N114" i="84"/>
  <c r="N106" i="84"/>
  <c r="V111" i="85"/>
  <c r="W110" i="85" s="1"/>
  <c r="N98" i="87"/>
  <c r="N107" i="84"/>
  <c r="N119" i="84"/>
  <c r="H84" i="78"/>
  <c r="J84" i="78" s="1"/>
  <c r="H85" i="78" s="1"/>
  <c r="D56" i="78"/>
  <c r="N110" i="86"/>
  <c r="N99" i="87"/>
  <c r="N118" i="84"/>
  <c r="N104" i="86"/>
  <c r="N97" i="86"/>
  <c r="N99" i="86"/>
  <c r="M35" i="72"/>
  <c r="O35" i="72" s="1"/>
  <c r="V148" i="85"/>
  <c r="W147" i="85" s="1"/>
  <c r="M15" i="8"/>
  <c r="O15" i="8" s="1"/>
  <c r="P15" i="8" s="1"/>
  <c r="N102" i="87"/>
  <c r="N112" i="84"/>
  <c r="N110" i="84"/>
  <c r="N94" i="87"/>
  <c r="N100" i="86"/>
  <c r="J21" i="42"/>
  <c r="J15" i="42" s="1"/>
  <c r="J14" i="42" s="1"/>
  <c r="J13" i="42" s="1"/>
  <c r="O21" i="42"/>
  <c r="P21" i="42" s="1"/>
  <c r="N100" i="87"/>
  <c r="N111" i="84"/>
  <c r="N308" i="85"/>
  <c r="N97" i="87"/>
  <c r="V27" i="83"/>
  <c r="O27" i="83"/>
  <c r="O29" i="83" s="1"/>
  <c r="N98" i="86"/>
  <c r="N309" i="85"/>
  <c r="N104" i="87"/>
  <c r="N115" i="84"/>
  <c r="N301" i="85"/>
  <c r="N304" i="85"/>
  <c r="V128" i="85"/>
  <c r="W127" i="85" s="1"/>
  <c r="N103" i="86"/>
  <c r="N106" i="87"/>
  <c r="N117" i="84"/>
  <c r="N109" i="86"/>
  <c r="V27" i="85"/>
  <c r="W26" i="85" s="1"/>
  <c r="N107" i="87"/>
  <c r="N306" i="85"/>
  <c r="H96" i="86"/>
  <c r="J96" i="86" s="1"/>
  <c r="H97" i="86" s="1"/>
  <c r="J97" i="86" s="1"/>
  <c r="E67" i="86"/>
  <c r="N95" i="87"/>
  <c r="N105" i="87"/>
  <c r="N96" i="87"/>
  <c r="E64" i="83"/>
  <c r="D65" i="83" s="1"/>
  <c r="E65" i="83" s="1"/>
  <c r="D66" i="83" s="1"/>
  <c r="E66" i="83" s="1"/>
  <c r="D67" i="83" s="1"/>
  <c r="E67" i="83" s="1"/>
  <c r="N312" i="85"/>
  <c r="N302" i="85"/>
  <c r="N295" i="85"/>
  <c r="N297" i="85"/>
  <c r="N307" i="85"/>
  <c r="N310" i="85"/>
  <c r="N305" i="85"/>
  <c r="N108" i="84"/>
  <c r="N93" i="87"/>
  <c r="E94" i="83"/>
  <c r="G67" i="83"/>
  <c r="H67" i="83" s="1"/>
  <c r="E95" i="83" s="1"/>
  <c r="N113" i="84"/>
  <c r="K100" i="85"/>
  <c r="U99" i="85"/>
  <c r="N101" i="87"/>
  <c r="K182" i="74"/>
  <c r="U181" i="74"/>
  <c r="E90" i="77"/>
  <c r="D91" i="77"/>
  <c r="E91" i="77" s="1"/>
  <c r="D92" i="77" s="1"/>
  <c r="E92" i="77" s="1"/>
  <c r="D93" i="77" s="1"/>
  <c r="E93" i="77" s="1"/>
  <c r="D94" i="77" s="1"/>
  <c r="E94" i="77" s="1"/>
  <c r="D95" i="77" s="1"/>
  <c r="E95" i="77" s="1"/>
  <c r="D96" i="77" s="1"/>
  <c r="E96" i="77" s="1"/>
  <c r="D97" i="77" s="1"/>
  <c r="E97" i="77" s="1"/>
  <c r="D98" i="77" s="1"/>
  <c r="E98" i="77" s="1"/>
  <c r="D99" i="77" s="1"/>
  <c r="E99" i="77" s="1"/>
  <c r="D100" i="77" s="1"/>
  <c r="E100" i="77" s="1"/>
  <c r="D101" i="77" s="1"/>
  <c r="E101" i="77" s="1"/>
  <c r="D102" i="77" s="1"/>
  <c r="E102" i="77" s="1"/>
  <c r="D103" i="77" s="1"/>
  <c r="E103" i="77" s="1"/>
  <c r="D104" i="77" s="1"/>
  <c r="E104" i="77" s="1"/>
  <c r="D105" i="77" s="1"/>
  <c r="J424" i="74"/>
  <c r="D50" i="82"/>
  <c r="E50" i="82" s="1"/>
  <c r="D51" i="82" s="1"/>
  <c r="E51" i="82" s="1"/>
  <c r="D52" i="82" s="1"/>
  <c r="E52" i="82" s="1"/>
  <c r="D53" i="82" s="1"/>
  <c r="E53" i="82" s="1"/>
  <c r="D54" i="82" s="1"/>
  <c r="E54" i="82" s="1"/>
  <c r="D55" i="82" s="1"/>
  <c r="E55" i="82" s="1"/>
  <c r="D56" i="82" s="1"/>
  <c r="E56" i="82" s="1"/>
  <c r="D57" i="82" s="1"/>
  <c r="E57" i="82" s="1"/>
  <c r="D58" i="82" s="1"/>
  <c r="E58" i="82" s="1"/>
  <c r="D59" i="82" s="1"/>
  <c r="E59" i="82" s="1"/>
  <c r="D60" i="82" s="1"/>
  <c r="E60" i="82" s="1"/>
  <c r="D61" i="82" s="1"/>
  <c r="E61" i="82" s="1"/>
  <c r="D62" i="82" s="1"/>
  <c r="E62" i="82" s="1"/>
  <c r="D63" i="82" s="1"/>
  <c r="E63" i="82" s="1"/>
  <c r="D64" i="82" s="1"/>
  <c r="E64" i="82" s="1"/>
  <c r="D65" i="82" s="1"/>
  <c r="E65" i="82" s="1"/>
  <c r="D66" i="82" s="1"/>
  <c r="E66" i="82" s="1"/>
  <c r="E49" i="82"/>
  <c r="J189" i="94"/>
  <c r="N189" i="94"/>
  <c r="N109" i="87"/>
  <c r="N298" i="85"/>
  <c r="D266" i="85"/>
  <c r="E266" i="85" s="1"/>
  <c r="D267" i="85" s="1"/>
  <c r="E267" i="85" s="1"/>
  <c r="D268" i="85" s="1"/>
  <c r="E268" i="85" s="1"/>
  <c r="D269" i="85" s="1"/>
  <c r="E269" i="85" s="1"/>
  <c r="D270" i="85" s="1"/>
  <c r="E270" i="85" s="1"/>
  <c r="D271" i="85" s="1"/>
  <c r="E271" i="85" s="1"/>
  <c r="D272" i="85" s="1"/>
  <c r="E272" i="85" s="1"/>
  <c r="D273" i="85" s="1"/>
  <c r="E273" i="85" s="1"/>
  <c r="D274" i="85" s="1"/>
  <c r="E274" i="85" s="1"/>
  <c r="D275" i="85" s="1"/>
  <c r="E275" i="85" s="1"/>
  <c r="D276" i="85" s="1"/>
  <c r="E276" i="85" s="1"/>
  <c r="D277" i="85" s="1"/>
  <c r="E277" i="85" s="1"/>
  <c r="D278" i="85" s="1"/>
  <c r="E278" i="85" s="1"/>
  <c r="D279" i="85" s="1"/>
  <c r="E279" i="85" s="1"/>
  <c r="D280" i="85" s="1"/>
  <c r="E280" i="85" s="1"/>
  <c r="D281" i="85" s="1"/>
  <c r="E281" i="85" s="1"/>
  <c r="D282" i="85" s="1"/>
  <c r="E282" i="85" s="1"/>
  <c r="D283" i="85" s="1"/>
  <c r="E283" i="85" s="1"/>
  <c r="D284" i="85" s="1"/>
  <c r="E284" i="85" s="1"/>
  <c r="H294" i="85"/>
  <c r="J294" i="85" s="1"/>
  <c r="H295" i="85" s="1"/>
  <c r="J295" i="85" s="1"/>
  <c r="G51" i="83"/>
  <c r="H51" i="83" s="1"/>
  <c r="E78" i="83"/>
  <c r="A26" i="43"/>
  <c r="A35" i="72" s="1"/>
  <c r="A27" i="43"/>
  <c r="A36" i="72" s="1"/>
  <c r="W12" i="93"/>
  <c r="X12" i="93"/>
  <c r="H101" i="84"/>
  <c r="J101" i="84" s="1"/>
  <c r="H102" i="84" s="1"/>
  <c r="J102" i="84" s="1"/>
  <c r="D73" i="84"/>
  <c r="S235" i="74"/>
  <c r="S237" i="74" s="1"/>
  <c r="R237" i="74"/>
  <c r="J327" i="74"/>
  <c r="P16" i="42"/>
  <c r="P17" i="42"/>
  <c r="L21" i="42"/>
  <c r="J103" i="74"/>
  <c r="V334" i="74"/>
  <c r="V336" i="74" s="1"/>
  <c r="S334" i="74"/>
  <c r="S336" i="74" s="1"/>
  <c r="J107" i="42"/>
  <c r="S110" i="74"/>
  <c r="S112" i="74" s="1"/>
  <c r="R261" i="74"/>
  <c r="N36" i="74"/>
  <c r="R70" i="95"/>
  <c r="R72" i="95" s="1"/>
  <c r="N125" i="94"/>
  <c r="R34" i="74"/>
  <c r="V34" i="74" s="1"/>
  <c r="J462" i="67"/>
  <c r="F92" i="38" s="1"/>
  <c r="H92" i="38" s="1"/>
  <c r="K92" i="38" s="1"/>
  <c r="L92" i="38" s="1"/>
  <c r="M92" i="38" s="1"/>
  <c r="N92" i="38" s="1"/>
  <c r="V305" i="74"/>
  <c r="V307" i="74" s="1"/>
  <c r="R61" i="95"/>
  <c r="S61" i="95" s="1"/>
  <c r="S63" i="95" s="1"/>
  <c r="V158" i="74"/>
  <c r="V160" i="74" s="1"/>
  <c r="R67" i="94"/>
  <c r="S67" i="94" s="1"/>
  <c r="O139" i="74"/>
  <c r="N95" i="74"/>
  <c r="V110" i="74"/>
  <c r="V112" i="74" s="1"/>
  <c r="R36" i="74"/>
  <c r="V36" i="74" s="1"/>
  <c r="S158" i="74"/>
  <c r="S160" i="74" s="1"/>
  <c r="R296" i="74"/>
  <c r="R298" i="74" s="1"/>
  <c r="J298" i="74"/>
  <c r="J43" i="42"/>
  <c r="J42" i="42" s="1"/>
  <c r="O158" i="74"/>
  <c r="O160" i="74" s="1"/>
  <c r="V161" i="74" s="1"/>
  <c r="W160" i="74" s="1"/>
  <c r="N296" i="74"/>
  <c r="N298" i="74" s="1"/>
  <c r="N158" i="74"/>
  <c r="N160" i="74" s="1"/>
  <c r="R97" i="94"/>
  <c r="S97" i="94" s="1"/>
  <c r="J160" i="74"/>
  <c r="J63" i="95"/>
  <c r="V259" i="74"/>
  <c r="V261" i="74" s="1"/>
  <c r="N61" i="95"/>
  <c r="N63" i="95" s="1"/>
  <c r="O95" i="74"/>
  <c r="N67" i="94"/>
  <c r="O125" i="94"/>
  <c r="O44" i="94"/>
  <c r="N97" i="94"/>
  <c r="R315" i="74"/>
  <c r="S315" i="74" s="1"/>
  <c r="R52" i="94"/>
  <c r="S52" i="94" s="1"/>
  <c r="N83" i="74"/>
  <c r="R207" i="74"/>
  <c r="V207" i="74" s="1"/>
  <c r="N139" i="74"/>
  <c r="S23" i="74"/>
  <c r="S25" i="74" s="1"/>
  <c r="N23" i="74"/>
  <c r="N25" i="74" s="1"/>
  <c r="J72" i="67"/>
  <c r="F33" i="38" s="1"/>
  <c r="H33" i="38" s="1"/>
  <c r="K33" i="38" s="1"/>
  <c r="L33" i="38" s="1"/>
  <c r="M33" i="38" s="1"/>
  <c r="N33" i="38" s="1"/>
  <c r="N50" i="94"/>
  <c r="V23" i="74"/>
  <c r="V25" i="74" s="1"/>
  <c r="N44" i="94"/>
  <c r="N99" i="94"/>
  <c r="O34" i="74"/>
  <c r="O70" i="95"/>
  <c r="O72" i="95" s="1"/>
  <c r="V73" i="95" s="1"/>
  <c r="W72" i="95" s="1"/>
  <c r="N70" i="95"/>
  <c r="N72" i="95" s="1"/>
  <c r="N325" i="74"/>
  <c r="O83" i="74"/>
  <c r="J317" i="74"/>
  <c r="N315" i="74"/>
  <c r="S121" i="74"/>
  <c r="S123" i="74" s="1"/>
  <c r="R15" i="38"/>
  <c r="L15" i="38"/>
  <c r="M15" i="38" s="1"/>
  <c r="N15" i="38" s="1"/>
  <c r="R325" i="74"/>
  <c r="S325" i="74" s="1"/>
  <c r="O52" i="94"/>
  <c r="V83" i="74"/>
  <c r="O123" i="74"/>
  <c r="V124" i="74" s="1"/>
  <c r="W123" i="74" s="1"/>
  <c r="R99" i="94"/>
  <c r="V99" i="94" s="1"/>
  <c r="V57" i="77"/>
  <c r="S249" i="74"/>
  <c r="V34" i="87"/>
  <c r="R123" i="74"/>
  <c r="M161" i="42"/>
  <c r="M162" i="42"/>
  <c r="P162" i="42"/>
  <c r="P161" i="42"/>
  <c r="P154" i="42"/>
  <c r="M154" i="42"/>
  <c r="N247" i="74"/>
  <c r="L29" i="38"/>
  <c r="P131" i="42"/>
  <c r="M131" i="42"/>
  <c r="M121" i="42"/>
  <c r="P121" i="42"/>
  <c r="P110" i="42"/>
  <c r="M110" i="42"/>
  <c r="O207" i="74"/>
  <c r="S110" i="94"/>
  <c r="O23" i="74"/>
  <c r="O25" i="74" s="1"/>
  <c r="V26" i="74" s="1"/>
  <c r="W25" i="74" s="1"/>
  <c r="N110" i="94"/>
  <c r="M76" i="38"/>
  <c r="N76" i="38" s="1"/>
  <c r="R247" i="74"/>
  <c r="S247" i="74" s="1"/>
  <c r="S136" i="85"/>
  <c r="P86" i="42"/>
  <c r="N101" i="74"/>
  <c r="V98" i="85"/>
  <c r="V101" i="74"/>
  <c r="O84" i="74"/>
  <c r="R76" i="38"/>
  <c r="P91" i="42"/>
  <c r="M82" i="42"/>
  <c r="S43" i="95"/>
  <c r="S45" i="95" s="1"/>
  <c r="S34" i="84"/>
  <c r="V54" i="77"/>
  <c r="R58" i="74"/>
  <c r="S58" i="74" s="1"/>
  <c r="O71" i="94"/>
  <c r="L65" i="38"/>
  <c r="R130" i="74"/>
  <c r="S130" i="74" s="1"/>
  <c r="O58" i="74"/>
  <c r="R307" i="74"/>
  <c r="V35" i="84"/>
  <c r="V123" i="74"/>
  <c r="V55" i="77"/>
  <c r="R37" i="94"/>
  <c r="V37" i="94" s="1"/>
  <c r="O64" i="94"/>
  <c r="V32" i="87"/>
  <c r="O121" i="94"/>
  <c r="N41" i="94"/>
  <c r="R122" i="94"/>
  <c r="S122" i="94" s="1"/>
  <c r="S138" i="85"/>
  <c r="O110" i="94"/>
  <c r="V287" i="74"/>
  <c r="P44" i="42"/>
  <c r="M44" i="42"/>
  <c r="R84" i="74"/>
  <c r="N249" i="74"/>
  <c r="O76" i="74"/>
  <c r="S205" i="74"/>
  <c r="S361" i="74"/>
  <c r="S363" i="74" s="1"/>
  <c r="V361" i="74"/>
  <c r="V363" i="74" s="1"/>
  <c r="R363" i="74"/>
  <c r="O249" i="74"/>
  <c r="O50" i="94"/>
  <c r="R65" i="94"/>
  <c r="V65" i="94" s="1"/>
  <c r="O42" i="94"/>
  <c r="R45" i="95"/>
  <c r="R42" i="94"/>
  <c r="O66" i="94"/>
  <c r="V38" i="74"/>
  <c r="O38" i="74"/>
  <c r="N76" i="74"/>
  <c r="R49" i="94"/>
  <c r="S49" i="94" s="1"/>
  <c r="N66" i="94"/>
  <c r="J25" i="74"/>
  <c r="L84" i="38"/>
  <c r="N38" i="74"/>
  <c r="V33" i="77"/>
  <c r="J128" i="94"/>
  <c r="R92" i="94"/>
  <c r="S92" i="94" s="1"/>
  <c r="O49" i="94"/>
  <c r="P31" i="42"/>
  <c r="P30" i="42"/>
  <c r="N123" i="74"/>
  <c r="M31" i="42"/>
  <c r="O101" i="74"/>
  <c r="N130" i="74"/>
  <c r="R71" i="94"/>
  <c r="V71" i="94" s="1"/>
  <c r="R201" i="85"/>
  <c r="Q202" i="85" s="1"/>
  <c r="O37" i="74"/>
  <c r="S177" i="85"/>
  <c r="S201" i="85" s="1"/>
  <c r="R96" i="94"/>
  <c r="S96" i="94" s="1"/>
  <c r="N43" i="94"/>
  <c r="R43" i="94"/>
  <c r="N37" i="74"/>
  <c r="R77" i="74"/>
  <c r="S77" i="74" s="1"/>
  <c r="N121" i="94"/>
  <c r="O96" i="94"/>
  <c r="N37" i="94"/>
  <c r="L56" i="38"/>
  <c r="V39" i="84"/>
  <c r="O92" i="94"/>
  <c r="R24" i="38"/>
  <c r="N51" i="84"/>
  <c r="N53" i="84" s="1"/>
  <c r="V27" i="86"/>
  <c r="O35" i="74"/>
  <c r="V68" i="94"/>
  <c r="N128" i="85"/>
  <c r="V37" i="87"/>
  <c r="N35" i="74"/>
  <c r="N96" i="74"/>
  <c r="V32" i="86"/>
  <c r="N64" i="94"/>
  <c r="O96" i="74"/>
  <c r="N122" i="94"/>
  <c r="R41" i="94"/>
  <c r="S41" i="94" s="1"/>
  <c r="O77" i="74"/>
  <c r="O149" i="74"/>
  <c r="O151" i="74" s="1"/>
  <c r="V152" i="74" s="1"/>
  <c r="W151" i="74" s="1"/>
  <c r="N149" i="74"/>
  <c r="N151" i="74" s="1"/>
  <c r="R149" i="74"/>
  <c r="J151" i="74"/>
  <c r="O74" i="94"/>
  <c r="O33" i="94"/>
  <c r="V33" i="84"/>
  <c r="V74" i="94"/>
  <c r="O65" i="94"/>
  <c r="N68" i="94"/>
  <c r="R36" i="95"/>
  <c r="V34" i="95"/>
  <c r="V36" i="95" s="1"/>
  <c r="S34" i="95"/>
  <c r="S36" i="95" s="1"/>
  <c r="N111" i="94"/>
  <c r="O111" i="94"/>
  <c r="R111" i="94"/>
  <c r="N79" i="74"/>
  <c r="N74" i="94"/>
  <c r="O68" i="94"/>
  <c r="V268" i="74"/>
  <c r="V270" i="74" s="1"/>
  <c r="R270" i="74"/>
  <c r="S268" i="74"/>
  <c r="S270" i="74" s="1"/>
  <c r="N132" i="74"/>
  <c r="O132" i="74"/>
  <c r="R132" i="74"/>
  <c r="O98" i="74"/>
  <c r="N98" i="74"/>
  <c r="R98" i="74"/>
  <c r="S44" i="94"/>
  <c r="V44" i="94"/>
  <c r="N36" i="94"/>
  <c r="R36" i="94"/>
  <c r="O36" i="94"/>
  <c r="O343" i="74"/>
  <c r="O345" i="74" s="1"/>
  <c r="V346" i="74" s="1"/>
  <c r="W345" i="74" s="1"/>
  <c r="J345" i="74"/>
  <c r="N343" i="74"/>
  <c r="N345" i="74" s="1"/>
  <c r="R343" i="74"/>
  <c r="R73" i="94"/>
  <c r="O73" i="94"/>
  <c r="N73" i="94"/>
  <c r="O134" i="74"/>
  <c r="N134" i="74"/>
  <c r="R134" i="74"/>
  <c r="R39" i="94"/>
  <c r="O39" i="94"/>
  <c r="N39" i="94"/>
  <c r="R123" i="94"/>
  <c r="O123" i="94"/>
  <c r="N123" i="94"/>
  <c r="O97" i="74"/>
  <c r="R97" i="74"/>
  <c r="N97" i="74"/>
  <c r="O34" i="94"/>
  <c r="N34" i="94"/>
  <c r="R34" i="94"/>
  <c r="N167" i="74"/>
  <c r="N169" i="74" s="1"/>
  <c r="O167" i="74"/>
  <c r="O169" i="74" s="1"/>
  <c r="V170" i="74" s="1"/>
  <c r="W169" i="74" s="1"/>
  <c r="R167" i="74"/>
  <c r="J169" i="74"/>
  <c r="R183" i="74"/>
  <c r="N32" i="94"/>
  <c r="R32" i="94"/>
  <c r="O178" i="74"/>
  <c r="N178" i="74"/>
  <c r="R178" i="74"/>
  <c r="W27" i="95"/>
  <c r="N124" i="94"/>
  <c r="O124" i="94"/>
  <c r="R124" i="94"/>
  <c r="O51" i="94"/>
  <c r="R51" i="94"/>
  <c r="N51" i="94"/>
  <c r="R82" i="74"/>
  <c r="N82" i="74"/>
  <c r="O82" i="74"/>
  <c r="O61" i="74"/>
  <c r="R61" i="74"/>
  <c r="N61" i="74"/>
  <c r="R138" i="74"/>
  <c r="O138" i="74"/>
  <c r="N138" i="74"/>
  <c r="N95" i="94"/>
  <c r="O95" i="94"/>
  <c r="R95" i="94"/>
  <c r="O136" i="74"/>
  <c r="R136" i="74"/>
  <c r="N136" i="74"/>
  <c r="N98" i="94"/>
  <c r="R98" i="94"/>
  <c r="O98" i="94"/>
  <c r="R245" i="74"/>
  <c r="N245" i="74"/>
  <c r="O245" i="74"/>
  <c r="R45" i="94"/>
  <c r="N45" i="94"/>
  <c r="O45" i="94"/>
  <c r="J219" i="74"/>
  <c r="N217" i="74"/>
  <c r="N219" i="74" s="1"/>
  <c r="O217" i="74"/>
  <c r="O219" i="74" s="1"/>
  <c r="V220" i="74" s="1"/>
  <c r="W219" i="74" s="1"/>
  <c r="R217" i="74"/>
  <c r="N314" i="74"/>
  <c r="R314" i="74"/>
  <c r="O314" i="74"/>
  <c r="O317" i="74" s="1"/>
  <c r="V318" i="74" s="1"/>
  <c r="W317" i="74" s="1"/>
  <c r="N181" i="74"/>
  <c r="R181" i="74"/>
  <c r="O181" i="74"/>
  <c r="R72" i="94"/>
  <c r="N72" i="94"/>
  <c r="O72" i="94"/>
  <c r="O324" i="74"/>
  <c r="O327" i="74" s="1"/>
  <c r="V328" i="74" s="1"/>
  <c r="W327" i="74" s="1"/>
  <c r="R324" i="74"/>
  <c r="N324" i="74"/>
  <c r="R27" i="95"/>
  <c r="S25" i="95"/>
  <c r="S27" i="95" s="1"/>
  <c r="V27" i="95"/>
  <c r="O94" i="94"/>
  <c r="N94" i="94"/>
  <c r="O131" i="74"/>
  <c r="R131" i="74"/>
  <c r="N131" i="74"/>
  <c r="R80" i="74"/>
  <c r="N80" i="74"/>
  <c r="O80" i="74"/>
  <c r="N38" i="94"/>
  <c r="O38" i="94"/>
  <c r="R38" i="94"/>
  <c r="R73" i="74"/>
  <c r="O73" i="74"/>
  <c r="N73" i="74"/>
  <c r="R93" i="94"/>
  <c r="N93" i="94"/>
  <c r="O93" i="94"/>
  <c r="O246" i="74"/>
  <c r="R246" i="74"/>
  <c r="N246" i="74"/>
  <c r="R244" i="74"/>
  <c r="O244" i="74"/>
  <c r="N244" i="74"/>
  <c r="N59" i="74"/>
  <c r="R59" i="74"/>
  <c r="O59" i="74"/>
  <c r="R35" i="94"/>
  <c r="N35" i="94"/>
  <c r="O35" i="94"/>
  <c r="N137" i="74"/>
  <c r="R137" i="74"/>
  <c r="O137" i="74"/>
  <c r="N70" i="94"/>
  <c r="R70" i="94"/>
  <c r="O70" i="94"/>
  <c r="N60" i="74"/>
  <c r="R60" i="74"/>
  <c r="O60" i="74"/>
  <c r="O99" i="74"/>
  <c r="R99" i="74"/>
  <c r="N99" i="74"/>
  <c r="O135" i="74"/>
  <c r="N135" i="74"/>
  <c r="R135" i="74"/>
  <c r="V66" i="94"/>
  <c r="S66" i="94"/>
  <c r="S177" i="74"/>
  <c r="V177" i="74"/>
  <c r="M69" i="38"/>
  <c r="N69" i="38" s="1"/>
  <c r="P69" i="38" s="1"/>
  <c r="L73" i="38"/>
  <c r="O68" i="77"/>
  <c r="N34" i="78"/>
  <c r="N36" i="78" s="1"/>
  <c r="N37" i="78" s="1"/>
  <c r="F71" i="78" s="1"/>
  <c r="F77" i="78" s="1"/>
  <c r="F44" i="78" s="1"/>
  <c r="Q128" i="85"/>
  <c r="Q68" i="77"/>
  <c r="J56" i="94"/>
  <c r="Q41" i="87"/>
  <c r="R40" i="87"/>
  <c r="S64" i="77"/>
  <c r="Q111" i="85"/>
  <c r="R33" i="94"/>
  <c r="S33" i="94" s="1"/>
  <c r="N180" i="74"/>
  <c r="V121" i="85"/>
  <c r="V100" i="85"/>
  <c r="S94" i="94"/>
  <c r="O180" i="74"/>
  <c r="J142" i="74"/>
  <c r="N41" i="87"/>
  <c r="N43" i="87" s="1"/>
  <c r="N68" i="77"/>
  <c r="R110" i="85"/>
  <c r="S32" i="77"/>
  <c r="V32" i="77"/>
  <c r="S60" i="77"/>
  <c r="V60" i="77"/>
  <c r="O48" i="94"/>
  <c r="R48" i="94"/>
  <c r="N48" i="94"/>
  <c r="O208" i="74"/>
  <c r="R208" i="74"/>
  <c r="N208" i="74"/>
  <c r="M43" i="42"/>
  <c r="M42" i="42"/>
  <c r="S35" i="85"/>
  <c r="S52" i="85" s="1"/>
  <c r="V35" i="85"/>
  <c r="V26" i="78"/>
  <c r="S26" i="78"/>
  <c r="R81" i="74"/>
  <c r="O81" i="74"/>
  <c r="N81" i="74"/>
  <c r="N71" i="74"/>
  <c r="R71" i="74"/>
  <c r="O71" i="74"/>
  <c r="N40" i="94"/>
  <c r="O40" i="94"/>
  <c r="R40" i="94"/>
  <c r="S31" i="84"/>
  <c r="V31" i="84"/>
  <c r="V120" i="85"/>
  <c r="S120" i="85"/>
  <c r="S27" i="77"/>
  <c r="V27" i="77"/>
  <c r="Q53" i="85"/>
  <c r="R79" i="74"/>
  <c r="V79" i="74" s="1"/>
  <c r="R43" i="77"/>
  <c r="O74" i="74"/>
  <c r="N74" i="74"/>
  <c r="R74" i="74"/>
  <c r="O179" i="74"/>
  <c r="N179" i="74"/>
  <c r="R179" i="74"/>
  <c r="V66" i="77"/>
  <c r="S66" i="77"/>
  <c r="N75" i="74"/>
  <c r="R75" i="74"/>
  <c r="O75" i="74"/>
  <c r="S31" i="78"/>
  <c r="V31" i="78"/>
  <c r="V62" i="77"/>
  <c r="S62" i="77"/>
  <c r="M72" i="42"/>
  <c r="V78" i="74"/>
  <c r="S78" i="74"/>
  <c r="V64" i="94"/>
  <c r="S64" i="94"/>
  <c r="N182" i="74"/>
  <c r="O182" i="74"/>
  <c r="R182" i="74"/>
  <c r="R286" i="74"/>
  <c r="O286" i="74"/>
  <c r="O289" i="74" s="1"/>
  <c r="V290" i="74" s="1"/>
  <c r="W289" i="74" s="1"/>
  <c r="N286" i="74"/>
  <c r="N289" i="74" s="1"/>
  <c r="J289" i="74"/>
  <c r="R69" i="94"/>
  <c r="O69" i="94"/>
  <c r="N69" i="94"/>
  <c r="S35" i="74"/>
  <c r="V35" i="74"/>
  <c r="N126" i="94"/>
  <c r="R126" i="94"/>
  <c r="O126" i="94"/>
  <c r="R127" i="85"/>
  <c r="R34" i="78"/>
  <c r="Q45" i="86"/>
  <c r="P42" i="42"/>
  <c r="O206" i="74"/>
  <c r="R206" i="74"/>
  <c r="N206" i="74"/>
  <c r="N248" i="74"/>
  <c r="R248" i="74"/>
  <c r="O248" i="74"/>
  <c r="S53" i="77"/>
  <c r="V53" i="77"/>
  <c r="S156" i="85"/>
  <c r="S167" i="85" s="1"/>
  <c r="V156" i="85"/>
  <c r="Q168" i="85"/>
  <c r="S123" i="85"/>
  <c r="V123" i="85"/>
  <c r="N33" i="74"/>
  <c r="R33" i="74"/>
  <c r="O33" i="74"/>
  <c r="O85" i="74"/>
  <c r="R85" i="74"/>
  <c r="N85" i="74"/>
  <c r="J25" i="94"/>
  <c r="R23" i="94"/>
  <c r="N23" i="94"/>
  <c r="N25" i="94" s="1"/>
  <c r="O23" i="94"/>
  <c r="O25" i="94" s="1"/>
  <c r="V26" i="94" s="1"/>
  <c r="W25" i="94" s="1"/>
  <c r="S99" i="85"/>
  <c r="V99" i="85"/>
  <c r="S46" i="84"/>
  <c r="V46" i="84"/>
  <c r="V140" i="85"/>
  <c r="S140" i="85"/>
  <c r="R47" i="94"/>
  <c r="O47" i="94"/>
  <c r="N47" i="94"/>
  <c r="J279" i="74"/>
  <c r="N277" i="74"/>
  <c r="N279" i="74" s="1"/>
  <c r="O277" i="74"/>
  <c r="O279" i="74" s="1"/>
  <c r="V280" i="74" s="1"/>
  <c r="W279" i="74" s="1"/>
  <c r="R277" i="74"/>
  <c r="V32" i="78"/>
  <c r="S32" i="78"/>
  <c r="S26" i="77"/>
  <c r="V26" i="77"/>
  <c r="V37" i="84"/>
  <c r="S37" i="84"/>
  <c r="R26" i="88"/>
  <c r="Q27" i="88"/>
  <c r="S25" i="88"/>
  <c r="S26" i="88" s="1"/>
  <c r="V25" i="88"/>
  <c r="V26" i="88" s="1"/>
  <c r="R176" i="74"/>
  <c r="N176" i="74"/>
  <c r="O176" i="74"/>
  <c r="S44" i="84"/>
  <c r="V44" i="84"/>
  <c r="V96" i="74"/>
  <c r="S96" i="74"/>
  <c r="S28" i="78"/>
  <c r="V28" i="78"/>
  <c r="V30" i="87"/>
  <c r="N94" i="74"/>
  <c r="O94" i="74"/>
  <c r="R94" i="74"/>
  <c r="S50" i="94"/>
  <c r="V50" i="94"/>
  <c r="V51" i="77"/>
  <c r="S51" i="77"/>
  <c r="N91" i="94"/>
  <c r="R91" i="94"/>
  <c r="O91" i="94"/>
  <c r="O32" i="74"/>
  <c r="R32" i="74"/>
  <c r="N32" i="74"/>
  <c r="N112" i="94"/>
  <c r="R112" i="94"/>
  <c r="O112" i="94"/>
  <c r="J114" i="94"/>
  <c r="S209" i="85"/>
  <c r="S233" i="85" s="1"/>
  <c r="V209" i="85"/>
  <c r="V233" i="85" s="1"/>
  <c r="O29" i="88"/>
  <c r="V27" i="88"/>
  <c r="W26" i="88" s="1"/>
  <c r="R233" i="85"/>
  <c r="O204" i="74"/>
  <c r="R204" i="74"/>
  <c r="N204" i="74"/>
  <c r="J210" i="74"/>
  <c r="S95" i="85"/>
  <c r="V95" i="85"/>
  <c r="R147" i="85"/>
  <c r="O63" i="94"/>
  <c r="R63" i="94"/>
  <c r="N63" i="94"/>
  <c r="J83" i="94"/>
  <c r="J51" i="74"/>
  <c r="R52" i="85"/>
  <c r="R44" i="86"/>
  <c r="J188" i="74"/>
  <c r="J87" i="74"/>
  <c r="R50" i="84"/>
  <c r="Q51" i="84" s="1"/>
  <c r="Q148" i="85"/>
  <c r="Q234" i="85"/>
  <c r="J137" i="94"/>
  <c r="N135" i="94"/>
  <c r="N137" i="94" s="1"/>
  <c r="R135" i="94"/>
  <c r="O135" i="94"/>
  <c r="O137" i="94" s="1"/>
  <c r="V138" i="94" s="1"/>
  <c r="W137" i="94" s="1"/>
  <c r="S76" i="74"/>
  <c r="V76" i="74"/>
  <c r="N370" i="74"/>
  <c r="N372" i="74" s="1"/>
  <c r="O370" i="74"/>
  <c r="O372" i="74" s="1"/>
  <c r="V373" i="74" s="1"/>
  <c r="W372" i="74" s="1"/>
  <c r="J372" i="74"/>
  <c r="R370" i="74"/>
  <c r="O100" i="94"/>
  <c r="R100" i="94"/>
  <c r="N100" i="94"/>
  <c r="J54" i="95"/>
  <c r="O52" i="95"/>
  <c r="O54" i="95" s="1"/>
  <c r="N52" i="95"/>
  <c r="N54" i="95" s="1"/>
  <c r="R52" i="95"/>
  <c r="J103" i="94"/>
  <c r="N90" i="94"/>
  <c r="O90" i="94"/>
  <c r="R90" i="94"/>
  <c r="N101" i="94"/>
  <c r="O101" i="94"/>
  <c r="R101" i="94"/>
  <c r="V125" i="94"/>
  <c r="S125" i="94"/>
  <c r="V141" i="85"/>
  <c r="O133" i="74"/>
  <c r="R133" i="74"/>
  <c r="N133" i="74"/>
  <c r="N100" i="74"/>
  <c r="O100" i="74"/>
  <c r="R100" i="74"/>
  <c r="S139" i="74"/>
  <c r="V139" i="74"/>
  <c r="S119" i="85"/>
  <c r="V119" i="85"/>
  <c r="V31" i="77"/>
  <c r="S31" i="77"/>
  <c r="V29" i="86"/>
  <c r="S29" i="86"/>
  <c r="S44" i="86" s="1"/>
  <c r="V59" i="77"/>
  <c r="S59" i="77"/>
  <c r="J252" i="74"/>
  <c r="S40" i="87"/>
  <c r="U54" i="94"/>
  <c r="U56" i="94" s="1"/>
  <c r="O54" i="94"/>
  <c r="N54" i="94"/>
  <c r="V54" i="94"/>
  <c r="L89" i="46"/>
  <c r="S180" i="74"/>
  <c r="V180" i="74"/>
  <c r="U250" i="74"/>
  <c r="U252" i="74" s="1"/>
  <c r="T252" i="74" s="1"/>
  <c r="N250" i="74"/>
  <c r="O250" i="74"/>
  <c r="V250" i="74"/>
  <c r="B10" i="78"/>
  <c r="B10" i="82"/>
  <c r="B10" i="83"/>
  <c r="B10" i="84"/>
  <c r="B8" i="79"/>
  <c r="B10" i="77"/>
  <c r="K161" i="85"/>
  <c r="U160" i="85"/>
  <c r="O160" i="85"/>
  <c r="N160" i="85"/>
  <c r="V160" i="85"/>
  <c r="N62" i="74"/>
  <c r="R62" i="74"/>
  <c r="O62" i="74"/>
  <c r="K42" i="85"/>
  <c r="U41" i="85"/>
  <c r="N41" i="85"/>
  <c r="O41" i="85"/>
  <c r="E81" i="82"/>
  <c r="G54" i="82"/>
  <c r="H54" i="82" s="1"/>
  <c r="S84" i="85"/>
  <c r="K77" i="46"/>
  <c r="M70" i="46"/>
  <c r="K214" i="85"/>
  <c r="U213" i="85"/>
  <c r="O213" i="85"/>
  <c r="N213" i="85"/>
  <c r="V213" i="85"/>
  <c r="G76" i="84"/>
  <c r="H76" i="84" s="1"/>
  <c r="E103" i="84"/>
  <c r="V53" i="85"/>
  <c r="S121" i="94"/>
  <c r="V121" i="94"/>
  <c r="E95" i="87"/>
  <c r="G68" i="87"/>
  <c r="H68" i="87" s="1"/>
  <c r="J64" i="74"/>
  <c r="E399" i="74"/>
  <c r="D400" i="74" s="1"/>
  <c r="E400" i="74" s="1"/>
  <c r="D401" i="74" s="1"/>
  <c r="E401" i="74" s="1"/>
  <c r="D402" i="74" s="1"/>
  <c r="E402" i="74" s="1"/>
  <c r="D403" i="74" s="1"/>
  <c r="H426" i="74"/>
  <c r="E122" i="77"/>
  <c r="I122" i="77" s="1"/>
  <c r="N122" i="77" s="1"/>
  <c r="G94" i="77"/>
  <c r="H94" i="77" s="1"/>
  <c r="U35" i="86"/>
  <c r="K36" i="86"/>
  <c r="O35" i="86"/>
  <c r="V35" i="86"/>
  <c r="N35" i="86"/>
  <c r="K76" i="94"/>
  <c r="U75" i="94"/>
  <c r="V75" i="94"/>
  <c r="N75" i="94"/>
  <c r="O75" i="94"/>
  <c r="E194" i="94"/>
  <c r="G167" i="94"/>
  <c r="H167" i="94" s="1"/>
  <c r="L162" i="46"/>
  <c r="K182" i="85"/>
  <c r="U181" i="85"/>
  <c r="O181" i="85"/>
  <c r="V181" i="85"/>
  <c r="N181" i="85"/>
  <c r="V95" i="74"/>
  <c r="S95" i="74"/>
  <c r="E88" i="78"/>
  <c r="I88" i="78" s="1"/>
  <c r="G61" i="78"/>
  <c r="H61" i="78" s="1"/>
  <c r="O47" i="86"/>
  <c r="V45" i="86"/>
  <c r="S195" i="74"/>
  <c r="S197" i="74" s="1"/>
  <c r="R197" i="74"/>
  <c r="V195" i="74"/>
  <c r="V197" i="74" s="1"/>
  <c r="N140" i="74"/>
  <c r="O140" i="74"/>
  <c r="R140" i="74"/>
  <c r="G52" i="88"/>
  <c r="H52" i="88" s="1"/>
  <c r="E79" i="88"/>
  <c r="H91" i="87"/>
  <c r="J91" i="87" s="1"/>
  <c r="H92" i="87" s="1"/>
  <c r="J92" i="87" s="1"/>
  <c r="D63" i="87"/>
  <c r="K69" i="85"/>
  <c r="U68" i="85"/>
  <c r="V68" i="85"/>
  <c r="N68" i="85"/>
  <c r="O68" i="85"/>
  <c r="V37" i="74"/>
  <c r="S37" i="74"/>
  <c r="K36" i="77"/>
  <c r="U35" i="77"/>
  <c r="N35" i="77"/>
  <c r="O35" i="77"/>
  <c r="V35" i="77"/>
  <c r="K151" i="46"/>
  <c r="M145" i="46"/>
  <c r="U180" i="85"/>
  <c r="N180" i="85"/>
  <c r="V180" i="85"/>
  <c r="O180" i="85"/>
  <c r="G70" i="86"/>
  <c r="H70" i="86" s="1"/>
  <c r="E98" i="86"/>
  <c r="E296" i="85"/>
  <c r="G269" i="85"/>
  <c r="H269" i="85" s="1"/>
  <c r="K144" i="85"/>
  <c r="U143" i="85"/>
  <c r="N143" i="85"/>
  <c r="O143" i="85"/>
  <c r="V143" i="85"/>
  <c r="N77" i="83"/>
  <c r="N98" i="83" s="1"/>
  <c r="N100" i="83" s="1"/>
  <c r="J77" i="83"/>
  <c r="J78" i="83" s="1"/>
  <c r="J78" i="82"/>
  <c r="H78" i="82"/>
  <c r="J78" i="88"/>
  <c r="H78" i="88"/>
  <c r="F84" i="87"/>
  <c r="F51" i="87" s="1"/>
  <c r="N91" i="87"/>
  <c r="N112" i="87" s="1"/>
  <c r="N114" i="87" s="1"/>
  <c r="I111" i="87"/>
  <c r="N101" i="84"/>
  <c r="N122" i="84" s="1"/>
  <c r="N124" i="84" s="1"/>
  <c r="I121" i="84"/>
  <c r="I287" i="85"/>
  <c r="F253" i="85" s="1"/>
  <c r="I314" i="85"/>
  <c r="N294" i="85"/>
  <c r="N315" i="85" s="1"/>
  <c r="N317" i="85" s="1"/>
  <c r="F287" i="85"/>
  <c r="F254" i="85" s="1"/>
  <c r="I84" i="87"/>
  <c r="F50" i="87" s="1"/>
  <c r="F94" i="84"/>
  <c r="F61" i="84" s="1"/>
  <c r="I94" i="84"/>
  <c r="F60" i="84" s="1"/>
  <c r="N96" i="86"/>
  <c r="N117" i="86" s="1"/>
  <c r="N119" i="86" s="1"/>
  <c r="I116" i="86"/>
  <c r="I88" i="86"/>
  <c r="F54" i="86" s="1"/>
  <c r="F88" i="86"/>
  <c r="F55" i="86" s="1"/>
  <c r="E82" i="86"/>
  <c r="D83" i="86" s="1"/>
  <c r="E83" i="86" s="1"/>
  <c r="D84" i="86" s="1"/>
  <c r="E84" i="86" s="1"/>
  <c r="D85" i="86" s="1"/>
  <c r="E85" i="86" s="1"/>
  <c r="O15" i="42" l="1"/>
  <c r="O14" i="42" s="1"/>
  <c r="K39" i="74"/>
  <c r="U38" i="74"/>
  <c r="D57" i="78"/>
  <c r="E57" i="78" s="1"/>
  <c r="D58" i="78" s="1"/>
  <c r="E58" i="78" s="1"/>
  <c r="D59" i="78" s="1"/>
  <c r="E59" i="78" s="1"/>
  <c r="D60" i="78" s="1"/>
  <c r="E60" i="78" s="1"/>
  <c r="D61" i="78" s="1"/>
  <c r="E61" i="78" s="1"/>
  <c r="D62" i="78" s="1"/>
  <c r="E62" i="78" s="1"/>
  <c r="D63" i="78" s="1"/>
  <c r="E63" i="78" s="1"/>
  <c r="D64" i="78" s="1"/>
  <c r="E64" i="78" s="1"/>
  <c r="D65" i="78" s="1"/>
  <c r="E65" i="78" s="1"/>
  <c r="D66" i="78" s="1"/>
  <c r="E66" i="78" s="1"/>
  <c r="D67" i="78" s="1"/>
  <c r="E67" i="78" s="1"/>
  <c r="D68" i="78" s="1"/>
  <c r="E68" i="78" s="1"/>
  <c r="D69" i="78" s="1"/>
  <c r="E69" i="78" s="1"/>
  <c r="D70" i="78" s="1"/>
  <c r="E70" i="78" s="1"/>
  <c r="D71" i="78" s="1"/>
  <c r="E71" i="78" s="1"/>
  <c r="D72" i="78" s="1"/>
  <c r="E72" i="78" s="1"/>
  <c r="D73" i="78" s="1"/>
  <c r="E73" i="78" s="1"/>
  <c r="E56" i="78"/>
  <c r="H78" i="83"/>
  <c r="I190" i="94"/>
  <c r="N190" i="94" s="1"/>
  <c r="E79" i="83"/>
  <c r="G52" i="83"/>
  <c r="H52" i="83" s="1"/>
  <c r="K183" i="74"/>
  <c r="U182" i="74"/>
  <c r="D74" i="84"/>
  <c r="E74" i="84" s="1"/>
  <c r="D75" i="84" s="1"/>
  <c r="E75" i="84" s="1"/>
  <c r="D76" i="84" s="1"/>
  <c r="E76" i="84" s="1"/>
  <c r="D77" i="84" s="1"/>
  <c r="E77" i="84" s="1"/>
  <c r="D78" i="84" s="1"/>
  <c r="E78" i="84" s="1"/>
  <c r="D79" i="84" s="1"/>
  <c r="E79" i="84" s="1"/>
  <c r="D80" i="84" s="1"/>
  <c r="E80" i="84" s="1"/>
  <c r="D81" i="84" s="1"/>
  <c r="E81" i="84" s="1"/>
  <c r="D82" i="84" s="1"/>
  <c r="E82" i="84" s="1"/>
  <c r="D83" i="84" s="1"/>
  <c r="E83" i="84" s="1"/>
  <c r="D84" i="84" s="1"/>
  <c r="E84" i="84" s="1"/>
  <c r="D85" i="84" s="1"/>
  <c r="E85" i="84" s="1"/>
  <c r="D86" i="84" s="1"/>
  <c r="E86" i="84" s="1"/>
  <c r="D87" i="84" s="1"/>
  <c r="E87" i="84" s="1"/>
  <c r="D88" i="84" s="1"/>
  <c r="E88" i="84" s="1"/>
  <c r="D89" i="84" s="1"/>
  <c r="E89" i="84" s="1"/>
  <c r="D90" i="84" s="1"/>
  <c r="E90" i="84" s="1"/>
  <c r="D91" i="84" s="1"/>
  <c r="E91" i="84" s="1"/>
  <c r="E73" i="84"/>
  <c r="I425" i="74"/>
  <c r="N425" i="74" s="1"/>
  <c r="K108" i="85"/>
  <c r="K101" i="85"/>
  <c r="U100" i="85"/>
  <c r="N100" i="85"/>
  <c r="O100" i="85"/>
  <c r="R63" i="95"/>
  <c r="V61" i="95"/>
  <c r="V63" i="95" s="1"/>
  <c r="M21" i="42"/>
  <c r="L15" i="42"/>
  <c r="S34" i="74"/>
  <c r="L97" i="38"/>
  <c r="N327" i="74"/>
  <c r="R327" i="74"/>
  <c r="R128" i="94"/>
  <c r="V67" i="94"/>
  <c r="S70" i="95"/>
  <c r="S72" i="95" s="1"/>
  <c r="V70" i="95"/>
  <c r="V72" i="95" s="1"/>
  <c r="R92" i="38"/>
  <c r="R111" i="38" s="1"/>
  <c r="V315" i="74"/>
  <c r="R317" i="74"/>
  <c r="S36" i="74"/>
  <c r="V97" i="94"/>
  <c r="S207" i="74"/>
  <c r="S296" i="74"/>
  <c r="S298" i="74" s="1"/>
  <c r="V296" i="74"/>
  <c r="V298" i="74" s="1"/>
  <c r="V52" i="94"/>
  <c r="V247" i="74"/>
  <c r="S71" i="94"/>
  <c r="L20" i="38"/>
  <c r="V96" i="94"/>
  <c r="L38" i="38"/>
  <c r="N75" i="95"/>
  <c r="N76" i="95" s="1"/>
  <c r="F98" i="95" s="1"/>
  <c r="N317" i="74"/>
  <c r="V325" i="74"/>
  <c r="S99" i="94"/>
  <c r="S37" i="94"/>
  <c r="V58" i="74"/>
  <c r="S65" i="94"/>
  <c r="M86" i="42"/>
  <c r="M88" i="42"/>
  <c r="P88" i="42"/>
  <c r="V130" i="74"/>
  <c r="V122" i="94"/>
  <c r="P108" i="42"/>
  <c r="P72" i="42"/>
  <c r="O128" i="94"/>
  <c r="V129" i="94" s="1"/>
  <c r="W128" i="94" s="1"/>
  <c r="N142" i="74"/>
  <c r="N114" i="94"/>
  <c r="N128" i="94"/>
  <c r="S147" i="85"/>
  <c r="V77" i="74"/>
  <c r="V49" i="94"/>
  <c r="V92" i="94"/>
  <c r="S84" i="74"/>
  <c r="V84" i="74"/>
  <c r="V42" i="94"/>
  <c r="S42" i="94"/>
  <c r="V41" i="94"/>
  <c r="L88" i="38"/>
  <c r="M84" i="38"/>
  <c r="N84" i="38" s="1"/>
  <c r="O114" i="94"/>
  <c r="V115" i="94" s="1"/>
  <c r="W114" i="94" s="1"/>
  <c r="I154" i="38"/>
  <c r="K154" i="38" s="1"/>
  <c r="K156" i="38" s="1"/>
  <c r="K161" i="38" s="1"/>
  <c r="S110" i="85"/>
  <c r="K129" i="38"/>
  <c r="K146" i="38" s="1"/>
  <c r="K147" i="38" s="1"/>
  <c r="M25" i="42"/>
  <c r="M22" i="42"/>
  <c r="P25" i="42"/>
  <c r="P22" i="42"/>
  <c r="O64" i="74"/>
  <c r="V65" i="74" s="1"/>
  <c r="W64" i="74" s="1"/>
  <c r="S43" i="94"/>
  <c r="V43" i="94"/>
  <c r="R64" i="74"/>
  <c r="S79" i="74"/>
  <c r="N64" i="74"/>
  <c r="O252" i="74"/>
  <c r="V253" i="74" s="1"/>
  <c r="W252" i="74" s="1"/>
  <c r="N210" i="74"/>
  <c r="O103" i="74"/>
  <c r="V104" i="74" s="1"/>
  <c r="W103" i="74" s="1"/>
  <c r="V111" i="94"/>
  <c r="S111" i="94"/>
  <c r="S149" i="74"/>
  <c r="S151" i="74" s="1"/>
  <c r="R151" i="74"/>
  <c r="V149" i="74"/>
  <c r="V151" i="74" s="1"/>
  <c r="V137" i="74"/>
  <c r="S137" i="74"/>
  <c r="S35" i="94"/>
  <c r="V35" i="94"/>
  <c r="V246" i="74"/>
  <c r="S246" i="74"/>
  <c r="S93" i="94"/>
  <c r="V93" i="94"/>
  <c r="S80" i="74"/>
  <c r="V80" i="74"/>
  <c r="V181" i="74"/>
  <c r="S181" i="74"/>
  <c r="V314" i="74"/>
  <c r="S314" i="74"/>
  <c r="S317" i="74" s="1"/>
  <c r="V45" i="94"/>
  <c r="S45" i="94"/>
  <c r="S245" i="74"/>
  <c r="V245" i="74"/>
  <c r="S138" i="74"/>
  <c r="V138" i="74"/>
  <c r="V51" i="94"/>
  <c r="S51" i="94"/>
  <c r="S343" i="74"/>
  <c r="S345" i="74" s="1"/>
  <c r="R345" i="74"/>
  <c r="V343" i="74"/>
  <c r="V345" i="74" s="1"/>
  <c r="V132" i="74"/>
  <c r="S132" i="74"/>
  <c r="S70" i="94"/>
  <c r="V70" i="94"/>
  <c r="S136" i="74"/>
  <c r="V136" i="74"/>
  <c r="S183" i="74"/>
  <c r="V183" i="74"/>
  <c r="V39" i="94"/>
  <c r="S39" i="94"/>
  <c r="V36" i="94"/>
  <c r="S36" i="94"/>
  <c r="S98" i="74"/>
  <c r="V98" i="74"/>
  <c r="S60" i="74"/>
  <c r="V60" i="74"/>
  <c r="V59" i="74"/>
  <c r="S59" i="74"/>
  <c r="V244" i="74"/>
  <c r="S244" i="74"/>
  <c r="V131" i="74"/>
  <c r="S131" i="74"/>
  <c r="S324" i="74"/>
  <c r="S327" i="74" s="1"/>
  <c r="V324" i="74"/>
  <c r="V72" i="94"/>
  <c r="S72" i="94"/>
  <c r="S217" i="74"/>
  <c r="S219" i="74" s="1"/>
  <c r="R219" i="74"/>
  <c r="V217" i="74"/>
  <c r="V219" i="74" s="1"/>
  <c r="V98" i="94"/>
  <c r="S98" i="94"/>
  <c r="V61" i="74"/>
  <c r="S61" i="74"/>
  <c r="V82" i="74"/>
  <c r="S82" i="74"/>
  <c r="V124" i="94"/>
  <c r="S124" i="94"/>
  <c r="S32" i="94"/>
  <c r="V32" i="94"/>
  <c r="V34" i="94"/>
  <c r="S34" i="94"/>
  <c r="V97" i="74"/>
  <c r="S97" i="74"/>
  <c r="V123" i="94"/>
  <c r="S123" i="94"/>
  <c r="S134" i="74"/>
  <c r="V134" i="74"/>
  <c r="S135" i="74"/>
  <c r="V135" i="74"/>
  <c r="V99" i="74"/>
  <c r="S99" i="74"/>
  <c r="S73" i="74"/>
  <c r="V73" i="74"/>
  <c r="S38" i="94"/>
  <c r="V38" i="94"/>
  <c r="V95" i="94"/>
  <c r="S95" i="94"/>
  <c r="S178" i="74"/>
  <c r="V178" i="74"/>
  <c r="S167" i="74"/>
  <c r="S169" i="74" s="1"/>
  <c r="R169" i="74"/>
  <c r="V167" i="74"/>
  <c r="V169" i="74" s="1"/>
  <c r="S73" i="94"/>
  <c r="V73" i="94"/>
  <c r="U68" i="77"/>
  <c r="N252" i="74"/>
  <c r="S34" i="78"/>
  <c r="R56" i="94"/>
  <c r="V33" i="94"/>
  <c r="N56" i="94"/>
  <c r="R103" i="74"/>
  <c r="R142" i="74"/>
  <c r="S43" i="77"/>
  <c r="N103" i="74"/>
  <c r="O103" i="94"/>
  <c r="V104" i="94" s="1"/>
  <c r="W103" i="94" s="1"/>
  <c r="S50" i="84"/>
  <c r="O56" i="94"/>
  <c r="V57" i="94" s="1"/>
  <c r="O87" i="74"/>
  <c r="V88" i="74" s="1"/>
  <c r="W87" i="74" s="1"/>
  <c r="S127" i="85"/>
  <c r="V32" i="74"/>
  <c r="S32" i="74"/>
  <c r="S47" i="94"/>
  <c r="V47" i="94"/>
  <c r="V182" i="74"/>
  <c r="S182" i="74"/>
  <c r="V71" i="74"/>
  <c r="S71" i="74"/>
  <c r="R87" i="74"/>
  <c r="R51" i="74"/>
  <c r="V55" i="95"/>
  <c r="W54" i="95" s="1"/>
  <c r="O75" i="95"/>
  <c r="V63" i="94"/>
  <c r="S63" i="94"/>
  <c r="R83" i="94"/>
  <c r="V94" i="74"/>
  <c r="S94" i="74"/>
  <c r="V33" i="74"/>
  <c r="S33" i="74"/>
  <c r="V74" i="74"/>
  <c r="S74" i="74"/>
  <c r="N87" i="74"/>
  <c r="O142" i="74"/>
  <c r="V143" i="74" s="1"/>
  <c r="W142" i="74" s="1"/>
  <c r="V100" i="74"/>
  <c r="S100" i="74"/>
  <c r="R372" i="74"/>
  <c r="V370" i="74"/>
  <c r="V372" i="74" s="1"/>
  <c r="S370" i="74"/>
  <c r="S372" i="74" s="1"/>
  <c r="S204" i="74"/>
  <c r="V204" i="74"/>
  <c r="R210" i="74"/>
  <c r="V176" i="74"/>
  <c r="S176" i="74"/>
  <c r="S277" i="74"/>
  <c r="S279" i="74" s="1"/>
  <c r="R279" i="74"/>
  <c r="V277" i="74"/>
  <c r="V279" i="74" s="1"/>
  <c r="S85" i="74"/>
  <c r="V85" i="74"/>
  <c r="V206" i="74"/>
  <c r="S206" i="74"/>
  <c r="V75" i="74"/>
  <c r="S75" i="74"/>
  <c r="V179" i="74"/>
  <c r="S179" i="74"/>
  <c r="S48" i="94"/>
  <c r="V48" i="94"/>
  <c r="S101" i="94"/>
  <c r="V101" i="94"/>
  <c r="V100" i="94"/>
  <c r="S100" i="94"/>
  <c r="V135" i="94"/>
  <c r="V137" i="94" s="1"/>
  <c r="R137" i="94"/>
  <c r="S135" i="94"/>
  <c r="S137" i="94" s="1"/>
  <c r="V40" i="94"/>
  <c r="S40" i="94"/>
  <c r="V81" i="74"/>
  <c r="S81" i="74"/>
  <c r="S112" i="94"/>
  <c r="V112" i="94"/>
  <c r="R114" i="94"/>
  <c r="R188" i="74"/>
  <c r="V133" i="74"/>
  <c r="S133" i="74"/>
  <c r="S90" i="94"/>
  <c r="V90" i="94"/>
  <c r="R103" i="94"/>
  <c r="V52" i="95"/>
  <c r="V54" i="95" s="1"/>
  <c r="S52" i="95"/>
  <c r="S54" i="95" s="1"/>
  <c r="R54" i="95"/>
  <c r="N103" i="94"/>
  <c r="O210" i="74"/>
  <c r="V211" i="74" s="1"/>
  <c r="W210" i="74" s="1"/>
  <c r="S91" i="94"/>
  <c r="V91" i="94"/>
  <c r="V23" i="94"/>
  <c r="V25" i="94" s="1"/>
  <c r="S23" i="94"/>
  <c r="S25" i="94" s="1"/>
  <c r="R25" i="94"/>
  <c r="S248" i="74"/>
  <c r="V248" i="74"/>
  <c r="R252" i="74"/>
  <c r="S126" i="94"/>
  <c r="V126" i="94"/>
  <c r="S69" i="94"/>
  <c r="V69" i="94"/>
  <c r="V286" i="74"/>
  <c r="V289" i="74" s="1"/>
  <c r="S286" i="74"/>
  <c r="S289" i="74" s="1"/>
  <c r="R289" i="74"/>
  <c r="M108" i="42"/>
  <c r="S208" i="74"/>
  <c r="V208" i="74"/>
  <c r="V140" i="74"/>
  <c r="S140" i="74"/>
  <c r="E89" i="78"/>
  <c r="G62" i="78"/>
  <c r="H62" i="78" s="1"/>
  <c r="E195" i="94"/>
  <c r="G168" i="94"/>
  <c r="E96" i="87"/>
  <c r="G69" i="87"/>
  <c r="H69" i="87" s="1"/>
  <c r="K43" i="85"/>
  <c r="U42" i="85"/>
  <c r="K50" i="85"/>
  <c r="N42" i="85"/>
  <c r="O42" i="85"/>
  <c r="V42" i="85"/>
  <c r="V62" i="74"/>
  <c r="S62" i="74"/>
  <c r="M89" i="46"/>
  <c r="K96" i="46"/>
  <c r="K37" i="77"/>
  <c r="U36" i="77"/>
  <c r="V36" i="77"/>
  <c r="O36" i="77"/>
  <c r="N36" i="77"/>
  <c r="N88" i="78"/>
  <c r="K183" i="85"/>
  <c r="U182" i="85"/>
  <c r="O182" i="85"/>
  <c r="N182" i="85"/>
  <c r="V182" i="85"/>
  <c r="E123" i="77"/>
  <c r="I123" i="77" s="1"/>
  <c r="G95" i="77"/>
  <c r="H95" i="77" s="1"/>
  <c r="E104" i="84"/>
  <c r="G77" i="84"/>
  <c r="H77" i="84" s="1"/>
  <c r="B10" i="87"/>
  <c r="B10" i="85"/>
  <c r="B10" i="88"/>
  <c r="B10" i="86"/>
  <c r="U144" i="85"/>
  <c r="K145" i="85"/>
  <c r="O144" i="85"/>
  <c r="V144" i="85"/>
  <c r="N144" i="85"/>
  <c r="K70" i="85"/>
  <c r="U69" i="85"/>
  <c r="O69" i="85"/>
  <c r="N69" i="85"/>
  <c r="V69" i="85"/>
  <c r="E80" i="88"/>
  <c r="G53" i="88"/>
  <c r="H53" i="88" s="1"/>
  <c r="K215" i="85"/>
  <c r="U214" i="85"/>
  <c r="O214" i="85"/>
  <c r="V214" i="85"/>
  <c r="N214" i="85"/>
  <c r="K162" i="85"/>
  <c r="U161" i="85"/>
  <c r="V161" i="85"/>
  <c r="N161" i="85"/>
  <c r="O161" i="85"/>
  <c r="E297" i="85"/>
  <c r="G270" i="85"/>
  <c r="H270" i="85" s="1"/>
  <c r="E99" i="86"/>
  <c r="G71" i="86"/>
  <c r="H71" i="86" s="1"/>
  <c r="D64" i="87"/>
  <c r="E64" i="87" s="1"/>
  <c r="D65" i="87" s="1"/>
  <c r="E65" i="87" s="1"/>
  <c r="D66" i="87" s="1"/>
  <c r="E66" i="87" s="1"/>
  <c r="D67" i="87" s="1"/>
  <c r="E67" i="87" s="1"/>
  <c r="D68" i="87" s="1"/>
  <c r="E68" i="87" s="1"/>
  <c r="D69" i="87" s="1"/>
  <c r="E69" i="87" s="1"/>
  <c r="D70" i="87" s="1"/>
  <c r="E70" i="87" s="1"/>
  <c r="D71" i="87" s="1"/>
  <c r="E71" i="87" s="1"/>
  <c r="D72" i="87" s="1"/>
  <c r="E72" i="87" s="1"/>
  <c r="D73" i="87" s="1"/>
  <c r="E73" i="87" s="1"/>
  <c r="D74" i="87" s="1"/>
  <c r="E74" i="87" s="1"/>
  <c r="D75" i="87" s="1"/>
  <c r="E75" i="87" s="1"/>
  <c r="D76" i="87" s="1"/>
  <c r="E76" i="87" s="1"/>
  <c r="D77" i="87" s="1"/>
  <c r="E77" i="87" s="1"/>
  <c r="D78" i="87" s="1"/>
  <c r="E78" i="87" s="1"/>
  <c r="D79" i="87" s="1"/>
  <c r="E79" i="87" s="1"/>
  <c r="D80" i="87" s="1"/>
  <c r="E80" i="87" s="1"/>
  <c r="D81" i="87" s="1"/>
  <c r="E81" i="87" s="1"/>
  <c r="E63" i="87"/>
  <c r="K169" i="46"/>
  <c r="M162" i="46"/>
  <c r="K77" i="94"/>
  <c r="U76" i="94"/>
  <c r="O76" i="94"/>
  <c r="N76" i="94"/>
  <c r="V76" i="94"/>
  <c r="K37" i="86"/>
  <c r="U36" i="86"/>
  <c r="N36" i="86"/>
  <c r="O36" i="86"/>
  <c r="V36" i="86"/>
  <c r="W52" i="85"/>
  <c r="E82" i="82"/>
  <c r="G55" i="82"/>
  <c r="H55" i="82" s="1"/>
  <c r="J79" i="82"/>
  <c r="H79" i="82"/>
  <c r="H79" i="83"/>
  <c r="J79" i="83"/>
  <c r="H93" i="87"/>
  <c r="J93" i="87"/>
  <c r="J98" i="86"/>
  <c r="H98" i="86"/>
  <c r="J296" i="85"/>
  <c r="H296" i="85"/>
  <c r="J103" i="84"/>
  <c r="H103" i="84"/>
  <c r="J79" i="88"/>
  <c r="H79" i="88"/>
  <c r="O76" i="95" l="1"/>
  <c r="G15" i="79"/>
  <c r="I15" i="79" s="1"/>
  <c r="J15" i="79" s="1"/>
  <c r="E97" i="95"/>
  <c r="D98" i="95" s="1"/>
  <c r="E98" i="95" s="1"/>
  <c r="D99" i="95" s="1"/>
  <c r="E99" i="95" s="1"/>
  <c r="P15" i="42"/>
  <c r="U39" i="74"/>
  <c r="V39" i="74"/>
  <c r="N39" i="74"/>
  <c r="O39" i="74"/>
  <c r="K40" i="74"/>
  <c r="S114" i="94"/>
  <c r="J425" i="74"/>
  <c r="I426" i="74" s="1"/>
  <c r="N426" i="74" s="1"/>
  <c r="N101" i="85"/>
  <c r="K102" i="85"/>
  <c r="U101" i="85"/>
  <c r="O101" i="85"/>
  <c r="V101" i="85"/>
  <c r="J190" i="94"/>
  <c r="I191" i="94" s="1"/>
  <c r="K109" i="85"/>
  <c r="U108" i="85"/>
  <c r="N108" i="85"/>
  <c r="O108" i="85"/>
  <c r="V108" i="85"/>
  <c r="K184" i="74"/>
  <c r="U183" i="74"/>
  <c r="O183" i="74"/>
  <c r="N183" i="74"/>
  <c r="W16" i="93"/>
  <c r="W17" i="93"/>
  <c r="E80" i="83"/>
  <c r="G53" i="83"/>
  <c r="H53" i="83" s="1"/>
  <c r="O13" i="42"/>
  <c r="P14" i="42"/>
  <c r="L14" i="42"/>
  <c r="M15" i="42"/>
  <c r="S128" i="94"/>
  <c r="L98" i="38"/>
  <c r="N98" i="38" s="1"/>
  <c r="V327" i="74"/>
  <c r="V128" i="94"/>
  <c r="L112" i="38"/>
  <c r="L114" i="38" s="1"/>
  <c r="V317" i="74"/>
  <c r="P178" i="42"/>
  <c r="M178" i="42"/>
  <c r="M89" i="42"/>
  <c r="P71" i="42"/>
  <c r="P89" i="42"/>
  <c r="V114" i="94"/>
  <c r="I156" i="38"/>
  <c r="I161" i="38" s="1"/>
  <c r="V64" i="74"/>
  <c r="S51" i="74"/>
  <c r="V252" i="74"/>
  <c r="S64" i="74"/>
  <c r="S188" i="74"/>
  <c r="S252" i="74"/>
  <c r="S56" i="94"/>
  <c r="S142" i="74"/>
  <c r="V103" i="74"/>
  <c r="S103" i="74"/>
  <c r="S87" i="74"/>
  <c r="V56" i="94"/>
  <c r="S83" i="94"/>
  <c r="V87" i="74"/>
  <c r="V142" i="74"/>
  <c r="V210" i="74"/>
  <c r="S210" i="74"/>
  <c r="V103" i="94"/>
  <c r="S103" i="94"/>
  <c r="I16" i="79"/>
  <c r="G271" i="85"/>
  <c r="H271" i="85" s="1"/>
  <c r="E298" i="85"/>
  <c r="K38" i="77"/>
  <c r="U37" i="77"/>
  <c r="O37" i="77"/>
  <c r="N37" i="77"/>
  <c r="V37" i="77"/>
  <c r="K38" i="86"/>
  <c r="U37" i="86"/>
  <c r="V37" i="86"/>
  <c r="N37" i="86"/>
  <c r="O37" i="86"/>
  <c r="W56" i="94"/>
  <c r="F246" i="42"/>
  <c r="F247" i="42"/>
  <c r="K216" i="85"/>
  <c r="U215" i="85"/>
  <c r="O215" i="85"/>
  <c r="N215" i="85"/>
  <c r="V215" i="85"/>
  <c r="U70" i="85"/>
  <c r="K71" i="85"/>
  <c r="V70" i="85"/>
  <c r="O70" i="85"/>
  <c r="N70" i="85"/>
  <c r="E90" i="78"/>
  <c r="G63" i="78"/>
  <c r="H63" i="78" s="1"/>
  <c r="K146" i="85"/>
  <c r="U145" i="85"/>
  <c r="V145" i="85"/>
  <c r="O145" i="85"/>
  <c r="N145" i="85"/>
  <c r="E124" i="77"/>
  <c r="I124" i="77" s="1"/>
  <c r="N124" i="77" s="1"/>
  <c r="G96" i="77"/>
  <c r="H96" i="77" s="1"/>
  <c r="K184" i="85"/>
  <c r="U183" i="85"/>
  <c r="O183" i="85"/>
  <c r="V183" i="85"/>
  <c r="N183" i="85"/>
  <c r="K44" i="85"/>
  <c r="U43" i="85"/>
  <c r="O43" i="85"/>
  <c r="N43" i="85"/>
  <c r="V43" i="85"/>
  <c r="G56" i="82"/>
  <c r="H56" i="82" s="1"/>
  <c r="E83" i="82"/>
  <c r="K78" i="94"/>
  <c r="U77" i="94"/>
  <c r="V77" i="94"/>
  <c r="O77" i="94"/>
  <c r="N77" i="94"/>
  <c r="E100" i="86"/>
  <c r="G72" i="86"/>
  <c r="H72" i="86" s="1"/>
  <c r="K163" i="85"/>
  <c r="U162" i="85"/>
  <c r="N162" i="85"/>
  <c r="O162" i="85"/>
  <c r="V162" i="85"/>
  <c r="G54" i="88"/>
  <c r="H54" i="88" s="1"/>
  <c r="E81" i="88"/>
  <c r="G78" i="84"/>
  <c r="H78" i="84" s="1"/>
  <c r="E105" i="84"/>
  <c r="N123" i="77"/>
  <c r="E97" i="87"/>
  <c r="G70" i="87"/>
  <c r="H70" i="87" s="1"/>
  <c r="K51" i="85"/>
  <c r="U50" i="85"/>
  <c r="O50" i="85"/>
  <c r="V50" i="85"/>
  <c r="N50" i="85"/>
  <c r="H80" i="82"/>
  <c r="J80" i="82"/>
  <c r="H80" i="83"/>
  <c r="J80" i="83"/>
  <c r="J80" i="88"/>
  <c r="H80" i="88"/>
  <c r="J297" i="85"/>
  <c r="H297" i="85"/>
  <c r="H94" i="87"/>
  <c r="J94" i="87"/>
  <c r="J104" i="84"/>
  <c r="H104" i="84"/>
  <c r="J99" i="86"/>
  <c r="H99" i="86"/>
  <c r="H97" i="95" l="1"/>
  <c r="G98" i="95" s="1"/>
  <c r="I98" i="95"/>
  <c r="E110" i="95"/>
  <c r="F101" i="95"/>
  <c r="F83" i="95" s="1"/>
  <c r="U40" i="74"/>
  <c r="K41" i="74"/>
  <c r="N40" i="74"/>
  <c r="O40" i="74"/>
  <c r="V40" i="74"/>
  <c r="J426" i="74"/>
  <c r="I427" i="74" s="1"/>
  <c r="N427" i="74" s="1"/>
  <c r="U184" i="74"/>
  <c r="K185" i="74"/>
  <c r="V184" i="74"/>
  <c r="N184" i="74"/>
  <c r="O184" i="74"/>
  <c r="G54" i="83"/>
  <c r="H54" i="83" s="1"/>
  <c r="E81" i="83"/>
  <c r="N102" i="85"/>
  <c r="K103" i="85"/>
  <c r="U102" i="85"/>
  <c r="O102" i="85"/>
  <c r="V102" i="85"/>
  <c r="N109" i="85"/>
  <c r="U109" i="85"/>
  <c r="O109" i="85"/>
  <c r="V109" i="85"/>
  <c r="N191" i="94"/>
  <c r="J191" i="94"/>
  <c r="I89" i="78"/>
  <c r="L13" i="42"/>
  <c r="M14" i="42"/>
  <c r="P13" i="42"/>
  <c r="P107" i="42"/>
  <c r="M107" i="42"/>
  <c r="M71" i="42"/>
  <c r="F248" i="42"/>
  <c r="F249" i="42" s="1"/>
  <c r="J16" i="79"/>
  <c r="I101" i="95"/>
  <c r="F82" i="95" s="1"/>
  <c r="E125" i="77"/>
  <c r="G97" i="77"/>
  <c r="H97" i="77" s="1"/>
  <c r="U146" i="85"/>
  <c r="N146" i="85"/>
  <c r="N148" i="85" s="1"/>
  <c r="V146" i="85"/>
  <c r="O146" i="85"/>
  <c r="K39" i="86"/>
  <c r="U38" i="86"/>
  <c r="O38" i="86"/>
  <c r="N38" i="86"/>
  <c r="V38" i="86"/>
  <c r="G71" i="87"/>
  <c r="H71" i="87" s="1"/>
  <c r="E98" i="87"/>
  <c r="E101" i="86"/>
  <c r="G73" i="86"/>
  <c r="H73" i="86" s="1"/>
  <c r="E82" i="88"/>
  <c r="G55" i="88"/>
  <c r="H55" i="88" s="1"/>
  <c r="E84" i="82"/>
  <c r="G57" i="82"/>
  <c r="H57" i="82" s="1"/>
  <c r="K45" i="85"/>
  <c r="U44" i="85"/>
  <c r="O44" i="85"/>
  <c r="V44" i="85"/>
  <c r="N44" i="85"/>
  <c r="E91" i="78"/>
  <c r="G64" i="78"/>
  <c r="H64" i="78" s="1"/>
  <c r="K217" i="85"/>
  <c r="U216" i="85"/>
  <c r="N216" i="85"/>
  <c r="O216" i="85"/>
  <c r="V216" i="85"/>
  <c r="K39" i="77"/>
  <c r="U38" i="77"/>
  <c r="N38" i="77"/>
  <c r="O38" i="77"/>
  <c r="V38" i="77"/>
  <c r="U51" i="85"/>
  <c r="N51" i="85"/>
  <c r="O51" i="85"/>
  <c r="V51" i="85"/>
  <c r="K164" i="85"/>
  <c r="U163" i="85"/>
  <c r="O163" i="85"/>
  <c r="N163" i="85"/>
  <c r="V163" i="85"/>
  <c r="K79" i="94"/>
  <c r="U78" i="94"/>
  <c r="O78" i="94"/>
  <c r="N78" i="94"/>
  <c r="V78" i="94"/>
  <c r="E106" i="84"/>
  <c r="G79" i="84"/>
  <c r="H79" i="84" s="1"/>
  <c r="K185" i="85"/>
  <c r="U184" i="85"/>
  <c r="O184" i="85"/>
  <c r="N184" i="85"/>
  <c r="V184" i="85"/>
  <c r="K72" i="85"/>
  <c r="U71" i="85"/>
  <c r="O71" i="85"/>
  <c r="N71" i="85"/>
  <c r="V71" i="85"/>
  <c r="E299" i="85"/>
  <c r="G272" i="85"/>
  <c r="H272" i="85" s="1"/>
  <c r="J81" i="82"/>
  <c r="H81" i="82"/>
  <c r="H81" i="83"/>
  <c r="J81" i="83"/>
  <c r="J105" i="84"/>
  <c r="H105" i="84"/>
  <c r="H95" i="87"/>
  <c r="J95" i="87"/>
  <c r="J298" i="85"/>
  <c r="H298" i="85"/>
  <c r="H100" i="86"/>
  <c r="J100" i="86"/>
  <c r="H81" i="88"/>
  <c r="J81" i="88"/>
  <c r="H98" i="95" l="1"/>
  <c r="E111" i="95" s="1"/>
  <c r="C23" i="43"/>
  <c r="N41" i="74"/>
  <c r="V41" i="74"/>
  <c r="U41" i="74"/>
  <c r="O41" i="74"/>
  <c r="K42" i="74"/>
  <c r="J427" i="74"/>
  <c r="U185" i="74"/>
  <c r="O185" i="74"/>
  <c r="V185" i="74"/>
  <c r="N185" i="74"/>
  <c r="K186" i="74"/>
  <c r="N103" i="85"/>
  <c r="K104" i="85"/>
  <c r="U103" i="85"/>
  <c r="O103" i="85"/>
  <c r="V103" i="85"/>
  <c r="N89" i="78"/>
  <c r="G55" i="83"/>
  <c r="H55" i="83" s="1"/>
  <c r="E82" i="83"/>
  <c r="I192" i="94"/>
  <c r="N192" i="94" s="1"/>
  <c r="M13" i="42"/>
  <c r="D196" i="94"/>
  <c r="D431" i="74"/>
  <c r="D85" i="83" s="1"/>
  <c r="G80" i="84"/>
  <c r="H80" i="84" s="1"/>
  <c r="E107" i="84"/>
  <c r="K165" i="85"/>
  <c r="U164" i="85"/>
  <c r="N164" i="85"/>
  <c r="V164" i="85"/>
  <c r="O164" i="85"/>
  <c r="K218" i="85"/>
  <c r="U217" i="85"/>
  <c r="O217" i="85"/>
  <c r="V217" i="85"/>
  <c r="N217" i="85"/>
  <c r="K46" i="85"/>
  <c r="U45" i="85"/>
  <c r="N45" i="85"/>
  <c r="O45" i="85"/>
  <c r="V45" i="85"/>
  <c r="I125" i="77"/>
  <c r="E102" i="86"/>
  <c r="G74" i="86"/>
  <c r="H74" i="86" s="1"/>
  <c r="F250" i="42"/>
  <c r="K80" i="94"/>
  <c r="U79" i="94"/>
  <c r="O79" i="94"/>
  <c r="N79" i="94"/>
  <c r="V79" i="94"/>
  <c r="E92" i="78"/>
  <c r="G65" i="78"/>
  <c r="H65" i="78" s="1"/>
  <c r="E85" i="82"/>
  <c r="G58" i="82"/>
  <c r="H58" i="82" s="1"/>
  <c r="G56" i="88"/>
  <c r="H56" i="88" s="1"/>
  <c r="E83" i="88"/>
  <c r="K73" i="85"/>
  <c r="U72" i="85"/>
  <c r="O72" i="85"/>
  <c r="V72" i="85"/>
  <c r="N72" i="85"/>
  <c r="K186" i="85"/>
  <c r="U185" i="85"/>
  <c r="V185" i="85"/>
  <c r="N185" i="85"/>
  <c r="O185" i="85"/>
  <c r="K40" i="86"/>
  <c r="U39" i="86"/>
  <c r="V39" i="86"/>
  <c r="O39" i="86"/>
  <c r="N39" i="86"/>
  <c r="G273" i="85"/>
  <c r="H273" i="85" s="1"/>
  <c r="E300" i="85"/>
  <c r="K40" i="77"/>
  <c r="U39" i="77"/>
  <c r="N39" i="77"/>
  <c r="O39" i="77"/>
  <c r="V39" i="77"/>
  <c r="G72" i="87"/>
  <c r="H72" i="87" s="1"/>
  <c r="E99" i="87"/>
  <c r="E126" i="77"/>
  <c r="G98" i="77"/>
  <c r="H98" i="77" s="1"/>
  <c r="H82" i="82"/>
  <c r="J82" i="82"/>
  <c r="H82" i="83"/>
  <c r="J82" i="83"/>
  <c r="J299" i="85"/>
  <c r="H299" i="85"/>
  <c r="J96" i="87"/>
  <c r="H96" i="87"/>
  <c r="J82" i="88"/>
  <c r="H82" i="88"/>
  <c r="J101" i="86"/>
  <c r="H101" i="86"/>
  <c r="H106" i="84"/>
  <c r="J106" i="84"/>
  <c r="K43" i="74" l="1"/>
  <c r="V42" i="74"/>
  <c r="U42" i="74"/>
  <c r="O42" i="74"/>
  <c r="N42" i="74"/>
  <c r="D12" i="4"/>
  <c r="D109" i="95"/>
  <c r="E32" i="72"/>
  <c r="K16" i="8"/>
  <c r="L16" i="8" s="1"/>
  <c r="M16" i="8" s="1"/>
  <c r="D189" i="94"/>
  <c r="F16" i="8"/>
  <c r="D424" i="74"/>
  <c r="D78" i="82" s="1"/>
  <c r="H23" i="43"/>
  <c r="I428" i="74"/>
  <c r="H428" i="74"/>
  <c r="J192" i="94"/>
  <c r="H193" i="94" s="1"/>
  <c r="U186" i="74"/>
  <c r="U188" i="74" s="1"/>
  <c r="T188" i="74" s="1"/>
  <c r="O186" i="74"/>
  <c r="O188" i="74" s="1"/>
  <c r="V186" i="74"/>
  <c r="V188" i="74" s="1"/>
  <c r="N186" i="74"/>
  <c r="N188" i="74" s="1"/>
  <c r="E83" i="83"/>
  <c r="G56" i="83"/>
  <c r="H56" i="83" s="1"/>
  <c r="I90" i="78"/>
  <c r="V104" i="85"/>
  <c r="O104" i="85"/>
  <c r="U104" i="85"/>
  <c r="N104" i="85"/>
  <c r="K105" i="85"/>
  <c r="D85" i="88"/>
  <c r="D109" i="84"/>
  <c r="D104" i="86"/>
  <c r="D85" i="82"/>
  <c r="D302" i="85"/>
  <c r="D99" i="87"/>
  <c r="D92" i="78"/>
  <c r="D127" i="77"/>
  <c r="I126" i="77"/>
  <c r="N126" i="77" s="1"/>
  <c r="K81" i="94"/>
  <c r="U80" i="94"/>
  <c r="O80" i="94"/>
  <c r="N80" i="94"/>
  <c r="V80" i="94"/>
  <c r="E108" i="84"/>
  <c r="G81" i="84"/>
  <c r="H81" i="84" s="1"/>
  <c r="K187" i="85"/>
  <c r="U186" i="85"/>
  <c r="V186" i="85"/>
  <c r="O186" i="85"/>
  <c r="N186" i="85"/>
  <c r="E84" i="88"/>
  <c r="G57" i="88"/>
  <c r="H57" i="88" s="1"/>
  <c r="K219" i="85"/>
  <c r="U218" i="85"/>
  <c r="O218" i="85"/>
  <c r="N218" i="85"/>
  <c r="V218" i="85"/>
  <c r="K166" i="85"/>
  <c r="U165" i="85"/>
  <c r="N165" i="85"/>
  <c r="V165" i="85"/>
  <c r="O165" i="85"/>
  <c r="K41" i="86"/>
  <c r="K42" i="86"/>
  <c r="U40" i="86"/>
  <c r="O40" i="86"/>
  <c r="V40" i="86"/>
  <c r="N40" i="86"/>
  <c r="G274" i="85"/>
  <c r="H274" i="85" s="1"/>
  <c r="E301" i="85"/>
  <c r="K74" i="85"/>
  <c r="U73" i="85"/>
  <c r="N73" i="85"/>
  <c r="V73" i="85"/>
  <c r="O73" i="85"/>
  <c r="E86" i="82"/>
  <c r="G59" i="82"/>
  <c r="H59" i="82" s="1"/>
  <c r="N125" i="77"/>
  <c r="G66" i="78"/>
  <c r="H66" i="78" s="1"/>
  <c r="E93" i="78"/>
  <c r="K47" i="85"/>
  <c r="U46" i="85"/>
  <c r="N46" i="85"/>
  <c r="O46" i="85"/>
  <c r="V46" i="85"/>
  <c r="E127" i="77"/>
  <c r="G99" i="77"/>
  <c r="H99" i="77" s="1"/>
  <c r="G73" i="87"/>
  <c r="H73" i="87" s="1"/>
  <c r="E100" i="87"/>
  <c r="K41" i="77"/>
  <c r="U40" i="77"/>
  <c r="O40" i="77"/>
  <c r="N40" i="77"/>
  <c r="V40" i="77"/>
  <c r="G75" i="86"/>
  <c r="H75" i="86" s="1"/>
  <c r="E103" i="86"/>
  <c r="J83" i="82"/>
  <c r="H83" i="82"/>
  <c r="H83" i="83"/>
  <c r="J83" i="83"/>
  <c r="J107" i="84"/>
  <c r="H107" i="84"/>
  <c r="H102" i="86"/>
  <c r="J102" i="86"/>
  <c r="H97" i="87"/>
  <c r="J97" i="87"/>
  <c r="J83" i="88"/>
  <c r="H83" i="88"/>
  <c r="H300" i="85"/>
  <c r="J300" i="85"/>
  <c r="N16" i="8" l="1"/>
  <c r="D19" i="4"/>
  <c r="B19" i="4" s="1"/>
  <c r="V189" i="74"/>
  <c r="W188" i="74" s="1"/>
  <c r="O43" i="74"/>
  <c r="N43" i="74"/>
  <c r="K44" i="74"/>
  <c r="U43" i="74"/>
  <c r="V43" i="74"/>
  <c r="F32" i="72"/>
  <c r="G32" i="72"/>
  <c r="D78" i="88"/>
  <c r="D97" i="86"/>
  <c r="D102" i="84"/>
  <c r="D92" i="87"/>
  <c r="D295" i="85"/>
  <c r="D85" i="78"/>
  <c r="I85" i="78" s="1"/>
  <c r="D78" i="83"/>
  <c r="D120" i="77"/>
  <c r="I120" i="77" s="1"/>
  <c r="J120" i="77" s="1"/>
  <c r="E23" i="43"/>
  <c r="N90" i="78"/>
  <c r="I193" i="94"/>
  <c r="N193" i="94" s="1"/>
  <c r="J428" i="74"/>
  <c r="N428" i="74"/>
  <c r="G57" i="83"/>
  <c r="H57" i="83" s="1"/>
  <c r="E84" i="83"/>
  <c r="U105" i="85"/>
  <c r="K106" i="85"/>
  <c r="O105" i="85"/>
  <c r="N105" i="85"/>
  <c r="V105" i="85"/>
  <c r="U41" i="77"/>
  <c r="U43" i="77" s="1"/>
  <c r="O41" i="77"/>
  <c r="O43" i="77" s="1"/>
  <c r="V41" i="77"/>
  <c r="V43" i="77" s="1"/>
  <c r="N41" i="77"/>
  <c r="N43" i="77" s="1"/>
  <c r="N70" i="77" s="1"/>
  <c r="N71" i="77" s="1"/>
  <c r="F105" i="77" s="1"/>
  <c r="U42" i="86"/>
  <c r="O42" i="86"/>
  <c r="N42" i="86"/>
  <c r="V42" i="86"/>
  <c r="U166" i="85"/>
  <c r="U168" i="85"/>
  <c r="N166" i="85"/>
  <c r="N168" i="85" s="1"/>
  <c r="O166" i="85"/>
  <c r="V166" i="85"/>
  <c r="E109" i="84"/>
  <c r="G82" i="84"/>
  <c r="H82" i="84" s="1"/>
  <c r="K48" i="85"/>
  <c r="U47" i="85"/>
  <c r="O47" i="85"/>
  <c r="V47" i="85"/>
  <c r="N47" i="85"/>
  <c r="K43" i="86"/>
  <c r="U41" i="86"/>
  <c r="O41" i="86"/>
  <c r="V41" i="86"/>
  <c r="N41" i="86"/>
  <c r="K220" i="85"/>
  <c r="U219" i="85"/>
  <c r="O219" i="85"/>
  <c r="N219" i="85"/>
  <c r="V219" i="85"/>
  <c r="G58" i="88"/>
  <c r="H58" i="88" s="1"/>
  <c r="E85" i="88"/>
  <c r="G74" i="87"/>
  <c r="H74" i="87" s="1"/>
  <c r="E101" i="87"/>
  <c r="G60" i="82"/>
  <c r="H60" i="82" s="1"/>
  <c r="E87" i="82"/>
  <c r="U74" i="85"/>
  <c r="K75" i="85"/>
  <c r="N74" i="85"/>
  <c r="V74" i="85"/>
  <c r="O74" i="85"/>
  <c r="G275" i="85"/>
  <c r="H275" i="85" s="1"/>
  <c r="E302" i="85"/>
  <c r="U81" i="94"/>
  <c r="U83" i="94" s="1"/>
  <c r="U140" i="94" s="1"/>
  <c r="U142" i="94" s="1"/>
  <c r="O81" i="94"/>
  <c r="O83" i="94" s="1"/>
  <c r="N81" i="94"/>
  <c r="N83" i="94" s="1"/>
  <c r="N140" i="94" s="1"/>
  <c r="N141" i="94" s="1"/>
  <c r="F168" i="94" s="1"/>
  <c r="V81" i="94"/>
  <c r="V83" i="94" s="1"/>
  <c r="V140" i="94" s="1"/>
  <c r="E104" i="86"/>
  <c r="G76" i="86"/>
  <c r="H76" i="86" s="1"/>
  <c r="G100" i="77"/>
  <c r="H100" i="77" s="1"/>
  <c r="E128" i="77"/>
  <c r="E94" i="78"/>
  <c r="G67" i="78"/>
  <c r="H67" i="78" s="1"/>
  <c r="K188" i="85"/>
  <c r="U187" i="85"/>
  <c r="O187" i="85"/>
  <c r="V187" i="85"/>
  <c r="N187" i="85"/>
  <c r="J84" i="82"/>
  <c r="H84" i="82"/>
  <c r="J84" i="83"/>
  <c r="H84" i="83"/>
  <c r="J98" i="87"/>
  <c r="H98" i="87"/>
  <c r="J103" i="86"/>
  <c r="H103" i="86"/>
  <c r="H301" i="85"/>
  <c r="J301" i="85"/>
  <c r="J84" i="88"/>
  <c r="H84" i="88"/>
  <c r="H108" i="84"/>
  <c r="J108" i="84"/>
  <c r="M32" i="72" l="1"/>
  <c r="N40" i="72" s="1"/>
  <c r="F30" i="25"/>
  <c r="O16" i="8"/>
  <c r="P16" i="8" s="1"/>
  <c r="O44" i="74"/>
  <c r="N44" i="74"/>
  <c r="K45" i="74"/>
  <c r="V44" i="74"/>
  <c r="U44" i="74"/>
  <c r="I30" i="43"/>
  <c r="H32" i="72"/>
  <c r="H50" i="72" s="1"/>
  <c r="J85" i="78"/>
  <c r="N85" i="78"/>
  <c r="N120" i="77"/>
  <c r="J23" i="43"/>
  <c r="H121" i="77"/>
  <c r="J193" i="94"/>
  <c r="H194" i="94" s="1"/>
  <c r="I429" i="74"/>
  <c r="N429" i="74" s="1"/>
  <c r="H429" i="74"/>
  <c r="I194" i="94"/>
  <c r="N194" i="94" s="1"/>
  <c r="I91" i="78"/>
  <c r="E85" i="83"/>
  <c r="G58" i="83"/>
  <c r="H58" i="83" s="1"/>
  <c r="F111" i="77"/>
  <c r="F78" i="77" s="1"/>
  <c r="E105" i="77"/>
  <c r="D106" i="77" s="1"/>
  <c r="E106" i="77" s="1"/>
  <c r="D107" i="77" s="1"/>
  <c r="E107" i="77" s="1"/>
  <c r="K107" i="85"/>
  <c r="U106" i="85"/>
  <c r="N106" i="85"/>
  <c r="V106" i="85"/>
  <c r="O106" i="85"/>
  <c r="E86" i="88"/>
  <c r="G59" i="88"/>
  <c r="H59" i="88" s="1"/>
  <c r="E110" i="84"/>
  <c r="G83" i="84"/>
  <c r="H83" i="84" s="1"/>
  <c r="G276" i="85"/>
  <c r="H276" i="85" s="1"/>
  <c r="E303" i="85"/>
  <c r="K189" i="85"/>
  <c r="U188" i="85"/>
  <c r="O188" i="85"/>
  <c r="N188" i="85"/>
  <c r="V188" i="85"/>
  <c r="G77" i="86"/>
  <c r="H77" i="86" s="1"/>
  <c r="E105" i="86"/>
  <c r="F181" i="94"/>
  <c r="F148" i="94" s="1"/>
  <c r="E168" i="94"/>
  <c r="D169" i="94" s="1"/>
  <c r="E169" i="94" s="1"/>
  <c r="D170" i="94" s="1"/>
  <c r="E170" i="94" s="1"/>
  <c r="D171" i="94" s="1"/>
  <c r="E171" i="94" s="1"/>
  <c r="D172" i="94" s="1"/>
  <c r="E172" i="94" s="1"/>
  <c r="D173" i="94" s="1"/>
  <c r="E173" i="94" s="1"/>
  <c r="D174" i="94" s="1"/>
  <c r="E174" i="94" s="1"/>
  <c r="D175" i="94" s="1"/>
  <c r="E175" i="94" s="1"/>
  <c r="D176" i="94" s="1"/>
  <c r="E176" i="94" s="1"/>
  <c r="D177" i="94" s="1"/>
  <c r="E177" i="94" s="1"/>
  <c r="G75" i="87"/>
  <c r="H75" i="87" s="1"/>
  <c r="E102" i="87"/>
  <c r="K221" i="85"/>
  <c r="U220" i="85"/>
  <c r="O220" i="85"/>
  <c r="V220" i="85"/>
  <c r="N220" i="85"/>
  <c r="V168" i="85"/>
  <c r="I127" i="77"/>
  <c r="E95" i="78"/>
  <c r="G68" i="78"/>
  <c r="H68" i="78" s="1"/>
  <c r="K76" i="85"/>
  <c r="U75" i="85"/>
  <c r="O75" i="85"/>
  <c r="V75" i="85"/>
  <c r="N75" i="85"/>
  <c r="V84" i="94"/>
  <c r="O140" i="94"/>
  <c r="O141" i="94" s="1"/>
  <c r="U43" i="86"/>
  <c r="O43" i="86"/>
  <c r="V43" i="86"/>
  <c r="N43" i="86"/>
  <c r="N45" i="86" s="1"/>
  <c r="N47" i="86" s="1"/>
  <c r="V44" i="77"/>
  <c r="O70" i="77"/>
  <c r="O71" i="77" s="1"/>
  <c r="I105" i="77" s="1"/>
  <c r="I111" i="77" s="1"/>
  <c r="F77" i="77" s="1"/>
  <c r="G101" i="77"/>
  <c r="H101" i="77" s="1"/>
  <c r="E129" i="77"/>
  <c r="G61" i="82"/>
  <c r="H61" i="82" s="1"/>
  <c r="E88" i="82"/>
  <c r="K49" i="85"/>
  <c r="U48" i="85"/>
  <c r="V48" i="85"/>
  <c r="O48" i="85"/>
  <c r="N48" i="85"/>
  <c r="J85" i="82"/>
  <c r="H85" i="82"/>
  <c r="J85" i="83"/>
  <c r="H85" i="83"/>
  <c r="H302" i="85"/>
  <c r="J302" i="85"/>
  <c r="H85" i="88"/>
  <c r="J85" i="88"/>
  <c r="H109" i="84"/>
  <c r="J109" i="84"/>
  <c r="H104" i="86"/>
  <c r="J104" i="86"/>
  <c r="J99" i="87"/>
  <c r="H99" i="87"/>
  <c r="I32" i="72" l="1"/>
  <c r="U45" i="74"/>
  <c r="O45" i="74"/>
  <c r="N45" i="74"/>
  <c r="V45" i="74"/>
  <c r="K46" i="74"/>
  <c r="D16" i="4"/>
  <c r="O32" i="72"/>
  <c r="H86" i="78"/>
  <c r="J429" i="74"/>
  <c r="H430" i="74" s="1"/>
  <c r="I430" i="74"/>
  <c r="N430" i="74" s="1"/>
  <c r="N91" i="78"/>
  <c r="U107" i="85"/>
  <c r="V107" i="85"/>
  <c r="O107" i="85"/>
  <c r="N107" i="85"/>
  <c r="N111" i="85" s="1"/>
  <c r="J194" i="94"/>
  <c r="E86" i="83"/>
  <c r="G59" i="83"/>
  <c r="H59" i="83" s="1"/>
  <c r="I128" i="77"/>
  <c r="N128" i="77" s="1"/>
  <c r="G78" i="86"/>
  <c r="H78" i="86" s="1"/>
  <c r="E106" i="86"/>
  <c r="G84" i="84"/>
  <c r="H84" i="84" s="1"/>
  <c r="E111" i="84"/>
  <c r="W83" i="94"/>
  <c r="V141" i="94"/>
  <c r="V142" i="94" s="1"/>
  <c r="G277" i="85"/>
  <c r="H277" i="85" s="1"/>
  <c r="E304" i="85"/>
  <c r="E89" i="82"/>
  <c r="G62" i="82"/>
  <c r="H62" i="82" s="1"/>
  <c r="U49" i="85"/>
  <c r="N49" i="85"/>
  <c r="N53" i="85" s="1"/>
  <c r="O49" i="85"/>
  <c r="V49" i="85"/>
  <c r="E130" i="77"/>
  <c r="G102" i="77"/>
  <c r="H102" i="77" s="1"/>
  <c r="W43" i="77"/>
  <c r="E96" i="78"/>
  <c r="G69" i="78"/>
  <c r="H69" i="78" s="1"/>
  <c r="W167" i="85"/>
  <c r="U189" i="85"/>
  <c r="K190" i="85"/>
  <c r="O189" i="85"/>
  <c r="N189" i="85"/>
  <c r="V189" i="85"/>
  <c r="G60" i="88"/>
  <c r="H60" i="88" s="1"/>
  <c r="E87" i="88"/>
  <c r="N127" i="77"/>
  <c r="I168" i="94"/>
  <c r="K77" i="85"/>
  <c r="U76" i="85"/>
  <c r="O76" i="85"/>
  <c r="N76" i="85"/>
  <c r="V76" i="85"/>
  <c r="K222" i="85"/>
  <c r="U221" i="85"/>
  <c r="N221" i="85"/>
  <c r="V221" i="85"/>
  <c r="O221" i="85"/>
  <c r="G76" i="87"/>
  <c r="H76" i="87" s="1"/>
  <c r="E103" i="87"/>
  <c r="J86" i="82"/>
  <c r="H86" i="82"/>
  <c r="J86" i="83"/>
  <c r="H86" i="83"/>
  <c r="H86" i="88"/>
  <c r="J86" i="88"/>
  <c r="H110" i="84"/>
  <c r="J110" i="84"/>
  <c r="J303" i="85"/>
  <c r="H303" i="85"/>
  <c r="J105" i="86"/>
  <c r="H105" i="86"/>
  <c r="H100" i="87"/>
  <c r="J100" i="87"/>
  <c r="D26" i="4" l="1"/>
  <c r="U46" i="74"/>
  <c r="K47" i="74"/>
  <c r="N46" i="74"/>
  <c r="O46" i="74"/>
  <c r="V46" i="74"/>
  <c r="D21" i="4"/>
  <c r="J430" i="74"/>
  <c r="I92" i="78"/>
  <c r="N92" i="78" s="1"/>
  <c r="E87" i="83"/>
  <c r="G60" i="83"/>
  <c r="H60" i="83" s="1"/>
  <c r="I195" i="94"/>
  <c r="N195" i="94" s="1"/>
  <c r="H195" i="94"/>
  <c r="K191" i="85"/>
  <c r="U190" i="85"/>
  <c r="V190" i="85"/>
  <c r="O190" i="85"/>
  <c r="N190" i="85"/>
  <c r="E97" i="78"/>
  <c r="G70" i="78"/>
  <c r="H70" i="78" s="1"/>
  <c r="E90" i="82"/>
  <c r="G63" i="82"/>
  <c r="H63" i="82" s="1"/>
  <c r="E305" i="85"/>
  <c r="G278" i="85"/>
  <c r="H278" i="85" s="1"/>
  <c r="I181" i="94"/>
  <c r="F147" i="94" s="1"/>
  <c r="H168" i="94"/>
  <c r="G79" i="86"/>
  <c r="H79" i="86" s="1"/>
  <c r="E107" i="86"/>
  <c r="K223" i="85"/>
  <c r="U222" i="85"/>
  <c r="O222" i="85"/>
  <c r="N222" i="85"/>
  <c r="V222" i="85"/>
  <c r="E112" i="84"/>
  <c r="G85" i="84"/>
  <c r="H85" i="84" s="1"/>
  <c r="K78" i="85"/>
  <c r="U77" i="85"/>
  <c r="O77" i="85"/>
  <c r="N77" i="85"/>
  <c r="V77" i="85"/>
  <c r="G77" i="87"/>
  <c r="H77" i="87" s="1"/>
  <c r="E104" i="87"/>
  <c r="I17" i="79"/>
  <c r="E88" i="88"/>
  <c r="G61" i="88"/>
  <c r="H61" i="88" s="1"/>
  <c r="E131" i="77"/>
  <c r="G103" i="77"/>
  <c r="H103" i="77" s="1"/>
  <c r="J87" i="82"/>
  <c r="H87" i="82"/>
  <c r="H87" i="83"/>
  <c r="J87" i="83"/>
  <c r="H304" i="85"/>
  <c r="J304" i="85"/>
  <c r="J87" i="88"/>
  <c r="H87" i="88"/>
  <c r="J101" i="87"/>
  <c r="H101" i="87"/>
  <c r="H111" i="84"/>
  <c r="J111" i="84"/>
  <c r="J106" i="86"/>
  <c r="H106" i="86"/>
  <c r="O47" i="74" l="1"/>
  <c r="N47" i="74"/>
  <c r="V47" i="74"/>
  <c r="U47" i="74"/>
  <c r="K48" i="74"/>
  <c r="D33" i="4"/>
  <c r="I431" i="74"/>
  <c r="H431" i="74"/>
  <c r="J195" i="94"/>
  <c r="H196" i="94" s="1"/>
  <c r="G61" i="83"/>
  <c r="H61" i="83" s="1"/>
  <c r="E88" i="83"/>
  <c r="I129" i="77"/>
  <c r="N129" i="77" s="1"/>
  <c r="G62" i="88"/>
  <c r="H62" i="88" s="1"/>
  <c r="E89" i="88"/>
  <c r="G86" i="84"/>
  <c r="H86" i="84" s="1"/>
  <c r="E113" i="84"/>
  <c r="K224" i="85"/>
  <c r="U223" i="85"/>
  <c r="O223" i="85"/>
  <c r="V223" i="85"/>
  <c r="N223" i="85"/>
  <c r="G64" i="82"/>
  <c r="H64" i="82" s="1"/>
  <c r="E91" i="82"/>
  <c r="K192" i="85"/>
  <c r="U191" i="85"/>
  <c r="O191" i="85"/>
  <c r="N191" i="85"/>
  <c r="V191" i="85"/>
  <c r="G104" i="77"/>
  <c r="H104" i="77" s="1"/>
  <c r="E132" i="77"/>
  <c r="G78" i="87"/>
  <c r="H78" i="87" s="1"/>
  <c r="E105" i="87"/>
  <c r="G169" i="94"/>
  <c r="H169" i="94" s="1"/>
  <c r="E196" i="94"/>
  <c r="G279" i="85"/>
  <c r="H279" i="85" s="1"/>
  <c r="E306" i="85"/>
  <c r="J17" i="79"/>
  <c r="K79" i="85"/>
  <c r="U78" i="85"/>
  <c r="V78" i="85"/>
  <c r="O78" i="85"/>
  <c r="N78" i="85"/>
  <c r="E108" i="86"/>
  <c r="G80" i="86"/>
  <c r="H80" i="86" s="1"/>
  <c r="E98" i="78"/>
  <c r="G71" i="78"/>
  <c r="J88" i="82"/>
  <c r="H88" i="82"/>
  <c r="J88" i="83"/>
  <c r="H88" i="83"/>
  <c r="H305" i="85"/>
  <c r="J305" i="85"/>
  <c r="H88" i="88"/>
  <c r="J88" i="88"/>
  <c r="H112" i="84"/>
  <c r="J112" i="84"/>
  <c r="J107" i="86"/>
  <c r="H107" i="86"/>
  <c r="H102" i="87"/>
  <c r="J102" i="87"/>
  <c r="U48" i="74" l="1"/>
  <c r="K49" i="74"/>
  <c r="N48" i="74"/>
  <c r="O48" i="74"/>
  <c r="V48" i="74"/>
  <c r="D35" i="4"/>
  <c r="D37" i="4" s="1"/>
  <c r="D41" i="4"/>
  <c r="J431" i="74"/>
  <c r="I432" i="74" s="1"/>
  <c r="N432" i="74" s="1"/>
  <c r="N431" i="74"/>
  <c r="I196" i="94"/>
  <c r="N196" i="94" s="1"/>
  <c r="E89" i="83"/>
  <c r="G62" i="83"/>
  <c r="H62" i="83" s="1"/>
  <c r="G81" i="86"/>
  <c r="H81" i="86" s="1"/>
  <c r="E109" i="86"/>
  <c r="K225" i="85"/>
  <c r="U224" i="85"/>
  <c r="N224" i="85"/>
  <c r="O224" i="85"/>
  <c r="V224" i="85"/>
  <c r="G280" i="85"/>
  <c r="H280" i="85" s="1"/>
  <c r="E307" i="85"/>
  <c r="G79" i="87"/>
  <c r="H79" i="87" s="1"/>
  <c r="E106" i="87"/>
  <c r="K193" i="85"/>
  <c r="U192" i="85"/>
  <c r="O192" i="85"/>
  <c r="N192" i="85"/>
  <c r="V192" i="85"/>
  <c r="E114" i="84"/>
  <c r="G87" i="84"/>
  <c r="H87" i="84" s="1"/>
  <c r="K80" i="85"/>
  <c r="U79" i="85"/>
  <c r="O79" i="85"/>
  <c r="N79" i="85"/>
  <c r="V79" i="85"/>
  <c r="I71" i="78"/>
  <c r="I77" i="78" s="1"/>
  <c r="F43" i="78" s="1"/>
  <c r="E197" i="94"/>
  <c r="G170" i="94"/>
  <c r="H170" i="94" s="1"/>
  <c r="G105" i="77"/>
  <c r="H105" i="77" s="1"/>
  <c r="E133" i="77"/>
  <c r="G65" i="82"/>
  <c r="H65" i="82" s="1"/>
  <c r="E92" i="82"/>
  <c r="E90" i="88"/>
  <c r="G63" i="88"/>
  <c r="H63" i="88" s="1"/>
  <c r="J89" i="82"/>
  <c r="H89" i="82"/>
  <c r="J89" i="83"/>
  <c r="H89" i="83"/>
  <c r="J89" i="88"/>
  <c r="H89" i="88"/>
  <c r="H108" i="86"/>
  <c r="J108" i="86"/>
  <c r="J103" i="87"/>
  <c r="H103" i="87"/>
  <c r="J113" i="84"/>
  <c r="H113" i="84"/>
  <c r="H306" i="85"/>
  <c r="J306" i="85"/>
  <c r="N49" i="74" l="1"/>
  <c r="N51" i="74" s="1"/>
  <c r="N375" i="74" s="1"/>
  <c r="N376" i="74" s="1"/>
  <c r="F403" i="74" s="1"/>
  <c r="O49" i="74"/>
  <c r="O51" i="74" s="1"/>
  <c r="V49" i="74"/>
  <c r="V51" i="74" s="1"/>
  <c r="V375" i="74" s="1"/>
  <c r="U49" i="74"/>
  <c r="U51" i="74" s="1"/>
  <c r="U375" i="74" s="1"/>
  <c r="U377" i="74" s="1"/>
  <c r="J196" i="94"/>
  <c r="I197" i="94" s="1"/>
  <c r="N197" i="94" s="1"/>
  <c r="H432" i="74"/>
  <c r="J432" i="74"/>
  <c r="G63" i="83"/>
  <c r="E90" i="83"/>
  <c r="I130" i="77"/>
  <c r="N130" i="77" s="1"/>
  <c r="G171" i="94"/>
  <c r="H171" i="94" s="1"/>
  <c r="E198" i="94"/>
  <c r="G64" i="88"/>
  <c r="H64" i="88" s="1"/>
  <c r="E91" i="88"/>
  <c r="G66" i="82"/>
  <c r="H66" i="82" s="1"/>
  <c r="E94" i="82" s="1"/>
  <c r="E93" i="82"/>
  <c r="H71" i="78"/>
  <c r="K81" i="85"/>
  <c r="U80" i="85"/>
  <c r="O80" i="85"/>
  <c r="N80" i="85"/>
  <c r="V80" i="85"/>
  <c r="G80" i="87"/>
  <c r="H80" i="87" s="1"/>
  <c r="E107" i="87"/>
  <c r="G88" i="84"/>
  <c r="H88" i="84" s="1"/>
  <c r="E115" i="84"/>
  <c r="K194" i="85"/>
  <c r="U193" i="85"/>
  <c r="N193" i="85"/>
  <c r="O193" i="85"/>
  <c r="V193" i="85"/>
  <c r="K226" i="85"/>
  <c r="U225" i="85"/>
  <c r="O225" i="85"/>
  <c r="V225" i="85"/>
  <c r="N225" i="85"/>
  <c r="G106" i="77"/>
  <c r="H106" i="77" s="1"/>
  <c r="E134" i="77"/>
  <c r="G281" i="85"/>
  <c r="H281" i="85" s="1"/>
  <c r="E308" i="85"/>
  <c r="E110" i="86"/>
  <c r="G82" i="86"/>
  <c r="H82" i="86" s="1"/>
  <c r="H90" i="82"/>
  <c r="J90" i="82"/>
  <c r="H90" i="83"/>
  <c r="J90" i="83"/>
  <c r="H307" i="85"/>
  <c r="J307" i="85"/>
  <c r="H109" i="86"/>
  <c r="J109" i="86"/>
  <c r="H104" i="87"/>
  <c r="J104" i="87"/>
  <c r="H114" i="84"/>
  <c r="J114" i="84"/>
  <c r="J90" i="88"/>
  <c r="H90" i="88"/>
  <c r="O375" i="74" l="1"/>
  <c r="O376" i="74" s="1"/>
  <c r="V52" i="74"/>
  <c r="F416" i="74"/>
  <c r="F383" i="74" s="1"/>
  <c r="E403" i="74"/>
  <c r="D404" i="74" s="1"/>
  <c r="E404" i="74" s="1"/>
  <c r="D405" i="74" s="1"/>
  <c r="E405" i="74" s="1"/>
  <c r="D406" i="74" s="1"/>
  <c r="E406" i="74" s="1"/>
  <c r="D407" i="74" s="1"/>
  <c r="E407" i="74" s="1"/>
  <c r="D408" i="74" s="1"/>
  <c r="E408" i="74" s="1"/>
  <c r="D409" i="74" s="1"/>
  <c r="E409" i="74" s="1"/>
  <c r="D410" i="74" s="1"/>
  <c r="E410" i="74" s="1"/>
  <c r="D411" i="74" s="1"/>
  <c r="E411" i="74" s="1"/>
  <c r="D412" i="74" s="1"/>
  <c r="E412" i="74" s="1"/>
  <c r="H197" i="94"/>
  <c r="J197" i="94"/>
  <c r="H198" i="94" s="1"/>
  <c r="H433" i="74"/>
  <c r="I433" i="74"/>
  <c r="N433" i="74" s="1"/>
  <c r="I95" i="78"/>
  <c r="I198" i="94"/>
  <c r="N198" i="94" s="1"/>
  <c r="K227" i="85"/>
  <c r="U226" i="85"/>
  <c r="O226" i="85"/>
  <c r="V226" i="85"/>
  <c r="N226" i="85"/>
  <c r="E111" i="86"/>
  <c r="G83" i="86"/>
  <c r="H83" i="86" s="1"/>
  <c r="U194" i="85"/>
  <c r="K195" i="85"/>
  <c r="N194" i="85"/>
  <c r="O194" i="85"/>
  <c r="V194" i="85"/>
  <c r="K82" i="85"/>
  <c r="U81" i="85"/>
  <c r="N81" i="85"/>
  <c r="V81" i="85"/>
  <c r="O81" i="85"/>
  <c r="E116" i="84"/>
  <c r="G89" i="84"/>
  <c r="H89" i="84" s="1"/>
  <c r="E309" i="85"/>
  <c r="G282" i="85"/>
  <c r="H282" i="85" s="1"/>
  <c r="E135" i="77"/>
  <c r="G107" i="77"/>
  <c r="H107" i="77" s="1"/>
  <c r="E136" i="77" s="1"/>
  <c r="G81" i="87"/>
  <c r="H81" i="87" s="1"/>
  <c r="E109" i="87" s="1"/>
  <c r="E108" i="87"/>
  <c r="G72" i="78"/>
  <c r="H72" i="78" s="1"/>
  <c r="E99" i="78"/>
  <c r="E92" i="88"/>
  <c r="G65" i="88"/>
  <c r="H65" i="88" s="1"/>
  <c r="E199" i="94"/>
  <c r="G172" i="94"/>
  <c r="H172" i="94" s="1"/>
  <c r="H91" i="82"/>
  <c r="J91" i="82"/>
  <c r="J91" i="83"/>
  <c r="H91" i="83"/>
  <c r="J105" i="87"/>
  <c r="H105" i="87"/>
  <c r="J115" i="84"/>
  <c r="H115" i="84"/>
  <c r="J110" i="86"/>
  <c r="H110" i="86"/>
  <c r="J308" i="85"/>
  <c r="H308" i="85"/>
  <c r="H91" i="88"/>
  <c r="J91" i="88"/>
  <c r="I403" i="74" l="1"/>
  <c r="I402" i="74"/>
  <c r="W51" i="74"/>
  <c r="V376" i="74"/>
  <c r="I93" i="78"/>
  <c r="N93" i="78" s="1"/>
  <c r="J433" i="74"/>
  <c r="N95" i="78"/>
  <c r="J198" i="94"/>
  <c r="I131" i="77"/>
  <c r="N131" i="77" s="1"/>
  <c r="E93" i="88"/>
  <c r="G66" i="88"/>
  <c r="H66" i="88" s="1"/>
  <c r="E112" i="86"/>
  <c r="G84" i="86"/>
  <c r="H84" i="86" s="1"/>
  <c r="U227" i="85"/>
  <c r="K228" i="85"/>
  <c r="O227" i="85"/>
  <c r="N227" i="85"/>
  <c r="V227" i="85"/>
  <c r="G173" i="94"/>
  <c r="H173" i="94" s="1"/>
  <c r="E200" i="94"/>
  <c r="E117" i="84"/>
  <c r="G90" i="84"/>
  <c r="H90" i="84" s="1"/>
  <c r="E310" i="85"/>
  <c r="G283" i="85"/>
  <c r="H283" i="85" s="1"/>
  <c r="E100" i="78"/>
  <c r="G73" i="78"/>
  <c r="H73" i="78" s="1"/>
  <c r="E101" i="78" s="1"/>
  <c r="U82" i="85"/>
  <c r="K83" i="85"/>
  <c r="V82" i="85"/>
  <c r="N82" i="85"/>
  <c r="O82" i="85"/>
  <c r="K196" i="85"/>
  <c r="U195" i="85"/>
  <c r="V195" i="85"/>
  <c r="O195" i="85"/>
  <c r="N195" i="85"/>
  <c r="H92" i="82"/>
  <c r="J92" i="82"/>
  <c r="J92" i="83"/>
  <c r="H92" i="83"/>
  <c r="H309" i="85"/>
  <c r="J309" i="85"/>
  <c r="J116" i="84"/>
  <c r="H116" i="84"/>
  <c r="H92" i="88"/>
  <c r="J92" i="88"/>
  <c r="H111" i="86"/>
  <c r="J111" i="86"/>
  <c r="J106" i="87"/>
  <c r="H106" i="87"/>
  <c r="V377" i="74" l="1"/>
  <c r="H402" i="74"/>
  <c r="I416" i="74"/>
  <c r="F382" i="74" s="1"/>
  <c r="I18" i="79"/>
  <c r="G21" i="79"/>
  <c r="F31" i="4" s="1"/>
  <c r="F30" i="4" s="1"/>
  <c r="I94" i="78"/>
  <c r="N94" i="78" s="1"/>
  <c r="H434" i="74"/>
  <c r="I434" i="74"/>
  <c r="N434" i="74" s="1"/>
  <c r="I96" i="78"/>
  <c r="N96" i="78" s="1"/>
  <c r="H199" i="94"/>
  <c r="I199" i="94"/>
  <c r="N199" i="94" s="1"/>
  <c r="K229" i="85"/>
  <c r="U228" i="85"/>
  <c r="O228" i="85"/>
  <c r="N228" i="85"/>
  <c r="V228" i="85"/>
  <c r="E201" i="94"/>
  <c r="G174" i="94"/>
  <c r="H174" i="94" s="1"/>
  <c r="G85" i="86"/>
  <c r="H85" i="86" s="1"/>
  <c r="E114" i="86" s="1"/>
  <c r="E113" i="86"/>
  <c r="E94" i="88"/>
  <c r="G67" i="88"/>
  <c r="H67" i="88" s="1"/>
  <c r="E95" i="88" s="1"/>
  <c r="K197" i="85"/>
  <c r="U196" i="85"/>
  <c r="N196" i="85"/>
  <c r="V196" i="85"/>
  <c r="O196" i="85"/>
  <c r="U83" i="85"/>
  <c r="V83" i="85"/>
  <c r="N83" i="85"/>
  <c r="N85" i="85" s="1"/>
  <c r="O83" i="85"/>
  <c r="G284" i="85"/>
  <c r="H284" i="85" s="1"/>
  <c r="E312" i="85" s="1"/>
  <c r="E311" i="85"/>
  <c r="E118" i="84"/>
  <c r="G91" i="84"/>
  <c r="H91" i="84" s="1"/>
  <c r="E119" i="84" s="1"/>
  <c r="H93" i="82"/>
  <c r="J93" i="82"/>
  <c r="J93" i="83"/>
  <c r="H93" i="83"/>
  <c r="J112" i="86"/>
  <c r="H112" i="86"/>
  <c r="H310" i="85"/>
  <c r="J310" i="85"/>
  <c r="H93" i="88"/>
  <c r="J93" i="88"/>
  <c r="H107" i="87"/>
  <c r="J107" i="87"/>
  <c r="J117" i="84"/>
  <c r="H117" i="84"/>
  <c r="B31" i="4" l="1"/>
  <c r="E30" i="4"/>
  <c r="F43" i="25"/>
  <c r="F42" i="25" s="1"/>
  <c r="J18" i="79"/>
  <c r="J21" i="79" s="1"/>
  <c r="I21" i="79"/>
  <c r="E430" i="74"/>
  <c r="G403" i="74"/>
  <c r="H403" i="74" s="1"/>
  <c r="J434" i="74"/>
  <c r="J199" i="94"/>
  <c r="K198" i="85"/>
  <c r="U197" i="85"/>
  <c r="N197" i="85"/>
  <c r="O197" i="85"/>
  <c r="V197" i="85"/>
  <c r="E202" i="94"/>
  <c r="G175" i="94"/>
  <c r="H175" i="94" s="1"/>
  <c r="U229" i="85"/>
  <c r="K230" i="85"/>
  <c r="O229" i="85"/>
  <c r="V229" i="85"/>
  <c r="N229" i="85"/>
  <c r="J94" i="82"/>
  <c r="H94" i="82"/>
  <c r="J94" i="83"/>
  <c r="H94" i="83"/>
  <c r="J311" i="85"/>
  <c r="H311" i="85"/>
  <c r="H94" i="88"/>
  <c r="J94" i="88"/>
  <c r="H108" i="87"/>
  <c r="J108" i="87"/>
  <c r="J118" i="84"/>
  <c r="H118" i="84"/>
  <c r="J113" i="86"/>
  <c r="H113" i="86"/>
  <c r="B30" i="4" l="1"/>
  <c r="E431" i="74"/>
  <c r="G404" i="74"/>
  <c r="H404" i="74" s="1"/>
  <c r="G33" i="79"/>
  <c r="H435" i="74"/>
  <c r="I435" i="74"/>
  <c r="N435" i="74" s="1"/>
  <c r="I97" i="78"/>
  <c r="N97" i="78" s="1"/>
  <c r="I200" i="94"/>
  <c r="N200" i="94" s="1"/>
  <c r="H200" i="94"/>
  <c r="I133" i="77"/>
  <c r="N133" i="77" s="1"/>
  <c r="K199" i="85"/>
  <c r="U198" i="85"/>
  <c r="N198" i="85"/>
  <c r="O198" i="85"/>
  <c r="V198" i="85"/>
  <c r="K231" i="85"/>
  <c r="U230" i="85"/>
  <c r="V230" i="85"/>
  <c r="O230" i="85"/>
  <c r="N230" i="85"/>
  <c r="G176" i="94"/>
  <c r="H176" i="94" s="1"/>
  <c r="E203" i="94"/>
  <c r="J95" i="82"/>
  <c r="H95" i="82"/>
  <c r="J95" i="83"/>
  <c r="H95" i="83"/>
  <c r="J119" i="84"/>
  <c r="H119" i="84"/>
  <c r="H95" i="88"/>
  <c r="J95" i="88"/>
  <c r="J109" i="87"/>
  <c r="H109" i="87"/>
  <c r="J114" i="86"/>
  <c r="H114" i="86"/>
  <c r="J312" i="85"/>
  <c r="H312" i="85"/>
  <c r="G34" i="79" l="1"/>
  <c r="G405" i="74"/>
  <c r="H405" i="74" s="1"/>
  <c r="E432" i="74"/>
  <c r="I132" i="77"/>
  <c r="N132" i="77" s="1"/>
  <c r="J435" i="74"/>
  <c r="J200" i="94"/>
  <c r="I98" i="78"/>
  <c r="K232" i="85"/>
  <c r="U231" i="85"/>
  <c r="O231" i="85"/>
  <c r="V231" i="85"/>
  <c r="N231" i="85"/>
  <c r="E204" i="94"/>
  <c r="G177" i="94"/>
  <c r="H177" i="94" s="1"/>
  <c r="E205" i="94" s="1"/>
  <c r="K200" i="85"/>
  <c r="U199" i="85"/>
  <c r="N199" i="85"/>
  <c r="O199" i="85"/>
  <c r="V199" i="85"/>
  <c r="E433" i="74" l="1"/>
  <c r="G406" i="74"/>
  <c r="H406" i="74" s="1"/>
  <c r="H436" i="74"/>
  <c r="I436" i="74"/>
  <c r="N436" i="74" s="1"/>
  <c r="H201" i="94"/>
  <c r="I201" i="94"/>
  <c r="N201" i="94" s="1"/>
  <c r="N98" i="78"/>
  <c r="I134" i="77"/>
  <c r="U200" i="85"/>
  <c r="U202" i="85"/>
  <c r="U244" i="85" s="1"/>
  <c r="N200" i="85"/>
  <c r="N202" i="85" s="1"/>
  <c r="O200" i="85"/>
  <c r="V200" i="85"/>
  <c r="U232" i="85"/>
  <c r="O232" i="85"/>
  <c r="V232" i="85"/>
  <c r="N232" i="85"/>
  <c r="N234" i="85" s="1"/>
  <c r="G407" i="74" l="1"/>
  <c r="H407" i="74" s="1"/>
  <c r="E434" i="74"/>
  <c r="J436" i="74"/>
  <c r="J201" i="94"/>
  <c r="I99" i="78"/>
  <c r="N134" i="77"/>
  <c r="I135" i="77"/>
  <c r="N135" i="77" s="1"/>
  <c r="O202" i="85"/>
  <c r="N245" i="85"/>
  <c r="E435" i="74" l="1"/>
  <c r="G408" i="74"/>
  <c r="H408" i="74" s="1"/>
  <c r="H202" i="94"/>
  <c r="I202" i="94"/>
  <c r="H437" i="74"/>
  <c r="I437" i="74"/>
  <c r="N437" i="74" s="1"/>
  <c r="N99" i="78"/>
  <c r="V202" i="85"/>
  <c r="O245" i="85"/>
  <c r="G409" i="74" l="1"/>
  <c r="H409" i="74" s="1"/>
  <c r="E436" i="74"/>
  <c r="J437" i="74"/>
  <c r="N202" i="94"/>
  <c r="J202" i="94"/>
  <c r="I100" i="78"/>
  <c r="N100" i="78" s="1"/>
  <c r="W201" i="85"/>
  <c r="V244" i="85"/>
  <c r="E437" i="74" l="1"/>
  <c r="G410" i="74"/>
  <c r="H410" i="74" s="1"/>
  <c r="I203" i="94"/>
  <c r="N203" i="94" s="1"/>
  <c r="H203" i="94"/>
  <c r="H438" i="74"/>
  <c r="I438" i="74"/>
  <c r="N438" i="74" s="1"/>
  <c r="G411" i="74" l="1"/>
  <c r="H411" i="74" s="1"/>
  <c r="E438" i="74"/>
  <c r="J203" i="94"/>
  <c r="J438" i="74"/>
  <c r="I101" i="78"/>
  <c r="G412" i="74" l="1"/>
  <c r="H412" i="74" s="1"/>
  <c r="E440" i="74" s="1"/>
  <c r="E439" i="74"/>
  <c r="I439" i="74"/>
  <c r="J439" i="74" s="1"/>
  <c r="H439" i="74"/>
  <c r="H204" i="94"/>
  <c r="I204" i="94"/>
  <c r="J204" i="94" s="1"/>
  <c r="N101" i="78"/>
  <c r="I205" i="94" l="1"/>
  <c r="N205" i="94" s="1"/>
  <c r="H205" i="94"/>
  <c r="I440" i="74"/>
  <c r="H440" i="74"/>
  <c r="N204" i="94"/>
  <c r="I208" i="94"/>
  <c r="N439" i="74"/>
  <c r="J205" i="94" l="1"/>
  <c r="J440" i="74"/>
  <c r="N440" i="74"/>
  <c r="N444" i="74" s="1"/>
  <c r="N446" i="74" s="1"/>
  <c r="I443" i="74"/>
  <c r="N209" i="94"/>
  <c r="N211" i="94" s="1"/>
  <c r="I136" i="77" l="1"/>
  <c r="N136" i="77" s="1"/>
  <c r="L237" i="42"/>
  <c r="I237" i="42"/>
  <c r="N237" i="42"/>
  <c r="O237" i="42"/>
  <c r="P237" i="42" s="1"/>
  <c r="J237" i="42" l="1"/>
  <c r="I257" i="42"/>
  <c r="M237" i="42"/>
  <c r="I616" i="67"/>
  <c r="J616" i="67" s="1"/>
  <c r="I615" i="67"/>
  <c r="J615" i="67" s="1"/>
  <c r="I618" i="67"/>
  <c r="J618" i="67" s="1"/>
  <c r="L238" i="42"/>
  <c r="M238" i="42" s="1"/>
  <c r="N238" i="42"/>
  <c r="O238" i="42" s="1"/>
  <c r="I238" i="42"/>
  <c r="I614" i="67" s="1"/>
  <c r="J614" i="67" s="1"/>
  <c r="J238" i="42" l="1"/>
  <c r="J229" i="42" s="1"/>
  <c r="J222" i="42" s="1"/>
  <c r="J221" i="42" s="1"/>
  <c r="J245" i="42" s="1"/>
  <c r="J246" i="42" s="1"/>
  <c r="P238" i="42"/>
  <c r="O229" i="42"/>
  <c r="L229" i="42"/>
  <c r="I617" i="67"/>
  <c r="J617" i="67" s="1"/>
  <c r="J520" i="67" s="1"/>
  <c r="J247" i="42" l="1"/>
  <c r="J248" i="42" s="1"/>
  <c r="J251" i="42"/>
  <c r="L251" i="42" s="1"/>
  <c r="O251" i="42" s="1"/>
  <c r="O222" i="42"/>
  <c r="P229" i="42"/>
  <c r="T14" i="93"/>
  <c r="F24" i="25"/>
  <c r="L222" i="42"/>
  <c r="M229" i="42"/>
  <c r="J249" i="42" l="1"/>
  <c r="J250" i="42" s="1"/>
  <c r="F13" i="4"/>
  <c r="S14" i="93"/>
  <c r="M15" i="93"/>
  <c r="S15" i="93" s="1"/>
  <c r="T15" i="93" s="1"/>
  <c r="E18" i="8"/>
  <c r="O221" i="42"/>
  <c r="P222" i="42"/>
  <c r="L221" i="42"/>
  <c r="M222" i="42"/>
  <c r="S13" i="93"/>
  <c r="E33" i="72"/>
  <c r="C169" i="46"/>
  <c r="F169" i="46" s="1"/>
  <c r="L169" i="46" s="1"/>
  <c r="C77" i="46"/>
  <c r="F77" i="46" s="1"/>
  <c r="L77" i="46" s="1"/>
  <c r="F17" i="8"/>
  <c r="C20" i="46"/>
  <c r="F20" i="46" s="1"/>
  <c r="L20" i="46" s="1"/>
  <c r="C151" i="46"/>
  <c r="F151" i="46" s="1"/>
  <c r="L151" i="46" s="1"/>
  <c r="K17" i="8"/>
  <c r="L17" i="8" s="1"/>
  <c r="C58" i="46"/>
  <c r="F58" i="46" s="1"/>
  <c r="L58" i="46" s="1"/>
  <c r="C133" i="46"/>
  <c r="F133" i="46" s="1"/>
  <c r="L133" i="46" s="1"/>
  <c r="C96" i="46"/>
  <c r="F96" i="46" s="1"/>
  <c r="L96" i="46" s="1"/>
  <c r="D190" i="94"/>
  <c r="D110" i="95"/>
  <c r="I110" i="95" s="1"/>
  <c r="D425" i="74"/>
  <c r="C115" i="46"/>
  <c r="F115" i="46" s="1"/>
  <c r="L115" i="46" s="1"/>
  <c r="C24" i="43"/>
  <c r="C189" i="46"/>
  <c r="F189" i="46" s="1"/>
  <c r="L189" i="46" s="1"/>
  <c r="C39" i="46"/>
  <c r="F39" i="46" s="1"/>
  <c r="L39" i="46" s="1"/>
  <c r="M19" i="93" l="1"/>
  <c r="F12" i="4"/>
  <c r="B13" i="4"/>
  <c r="F18" i="8"/>
  <c r="N18" i="8" s="1"/>
  <c r="C25" i="43"/>
  <c r="C30" i="43" s="1"/>
  <c r="E34" i="72"/>
  <c r="E40" i="72" s="1"/>
  <c r="H46" i="72" s="1"/>
  <c r="H47" i="72" s="1"/>
  <c r="J47" i="72" s="1"/>
  <c r="K18" i="8"/>
  <c r="L18" i="8" s="1"/>
  <c r="M18" i="8" s="1"/>
  <c r="O18" i="8" s="1"/>
  <c r="N110" i="95"/>
  <c r="J110" i="95"/>
  <c r="P221" i="42"/>
  <c r="O245" i="42"/>
  <c r="M115" i="46"/>
  <c r="N115" i="46"/>
  <c r="N120" i="46" s="1"/>
  <c r="N122" i="46" s="1"/>
  <c r="M20" i="46"/>
  <c r="N20" i="46"/>
  <c r="N25" i="46" s="1"/>
  <c r="N27" i="46" s="1"/>
  <c r="M17" i="8"/>
  <c r="O17" i="8" s="1"/>
  <c r="P17" i="8" s="1"/>
  <c r="H24" i="43"/>
  <c r="E24" i="43"/>
  <c r="N77" i="46"/>
  <c r="N82" i="46" s="1"/>
  <c r="N84" i="46" s="1"/>
  <c r="M77" i="46"/>
  <c r="M151" i="46"/>
  <c r="N151" i="46"/>
  <c r="N155" i="46" s="1"/>
  <c r="N157" i="46" s="1"/>
  <c r="D93" i="87"/>
  <c r="D79" i="82"/>
  <c r="D86" i="78"/>
  <c r="I86" i="78" s="1"/>
  <c r="D296" i="85"/>
  <c r="D79" i="83"/>
  <c r="D103" i="84"/>
  <c r="D121" i="77"/>
  <c r="I121" i="77" s="1"/>
  <c r="D79" i="88"/>
  <c r="D98" i="86"/>
  <c r="M96" i="46"/>
  <c r="N96" i="46"/>
  <c r="N101" i="46" s="1"/>
  <c r="N103" i="46" s="1"/>
  <c r="N169" i="46"/>
  <c r="N175" i="46" s="1"/>
  <c r="N177" i="46" s="1"/>
  <c r="M169" i="46"/>
  <c r="N133" i="46"/>
  <c r="N138" i="46" s="1"/>
  <c r="N140" i="46" s="1"/>
  <c r="M133" i="46"/>
  <c r="G33" i="72"/>
  <c r="F33" i="72"/>
  <c r="L245" i="42"/>
  <c r="M221" i="42"/>
  <c r="N39" i="46"/>
  <c r="N44" i="46" s="1"/>
  <c r="N46" i="46" s="1"/>
  <c r="M39" i="46"/>
  <c r="M189" i="46"/>
  <c r="N189" i="46"/>
  <c r="N194" i="46" s="1"/>
  <c r="N196" i="46" s="1"/>
  <c r="N58" i="46"/>
  <c r="N63" i="46" s="1"/>
  <c r="N65" i="46" s="1"/>
  <c r="M58" i="46"/>
  <c r="T13" i="93"/>
  <c r="S19" i="93"/>
  <c r="U13" i="93"/>
  <c r="P18" i="8" l="1"/>
  <c r="G34" i="72"/>
  <c r="G40" i="72" s="1"/>
  <c r="F33" i="79" s="1"/>
  <c r="F34" i="79" s="1"/>
  <c r="F34" i="72"/>
  <c r="F38" i="25" s="1"/>
  <c r="E25" i="43"/>
  <c r="E30" i="43" s="1"/>
  <c r="H25" i="43"/>
  <c r="I114" i="95"/>
  <c r="H111" i="95"/>
  <c r="J111" i="95"/>
  <c r="N111" i="95"/>
  <c r="N115" i="95" s="1"/>
  <c r="N117" i="95" s="1"/>
  <c r="V13" i="93"/>
  <c r="U14" i="93"/>
  <c r="U15" i="93" s="1"/>
  <c r="V15" i="93" s="1"/>
  <c r="P245" i="42"/>
  <c r="O247" i="42"/>
  <c r="O246" i="42"/>
  <c r="N212" i="46"/>
  <c r="N213" i="46"/>
  <c r="N214" i="46"/>
  <c r="I104" i="78"/>
  <c r="N86" i="78"/>
  <c r="J86" i="78"/>
  <c r="J121" i="77"/>
  <c r="N121" i="77"/>
  <c r="N140" i="77" s="1"/>
  <c r="N142" i="77" s="1"/>
  <c r="I139" i="77"/>
  <c r="L246" i="42"/>
  <c r="L247" i="42"/>
  <c r="M245" i="42"/>
  <c r="J24" i="43"/>
  <c r="H33" i="72"/>
  <c r="M33" i="72"/>
  <c r="J25" i="43" l="1"/>
  <c r="F28" i="25"/>
  <c r="W15" i="93"/>
  <c r="X15" i="93"/>
  <c r="F25" i="25"/>
  <c r="O248" i="42"/>
  <c r="I34" i="79" s="1"/>
  <c r="M34" i="72"/>
  <c r="F27" i="4"/>
  <c r="F26" i="4" s="1"/>
  <c r="H34" i="72"/>
  <c r="I34" i="72" s="1"/>
  <c r="F40" i="72"/>
  <c r="E33" i="79" s="1"/>
  <c r="H30" i="43"/>
  <c r="W13" i="93"/>
  <c r="K15" i="79"/>
  <c r="K22" i="79" s="1"/>
  <c r="K24" i="79" s="1"/>
  <c r="K26" i="79" s="1"/>
  <c r="J112" i="95"/>
  <c r="H112" i="95"/>
  <c r="E26" i="4"/>
  <c r="B26" i="4" s="1"/>
  <c r="H51" i="72"/>
  <c r="B17" i="4"/>
  <c r="V14" i="93"/>
  <c r="Z14" i="93"/>
  <c r="I33" i="72"/>
  <c r="O249" i="42"/>
  <c r="O250" i="42" s="1"/>
  <c r="L248" i="42"/>
  <c r="L249" i="42" s="1"/>
  <c r="L250" i="42" s="1"/>
  <c r="J87" i="78"/>
  <c r="H87" i="78"/>
  <c r="F29" i="25"/>
  <c r="F27" i="25" s="1"/>
  <c r="J30" i="43"/>
  <c r="O14" i="4"/>
  <c r="F23" i="25"/>
  <c r="H122" i="77"/>
  <c r="J122" i="77"/>
  <c r="O33" i="72"/>
  <c r="P214" i="46"/>
  <c r="M40" i="72" l="1"/>
  <c r="F33" i="25"/>
  <c r="B27" i="4"/>
  <c r="H40" i="72"/>
  <c r="H49" i="72" s="1"/>
  <c r="J49" i="72" s="1"/>
  <c r="I40" i="72"/>
  <c r="H43" i="72"/>
  <c r="F18" i="4"/>
  <c r="F16" i="4" s="1"/>
  <c r="O34" i="72"/>
  <c r="O40" i="72" s="1"/>
  <c r="F22" i="4"/>
  <c r="B22" i="4" s="1"/>
  <c r="F39" i="25"/>
  <c r="F37" i="25" s="1"/>
  <c r="E16" i="4"/>
  <c r="H123" i="77"/>
  <c r="J123" i="77"/>
  <c r="E34" i="79"/>
  <c r="H34" i="79" s="1"/>
  <c r="H33" i="79"/>
  <c r="H88" i="78"/>
  <c r="J88" i="78"/>
  <c r="O12" i="4"/>
  <c r="B14" i="4"/>
  <c r="H53" i="72" l="1"/>
  <c r="J53" i="72" s="1"/>
  <c r="F34" i="25"/>
  <c r="F32" i="25" s="1"/>
  <c r="F46" i="25" s="1"/>
  <c r="F57" i="25" s="1"/>
  <c r="F23" i="4"/>
  <c r="F21" i="4" s="1"/>
  <c r="F33" i="4" s="1"/>
  <c r="B18" i="4"/>
  <c r="B16" i="4"/>
  <c r="E21" i="4"/>
  <c r="J124" i="77"/>
  <c r="H124" i="77"/>
  <c r="H89" i="78"/>
  <c r="J89" i="78"/>
  <c r="O33" i="4"/>
  <c r="B12" i="4"/>
  <c r="F48" i="25" l="1"/>
  <c r="F50" i="25" s="1"/>
  <c r="F35" i="4"/>
  <c r="F37" i="4" s="1"/>
  <c r="F41" i="4"/>
  <c r="B23" i="4"/>
  <c r="B21" i="4"/>
  <c r="B33" i="4" s="1"/>
  <c r="B41" i="4" s="1"/>
  <c r="E33" i="4"/>
  <c r="O41" i="4"/>
  <c r="O35" i="4"/>
  <c r="J90" i="78"/>
  <c r="H90" i="78"/>
  <c r="H125" i="77"/>
  <c r="J125" i="77"/>
  <c r="E41" i="4" l="1"/>
  <c r="E35" i="4"/>
  <c r="E37" i="4" s="1"/>
  <c r="H91" i="78"/>
  <c r="J91" i="78"/>
  <c r="O37" i="4"/>
  <c r="J126" i="77"/>
  <c r="H126" i="77"/>
  <c r="B35" i="4" l="1"/>
  <c r="B37" i="4" s="1"/>
  <c r="J127" i="77"/>
  <c r="H127" i="77"/>
  <c r="J92" i="78"/>
  <c r="H92" i="78"/>
  <c r="H128" i="77" l="1"/>
  <c r="J128" i="77"/>
  <c r="H93" i="78"/>
  <c r="J93" i="78"/>
  <c r="H94" i="78" l="1"/>
  <c r="J94" i="78"/>
  <c r="J129" i="77"/>
  <c r="H129" i="77"/>
  <c r="H130" i="77" l="1"/>
  <c r="J130" i="77"/>
  <c r="H95" i="78"/>
  <c r="J95" i="78"/>
  <c r="H96" i="78" l="1"/>
  <c r="J96" i="78"/>
  <c r="J131" i="77"/>
  <c r="H131" i="77"/>
  <c r="J132" i="77" l="1"/>
  <c r="H132" i="77"/>
  <c r="H97" i="78"/>
  <c r="J97" i="78"/>
  <c r="H98" i="78" l="1"/>
  <c r="J98" i="78"/>
  <c r="J133" i="77"/>
  <c r="H133" i="77"/>
  <c r="J134" i="77" l="1"/>
  <c r="H134" i="77"/>
  <c r="H99" i="78"/>
  <c r="J99" i="78"/>
  <c r="J100" i="78" l="1"/>
  <c r="H100" i="78"/>
  <c r="J135" i="77"/>
  <c r="H135" i="77"/>
  <c r="J101" i="78" l="1"/>
  <c r="H101" i="78"/>
  <c r="J136" i="77"/>
  <c r="H136" i="77"/>
</calcChain>
</file>

<file path=xl/sharedStrings.xml><?xml version="1.0" encoding="utf-8"?>
<sst xmlns="http://schemas.openxmlformats.org/spreadsheetml/2006/main" count="8384" uniqueCount="1827">
  <si>
    <t>TRAMO</t>
  </si>
  <si>
    <t>mes</t>
  </si>
  <si>
    <t>CONTRACTUAL</t>
  </si>
  <si>
    <t>201.B</t>
  </si>
  <si>
    <t>DESBROCE Y LIMPIEZA EN ZONAS NO BOSCOSAS</t>
  </si>
  <si>
    <t>ADEL OTORG</t>
  </si>
  <si>
    <t>2.- DEDUCTIVO Nº 02 VINC. AL ADICIONAL Nº 03 (CON IGV)</t>
  </si>
  <si>
    <t>205.B1</t>
  </si>
  <si>
    <t>EXCAVACIÓN EN EXPLANACIONES EN ROCA SUELTA</t>
  </si>
  <si>
    <t>205.B2</t>
  </si>
  <si>
    <t>EXCAVACIÓN EN EXPLANACIONES EN ROCA FIJA</t>
  </si>
  <si>
    <t xml:space="preserve">205.C </t>
  </si>
  <si>
    <t>EXCAVACIÓN EN EXPLANACIONES EN MATERIAL COMÚN</t>
  </si>
  <si>
    <t>205.E</t>
  </si>
  <si>
    <t>AVANCE PROGRAMADO (*)</t>
  </si>
  <si>
    <t>Nº 04</t>
  </si>
  <si>
    <t>PERFILADO Y COMPACTADO EN ZONAS DE CORTE</t>
  </si>
  <si>
    <t>210.A</t>
  </si>
  <si>
    <t>CONFORMACION DE TERRAPLENES</t>
  </si>
  <si>
    <t>220.B</t>
  </si>
  <si>
    <t>MEJORAMIENTO DE SUELO A NIVEL DE SUBRASANTE</t>
  </si>
  <si>
    <t>230.A</t>
  </si>
  <si>
    <t>MATERIAL DE CANTERA PARA RELLENOS</t>
  </si>
  <si>
    <t>VALORIZ. Nº 08</t>
  </si>
  <si>
    <t>VALORIZ. Nº 09</t>
  </si>
  <si>
    <t>242.A</t>
  </si>
  <si>
    <t>BANQUETAS PARA RELLENOS</t>
  </si>
  <si>
    <t>303.A</t>
  </si>
  <si>
    <t>SUB BASE GRANULAR</t>
  </si>
  <si>
    <t>305.A</t>
  </si>
  <si>
    <t>BASE GRANULAR</t>
  </si>
  <si>
    <t>401.A</t>
  </si>
  <si>
    <t>IMPRIMACIÓN ASFÁLTICA</t>
  </si>
  <si>
    <t>410.A</t>
  </si>
  <si>
    <t>CONCRETO ASFALTICO EN CALIENTE</t>
  </si>
  <si>
    <t>420.D</t>
  </si>
  <si>
    <t>CEMENTO ASFALTICO</t>
  </si>
  <si>
    <t>422.A</t>
  </si>
  <si>
    <t>ASFALTO DILUIDO TIPO MC-30</t>
  </si>
  <si>
    <t>423.A</t>
  </si>
  <si>
    <t>FILLER MINERAL</t>
  </si>
  <si>
    <t>424.A</t>
  </si>
  <si>
    <t>ADITIVO MEJORADOR DE ADHERENCIA</t>
  </si>
  <si>
    <t>610.C</t>
  </si>
  <si>
    <t>CONCRETO CLASE C (F'C = 280 KG/CM2)</t>
  </si>
  <si>
    <t>610.D</t>
  </si>
  <si>
    <t>CONCRETO CLASE D (F'C = 210 KG/CM2)</t>
  </si>
  <si>
    <t>610.E</t>
  </si>
  <si>
    <t>CONCRETO CLASE E (F'C = 175 KG/CM2)</t>
  </si>
  <si>
    <t>610.H</t>
  </si>
  <si>
    <t>CONCRETO CLASE H (F'C = 100 KG/CM2)</t>
  </si>
  <si>
    <t>610.I</t>
  </si>
  <si>
    <t>CONCRETO CLASE I (F'C = 175 KG/CM2 + 30%PG)</t>
  </si>
  <si>
    <t>612.A</t>
  </si>
  <si>
    <t>ENCOFRADO Y DESENCOFRADO</t>
  </si>
  <si>
    <t>615</t>
  </si>
  <si>
    <t>ACERO DE REFUERZO FY= 4200 KG/CM2</t>
  </si>
  <si>
    <t>635.A</t>
  </si>
  <si>
    <t>CUNETA TRIANGULAR TIPO I</t>
  </si>
  <si>
    <t>635.B</t>
  </si>
  <si>
    <t>CUNETA TRIANGULAR TIPO II</t>
  </si>
  <si>
    <t>635.C</t>
  </si>
  <si>
    <t>CUNETA TRIANGULAR TIPO III</t>
  </si>
  <si>
    <t>635.D</t>
  </si>
  <si>
    <t>CUNETAS TRAPEZOIDALES TIPO IV</t>
  </si>
  <si>
    <t>635.E</t>
  </si>
  <si>
    <t>CUNETA - RECTANGULAR TIPO V</t>
  </si>
  <si>
    <t>635.F</t>
  </si>
  <si>
    <t>CUNETA BATEA TIPO VI</t>
  </si>
  <si>
    <t>635.G</t>
  </si>
  <si>
    <t>CUNETA RECTANGULAR TIPO VII</t>
  </si>
  <si>
    <t>635.H</t>
  </si>
  <si>
    <t>ZANJA REVESTIDA</t>
  </si>
  <si>
    <t>637.A</t>
  </si>
  <si>
    <t>BORDILLO</t>
  </si>
  <si>
    <t>638.A</t>
  </si>
  <si>
    <t>SARDINEL PERALTADO</t>
  </si>
  <si>
    <t>638.B</t>
  </si>
  <si>
    <t>SARDINEL SUMERGIDO</t>
  </si>
  <si>
    <t>638.C</t>
  </si>
  <si>
    <t>SARDINEL DE VEREDA</t>
  </si>
  <si>
    <t>639.A</t>
  </si>
  <si>
    <t>PASE PEATONAL</t>
  </si>
  <si>
    <t>639.B</t>
  </si>
  <si>
    <t>CRUCE VEHICULAR TIPO I</t>
  </si>
  <si>
    <t>639.C</t>
  </si>
  <si>
    <t>CRUCE VEHICULAR TIPO II</t>
  </si>
  <si>
    <t>640.A</t>
  </si>
  <si>
    <t>EMBOQUILLADO DE PIEDRA E= 0.15M</t>
  </si>
  <si>
    <t>640.B</t>
  </si>
  <si>
    <t>EMBOQUILLADO DE PIEDRA E= 0.35M</t>
  </si>
  <si>
    <t>645.A</t>
  </si>
  <si>
    <t>VEREDAS e=4"</t>
  </si>
  <si>
    <t>655.A</t>
  </si>
  <si>
    <t>JUNTA PARA BADENES</t>
  </si>
  <si>
    <t>655.B</t>
  </si>
  <si>
    <t>JUNTA PARA MUROS</t>
  </si>
  <si>
    <t>655.C</t>
  </si>
  <si>
    <t>JUNTA EN LOSA</t>
  </si>
  <si>
    <t>700.A</t>
  </si>
  <si>
    <t>TRANSPORTE DE MATERIAL GRANULAR PARA D&lt;= 1KM</t>
  </si>
  <si>
    <t>700.B</t>
  </si>
  <si>
    <t>TRANSPORTE DE MATERIAL GRANULAR PARA D&gt; 1KM</t>
  </si>
  <si>
    <t>700.C</t>
  </si>
  <si>
    <t>TRANSPORTE DE MEZCLA ASFÁLTICA PARA D&lt;= 1KM</t>
  </si>
  <si>
    <t>700.D</t>
  </si>
  <si>
    <t>TRANSPORTE DE MEZCLA ASFÁLTICA PARA D&gt; 1KM</t>
  </si>
  <si>
    <t>700.E</t>
  </si>
  <si>
    <t>TRANSPORTE DE DESECHOS Y EXCEDENTES A DME PARA D&lt;= 1KM</t>
  </si>
  <si>
    <t>700.F</t>
  </si>
  <si>
    <t>TRANSPORTE DE DESECHOS Y EXCEDENTES A DME PARA D&gt; 1KM</t>
  </si>
  <si>
    <t>NUEVO PLAZO DE EJECUCION</t>
  </si>
  <si>
    <t>TERMINO PLAZO CONTRACTUAL</t>
  </si>
  <si>
    <t>906.A</t>
  </si>
  <si>
    <t>VALORIZ. Nº 12</t>
  </si>
  <si>
    <t>ACONDICIONAMIENTO DE DESECHOS Y EXCEDENTE</t>
  </si>
  <si>
    <t>962.A</t>
  </si>
  <si>
    <t>REPOSICIÓN DE MURO TIPO TAPIAL</t>
  </si>
  <si>
    <t>962.B</t>
  </si>
  <si>
    <t>REPOSICIÓN DE MURO DE LADRILLO</t>
  </si>
  <si>
    <t>UTILIDAD</t>
  </si>
  <si>
    <t>VALORIZACIÓN MENSUAL (Sin I.G.V.)</t>
  </si>
  <si>
    <t>I.G.V.</t>
  </si>
  <si>
    <t>TOTAL A VALORIZAR EN EL MES (Incl. I.G.V.)</t>
  </si>
  <si>
    <t>MES A VALORIZAR</t>
  </si>
  <si>
    <t>ADELANTADA</t>
  </si>
  <si>
    <t>SUPERVISOR     : HOB CONSULTORES S.A.</t>
  </si>
  <si>
    <t>CONTRATISTA : CONSORCIO VIAL AYACUCHO</t>
  </si>
  <si>
    <t>OBRA : REHABILITACION Y MEJORAMIENTO DE LA CARRETERA AYACUCHO - ABANCAY, TRAMO: KM. 0+000 - KM. 50+000</t>
  </si>
  <si>
    <t xml:space="preserve"> FIEL CUMPLIMIENTO</t>
  </si>
  <si>
    <t xml:space="preserve"> FIANZAS</t>
  </si>
  <si>
    <t>VIGENCIA 
FIN</t>
  </si>
  <si>
    <t>MONTO 
S/.</t>
  </si>
  <si>
    <t>VIGENCIA 
INICIO</t>
  </si>
  <si>
    <t>RESUMEN DE CARTAS FIANZAS Y PÓLIZAS DE SEGUROS DEL CONTRATISTA</t>
  </si>
  <si>
    <t>FORMULA POLINOMICA</t>
  </si>
  <si>
    <t>INDICE</t>
  </si>
  <si>
    <t>INCID.</t>
  </si>
  <si>
    <t>BASE</t>
  </si>
  <si>
    <t>REAJUSTE DEL MES</t>
  </si>
  <si>
    <t>Kr</t>
  </si>
  <si>
    <t>ok</t>
  </si>
  <si>
    <t>CÁLCULO DEL COEFICIENTE DE REAJUSTE "Kr"</t>
  </si>
  <si>
    <t>AMORTIZACION Y DEDUCCIÓN DEL REAJUSTE QUE NO CORRESPONDE POR</t>
  </si>
  <si>
    <r>
      <t>Ae</t>
    </r>
    <r>
      <rPr>
        <b/>
        <i/>
        <sz val="10"/>
        <rFont val="Arial Narrow"/>
        <family val="2"/>
      </rPr>
      <t xml:space="preserve">  = ( A * V ) / C</t>
    </r>
  </si>
  <si>
    <r>
      <t xml:space="preserve">De </t>
    </r>
    <r>
      <rPr>
        <b/>
        <i/>
        <sz val="10"/>
        <rFont val="Arial Narrow"/>
        <family val="2"/>
      </rPr>
      <t xml:space="preserve"> = (A x V / C) x ( Kr / Ka - 1 ) </t>
    </r>
  </si>
  <si>
    <r>
      <t>DONDE :</t>
    </r>
    <r>
      <rPr>
        <sz val="9"/>
        <rFont val="Arial Narrow"/>
        <family val="2"/>
      </rPr>
      <t xml:space="preserve">       Ae =</t>
    </r>
  </si>
  <si>
    <t>Amortización del Adelanto Directo</t>
  </si>
  <si>
    <t xml:space="preserve">De = </t>
  </si>
  <si>
    <t xml:space="preserve"> Deducción del reajuste generado por el Adelanto Directo</t>
  </si>
  <si>
    <t>A  =</t>
  </si>
  <si>
    <t>Monto del Adelanto en Efectivo otorgado al Contratista</t>
  </si>
  <si>
    <t>V  =</t>
  </si>
  <si>
    <t>C  =</t>
  </si>
  <si>
    <t>Saldo del contrato por valorizar a la fecha de pago del Adelanto</t>
  </si>
  <si>
    <t>Kr =</t>
  </si>
  <si>
    <t xml:space="preserve"> Coeficiente de reajuste al mes correspondiente a cada valorización</t>
  </si>
  <si>
    <t>Ka =</t>
  </si>
  <si>
    <t xml:space="preserve"> Coeficiente de reajuste al mes que se canceló el adelanto</t>
  </si>
  <si>
    <t>Amortización</t>
  </si>
  <si>
    <t>Regularizacion</t>
  </si>
  <si>
    <t>Coef. de Reajuste</t>
  </si>
  <si>
    <t>Deducción del Reajuste</t>
  </si>
  <si>
    <t>VALORIZADO</t>
  </si>
  <si>
    <t>a Cuenta</t>
  </si>
  <si>
    <t>de Amortizacion</t>
  </si>
  <si>
    <t>De</t>
  </si>
  <si>
    <t>A cuenta</t>
  </si>
  <si>
    <t>Presente Val.</t>
  </si>
  <si>
    <t>T O T A L</t>
  </si>
  <si>
    <t>SALDO POR AMORTIZAR DEL ADELANTO DIRECTO OTORGADO</t>
  </si>
  <si>
    <t>Amortizado</t>
  </si>
  <si>
    <t>METRADO
JUN. 10</t>
  </si>
  <si>
    <t>M2</t>
  </si>
  <si>
    <t>ML</t>
  </si>
  <si>
    <t>KG</t>
  </si>
  <si>
    <t xml:space="preserve">CLAVOS </t>
  </si>
  <si>
    <t>A M O R T I Z A C I O N     D E L     A D E L A N T O     P A R A     M A T E R I A L E S     Nº  01</t>
  </si>
  <si>
    <t>SIN IGV</t>
  </si>
  <si>
    <t xml:space="preserve">FORMULA:   </t>
  </si>
  <si>
    <t>Am = Adelanto Utilizado  x  ( I ma /  I mo ) x FR</t>
  </si>
  <si>
    <t xml:space="preserve">Fecha de Pago del Adelanto: </t>
  </si>
  <si>
    <t>DONDE:</t>
  </si>
  <si>
    <t>Material:</t>
  </si>
  <si>
    <t>ACERO CORRUGADO</t>
  </si>
  <si>
    <t>A m:</t>
  </si>
  <si>
    <t>Amortización del Adelanto de materiales en S/. Sin IGV.</t>
  </si>
  <si>
    <t>Indice Unificado:</t>
  </si>
  <si>
    <t>Adelanto utilizado:</t>
  </si>
  <si>
    <t>Metrado Ejecutado x Precio Unitario</t>
  </si>
  <si>
    <t>Indice INEI a la Fecha del P. Base   (Abril 2,009)</t>
  </si>
  <si>
    <t>I ma:</t>
  </si>
  <si>
    <t>Indice de precio del material a la fecha efeciva del adelanto.</t>
  </si>
  <si>
    <t>I mo:</t>
  </si>
  <si>
    <t>Indice de precio del material a la fecha del Presupuesto Base.</t>
  </si>
  <si>
    <t xml:space="preserve">   FR:</t>
  </si>
  <si>
    <t>Factor de relación =</t>
  </si>
  <si>
    <t>Para Obras A Precios Unitarios, FR es igual a 1.0000</t>
  </si>
  <si>
    <t>ITEM</t>
  </si>
  <si>
    <t>DESCRIPCION DE LA PARTIDA</t>
  </si>
  <si>
    <t>ANALISIS DE PRECIO</t>
  </si>
  <si>
    <t>METRADO REFERENCIAL</t>
  </si>
  <si>
    <t>METRADO VALORIZADO</t>
  </si>
  <si>
    <t>P.UNIT. INSUMO</t>
  </si>
  <si>
    <t>INDICES</t>
  </si>
  <si>
    <t>METRADO INSUMO UTILIZADO</t>
  </si>
  <si>
    <t>FACTOR APU</t>
  </si>
  <si>
    <t xml:space="preserve">CANT. </t>
  </si>
  <si>
    <t>INSUMO</t>
  </si>
  <si>
    <t>Deflatada</t>
  </si>
  <si>
    <t>A la Fecha de Pago</t>
  </si>
  <si>
    <t>ANTERIOR</t>
  </si>
  <si>
    <t>COMPONENTE</t>
  </si>
  <si>
    <t>ALAMBRE NEGRO # 8</t>
  </si>
  <si>
    <t>METRADO SOLICITADO</t>
  </si>
  <si>
    <t>FICHA TECNICA</t>
  </si>
  <si>
    <t>TRAMO:</t>
  </si>
  <si>
    <t>SUPERVISION</t>
  </si>
  <si>
    <t>CONTRATO Nº</t>
  </si>
  <si>
    <t>VALORIZ. Nº 13</t>
  </si>
  <si>
    <t>FIRMA CONTRATO</t>
  </si>
  <si>
    <t>PLAZO DE EJECUCION</t>
  </si>
  <si>
    <t>INICIO DE OBRA</t>
  </si>
  <si>
    <t>MONTO CONTRATO (CON IGV)</t>
  </si>
  <si>
    <t>PROPUESTA ECONOMICA</t>
  </si>
  <si>
    <t>ADELANTO DIRECTO</t>
  </si>
  <si>
    <t>ADELANTO EN EFECTIVO (CON IGV)</t>
  </si>
  <si>
    <t>FECHA DE PAGO</t>
  </si>
  <si>
    <t>ADELANTO PARA MATERIALES</t>
  </si>
  <si>
    <t>1.- PRIMER ADELANTO PARA MATERIALES (CON IGV)</t>
  </si>
  <si>
    <t>ADICIONALES DE OBRA</t>
  </si>
  <si>
    <t>1.- ADICIONAL Nº 01 (CON IGV)</t>
  </si>
  <si>
    <t>RESOLUCION MINISTERIAL Nº</t>
  </si>
  <si>
    <t>327-2010-MTC/02</t>
  </si>
  <si>
    <t>FECHA</t>
  </si>
  <si>
    <t>2.- ADICIONAL Nº 02 (CON IGV)</t>
  </si>
  <si>
    <t>375-2010-MTC/02</t>
  </si>
  <si>
    <t>DEDUCTIVOS VINCULANTES DE OBRA</t>
  </si>
  <si>
    <t>1.- AMPLIACION Nº 01</t>
  </si>
  <si>
    <t>1.- DEDUCTIVO Nº 01 VINC. AL ADICIONAL Nº 02 (CON IGV)</t>
  </si>
  <si>
    <t>NUEVO MONTO CONTRATO (CON IGV)</t>
  </si>
  <si>
    <t>VALORIZ. Nº 14</t>
  </si>
  <si>
    <t>INCL. ADICIONALES Y DEDUCTIVOS VINCULANTES</t>
  </si>
  <si>
    <t>TOTAL x AMORTIZAR</t>
  </si>
  <si>
    <t>AMORTIZADO PTE VALORIZACION</t>
  </si>
  <si>
    <t>C O N T R O L   D E L   A D E L A N T O   P A R A   M A T E R I A L E S   Nº 01</t>
  </si>
  <si>
    <t>Monto Deflatado (A fecha del presupuesto base)</t>
  </si>
  <si>
    <t>Coeficiente en la Fómula Polinómica</t>
  </si>
  <si>
    <t>Incidencia del material</t>
  </si>
  <si>
    <t>AMORTIZACION DEL ADELANTO DE MATERIALES Nº 01</t>
  </si>
  <si>
    <t>VALORIZACION DE OBRA</t>
  </si>
  <si>
    <t>AMORTIZACION DEL ADELANTO PARA MATERIALES</t>
  </si>
  <si>
    <t>ADELANTO DEFLATADO</t>
  </si>
  <si>
    <t>ADELANTO OTORGADO</t>
  </si>
  <si>
    <t>DEBE</t>
  </si>
  <si>
    <t>AMORTIZ.</t>
  </si>
  <si>
    <t>VAL. 01</t>
  </si>
  <si>
    <t>VAL. 02</t>
  </si>
  <si>
    <t>VAL. 03</t>
  </si>
  <si>
    <t>VAL. 04</t>
  </si>
  <si>
    <t>VAL. 05</t>
  </si>
  <si>
    <t>VAL. 06</t>
  </si>
  <si>
    <t>VAL. 07</t>
  </si>
  <si>
    <t>VAL. 08</t>
  </si>
  <si>
    <t>VAL. 09</t>
  </si>
  <si>
    <t>VAL. 10</t>
  </si>
  <si>
    <t>VAL. 11</t>
  </si>
  <si>
    <t>VAL. 12</t>
  </si>
  <si>
    <t>VAL. 13</t>
  </si>
  <si>
    <t>VAL. 14</t>
  </si>
  <si>
    <t>VAL. 15</t>
  </si>
  <si>
    <t>VAL. 16</t>
  </si>
  <si>
    <t>VAL. 17</t>
  </si>
  <si>
    <t>VAL. 18</t>
  </si>
  <si>
    <t>ACUMULADO ACTUAL</t>
  </si>
  <si>
    <t>DEDUCCION POR REAJUSTE QUE NO CORRESPONDE DEL ADELANTO DE MATERIALES Nº 01</t>
  </si>
  <si>
    <t>DEDUCCION  =A x (Imr - Ima) / Imo</t>
  </si>
  <si>
    <t>"A" = Monto Bruto Valorizado x Coeficiente</t>
  </si>
  <si>
    <t>MONTO BRUTO VALORIZADO</t>
  </si>
  <si>
    <t>SALDO ADELANTO</t>
  </si>
  <si>
    <t>UTILIZACION DEFLATADA DEL ADELANTO</t>
  </si>
  <si>
    <t>INDICES INEI</t>
  </si>
  <si>
    <t>MONTO DE DEDUCCION</t>
  </si>
  <si>
    <t>COEFCIENTE</t>
  </si>
  <si>
    <t>"A"</t>
  </si>
  <si>
    <t>Imr</t>
  </si>
  <si>
    <t>A UTILIZAR</t>
  </si>
  <si>
    <t>ACUMULADO ANTERIOR</t>
  </si>
  <si>
    <t>EN EL MES</t>
  </si>
  <si>
    <t>Monto del Adelanto Especifico para CEMENTO PORTLAND TIPO I</t>
  </si>
  <si>
    <t xml:space="preserve">Fecha de Pago del Adelanto  : </t>
  </si>
  <si>
    <t>M3</t>
  </si>
  <si>
    <t>Monto del Adelanto Especifico para DÓLAR MAS INFLACION MERCADO USA</t>
  </si>
  <si>
    <t>DÓLAR MAS NFLACION MERCADO USA</t>
  </si>
  <si>
    <t>30</t>
  </si>
  <si>
    <t>CONCRETO CLASE F (F'C = 175 KG/CM2 + 30%PG)</t>
  </si>
  <si>
    <t>REPOSICION DE MUROS DE LADRILLO</t>
  </si>
  <si>
    <t>2. IGV (18% DE I)</t>
  </si>
  <si>
    <t>NOTA: - La presente Valorizacion de Obra se ha formulado considerando el 18% del I.G.V., en cumplimiento a la Ley Nº 29666 con vigencia a partir del día 01.Mar.11.</t>
  </si>
  <si>
    <t>Monto del Adelanto Especifico para MADERA</t>
  </si>
  <si>
    <t>MADERA TERCIADA PARA ENCOFRADO</t>
  </si>
  <si>
    <t>45</t>
  </si>
  <si>
    <t>TRIPLAY DE 19 mm PARA ENCOFRADO</t>
  </si>
  <si>
    <t>Monto del Adelanto Especifico para MATERIALES PROCESADOS</t>
  </si>
  <si>
    <t>PETROLEO DIESEL (EQUIPO MECANICO)</t>
  </si>
  <si>
    <t>49</t>
  </si>
  <si>
    <t>M3KM</t>
  </si>
  <si>
    <t>TOTAL POR AMORTIZAR</t>
  </si>
  <si>
    <t>AMORTIZADO PRESENTE VALORIZACION</t>
  </si>
  <si>
    <t xml:space="preserve">RESUMEN DE CONTROL DEL ADELANTO PARA MATERIALES </t>
  </si>
  <si>
    <t>ADELANTO PARA MATERIALES Nº 1</t>
  </si>
  <si>
    <t>ADELANTO Nº</t>
  </si>
  <si>
    <t>MATERIAL SOLICITADO</t>
  </si>
  <si>
    <t>Adelanto Solicitado S/IGV</t>
  </si>
  <si>
    <t>UNIFICADO</t>
  </si>
  <si>
    <t>ACTUAL</t>
  </si>
  <si>
    <t>ACUMULADA</t>
  </si>
  <si>
    <t>TOTAL EN EL MES</t>
  </si>
  <si>
    <t>CONTROL DE ADELANTOS (SIN IGV)</t>
  </si>
  <si>
    <t>MATERIALES</t>
  </si>
  <si>
    <t>SALDO x VALORIZAR</t>
  </si>
  <si>
    <t>MONTO OTORGADO</t>
  </si>
  <si>
    <t>MONTO AMORTIZADO</t>
  </si>
  <si>
    <t>SALDO POR AMORTIZAR</t>
  </si>
  <si>
    <t>SCTR - SALUD</t>
  </si>
  <si>
    <t>SCTR - PENSIONES</t>
  </si>
  <si>
    <t>ADICIONAL</t>
  </si>
  <si>
    <t>Nº 01</t>
  </si>
  <si>
    <t xml:space="preserve">   AVANCE DE OBRA CON RELACION AL C.A.O. A. VIGENTE - INCLUYE ADICIONALES</t>
  </si>
  <si>
    <t>Nº 02</t>
  </si>
  <si>
    <t>DEDUCTIVO</t>
  </si>
  <si>
    <t>MONTO UTILIZADO ACTUALIZADO</t>
  </si>
  <si>
    <t xml:space="preserve">  Enero 2008</t>
  </si>
  <si>
    <t xml:space="preserve">  Febrero 2008</t>
  </si>
  <si>
    <t xml:space="preserve">  Marzo 2008</t>
  </si>
  <si>
    <t xml:space="preserve">  Abril 2008</t>
  </si>
  <si>
    <t xml:space="preserve">  Mayo 2008</t>
  </si>
  <si>
    <t xml:space="preserve">  Junio 2008</t>
  </si>
  <si>
    <t xml:space="preserve">  Julio 2008</t>
  </si>
  <si>
    <t xml:space="preserve">  Agosto 2008</t>
  </si>
  <si>
    <t xml:space="preserve">  Setiembre 2008</t>
  </si>
  <si>
    <t xml:space="preserve">  Octubre 2008</t>
  </si>
  <si>
    <t xml:space="preserve">  Noviembre 2008</t>
  </si>
  <si>
    <t xml:space="preserve">  Diciembre 2008</t>
  </si>
  <si>
    <t>19</t>
  </si>
  <si>
    <t xml:space="preserve">  Enero 2009</t>
  </si>
  <si>
    <t>Preparación de terreno en zonas de relleno, involucrando suelo existente</t>
  </si>
  <si>
    <t>Relleno con material excedente de corte (material considerado en transp.)</t>
  </si>
  <si>
    <t>Relleno con material propio</t>
  </si>
  <si>
    <t>Perfilado, nivelación y compactación de la subrasante en zonas de corte</t>
  </si>
  <si>
    <t>Corte en roca fija</t>
  </si>
  <si>
    <t>Corte en roca suelta</t>
  </si>
  <si>
    <t>Corte en material suelto</t>
  </si>
  <si>
    <t>Roce y limpieza</t>
  </si>
  <si>
    <t>KM</t>
  </si>
  <si>
    <t>Trazo y replanteo y georeferenciación</t>
  </si>
  <si>
    <t>Cartel de obra</t>
  </si>
  <si>
    <t>Asfalto diluido  MC-30</t>
  </si>
  <si>
    <t>Asfalto líquido RC-250</t>
  </si>
  <si>
    <t>Acero de refuerzo f'y = 4200 kg/cm2</t>
  </si>
  <si>
    <t>Apoyo de neopreno</t>
  </si>
  <si>
    <t>Feb.06</t>
  </si>
  <si>
    <t>CONTRATISTA : CONSORCIO PUENTE CHINO</t>
  </si>
  <si>
    <t>SUPERVISOR     : CONSORCIO VIAL PUMAHUASI</t>
  </si>
  <si>
    <t>INSUMO ADIC X AMORT</t>
  </si>
  <si>
    <t>OBRA : REHABILITACION Y MEJORAMIENTO DE LA CARRETERA PUENTE PUMAHUASI - PUENTE CHINO, KM. 15+200 - KM. 51+551</t>
  </si>
  <si>
    <t>SUPERVISOR     : CONSORCIO VIAL OXAPAMPA</t>
  </si>
  <si>
    <t>VALORIZACION Nº 01 - AGOSTO 2007</t>
  </si>
  <si>
    <t xml:space="preserve"> : AGOSTO 2007</t>
  </si>
  <si>
    <t>- El Adelanto para materiales Nº 02, ha sido tramitado a la Entidad mediante Carta Nº 107-2006/CSVPO-JS Registro Nº 009562 de fecha 13.02.06, por un monto de S/. 3'361,343.38 (sin IGV),</t>
  </si>
  <si>
    <t xml:space="preserve">  a la fecha aún no ha sido cancelado, razon por la que no sido considerado para su amortización .</t>
  </si>
  <si>
    <t>Acero de construccion corrugado</t>
  </si>
  <si>
    <t>IUP = 03</t>
  </si>
  <si>
    <t>Clavo para Madera</t>
  </si>
  <si>
    <t>ITEM.</t>
  </si>
  <si>
    <t>DESCRIPCION DE PARTIDA</t>
  </si>
  <si>
    <t>UND.</t>
  </si>
  <si>
    <t>METRADO</t>
  </si>
  <si>
    <t>ACUMULADO   ANTERIOR</t>
  </si>
  <si>
    <t>ACUMULADO   ACTUAL</t>
  </si>
  <si>
    <t>SALDO   POR   VALORIZAR</t>
  </si>
  <si>
    <t>S/.</t>
  </si>
  <si>
    <t>TOTAL COSTO DIRECTO</t>
  </si>
  <si>
    <t>OBRA</t>
  </si>
  <si>
    <t>PRESUPUESTO</t>
  </si>
  <si>
    <t>INCIDENCIA</t>
  </si>
  <si>
    <t>SIMBOLO</t>
  </si>
  <si>
    <t>COEF.</t>
  </si>
  <si>
    <t>CONCEPTO</t>
  </si>
  <si>
    <t>MES</t>
  </si>
  <si>
    <t>VALORIZACION</t>
  </si>
  <si>
    <t>AVANCE REAL</t>
  </si>
  <si>
    <t>REINTEGRO PROGRAMADO</t>
  </si>
  <si>
    <t>MENSUAL</t>
  </si>
  <si>
    <t>ACUMULADO</t>
  </si>
  <si>
    <t>Nº</t>
  </si>
  <si>
    <t>A</t>
  </si>
  <si>
    <t>B</t>
  </si>
  <si>
    <t>K</t>
  </si>
  <si>
    <t>( C = A * ( K - 1 ) )</t>
  </si>
  <si>
    <t>ADELANTO EN EFECTIVO</t>
  </si>
  <si>
    <t>V :</t>
  </si>
  <si>
    <t>K :</t>
  </si>
  <si>
    <t>REINTEGRO RECONOCIDO</t>
  </si>
  <si>
    <t>REINTEGRO REAL</t>
  </si>
  <si>
    <t>( C = B * ( K - 1 ) )</t>
  </si>
  <si>
    <t>DESCRIPCION</t>
  </si>
  <si>
    <t>TOTALES</t>
  </si>
  <si>
    <t>TOTAL</t>
  </si>
  <si>
    <t>P. UNIT.</t>
  </si>
  <si>
    <t>PAGO A CUENTA A CANCELAR AL CONTRATISTA</t>
  </si>
  <si>
    <t>REFERENCIA</t>
  </si>
  <si>
    <t>CONTRATISTA</t>
  </si>
  <si>
    <t>Monto Valorizado en el presente periodo</t>
  </si>
  <si>
    <t>Reajuste de las valorizaciones</t>
  </si>
  <si>
    <t>Retencion por retraso de Obra</t>
  </si>
  <si>
    <t>Deduccion del reajuste que no corresponde</t>
  </si>
  <si>
    <t>Por Adelanto en Efectivo</t>
  </si>
  <si>
    <t>Por Adelanto de Materiales</t>
  </si>
  <si>
    <t>Amortizacion del Adelanto en Efectivo</t>
  </si>
  <si>
    <t>Amortizacion del Adelanto de Materiales</t>
  </si>
  <si>
    <t>I. MONTO FACTURABLE (sin IGV)</t>
  </si>
  <si>
    <t xml:space="preserve">V </t>
  </si>
  <si>
    <t>AMORTIZACION</t>
  </si>
  <si>
    <t>MONTO ACUMUL.</t>
  </si>
  <si>
    <t>VALORIZ. Nº 02</t>
  </si>
  <si>
    <t>GARANTIZA</t>
  </si>
  <si>
    <t>ORIGINAL</t>
  </si>
  <si>
    <t>RENOVADA</t>
  </si>
  <si>
    <t>GARANTE</t>
  </si>
  <si>
    <t>CEMENTO PORTLAND TIPO I</t>
  </si>
  <si>
    <t>m</t>
  </si>
  <si>
    <t>m3</t>
  </si>
  <si>
    <t>und</t>
  </si>
  <si>
    <t>m2</t>
  </si>
  <si>
    <t>gln</t>
  </si>
  <si>
    <t>kg</t>
  </si>
  <si>
    <t>Postes delineadores</t>
  </si>
  <si>
    <t>MINISTERIO DE TRANSPORTES Y COMUNICACIONES - PROVIAS NACIONAL</t>
  </si>
  <si>
    <t>VALORIZ. Nº 03</t>
  </si>
  <si>
    <t>VALORIZ. Nº 04</t>
  </si>
  <si>
    <t>VALORIZ. Nº 05</t>
  </si>
  <si>
    <t>Ia</t>
  </si>
  <si>
    <t>MES DE</t>
  </si>
  <si>
    <t>REAJUSTE</t>
  </si>
  <si>
    <t>COEFIC. DE REAJUSTE</t>
  </si>
  <si>
    <t>3. MONTO A FACTURAR (1+2)</t>
  </si>
  <si>
    <t>Por Adelanto en Efectivo (Regulariz.)</t>
  </si>
  <si>
    <t>ENTIDAD</t>
  </si>
  <si>
    <t xml:space="preserve"> </t>
  </si>
  <si>
    <t>BRUTO</t>
  </si>
  <si>
    <t>SALDO</t>
  </si>
  <si>
    <t>PARTIDA</t>
  </si>
  <si>
    <t>VALORIZ.</t>
  </si>
  <si>
    <t>MATERIAL</t>
  </si>
  <si>
    <t>POR</t>
  </si>
  <si>
    <t>UTILIZADO</t>
  </si>
  <si>
    <t>AMORTIZAR</t>
  </si>
  <si>
    <t>(1)</t>
  </si>
  <si>
    <t>OTORGADO</t>
  </si>
  <si>
    <t>Cantidad</t>
  </si>
  <si>
    <t>Precio Unit
(S/.)</t>
  </si>
  <si>
    <t>Monto Utilizado
(S/.) Mu</t>
  </si>
  <si>
    <t>IUP = 21</t>
  </si>
  <si>
    <t>IUP = 09</t>
  </si>
  <si>
    <t>Valorización</t>
  </si>
  <si>
    <t>Material Utilizado</t>
  </si>
  <si>
    <t>Ima</t>
  </si>
  <si>
    <t>Imo</t>
  </si>
  <si>
    <t>Monto
a Amortizar
Mu x Ima / Imo</t>
  </si>
  <si>
    <t>Monto
Amortizado
acumulado</t>
  </si>
  <si>
    <t>Saldo por
Amortizar</t>
  </si>
  <si>
    <t>Período</t>
  </si>
  <si>
    <t>Monto (S/.)</t>
  </si>
  <si>
    <t>Fecha</t>
  </si>
  <si>
    <t>(Set-02)</t>
  </si>
  <si>
    <t>(S/.)</t>
  </si>
  <si>
    <t xml:space="preserve">Cemento </t>
  </si>
  <si>
    <t>02</t>
  </si>
  <si>
    <t>03</t>
  </si>
  <si>
    <t>04</t>
  </si>
  <si>
    <t>Montos expresados en Nuevos Soles S/., no incluyen I.G.V.</t>
  </si>
  <si>
    <t>AMORTIZACION DEL ADELANTO ESPECIFICO PARA MATERIALES</t>
  </si>
  <si>
    <t>AMORTIZ MAY-05</t>
  </si>
  <si>
    <t>DIF</t>
  </si>
  <si>
    <t>MET ACUM.</t>
  </si>
  <si>
    <t>INSUMO OTORGADO</t>
  </si>
  <si>
    <t>SALDO x VALORIZAR A MAR.11</t>
  </si>
  <si>
    <t>CON METRADOS ACUM A MAY. 05</t>
  </si>
  <si>
    <t>se amortizo mas</t>
  </si>
  <si>
    <t>%</t>
  </si>
  <si>
    <t xml:space="preserve">   VALORIZACION DE OBRA Nº:</t>
  </si>
  <si>
    <t>R =</t>
  </si>
  <si>
    <t xml:space="preserve"> V  *  ( K  - 1 )</t>
  </si>
  <si>
    <t>R :</t>
  </si>
  <si>
    <t>Coeficiente de reajuste obtenido por aplicación de Fórmula Polinómica</t>
  </si>
  <si>
    <t>Reajuste  de la Valorización mensual</t>
  </si>
  <si>
    <t>Monto de la Valorización mensual</t>
  </si>
  <si>
    <t>PAGO A</t>
  </si>
  <si>
    <t>CUENTA</t>
  </si>
  <si>
    <t>REGULARIZ.</t>
  </si>
  <si>
    <t>REAJ. VAL</t>
  </si>
  <si>
    <t>R= V*(K-1)</t>
  </si>
  <si>
    <t>REGULARIZAC.</t>
  </si>
  <si>
    <t>DEL REAJ.</t>
  </si>
  <si>
    <t>COEF. DE REAJ.</t>
  </si>
  <si>
    <t xml:space="preserve">MES </t>
  </si>
  <si>
    <t>FORMULA :</t>
  </si>
  <si>
    <t>DONDE :</t>
  </si>
  <si>
    <t xml:space="preserve">     En concordancia con la Norma B, del artículo 7º del D.S. Nº 011-79-VC.</t>
  </si>
  <si>
    <t xml:space="preserve">     Se aplica la retención cuando la Obra se encuentra o ha estado atrasada y el Reajuste acumulado real supera el Reajuste acumulado programado.</t>
  </si>
  <si>
    <t>RETENCION</t>
  </si>
  <si>
    <t>POR RETRASO</t>
  </si>
  <si>
    <t>EN LA OBRA</t>
  </si>
  <si>
    <t>FORMULA:</t>
  </si>
  <si>
    <t>DATOS:</t>
  </si>
  <si>
    <t xml:space="preserve">MES   </t>
  </si>
  <si>
    <t>DEDUCCION :    Valorizacion x Coef. Incid. x (Ir-Ia)/Io</t>
  </si>
  <si>
    <t>MATERIAL  :</t>
  </si>
  <si>
    <t xml:space="preserve">INDICE : </t>
  </si>
  <si>
    <t>21</t>
  </si>
  <si>
    <t>ADELANTO</t>
  </si>
  <si>
    <t xml:space="preserve">  MONTO</t>
  </si>
  <si>
    <t xml:space="preserve"> MONTO DEFLATADO</t>
  </si>
  <si>
    <t>F.  PAGO</t>
  </si>
  <si>
    <t xml:space="preserve">   OTORGADO</t>
  </si>
  <si>
    <t>FORMULA POLINOMICA UNICA</t>
  </si>
  <si>
    <t>01</t>
  </si>
  <si>
    <t>MONTO</t>
  </si>
  <si>
    <t>DEL MONOMIO</t>
  </si>
  <si>
    <t>ADEL.</t>
  </si>
  <si>
    <t>I  N  D  I  C  E  S</t>
  </si>
  <si>
    <t>UTILIZ.</t>
  </si>
  <si>
    <t>MAXIMO</t>
  </si>
  <si>
    <t>DEDUCC.</t>
  </si>
  <si>
    <t>INC.</t>
  </si>
  <si>
    <t>(1)x(2)x(2)'=</t>
  </si>
  <si>
    <t>Io</t>
  </si>
  <si>
    <t>Ir</t>
  </si>
  <si>
    <t>UTILIZABLE</t>
  </si>
  <si>
    <t>"D"</t>
  </si>
  <si>
    <t>No.</t>
  </si>
  <si>
    <t>(2)</t>
  </si>
  <si>
    <t>(2)'</t>
  </si>
  <si>
    <t>(3)</t>
  </si>
  <si>
    <t>(4)</t>
  </si>
  <si>
    <t>(5)</t>
  </si>
  <si>
    <t>(6)</t>
  </si>
  <si>
    <t>ADEL.x(4)/(5)</t>
  </si>
  <si>
    <t>(8)</t>
  </si>
  <si>
    <t>05</t>
  </si>
  <si>
    <t>DEDUC. TOTAL</t>
  </si>
  <si>
    <t>DEDUC. ANTER.</t>
  </si>
  <si>
    <t xml:space="preserve">INSUMO </t>
  </si>
  <si>
    <t xml:space="preserve"> :</t>
  </si>
  <si>
    <t>DEDUCCIÓN DEL REAJUSTE QUE NO CORRESPONDE DEL ADELANTO PARA MATERIALES</t>
  </si>
  <si>
    <t>EN EL MES: S/.</t>
  </si>
  <si>
    <t>Total amortización Acumulada   S/.</t>
  </si>
  <si>
    <t>Total amortización Acumulada Anterior   S/.</t>
  </si>
  <si>
    <t>Total amortización Presente Mes   S/.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</si>
  <si>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</si>
  <si>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</si>
  <si>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</si>
  <si>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</si>
  <si>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</si>
  <si>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</si>
  <si>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</si>
  <si>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</si>
  <si>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</si>
  <si>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DE MATERIALES</t>
  </si>
  <si>
    <t xml:space="preserve">   AMORTIZACION EFECTUADA EN LAS VALORIZACIONES MENSUALES:</t>
  </si>
  <si>
    <t>Monto a
Amortizar</t>
  </si>
  <si>
    <t xml:space="preserve">4. MONTO RETENIDO </t>
  </si>
  <si>
    <t>III. MONTO A FACTURAR (I+II)</t>
  </si>
  <si>
    <t>IV. MONTO RETENIDO</t>
  </si>
  <si>
    <t>1. MONTO FACTURABLE (sin IGV)</t>
  </si>
  <si>
    <t>RESUMEN DE VALORIZACIONES DE OBRA PRINCIPAL</t>
  </si>
  <si>
    <t>VALORIZ. Nº 06</t>
  </si>
  <si>
    <t>VALORIZACIONES</t>
  </si>
  <si>
    <t>VALORIZ. Nº 07</t>
  </si>
  <si>
    <t>NOTA:</t>
  </si>
  <si>
    <t>(May- 05)</t>
  </si>
  <si>
    <t>DE LA</t>
  </si>
  <si>
    <t>ESTADO</t>
  </si>
  <si>
    <t>REGULARIZACION DE REAJUSTES DEL CONTRATO PRINCIPAL</t>
  </si>
  <si>
    <t xml:space="preserve"> ESTADO DE LOS ADELANTOS OTORGADOS PARA MATERIALES</t>
  </si>
  <si>
    <t xml:space="preserve"> ADELANTO ESPECIFICO</t>
  </si>
  <si>
    <t xml:space="preserve"> MATERIAL EN CANCHA</t>
  </si>
  <si>
    <t xml:space="preserve">Adelanto otorgado </t>
  </si>
  <si>
    <t>AMORTIZADO</t>
  </si>
  <si>
    <t>TOTAL ADELANTO MATERIALES</t>
  </si>
  <si>
    <t>AMORTIZACION DEL ADELANTO PARA MATERIAL EN CANCHA</t>
  </si>
  <si>
    <t>TOTAL ADELANTOS</t>
  </si>
  <si>
    <t>DEFLATADO</t>
  </si>
  <si>
    <t>(8)x(6-5)/(4)</t>
  </si>
  <si>
    <t>TOTAL MAT. CANCHA</t>
  </si>
  <si>
    <t>CEMENTO PORTLAND I</t>
  </si>
  <si>
    <t>Tram.</t>
  </si>
  <si>
    <t>CLAVOS</t>
  </si>
  <si>
    <t>Tramitado a la Entidad</t>
  </si>
  <si>
    <t>VALORIZ. Nº 01</t>
  </si>
  <si>
    <t>UND</t>
  </si>
  <si>
    <t>HA</t>
  </si>
  <si>
    <t>Kerosene</t>
  </si>
  <si>
    <t>Relleno de estructuras</t>
  </si>
  <si>
    <t>Encofrado y desencofrado</t>
  </si>
  <si>
    <t>Encofrado y desencofrado bajo agua</t>
  </si>
  <si>
    <t>Excavación en seco</t>
  </si>
  <si>
    <t>Filtro</t>
  </si>
  <si>
    <t>Gaviones</t>
  </si>
  <si>
    <t>Restauración de canteras</t>
  </si>
  <si>
    <t>Restauración de área afectada por planta de asfalto y chancadora</t>
  </si>
  <si>
    <t>M3K</t>
  </si>
  <si>
    <t>OFERTA</t>
  </si>
  <si>
    <t>SUPERVISOR</t>
  </si>
  <si>
    <t>PERIODO</t>
  </si>
  <si>
    <t>SITUACION DE LA OBRA</t>
  </si>
  <si>
    <t>CONTRATO PRINCIPAL</t>
  </si>
  <si>
    <t>% PARCIAL</t>
  </si>
  <si>
    <t>% ACUM</t>
  </si>
  <si>
    <t>% ACUM.</t>
  </si>
  <si>
    <t>ADELANTADO</t>
  </si>
  <si>
    <t>VALORIZ. Nº 15</t>
  </si>
  <si>
    <t xml:space="preserve">     CAOA - Calendario de Avance de Obra Actualizado por ejecucion del Adicional Nº 05 y Deductivo Nº 03, Aprobado mediante Carta Nº 1015-2011-MTC/20.5 del 17.06.11(Incluye Adicionales Nº 01 al 05 y Deductivos Vinc. Nº 01 al 03)</t>
  </si>
  <si>
    <t>(*) Incluye Deductivos Vinculantes Nº 01, 02 y 03</t>
  </si>
  <si>
    <t>ATRASADO</t>
  </si>
  <si>
    <t>(%)</t>
  </si>
  <si>
    <t>Set-97</t>
  </si>
  <si>
    <t>Nº 03</t>
  </si>
  <si>
    <t>VALORIZACIONES DE OBRA PROGRAMADAS - MONTO SIN I.G.V. (S/.)</t>
  </si>
  <si>
    <t>VALORIZACIONES DE OBRA EJECUTADAS - MONTO SIN I.G.V. (S/.)</t>
  </si>
  <si>
    <t>ACERO DE CONSTRUCCION CORRUGADO</t>
  </si>
  <si>
    <t>CANTIDAD
UTILIZADA</t>
  </si>
  <si>
    <t>002</t>
  </si>
  <si>
    <t>01.02.00</t>
  </si>
  <si>
    <t>CARTEL DE IDENTIFICACION DE LA OBRA DE 5.40 X 3.60 m</t>
  </si>
  <si>
    <t>01.03.00</t>
  </si>
  <si>
    <t>TRAZO Y REPLANTEO EN CANALES</t>
  </si>
  <si>
    <t>01.04.00</t>
  </si>
  <si>
    <t>ROCE Y LIMPIEZA</t>
  </si>
  <si>
    <t>02.01.01</t>
  </si>
  <si>
    <t>CORTE DE MATERIAL SUELTO R=810 m3/día</t>
  </si>
  <si>
    <t>02.01.02</t>
  </si>
  <si>
    <t>02.01.03</t>
  </si>
  <si>
    <t>02.02.00</t>
  </si>
  <si>
    <t>04.02.02</t>
  </si>
  <si>
    <t>04.03.02</t>
  </si>
  <si>
    <t>ALCANTARILLA TMC 0=24" C=16 R=12 m/día</t>
  </si>
  <si>
    <t>04.03.03</t>
  </si>
  <si>
    <t>04.03.04A</t>
  </si>
  <si>
    <t>04.03.04B</t>
  </si>
  <si>
    <t>04.03.05</t>
  </si>
  <si>
    <t>RELLENO CON MATERIAL PROPIO</t>
  </si>
  <si>
    <t>04.03.07</t>
  </si>
  <si>
    <t>CONCRETO CICLOPEO  f'c=175 kg/cm2 + 30 % PM.</t>
  </si>
  <si>
    <t>04.03.08</t>
  </si>
  <si>
    <t>SOLADOS CONCRETO f'c=100 kg/cm2 h=2"</t>
  </si>
  <si>
    <t>04.04.04</t>
  </si>
  <si>
    <t>SOLADOS CONCRETO f'c=100 kg/cm2</t>
  </si>
  <si>
    <t>04.04.05</t>
  </si>
  <si>
    <t>CONCRETO f 'c=210 kg/cm2</t>
  </si>
  <si>
    <t>04.04.06</t>
  </si>
  <si>
    <t>04.04.07</t>
  </si>
  <si>
    <t>04.05.02</t>
  </si>
  <si>
    <t>04.05.03</t>
  </si>
  <si>
    <t>04.05.04</t>
  </si>
  <si>
    <t>04.05.05</t>
  </si>
  <si>
    <t>04.05.07</t>
  </si>
  <si>
    <t>04.05.08</t>
  </si>
  <si>
    <t>04.05.09</t>
  </si>
  <si>
    <t>04.06.04</t>
  </si>
  <si>
    <t>ENCOFRADO Y DESENCOFRADO NORMAL</t>
  </si>
  <si>
    <t>04.06.06</t>
  </si>
  <si>
    <t>04.06.07</t>
  </si>
  <si>
    <t>04.06.08</t>
  </si>
  <si>
    <t>04.06.09</t>
  </si>
  <si>
    <t>04.06.10</t>
  </si>
  <si>
    <t>04.06.13</t>
  </si>
  <si>
    <t>04.06.17</t>
  </si>
  <si>
    <t>04.06.18</t>
  </si>
  <si>
    <t>04.07.06</t>
  </si>
  <si>
    <t>04.07.07</t>
  </si>
  <si>
    <t>JUNTAS ASFALTICAS</t>
  </si>
  <si>
    <t>04.07.08</t>
  </si>
  <si>
    <t>04.08.01</t>
  </si>
  <si>
    <t>LIMPIEZA DE CUNETAS R=320 m/día</t>
  </si>
  <si>
    <t>04.08.02</t>
  </si>
  <si>
    <t>04.08.03</t>
  </si>
  <si>
    <t>04.08.04</t>
  </si>
  <si>
    <t>04.09.02</t>
  </si>
  <si>
    <t>04.09.04</t>
  </si>
  <si>
    <t>04.10.02</t>
  </si>
  <si>
    <t>04.10.03</t>
  </si>
  <si>
    <t>04.11.02</t>
  </si>
  <si>
    <t>04.12.02</t>
  </si>
  <si>
    <t>04.12.04</t>
  </si>
  <si>
    <t>04.12.05</t>
  </si>
  <si>
    <t>04.13.05</t>
  </si>
  <si>
    <t>04.13.06</t>
  </si>
  <si>
    <t>04.13.07</t>
  </si>
  <si>
    <t>04.13.08</t>
  </si>
  <si>
    <t>04.13.09</t>
  </si>
  <si>
    <t>04.13.13</t>
  </si>
  <si>
    <t>04.13.14</t>
  </si>
  <si>
    <t>04.14.04</t>
  </si>
  <si>
    <t>04.14.05</t>
  </si>
  <si>
    <t>04.15.02</t>
  </si>
  <si>
    <t>05.01.00</t>
  </si>
  <si>
    <t>POSTE PEDESTAL PARA CONTROL</t>
  </si>
  <si>
    <t>05.02.00</t>
  </si>
  <si>
    <t>05.03.00</t>
  </si>
  <si>
    <t>05.05.00</t>
  </si>
  <si>
    <t>GUARDAVIA (CARPINTERIA METALICA + CONCRETO)</t>
  </si>
  <si>
    <t>05.06.00</t>
  </si>
  <si>
    <t>06.07.00</t>
  </si>
  <si>
    <t>02.03.01</t>
  </si>
  <si>
    <t>02.03.02</t>
  </si>
  <si>
    <t>02.04.00</t>
  </si>
  <si>
    <t>02.05.00</t>
  </si>
  <si>
    <t>02.06.00</t>
  </si>
  <si>
    <t>03.01.00</t>
  </si>
  <si>
    <t>03.02.00</t>
  </si>
  <si>
    <t>03.03.00</t>
  </si>
  <si>
    <t>03.04.00</t>
  </si>
  <si>
    <t>04.02.01</t>
  </si>
  <si>
    <t>04.04.01</t>
  </si>
  <si>
    <t>EXCAVACION DE ZANJAS PARA ESTRUCTURAS R=30 m3/día</t>
  </si>
  <si>
    <t>04.05.01</t>
  </si>
  <si>
    <t>04.06.01</t>
  </si>
  <si>
    <t>04.06.02</t>
  </si>
  <si>
    <t>04.06.14</t>
  </si>
  <si>
    <t>EXCAVACION</t>
  </si>
  <si>
    <t>04.06.15</t>
  </si>
  <si>
    <t>04.06.16</t>
  </si>
  <si>
    <t>04.07.01</t>
  </si>
  <si>
    <t>04.07.03</t>
  </si>
  <si>
    <t>04.07.09</t>
  </si>
  <si>
    <t>04.13.01</t>
  </si>
  <si>
    <t>04.14.01</t>
  </si>
  <si>
    <t>04.14.02</t>
  </si>
  <si>
    <t>04.14.03</t>
  </si>
  <si>
    <t>04.15.01</t>
  </si>
  <si>
    <t>05.04.03</t>
  </si>
  <si>
    <t>06.01.00</t>
  </si>
  <si>
    <t>06.02.00</t>
  </si>
  <si>
    <t>06.04.00</t>
  </si>
  <si>
    <t>06.05.00</t>
  </si>
  <si>
    <t>06.06.00</t>
  </si>
  <si>
    <t>07.01.00</t>
  </si>
  <si>
    <t>07.02.00</t>
  </si>
  <si>
    <t>07.03.00</t>
  </si>
  <si>
    <t>07.04.00</t>
  </si>
  <si>
    <t>07.05.00</t>
  </si>
  <si>
    <t>07.06.00</t>
  </si>
  <si>
    <t>08.01.00</t>
  </si>
  <si>
    <t>GEOREFERENCIACION</t>
  </si>
  <si>
    <t>TOPOGRAFIA ACOMPAÑAMIENTO</t>
  </si>
  <si>
    <t>AFLOJ. EN ROCA FRACTURADA</t>
  </si>
  <si>
    <t>VOLADURA EN ROCA FIJA</t>
  </si>
  <si>
    <t>CONCRETO f'c=175 kg/cm2</t>
  </si>
  <si>
    <t>04.03.06</t>
  </si>
  <si>
    <t>04.04.02</t>
  </si>
  <si>
    <t>04.06.03</t>
  </si>
  <si>
    <t>04.06.05</t>
  </si>
  <si>
    <t>ACERO CORRUGADO fy=4200 kg/cm2 GRADO 60</t>
  </si>
  <si>
    <t>04.06.11</t>
  </si>
  <si>
    <t>JUNTAS DE DILATACION TIPO HONEL</t>
  </si>
  <si>
    <t>COLOCADO DE BARANDAS METALICAS</t>
  </si>
  <si>
    <t>FABRICACION BARANDAS METALICAS</t>
  </si>
  <si>
    <t>04.07.04</t>
  </si>
  <si>
    <t>04.07.05</t>
  </si>
  <si>
    <t>JUNTAS DE DILATACION P/CUNETAS (2.5)</t>
  </si>
  <si>
    <t>JUNTAS DE EXPANSION P/CUNETAS (10m)</t>
  </si>
  <si>
    <t>CONCRETO f'c=210 kg/cm2</t>
  </si>
  <si>
    <t>04.09.03</t>
  </si>
  <si>
    <t>04.12.03</t>
  </si>
  <si>
    <t>04.13.03</t>
  </si>
  <si>
    <t>04.13.04</t>
  </si>
  <si>
    <t>COLOCACION DE TECKNOPORT</t>
  </si>
  <si>
    <t>04.13.10</t>
  </si>
  <si>
    <t>04.13.11</t>
  </si>
  <si>
    <t>04.13.12</t>
  </si>
  <si>
    <t>CONCRETO f'c=140 kg/cm2</t>
  </si>
  <si>
    <t>05.04.01</t>
  </si>
  <si>
    <t>05.04.02</t>
  </si>
  <si>
    <t>05.07.00</t>
  </si>
  <si>
    <t>MARCAS EN EL PAVIMENTO R=2 km/día</t>
  </si>
  <si>
    <t>06.03.00</t>
  </si>
  <si>
    <t>FABRICACION DE CONCRETO f'c=175 kg/cm2</t>
  </si>
  <si>
    <t>04.04.03</t>
  </si>
  <si>
    <t>04.05.06</t>
  </si>
  <si>
    <t>04.06.12</t>
  </si>
  <si>
    <t>APOYO DE NEOPRENE SHORE 70.  DE 0.50 X 0.22 X 0.05  m</t>
  </si>
  <si>
    <t>PINTURA ANTICORROSIVA EPOXICA</t>
  </si>
  <si>
    <t>PINTURA ESMALTE EPOXICA</t>
  </si>
  <si>
    <t>ENCOFRADO PARA CUNETAS Y ZANJAS</t>
  </si>
  <si>
    <t>INSTALACION DE SEÑALES</t>
  </si>
  <si>
    <t>PINTADO DE POSTES</t>
  </si>
  <si>
    <t>PERFORACION Y DISPARO P/PLATAFORMADO ROCA SUELTA</t>
  </si>
  <si>
    <t>PERFORACION Y DISPARO P/PLATAFORMADO ROCA FIJA</t>
  </si>
  <si>
    <t>IMPLEMENTOS DE SEGURIDAD VIAL</t>
  </si>
  <si>
    <t>p</t>
  </si>
  <si>
    <t>0202000010</t>
  </si>
  <si>
    <t>ALAMBRE NEGRO # 16</t>
  </si>
  <si>
    <t>0202000015</t>
  </si>
  <si>
    <t>ALAMBRE NEGRO #  8</t>
  </si>
  <si>
    <t>0202000023</t>
  </si>
  <si>
    <t>ACERO DE CONSTRUCCION LISO</t>
  </si>
  <si>
    <t>0202010022</t>
  </si>
  <si>
    <t>CLAVOS PARA MADERA</t>
  </si>
  <si>
    <t>0202010023</t>
  </si>
  <si>
    <t>0202130015</t>
  </si>
  <si>
    <t>ALMA DE POSTE DE 3/8" X 1.05m X 0.16m</t>
  </si>
  <si>
    <t>0202200100</t>
  </si>
  <si>
    <t>PERNO 1/2" X 3"</t>
  </si>
  <si>
    <t>u</t>
  </si>
  <si>
    <t>0202510100</t>
  </si>
  <si>
    <t>PERNOS 3/4" X 14"</t>
  </si>
  <si>
    <t>CORREGIR METRADOS AMORTIZADOS DEMAS</t>
  </si>
  <si>
    <t>AMORTIZADO VAL. N° 7</t>
  </si>
  <si>
    <t>DEBIO</t>
  </si>
  <si>
    <t>DESCONTAR</t>
  </si>
  <si>
    <t>DESCONTADO VAL. N° 08</t>
  </si>
  <si>
    <t>0202510101</t>
  </si>
  <si>
    <t>JUEGO DE PERNOS Y TUERCAS P/GUARDAVIA</t>
  </si>
  <si>
    <t>jgo</t>
  </si>
  <si>
    <t>0202510102</t>
  </si>
  <si>
    <t>PERNOS</t>
  </si>
  <si>
    <t>0202510103</t>
  </si>
  <si>
    <t>PERNOS 3/8" X 7"</t>
  </si>
  <si>
    <t>0202620002</t>
  </si>
  <si>
    <t>PLACA DE BRONCE</t>
  </si>
  <si>
    <t>0202620003</t>
  </si>
  <si>
    <t>PLACA DE APOYO 1/2" X 0.27m X 0.22m</t>
  </si>
  <si>
    <t>0202630002</t>
  </si>
  <si>
    <t>VARILLA LISA 3/4"</t>
  </si>
  <si>
    <t>0202810005</t>
  </si>
  <si>
    <t>BARRAS DE ACERO 3/8" X 3/8" X 6m</t>
  </si>
  <si>
    <t>pza</t>
  </si>
  <si>
    <t>0203020003</t>
  </si>
  <si>
    <t>0203110002</t>
  </si>
  <si>
    <t>LAMINA REFLECTIVA ALTA INTENSIDAD</t>
  </si>
  <si>
    <t>p2</t>
  </si>
  <si>
    <t>0203110003</t>
  </si>
  <si>
    <t>LAMINA REFELCTIVA GRADO INGEN.</t>
  </si>
  <si>
    <t>0209010039</t>
  </si>
  <si>
    <t>ALCANTARILLA METALICA 0=72" C=8</t>
  </si>
  <si>
    <t>VALORIZ. Nº 11</t>
  </si>
  <si>
    <t>0209010048</t>
  </si>
  <si>
    <t>ALCANTARILLA TMC D=36" e=1.5 mm</t>
  </si>
  <si>
    <t>0209010049</t>
  </si>
  <si>
    <t>ALCANTARILLA TMC D=48" e=2.5 mm</t>
  </si>
  <si>
    <t>0209010050</t>
  </si>
  <si>
    <t>ALCANTARILLA TMC D=60" e=3.0 mm</t>
  </si>
  <si>
    <t>0213000023</t>
  </si>
  <si>
    <t>ASFALTO LIQUIDO RC-250</t>
  </si>
  <si>
    <t>gal</t>
  </si>
  <si>
    <t>03.05.00</t>
  </si>
  <si>
    <t>0213000024</t>
  </si>
  <si>
    <t>ASFALTO DILUIDO MC-30</t>
  </si>
  <si>
    <t>03.06.00</t>
  </si>
  <si>
    <t>0221000001</t>
  </si>
  <si>
    <t>CEMENTO PORTLAND TIPO I (42.5 kg)</t>
  </si>
  <si>
    <t>bls</t>
  </si>
  <si>
    <t>0227000008</t>
  </si>
  <si>
    <t>GUIA SEGURIDAD</t>
  </si>
  <si>
    <t>0227000009</t>
  </si>
  <si>
    <t>MECHA LENTA</t>
  </si>
  <si>
    <t>0227000010</t>
  </si>
  <si>
    <t>FANEL/TECNEL X 9 m</t>
  </si>
  <si>
    <t>0227010000</t>
  </si>
  <si>
    <t>CORDON DETONANTE 3 p</t>
  </si>
  <si>
    <t>0227020011</t>
  </si>
  <si>
    <t>FULMINANTE</t>
  </si>
  <si>
    <t>0227020015</t>
  </si>
  <si>
    <t>ANFO</t>
  </si>
  <si>
    <t>0227020016</t>
  </si>
  <si>
    <t>FULMINANTE # 8</t>
  </si>
  <si>
    <t>0228000023</t>
  </si>
  <si>
    <t>DINAMITA AL 65%</t>
  </si>
  <si>
    <t>0228000026</t>
  </si>
  <si>
    <t>DINAMITA 7/8 65%</t>
  </si>
  <si>
    <t>0229030099</t>
  </si>
  <si>
    <t>CAL HIDRATADA</t>
  </si>
  <si>
    <t>0229060006</t>
  </si>
  <si>
    <t>YESO</t>
  </si>
  <si>
    <t>0229120062</t>
  </si>
  <si>
    <t>TECKNOPORT E= 1/2"</t>
  </si>
  <si>
    <t>0229120064</t>
  </si>
  <si>
    <t>NEOPRENO</t>
  </si>
  <si>
    <t>cm3</t>
  </si>
  <si>
    <t>0229120065</t>
  </si>
  <si>
    <t>TECKNOPORT 1"X1.20mX1.20m</t>
  </si>
  <si>
    <t>0229200010</t>
  </si>
  <si>
    <t>THINNER CORRIENTE</t>
  </si>
  <si>
    <t>0229500091</t>
  </si>
  <si>
    <t>SOLDADURA</t>
  </si>
  <si>
    <t>0230020096</t>
  </si>
  <si>
    <t>BARRENO 5' X 1/8"</t>
  </si>
  <si>
    <t>0230020097</t>
  </si>
  <si>
    <t>BARRENO DE PERFORACION 7/8" X 1.5 m</t>
  </si>
  <si>
    <t>0230020098</t>
  </si>
  <si>
    <t>BARRENO 3'</t>
  </si>
  <si>
    <t>0230020099</t>
  </si>
  <si>
    <t>BARRENO 5'</t>
  </si>
  <si>
    <t>0230020100</t>
  </si>
  <si>
    <t>BARRENO 8'</t>
  </si>
  <si>
    <t>0230190000</t>
  </si>
  <si>
    <t>ADITIVO CURADOR</t>
  </si>
  <si>
    <t>0230320007</t>
  </si>
  <si>
    <t>FIBRA DE VIDRIO DE 4" ACABADO</t>
  </si>
  <si>
    <t>0230670002</t>
  </si>
  <si>
    <t>LAMINA REFLECTORIZANTE</t>
  </si>
  <si>
    <t>0230750110</t>
  </si>
  <si>
    <t>TINTA SERIGRAFICA NEGRA</t>
  </si>
  <si>
    <t>0230750111</t>
  </si>
  <si>
    <t>TINTA SERIGRAFICA ROJA</t>
  </si>
  <si>
    <t>0230990011</t>
  </si>
  <si>
    <t>ADITIVO DESMOLDADOR</t>
  </si>
  <si>
    <t>0230990104</t>
  </si>
  <si>
    <t>LIJA PARA METAL</t>
  </si>
  <si>
    <t>0230990105</t>
  </si>
  <si>
    <t>Nº 05</t>
  </si>
  <si>
    <t>IGAS PRIMER - IMPRIMANTE</t>
  </si>
  <si>
    <t>0230990106</t>
  </si>
  <si>
    <t>IGAS NEGRO</t>
  </si>
  <si>
    <t>0230990107</t>
  </si>
  <si>
    <t>LAMPARAS DESTELLANTES</t>
  </si>
  <si>
    <t>0230990108</t>
  </si>
  <si>
    <t>CHALECOS DE SEGURIDAD</t>
  </si>
  <si>
    <t>0230990109</t>
  </si>
  <si>
    <t>REPARACION O REPOPSICION</t>
  </si>
  <si>
    <t>0232970002</t>
  </si>
  <si>
    <t>MOVILIZACION Y DESMOVILIZACION</t>
  </si>
  <si>
    <t>glb</t>
  </si>
  <si>
    <t>01.01.00</t>
  </si>
  <si>
    <t>MOVILIZACION DE MAQUINARIAS HERRAMIENTAS PARA LA OBRA</t>
  </si>
  <si>
    <t>0234000003</t>
  </si>
  <si>
    <t>GASOLINA</t>
  </si>
  <si>
    <t>0239050000</t>
  </si>
  <si>
    <t>AGUA</t>
  </si>
  <si>
    <t>0239160011</t>
  </si>
  <si>
    <t>CORDEL</t>
  </si>
  <si>
    <t>0239900100</t>
  </si>
  <si>
    <t>SEÑALES RESTRICTIVAS</t>
  </si>
  <si>
    <t>0239900101</t>
  </si>
  <si>
    <t>SEÑALES PREVENTIVAS</t>
  </si>
  <si>
    <t>0239900102</t>
  </si>
  <si>
    <t>TRANQUERAS</t>
  </si>
  <si>
    <t>0239900103</t>
  </si>
  <si>
    <t>CONOS 70cm ALTO</t>
  </si>
  <si>
    <t>0239900104</t>
  </si>
  <si>
    <t>BANDERINES</t>
  </si>
  <si>
    <t>0239900105</t>
  </si>
  <si>
    <t>SEÑALES INFORMATIVAS</t>
  </si>
  <si>
    <t>0243040000</t>
  </si>
  <si>
    <t>MADERA TORNILLO</t>
  </si>
  <si>
    <t>0245010007</t>
  </si>
  <si>
    <t>PLANTAS NATIVAS</t>
  </si>
  <si>
    <t>0246900002</t>
  </si>
  <si>
    <t>GAVION 5.0mx1.0mx1.0m/8x10/2.7mm</t>
  </si>
  <si>
    <t>0246900003</t>
  </si>
  <si>
    <t>GAVION 5.0mx1.5mx1.0m/8x10/2.7mm</t>
  </si>
  <si>
    <t>0251010058</t>
  </si>
  <si>
    <t>ANGULO DE ACERO DE 4" X 4" X 1/2" X 6m</t>
  </si>
  <si>
    <t>0251010059</t>
  </si>
  <si>
    <t>ANGULO 1" X 1" X 1/8"</t>
  </si>
  <si>
    <t>0251040128</t>
  </si>
  <si>
    <t>PLATINA 2" X 1/8"</t>
  </si>
  <si>
    <t>0251040129</t>
  </si>
  <si>
    <t>PLATINA 3/16" X 2" X 3"</t>
  </si>
  <si>
    <t>0251040130</t>
  </si>
  <si>
    <t>PLATINA 1/4" X 2 1/2" X 4"</t>
  </si>
  <si>
    <t>0251070004</t>
  </si>
  <si>
    <t>TUBO METALICO DE 2"</t>
  </si>
  <si>
    <t>0251100002</t>
  </si>
  <si>
    <t>GUARDAVIAS</t>
  </si>
  <si>
    <t>0253000000</t>
  </si>
  <si>
    <t>KEROSENE INDUSTRIAL</t>
  </si>
  <si>
    <t>03.07.00</t>
  </si>
  <si>
    <t>0253000002</t>
  </si>
  <si>
    <t>PETROLEO DIESSEL # 2</t>
  </si>
  <si>
    <t>0253050004</t>
  </si>
  <si>
    <t>DISOLVENTE EPOXICO</t>
  </si>
  <si>
    <t>0253050013</t>
  </si>
  <si>
    <t>SOLVENTE</t>
  </si>
  <si>
    <t>0254010001</t>
  </si>
  <si>
    <t>A M O R T I Z A C I O N     D E L     A D E L A N T O     P A R A     M A T E R I A L E S     Nº  02</t>
  </si>
  <si>
    <t>Monto del Adelanto Especifico para ASFALTO LIQUIDO</t>
  </si>
  <si>
    <t>ASFALTO LIQUIDO</t>
  </si>
  <si>
    <t>Indice INEI a la Fecha del Pago del Adelanto  (Setiembre 2,010)</t>
  </si>
  <si>
    <t>ASFALTO LIQUIDO MC-30</t>
  </si>
  <si>
    <t>LT</t>
  </si>
  <si>
    <t>C O N T R O L   D E L   A D E L A N T O   P A R A   M A T E R I A L E S   Nº 02</t>
  </si>
  <si>
    <t>AMORTIZACION DEL ADELANTO DE MATERIALES Nº 02</t>
  </si>
  <si>
    <t>DEDUCCION POR REAJUSTE QUE NO CORRESPONDE DEL ADELANTO DE MATERIALES Nº 02</t>
  </si>
  <si>
    <t>OK</t>
  </si>
  <si>
    <t>Monto del Adelanto Especifico para CEMENTO ASFALTICO</t>
  </si>
  <si>
    <t>20</t>
  </si>
  <si>
    <t>CEMENTO ASFALTICO PEN 120/150</t>
  </si>
  <si>
    <t>DISOLVENTE PARA LACA DE ENCOFRADO</t>
  </si>
  <si>
    <t>PLASTIMENT</t>
  </si>
  <si>
    <t>DESMOLDANTE</t>
  </si>
  <si>
    <t>MATERIAL DE RESPALDO PARA SELLADORES D=5/5"</t>
  </si>
  <si>
    <t>PRIMER PARA EL SELLADO ASFALTICO DE JUNTAS</t>
  </si>
  <si>
    <t>SELLADOR DE JUNTAS - MASILLA SELLANTE BITUMINOSA</t>
  </si>
  <si>
    <t>INCORPORADOR DE AIRE</t>
  </si>
  <si>
    <t>MEJORADOR DE ADHERENCIA</t>
  </si>
  <si>
    <t>Monto del Adelanto Especifico para COMBUSTIBLE</t>
  </si>
  <si>
    <t>EQUIPO MECANICO</t>
  </si>
  <si>
    <t>Monto del Adelanto Especifico para PETROLEO DIESEL</t>
  </si>
  <si>
    <t>PETROLEO DIESEL</t>
  </si>
  <si>
    <t>53</t>
  </si>
  <si>
    <t>PETROLEO DIESEL (MEZCLA ASFALTICA)</t>
  </si>
  <si>
    <t>VAL. 19</t>
  </si>
  <si>
    <t>PINTURA ESMALTE SINTETICO</t>
  </si>
  <si>
    <t>0254010015</t>
  </si>
  <si>
    <t>PINTURA ESMALTE</t>
  </si>
  <si>
    <t>0254130004</t>
  </si>
  <si>
    <t>PINTURA IMPRIMANTE</t>
  </si>
  <si>
    <t>0254220005</t>
  </si>
  <si>
    <t>0254220009</t>
  </si>
  <si>
    <t>0254450076</t>
  </si>
  <si>
    <t>PINTURA PARA TRAFICO</t>
  </si>
  <si>
    <t>0254450077</t>
  </si>
  <si>
    <t>MICROESFERAS</t>
  </si>
  <si>
    <t>0256020083</t>
  </si>
  <si>
    <t>PLANCHA 8" X 8" X 5/8"</t>
  </si>
  <si>
    <t>0256020084</t>
  </si>
  <si>
    <t>PLANCHA ROLADA 3/8" X 2.10m X 0.12 m</t>
  </si>
  <si>
    <t>0259030001</t>
  </si>
  <si>
    <t>TERMINALES DE GUARDAVIAS</t>
  </si>
  <si>
    <t>0262020005</t>
  </si>
  <si>
    <t>DELINEADOR DE GUARDAVIA</t>
  </si>
  <si>
    <t>0263040001</t>
  </si>
  <si>
    <t>GEOTEXTIL</t>
  </si>
  <si>
    <t>0265000055</t>
  </si>
  <si>
    <t>TUBO FIERRO GALVANIZADO DE 1"</t>
  </si>
  <si>
    <t>0265000060</t>
  </si>
  <si>
    <t>TUBO FIERRO GALVANIZADO DE 3"</t>
  </si>
  <si>
    <t>0265000061</t>
  </si>
  <si>
    <t>TUBO FIERRO GALVANIZADO DE 4"</t>
  </si>
  <si>
    <t>0265040020</t>
  </si>
  <si>
    <t>TAPON METALICO</t>
  </si>
  <si>
    <t>0265170100</t>
  </si>
  <si>
    <t>TUBO DE FIERRO NEGRO DE 3"</t>
  </si>
  <si>
    <t>0265250003</t>
  </si>
  <si>
    <t>POSTES DE ACERO GALVANIZADO L=1.80m P/GUARDAVIA</t>
  </si>
  <si>
    <t>0272130003</t>
  </si>
  <si>
    <t>TUBERIA PVC SAL PARA DESAGUE DE 4" X 3 m</t>
  </si>
  <si>
    <t>0274010032</t>
  </si>
  <si>
    <t>TUBO PVC 4"</t>
  </si>
  <si>
    <t>0274010033</t>
  </si>
  <si>
    <t>TUBO PVC 1/2"</t>
  </si>
  <si>
    <t>ELABORACION DE POSTES DE SEÑALIZACION</t>
  </si>
  <si>
    <t>Alambre negro # 16</t>
  </si>
  <si>
    <t>Alambre negro # 08</t>
  </si>
  <si>
    <t>Madera Tornillo</t>
  </si>
  <si>
    <t>IUP = 43</t>
  </si>
  <si>
    <t>(Jun-05)</t>
  </si>
  <si>
    <t>- El Adelanto para materiales Nº 01, ha sido tramitado a la Entidad mediante Carta Nº 030-2006/CSVPO-JS Registro Nº 003135 de fecha 16.01.06, a la fecha aún no ha sido cancelado</t>
  </si>
  <si>
    <t>OBSERVACION</t>
  </si>
  <si>
    <t>Materiales Varios</t>
  </si>
  <si>
    <t>ACUMULADO ACTUAL MAT.</t>
  </si>
  <si>
    <t>ACUMULADO ACTUAL MAT. CANCHA</t>
  </si>
  <si>
    <t>TOTAL ACUMULADO ACTUAL</t>
  </si>
  <si>
    <t>SALDO POR AMORT.  S/.</t>
  </si>
  <si>
    <t>ACUMULADO              S/.</t>
  </si>
  <si>
    <t>Tramite</t>
  </si>
  <si>
    <t>CLAVO PARA MADERA</t>
  </si>
  <si>
    <t>ALAMBRE NEGRO # 08</t>
  </si>
  <si>
    <t>Alcantarilla TMC Ø = 36"</t>
  </si>
  <si>
    <t>Alcantarilla TMC Ø = 48"</t>
  </si>
  <si>
    <t>Alcantarilla TMC Ø = 60"</t>
  </si>
  <si>
    <t>Alcantarilla TMC Ø = 72"</t>
  </si>
  <si>
    <t>ALCANTARILLA TMC Ø = 36"</t>
  </si>
  <si>
    <t>ALCANTARILLA TMC Ø = 48"</t>
  </si>
  <si>
    <t>ALCANTARILLA TMC Ø = 60"</t>
  </si>
  <si>
    <t>ALCANTARILLA TMC Ø = 72"</t>
  </si>
  <si>
    <t>GLB</t>
  </si>
  <si>
    <t>Mantenimiento  de tránsito temporal y seguridad vial</t>
  </si>
  <si>
    <t>Transporte de material  para relleno d &gt;= 1.00 km</t>
  </si>
  <si>
    <t>Transporte de material  para relleno d &lt;= 1.00 km</t>
  </si>
  <si>
    <t>Transporte de escombros para d &gt; 1.00 km</t>
  </si>
  <si>
    <t>Transporte de escombros para d &lt;= 1.00 km</t>
  </si>
  <si>
    <t>Transporte de materiales granulares para d &gt; 1.00 km</t>
  </si>
  <si>
    <t>Transporte de materiales granulares para d &lt;= 1.00 km</t>
  </si>
  <si>
    <t>Sellado de letrinas</t>
  </si>
  <si>
    <t>Restauración de área afectada por patio de maquinas</t>
  </si>
  <si>
    <t>Restauración de área afectada por campamento</t>
  </si>
  <si>
    <t>Acondicionamiento de depósitos de material excedente</t>
  </si>
  <si>
    <t>Demarcación en el pavimento</t>
  </si>
  <si>
    <t>Guardavías (incluye terminal)</t>
  </si>
  <si>
    <t>Cimentación y montaje señal informativa</t>
  </si>
  <si>
    <t>Señal reglamentaria</t>
  </si>
  <si>
    <t>Señal preventiva (0.75 m x 0.75 m)</t>
  </si>
  <si>
    <t>Postes kilométricos</t>
  </si>
  <si>
    <t>Excavación para gaviones</t>
  </si>
  <si>
    <t>Enrocado</t>
  </si>
  <si>
    <t>Conformación de talud</t>
  </si>
  <si>
    <t>Excavación para estructuras bajo agua</t>
  </si>
  <si>
    <t>Excavación para enrocados</t>
  </si>
  <si>
    <t>Material impermeable</t>
  </si>
  <si>
    <t>Concreto ciclópeo f´c 175 kg/cm2 + 30% pm, para muros</t>
  </si>
  <si>
    <t>Concreto f´c 210 kg/cm2</t>
  </si>
  <si>
    <t>Solado de concreto f´c 100 kg/cm2, e=0.075 m</t>
  </si>
  <si>
    <t>Excavación para estructuras (maquinaria)</t>
  </si>
  <si>
    <t>Mampostería de piedra (e=0.15 m)</t>
  </si>
  <si>
    <t>Concreto ciclópeo f´c 140 kg/cm2 + 30% pm</t>
  </si>
  <si>
    <t>Zanja lateral (tierra)</t>
  </si>
  <si>
    <t>Acomodo de piedras  diam=2" y 8"</t>
  </si>
  <si>
    <t>Tapa de cuneta de 1.50m x 1.00m x 0.10m</t>
  </si>
  <si>
    <t>Tapa cuneta de 0.80m x 1.00m x 0.10m</t>
  </si>
  <si>
    <t>Cunetas rectangulares</t>
  </si>
  <si>
    <t>Cunetas triangulares</t>
  </si>
  <si>
    <t>Enrocado con mortero</t>
  </si>
  <si>
    <t>Aliviaderos y emboquillado de piedra (e=0.30m)</t>
  </si>
  <si>
    <t>Junta asfáltica longitudinal</t>
  </si>
  <si>
    <t>Concreto f´c 245 kg/cm2</t>
  </si>
  <si>
    <t>Base e=0.20m</t>
  </si>
  <si>
    <t>Terraplén</t>
  </si>
  <si>
    <t>Excavación bajo agua</t>
  </si>
  <si>
    <t>Barandas metálicas</t>
  </si>
  <si>
    <t>Juntas de expansión metálica</t>
  </si>
  <si>
    <t>Concreto f´c 100 kg/cm2</t>
  </si>
  <si>
    <t>Concreto f´c 210 kg/cm2 bajo agua</t>
  </si>
  <si>
    <t>Concreto f 'c=210 kg/cm2</t>
  </si>
  <si>
    <t>Concreto f´c 280 kg/cm2</t>
  </si>
  <si>
    <t>Aliviaderos y emboquillado de piedra (e=0.15m)</t>
  </si>
  <si>
    <t>Concreto ciclópeo f´c 175 kg/cm2 + 30% piedra mediana</t>
  </si>
  <si>
    <t>Alcantarilla TMCø=72" e=3.5mm</t>
  </si>
  <si>
    <t>Alcantarilla TMC ø 60", e=3.0 mm</t>
  </si>
  <si>
    <t>Alcantarilla TMC ø 48" , e=2.5 mm</t>
  </si>
  <si>
    <t>Alcantarilla TMC ø 36" , e=1.5 mm</t>
  </si>
  <si>
    <t>Solado de concreto f´c 100 kg7cm2,  e=0.075 m</t>
  </si>
  <si>
    <t>Demolición de estructuras</t>
  </si>
  <si>
    <t>Remoción de alcantarillas TMC</t>
  </si>
  <si>
    <t>Tratamiento superficial bicapa</t>
  </si>
  <si>
    <t>Imprimación bituminosa</t>
  </si>
  <si>
    <t>Base granular</t>
  </si>
  <si>
    <t>Sub base granular</t>
  </si>
  <si>
    <t>Remoción de derrumbes (sólo refine)</t>
  </si>
  <si>
    <t>Preparación de terreno en zonas de relleno, empleando material adicionado</t>
  </si>
  <si>
    <t>MAQUINARIA Y EQUIPO IMPORTADO</t>
  </si>
  <si>
    <t>15</t>
  </si>
  <si>
    <t>16</t>
  </si>
  <si>
    <t>17</t>
  </si>
  <si>
    <t>18</t>
  </si>
  <si>
    <t xml:space="preserve">  Julio 2007</t>
  </si>
  <si>
    <t xml:space="preserve">  Agosto 2007</t>
  </si>
  <si>
    <t xml:space="preserve">  Setiembre 2007</t>
  </si>
  <si>
    <t xml:space="preserve">  Octubre 2007</t>
  </si>
  <si>
    <t xml:space="preserve">  Noviembre 2007</t>
  </si>
  <si>
    <t xml:space="preserve">  Diciembre 2007</t>
  </si>
  <si>
    <t>OCTUBRE 2021</t>
  </si>
  <si>
    <t>RESOLUCION GERENCIAL REGIONAL Nº</t>
  </si>
  <si>
    <t>:  KM 0+000 - KM 90+115 - KM 0+000 - KM 18+260</t>
  </si>
  <si>
    <t>Multa por Incumplimiento / Penalidades</t>
  </si>
  <si>
    <t>GASTOS GENERALES</t>
  </si>
  <si>
    <t>01.01</t>
  </si>
  <si>
    <t>01.01.01</t>
  </si>
  <si>
    <t>01.01.01.01</t>
  </si>
  <si>
    <t>01.01.01.02</t>
  </si>
  <si>
    <t>01.01.01.03</t>
  </si>
  <si>
    <t>01.01.01.05</t>
  </si>
  <si>
    <t>01.01.01.06</t>
  </si>
  <si>
    <t>01.01.02</t>
  </si>
  <si>
    <t>01.01.02.01</t>
  </si>
  <si>
    <t>01.01.02.02</t>
  </si>
  <si>
    <t>01.01.05.01</t>
  </si>
  <si>
    <t>01.02</t>
  </si>
  <si>
    <t>01.02.01</t>
  </si>
  <si>
    <t>02.01</t>
  </si>
  <si>
    <t>02.01.04</t>
  </si>
  <si>
    <t>02.01.05</t>
  </si>
  <si>
    <t>02.01.06</t>
  </si>
  <si>
    <t>02.02</t>
  </si>
  <si>
    <t>02.02.01</t>
  </si>
  <si>
    <t>02.02.02</t>
  </si>
  <si>
    <t>02.02.03</t>
  </si>
  <si>
    <t>02.03</t>
  </si>
  <si>
    <t>02.03.03</t>
  </si>
  <si>
    <t>02.03.04</t>
  </si>
  <si>
    <t>03.01</t>
  </si>
  <si>
    <t>03.01.01</t>
  </si>
  <si>
    <t>03.01.01.04</t>
  </si>
  <si>
    <t>03.01.01.05</t>
  </si>
  <si>
    <t>03.01.01.06</t>
  </si>
  <si>
    <t>03.01.01.07</t>
  </si>
  <si>
    <t>03.01.02.01</t>
  </si>
  <si>
    <t>03.01.03.03</t>
  </si>
  <si>
    <t>03.01.04.01</t>
  </si>
  <si>
    <t>03.02</t>
  </si>
  <si>
    <t>03.02.01</t>
  </si>
  <si>
    <t>03.02.01.01.01</t>
  </si>
  <si>
    <t>03.02.01.01.06</t>
  </si>
  <si>
    <t>03.02.01.01.07</t>
  </si>
  <si>
    <t>03.02.01.01.08</t>
  </si>
  <si>
    <t>03.02.01.01.09</t>
  </si>
  <si>
    <t>03.02.01.01.10</t>
  </si>
  <si>
    <t>03.02.01.02.01</t>
  </si>
  <si>
    <t>03.02.01.02.06</t>
  </si>
  <si>
    <t>03.02.01.02.07</t>
  </si>
  <si>
    <t>03.02.01.02.08</t>
  </si>
  <si>
    <t>03.02.01.02.09</t>
  </si>
  <si>
    <t>03.02.01.02.10</t>
  </si>
  <si>
    <t>03.02.01.03.01</t>
  </si>
  <si>
    <t>03.02.01.03.06</t>
  </si>
  <si>
    <t>03.02.01.03.07</t>
  </si>
  <si>
    <t>03.02.01.03.08</t>
  </si>
  <si>
    <t>03.02.01.03.09</t>
  </si>
  <si>
    <t>03.02.01.03.10</t>
  </si>
  <si>
    <t>03.02.01.04.01</t>
  </si>
  <si>
    <t>03.02.01.04.06</t>
  </si>
  <si>
    <t>03.02.01.04.07</t>
  </si>
  <si>
    <t>03.02.01.04.08</t>
  </si>
  <si>
    <t>03.02.01.04.09</t>
  </si>
  <si>
    <t>03.02.01.04.10</t>
  </si>
  <si>
    <t>03.02.02</t>
  </si>
  <si>
    <t>03.02.02.01</t>
  </si>
  <si>
    <t>03.02.02.06</t>
  </si>
  <si>
    <t>03.02.02.07</t>
  </si>
  <si>
    <t>03.02.02.08</t>
  </si>
  <si>
    <t>03.02.02.09</t>
  </si>
  <si>
    <t>03.02.02.10</t>
  </si>
  <si>
    <t>03.02.02.11</t>
  </si>
  <si>
    <t>03.02.03</t>
  </si>
  <si>
    <t>03.02.03.01</t>
  </si>
  <si>
    <t>03.02.03.03</t>
  </si>
  <si>
    <t>03.02.03.04</t>
  </si>
  <si>
    <t>03.02.03.07</t>
  </si>
  <si>
    <t>03.02.04</t>
  </si>
  <si>
    <t>03.02.04.01</t>
  </si>
  <si>
    <t>SEÑALIZACION</t>
  </si>
  <si>
    <t>04.01</t>
  </si>
  <si>
    <t>04.01.01</t>
  </si>
  <si>
    <t>04.02</t>
  </si>
  <si>
    <t>04.02.03</t>
  </si>
  <si>
    <t>04.02.04</t>
  </si>
  <si>
    <t>04.02.05</t>
  </si>
  <si>
    <t>SEMAFORIZACION</t>
  </si>
  <si>
    <t>05.01</t>
  </si>
  <si>
    <t>05.01.01</t>
  </si>
  <si>
    <t>05.02</t>
  </si>
  <si>
    <t>05.02.01</t>
  </si>
  <si>
    <t>05.03.01</t>
  </si>
  <si>
    <t>05.04.04</t>
  </si>
  <si>
    <t>05.07.02</t>
  </si>
  <si>
    <t>06.01</t>
  </si>
  <si>
    <t>06.01.01</t>
  </si>
  <si>
    <t>06.01.01.01</t>
  </si>
  <si>
    <t>06.01.01.02</t>
  </si>
  <si>
    <t>06.01.01.05</t>
  </si>
  <si>
    <t>06.01.02</t>
  </si>
  <si>
    <t>06.01.02.01</t>
  </si>
  <si>
    <t>(Incluido IGV)</t>
  </si>
  <si>
    <t>IPC</t>
  </si>
  <si>
    <t>MAQ</t>
  </si>
  <si>
    <t>AGREGADO GRUESO</t>
  </si>
  <si>
    <t>II. IGV (18% DE I)</t>
  </si>
  <si>
    <t xml:space="preserve">Amoritzación </t>
  </si>
  <si>
    <t>PROGRAMADO</t>
  </si>
  <si>
    <t>REAL</t>
  </si>
  <si>
    <t>75 DIAS CALENDARIO</t>
  </si>
  <si>
    <t>066-2020/ GOBIERNO REGIONAL DE PIURA - GRI</t>
  </si>
  <si>
    <t>Am (2)</t>
  </si>
  <si>
    <t>A (2) =</t>
  </si>
  <si>
    <t>DIRECTIVA 005-2020-OSCE</t>
  </si>
  <si>
    <t>AVANCE FISICO</t>
  </si>
  <si>
    <t>PORCENTAJE DE AVANCE DE OBRA EJECUTADO</t>
  </si>
  <si>
    <t>PORCENTAJE DE AVANCE DE OBRA PROGRAMADO</t>
  </si>
  <si>
    <t>NOVIEMBRE 2021</t>
  </si>
  <si>
    <t>DICIEMBRE 2021</t>
  </si>
  <si>
    <t>RGR N°66-2020</t>
  </si>
  <si>
    <t>PRIMERA AMPLIACIÓN</t>
  </si>
  <si>
    <t>CON AMPLIACION Nº 01</t>
  </si>
  <si>
    <t>1.- DEDUCTIVO Nº 01 VINC. AL ADICIONAL Nº 01 (CON IGV)</t>
  </si>
  <si>
    <t>2.- DEDUCTIVO Nº 02 VINC. AL ADICIONAL Nº 02 (CON IGV)</t>
  </si>
  <si>
    <t>43 DIAS CALENDARIO</t>
  </si>
  <si>
    <t>PROGRAM.</t>
  </si>
  <si>
    <t>Ka
(Ago. 20)</t>
  </si>
  <si>
    <t>RETENCIÓN DEL REAJUSTE POR RETRASO EN LA OBRA</t>
  </si>
  <si>
    <t>V. MONTO EFECTIVO A PAGAR (I+IV) SIN IGV</t>
  </si>
  <si>
    <t>5. NETO A PAGAR (1+4) sin IGV</t>
  </si>
  <si>
    <t>Monto del Adelanto Especifico para CEMENTO ASFÁLTICO</t>
  </si>
  <si>
    <t>Indice INEI a la Fecha del P. Base   (Abril 2,018)</t>
  </si>
  <si>
    <t>Indice INEI a la Fecha del Pago del Adelanto  (Diciembre 2,020) - Se tomara de Octubre</t>
  </si>
  <si>
    <t>CEMENTO MH</t>
  </si>
  <si>
    <t>CEMENTO (42.5 KG)</t>
  </si>
  <si>
    <t>ACERO CORRUGADO fy = 4200 kg/cm2 GRADO 60</t>
  </si>
  <si>
    <t>MADERA PARA ENCOFRADO</t>
  </si>
  <si>
    <t>CEMENTO PORTLAND TIPO MS</t>
  </si>
  <si>
    <t>POSTE TIPO PEDESTAL DE 4M X 4" X 4"</t>
  </si>
  <si>
    <t>TUBO DE FIERRO GALVANIZADO STANDAR 50 MM</t>
  </si>
  <si>
    <t>ALAMBRE NEGRO N° 16</t>
  </si>
  <si>
    <t>TUBERIA HDPE</t>
  </si>
  <si>
    <t>GAVIÓN TIPO CAJA DE 5.0 X 1.0 X 1.0 TRIPLE ZINC + PVC</t>
  </si>
  <si>
    <t>DUCTO DE CONCRETO</t>
  </si>
  <si>
    <t>CLAVOS PARA MADERA CON CABEZA DE 3 "</t>
  </si>
  <si>
    <t>CABLE DE CONTROL 3 X 3</t>
  </si>
  <si>
    <t>TRIPLAY LUPUNA  4 x 8 x 4 mm</t>
  </si>
  <si>
    <t>SEÑAL PREVENTIVA</t>
  </si>
  <si>
    <t>CABLE DE CONTROL 4 X 4</t>
  </si>
  <si>
    <t>CAJA DE PASO TIPO CE-2</t>
  </si>
  <si>
    <t>YESO EN BOLSA DE 25 kg</t>
  </si>
  <si>
    <t>SUMINISTRO DE EE.EE DE 220 V,3 KW MONOFASICO</t>
  </si>
  <si>
    <t>POSTE DE CONCRETO KILOMETRICO</t>
  </si>
  <si>
    <t>GAVION COLCHON 5 X 2 X 0,30M</t>
  </si>
  <si>
    <t>CALAMINA GALVANIZADA DE 0.22X0.83X3.60 M</t>
  </si>
  <si>
    <t>ESTACA DE ACERO</t>
  </si>
  <si>
    <t>CIMENTACION DE POSTE DELINEADOR KILOMETRICO</t>
  </si>
  <si>
    <t>PAPELERA</t>
  </si>
  <si>
    <t>CLAVOS PARA MADERA CON CABEZA DE 4"</t>
  </si>
  <si>
    <t>CABLE ELECTRICO 1 X 16 AWG TW CIRCUITO DE PUESTA TIERRA</t>
  </si>
  <si>
    <t>ESTERAS</t>
  </si>
  <si>
    <t>CABLE DE CONTROL 2X2 mm2</t>
  </si>
  <si>
    <t>CURVA PVC SAP PARA INSTALACIONES ELECTRICAS 2"</t>
  </si>
  <si>
    <t>ALAMBRE NEGRO N° 08</t>
  </si>
  <si>
    <t>Monto del Adelanto Especifico para AGREGADO GRUESO</t>
  </si>
  <si>
    <t>5</t>
  </si>
  <si>
    <t>MATERIAL CLASIFICADO GRANULAR</t>
  </si>
  <si>
    <t>ARENA GRUESA</t>
  </si>
  <si>
    <t>PIEDRA CHANCADA 1/2" / 3/4"</t>
  </si>
  <si>
    <t>PIEDRA DE CANTO RODADO</t>
  </si>
  <si>
    <t>PIEDRA PILCA</t>
  </si>
  <si>
    <t>HORMIGON</t>
  </si>
  <si>
    <t>ADELANTO MATERIALES</t>
  </si>
  <si>
    <t>BANCO BBVA</t>
  </si>
  <si>
    <t>VALORIZ. Nº 10</t>
  </si>
  <si>
    <t>Indice INEI a la Fecha del Pago del Adelanto  (Diciembre 2,020)</t>
  </si>
  <si>
    <t>STATUS</t>
  </si>
  <si>
    <t>SUSPENSIÓN DE PLAZO</t>
  </si>
  <si>
    <t>RGR N°33-2021</t>
  </si>
  <si>
    <t>CON SUSPENSIÓN DE PLAZO</t>
  </si>
  <si>
    <t>AMPLIACIONES - SUSPENSIÓN DE PLAZO EJECUCIÓN DE OBRA</t>
  </si>
  <si>
    <t>2.- SUSPENSIÓN DE PLAZO Nº 01</t>
  </si>
  <si>
    <t>033-2021/ GOBIERNO REGIONAL DE PIURA - GRI</t>
  </si>
  <si>
    <t>1.- CALCULO DE LA AMORTIZACION CON EL AVANCE DE LA VALORIZACION Nº 09 (MAR 21)</t>
  </si>
  <si>
    <t>15 DIAS CALENDARIO</t>
  </si>
  <si>
    <t>Pendiente</t>
  </si>
  <si>
    <t>: GOBIERNO REGIONAL DE LIMA METROPOLITANA</t>
  </si>
  <si>
    <t>: “RECONSTRUCCIÓN DE PISTAS Y VEREDAS EN LA AV. LAS TORRES TRAMO DESDE LA AV. CIRCUNVALACIÓN HASTA LA ALTURA DE LA QUINTA AV., L = 1.99 KM DISTRITO DE LURIGANCHO CHOSICA, LIMA – LIMA”. Con código único de inversión (IRI): 2498581</t>
  </si>
  <si>
    <t>: DITRANSERVA S.A.C.</t>
  </si>
  <si>
    <t>: CONSORCIO SUPERVISOR LAS TORRES</t>
  </si>
  <si>
    <t>:  Km 0+000 - Km 1+990</t>
  </si>
  <si>
    <t>MONTO DEL CONTRATO</t>
  </si>
  <si>
    <t>: S/ 11,202,117.90</t>
  </si>
  <si>
    <t>EJECUCIÓN DE OBRA</t>
  </si>
  <si>
    <t>MONTO TOTAL DEL CONTRATO</t>
  </si>
  <si>
    <t>ENERO 2022</t>
  </si>
  <si>
    <t>FEBRERO 2022</t>
  </si>
  <si>
    <t>: CONTRATO DE OBRA Nº 027-2021-PGRLM-SRAF</t>
  </si>
  <si>
    <t>OBRAS PROVISIONALES, TRABAJOS PRELIMINARES, SEGURIDAD Y SALUD EN OBRA</t>
  </si>
  <si>
    <t>OBRAS PROVISIONALES Y TRABAJOS PRELIMINARES</t>
  </si>
  <si>
    <t>OBRAS PROVISIONALES</t>
  </si>
  <si>
    <t>CONSTRUCCIONES PROVISIONALES</t>
  </si>
  <si>
    <t>01.01.01.01.01</t>
  </si>
  <si>
    <t>CARTEL DE IDENTIFICACIÓN DE OBRA (8.50m X 3.60m)</t>
  </si>
  <si>
    <t>01.01.01.01.02</t>
  </si>
  <si>
    <t>CONSTRUCCION DE CERCO DE MALLA HPD DE 1.00 DE ALTURA</t>
  </si>
  <si>
    <t>01.01.01.01.03</t>
  </si>
  <si>
    <t>ALQUILER DE ALMACÉN, OFICINA Y CASETA DE GUARDIANIA</t>
  </si>
  <si>
    <t>01.01.01.01.04</t>
  </si>
  <si>
    <t>ALQUILER DE SERVICIOS HIGIÉNICOS Y VESTUARIOS</t>
  </si>
  <si>
    <t>INSTALACIONES PROVISIONALES</t>
  </si>
  <si>
    <t>01.01.01.02.01</t>
  </si>
  <si>
    <t>AGUA PARA LA CONSTRUCCION</t>
  </si>
  <si>
    <t>01.01.01.02.01.01</t>
  </si>
  <si>
    <t>OBTENCIÓN DEL SERVICIO DE AGUA PARA LA CONSTRUCCIÓN</t>
  </si>
  <si>
    <t>01.01.01.02.01.02</t>
  </si>
  <si>
    <t>ALMACENAMIENTO Y DISTRIBUCIÓN DE AGUA PARA LA CONSTRUCCIÓN</t>
  </si>
  <si>
    <t>01.01.01.02.02</t>
  </si>
  <si>
    <t>DESGÜE PARA LA CONSTRUCCION</t>
  </si>
  <si>
    <t>01.01.01.02.02.01</t>
  </si>
  <si>
    <t>INSTALACION  DE DESAGÜE PARA LA CONSTRUCCIÓN</t>
  </si>
  <si>
    <t>01.01.01.02.03</t>
  </si>
  <si>
    <t>ENERGÍA ELÉCTRICA PROVISIONAL</t>
  </si>
  <si>
    <t>01.01.01.02.03.01</t>
  </si>
  <si>
    <t>CONEXIÓN E INSTALACIÓN DE ENERGÍA ELECTRICA PROVISIONAL</t>
  </si>
  <si>
    <t>01.01.01.02.03.02</t>
  </si>
  <si>
    <t>CONSUMO Y MANTENIMIENTO DE ENERGÍA ELECTRICA PROVISIONAL</t>
  </si>
  <si>
    <t>TRABAJOS PRELIMINARES</t>
  </si>
  <si>
    <t>MOVILIZACION Y DESMOVILIZACION DE MAQUINARIA</t>
  </si>
  <si>
    <t>01.01.02.01.01</t>
  </si>
  <si>
    <t>MOVILIZACION Y DESMOVILIZACION DE EQUIPOS</t>
  </si>
  <si>
    <t>TRAZO, NIVELACIÓN Y REPLANTEO</t>
  </si>
  <si>
    <t>01.01.02.02.01</t>
  </si>
  <si>
    <t>TRAZO Y REPLANTEO PRELIMINAR C/EQUIPO</t>
  </si>
  <si>
    <t>SEGURIDAD Y SALUD EN OBRA</t>
  </si>
  <si>
    <t>MANTENIMIENTO DE TRANSITO Y SEGURIDAD VIAL</t>
  </si>
  <si>
    <t>01.02.02</t>
  </si>
  <si>
    <t>EQUIPOS DE PROTECCIÓN INDIVIDUAL</t>
  </si>
  <si>
    <t>01.02.03</t>
  </si>
  <si>
    <t>EQUIPOS DE PROTECCIÓN COLECTIVA</t>
  </si>
  <si>
    <t>01.02.04</t>
  </si>
  <si>
    <t>CAPACITACIÓN EN SEGURIDAD Y SALUD</t>
  </si>
  <si>
    <t>01.02.05</t>
  </si>
  <si>
    <t>RECURSOS PARA RESPUESTAS ANTE EMERGENCIAS EN SEGURIDAD Y SALUD DURANTE EL TRABAJO</t>
  </si>
  <si>
    <t>PAVIMENTOS</t>
  </si>
  <si>
    <t>TRAMO: AV. CIRCUNVALACION - OVALO HUAÑEC - PUENTE TUMI</t>
  </si>
  <si>
    <t>DEMOLICIONES</t>
  </si>
  <si>
    <t>02.01.01.01</t>
  </si>
  <si>
    <t>DEMOLICION DE PAVIMENTO FLEXIBLE C/EQUIPO E=0.05M</t>
  </si>
  <si>
    <t>02.01.01.02</t>
  </si>
  <si>
    <t>DEMOLICION DE PAVIMENTO RIGIDO C/EQUIPO E=0.20M</t>
  </si>
  <si>
    <t>02.01.01.03</t>
  </si>
  <si>
    <t>DEMOLICION DE SARDINEL SUMERGIDO 0.15X0.40M</t>
  </si>
  <si>
    <t>02.01.01.04</t>
  </si>
  <si>
    <t>DEMOLICION DE SARDINEL SUMERGIDO DE 0.30X0.50M</t>
  </si>
  <si>
    <t>02.01.01.05</t>
  </si>
  <si>
    <t>ELIMINACION DE EXCEDENTES DE EXCAVACION C/VOLQUETE (CARGUÍO, TRANSPORTE Y DISPOSICION FINAL)</t>
  </si>
  <si>
    <t>02.01.02.01</t>
  </si>
  <si>
    <t>MOVIMIENTO DE TIERRAS</t>
  </si>
  <si>
    <t>02.01.03.01</t>
  </si>
  <si>
    <t>EXCAVACION HASTA SUBRASANTE EN MATERIAL SUELTO C/ TRACTOR HP 140-160HP</t>
  </si>
  <si>
    <t>02.01.03.02</t>
  </si>
  <si>
    <t>RELLENO COMPACTADO CON MATERIAL DE PRESTAMO C/EQUIPO HASTA NIVEL DE SUBRASANTE</t>
  </si>
  <si>
    <t>02.01.03.03</t>
  </si>
  <si>
    <t>CONFORMACION Y COMPACTACIÓN DE SUBRASANTE</t>
  </si>
  <si>
    <t>02.01.03.04</t>
  </si>
  <si>
    <t>02.01.04.01</t>
  </si>
  <si>
    <t>SUB BASE GRANULA e=0.20 m</t>
  </si>
  <si>
    <t>PAVIMENTO RIGIDO</t>
  </si>
  <si>
    <t>02.01.05.01</t>
  </si>
  <si>
    <t>COLOCACION Y RETIRO DE GUIAS PARA PAVIMENTADORA</t>
  </si>
  <si>
    <t>02.01.05.02</t>
  </si>
  <si>
    <t>SUMINISTRO Y COLOCACION DE DOWELS LISO L=0.45m ALTURA = 0.15m (INCLUYE CANASTILLA)</t>
  </si>
  <si>
    <t>02.01.05.03</t>
  </si>
  <si>
    <t>SUMINISTRO Y COLOCACION DE ACERO FY= 4200 kg/cm2 EN JUNTA LONGITUDINAL</t>
  </si>
  <si>
    <t>02.01.05.04</t>
  </si>
  <si>
    <t>LOSA DE CONCRETO F´C=350 KG/CM2 C/PAVIMENTADORA (H=0.30cm)</t>
  </si>
  <si>
    <t>02.01.05.05</t>
  </si>
  <si>
    <t>FLOTADO Y TEXTURIZADO DE CONCRETO</t>
  </si>
  <si>
    <t>02.01.05.06</t>
  </si>
  <si>
    <t>CORTE CON DISCO EN JUNTAS TRANSVERSAL Y LONGITUDINAL</t>
  </si>
  <si>
    <t>02.01.05.07</t>
  </si>
  <si>
    <t>SELLADO DE JUNTAS DE CONSTRUCCIÓN, CONTRACCIÓN Y ASFALTICA</t>
  </si>
  <si>
    <t>02.01.05.08</t>
  </si>
  <si>
    <t>CURADO DE CONCRETO</t>
  </si>
  <si>
    <t>VARIOS</t>
  </si>
  <si>
    <t>02.01.06.01</t>
  </si>
  <si>
    <t>LIMPIEZA GENERAL DE LA OBRA</t>
  </si>
  <si>
    <t>02.01.06.02</t>
  </si>
  <si>
    <t>NIVELACION Y REPOSICION DE TAPA DE BUZON A NIVEL DE RASANTE</t>
  </si>
  <si>
    <t>SEÑALIZACION HORIZONTAL</t>
  </si>
  <si>
    <t>02.02.01.01</t>
  </si>
  <si>
    <t>PINTADO DE PAVIMENTOS (LINEA CONTINUA Y DISCONTINUA)</t>
  </si>
  <si>
    <t>02.02.01.02</t>
  </si>
  <si>
    <t>PINTADO DE PAVIMENTOS SIMBOLOS Y LETRAS</t>
  </si>
  <si>
    <t>02.02.01.03</t>
  </si>
  <si>
    <t>GIBA DE ASFALTO EN FRIO (H=8 CM)</t>
  </si>
  <si>
    <t>02.02.01.04</t>
  </si>
  <si>
    <t>TACHAS RETROFLECTIVAS</t>
  </si>
  <si>
    <t>SEÑALIZACION VERTICAL</t>
  </si>
  <si>
    <t>02.02.02.01</t>
  </si>
  <si>
    <t>02.02.02.01.01</t>
  </si>
  <si>
    <t>02.02.02.02</t>
  </si>
  <si>
    <t>SEÑALES REGLAMENTARIAS</t>
  </si>
  <si>
    <t>02.02.02.02.01</t>
  </si>
  <si>
    <t>SEÑAL REGLAMENTARIA</t>
  </si>
  <si>
    <t>02.02.02.03</t>
  </si>
  <si>
    <t>02.02.02.03.01</t>
  </si>
  <si>
    <t>SEÑAL INFORMATIVA</t>
  </si>
  <si>
    <t>02.02.02.03.02</t>
  </si>
  <si>
    <t>SEÑAL INFORMATIVA NOMENCLATURA DE CALLES (INCLUYE POSTE)</t>
  </si>
  <si>
    <t>02.02.02.03.03</t>
  </si>
  <si>
    <t>SEÑAL INFORMATIVA  ELEVADA (INCLUYE POSTE)</t>
  </si>
  <si>
    <t>POSTE DE SOPORTE DE SEÑALES VERTICALES, INC. INSTALACION</t>
  </si>
  <si>
    <t>02.02.03.01</t>
  </si>
  <si>
    <t>POSTES PEDESTAL 2 1/2" X 3.50 m</t>
  </si>
  <si>
    <t>BOCACALLES</t>
  </si>
  <si>
    <t>OBRAS PRELIMINARES</t>
  </si>
  <si>
    <t>02.03.01.01</t>
  </si>
  <si>
    <t>02.03.02.01</t>
  </si>
  <si>
    <t>02.03.02.02</t>
  </si>
  <si>
    <t>02.03.02.03</t>
  </si>
  <si>
    <t>02.03.03.01</t>
  </si>
  <si>
    <t>02.03.04.01</t>
  </si>
  <si>
    <t>SUMINISTRO Y COLOCACION DE DOWELS LISO L=0.45m ALTURA = 0.1375m (INCLUYE CANASTILLA)</t>
  </si>
  <si>
    <t>02.03.04.02</t>
  </si>
  <si>
    <t>02.03.04.03</t>
  </si>
  <si>
    <t>LOSA DE CONCRETO F´C=350 KG/CM2  (H=0.275 cm) EN BOCACALLE</t>
  </si>
  <si>
    <t>02.03.04.04</t>
  </si>
  <si>
    <t>ENCOFRADO Y DESENCOFRADO EN BOCACALLE</t>
  </si>
  <si>
    <t>02.03.04.05</t>
  </si>
  <si>
    <t>02.03.04.06</t>
  </si>
  <si>
    <t>02.03.04.07</t>
  </si>
  <si>
    <t>02.03.04.08</t>
  </si>
  <si>
    <t>MOVIMIENTO DE TIERRAS PARA BASES DE STRUCTURAS SEMAFORICAS</t>
  </si>
  <si>
    <t>CORTE CON DISCO EN VEREDA DE CONCRETO E= 4-6"</t>
  </si>
  <si>
    <t>DEMOLICION DE VEREDAS DE 0.10 m</t>
  </si>
  <si>
    <t>EXCAVACION  PARA CIMIENTOS - ZAPATAS EN TERRENO NORMAL</t>
  </si>
  <si>
    <t>03.03</t>
  </si>
  <si>
    <t>OBRAS DE CONCRETO</t>
  </si>
  <si>
    <t>03.03.01</t>
  </si>
  <si>
    <t>ESTRUCTURA METALICA DE ZAPATA PARA SEMIPORTICO O BANDERA</t>
  </si>
  <si>
    <t>03.03.02</t>
  </si>
  <si>
    <t>ESTRUCTURA METALICA DE ZAPATA PARA PEDESTAL</t>
  </si>
  <si>
    <t>03.03.03</t>
  </si>
  <si>
    <t>CONCRETO PREMEZCLADO PARA ZAPATA  f'c = 175 kg/cm2 PARA PEDESTAL</t>
  </si>
  <si>
    <t>03.03.04</t>
  </si>
  <si>
    <t>CONCRETO PREMEZCLADO PARA ZAPATA  f'c = 210 kg/cm2 PARA SEMIPORTICO</t>
  </si>
  <si>
    <t>03.03.05</t>
  </si>
  <si>
    <t>ENCOFRADO DE ZAPATAS</t>
  </si>
  <si>
    <t>03.04</t>
  </si>
  <si>
    <t>CANALIZACION</t>
  </si>
  <si>
    <t>03.04.01</t>
  </si>
  <si>
    <t>CANALIZACION EN PISTA, DUCTO DE 2 VIAS (3")</t>
  </si>
  <si>
    <t>03.04.02</t>
  </si>
  <si>
    <t>CANALIZACION EN VEREDAS, DUCTO DE 2 VIAS (3")</t>
  </si>
  <si>
    <t>03.04.03</t>
  </si>
  <si>
    <t>CANALIZACION EN VEREDAS, DUCTO DE 1 VIA (3")</t>
  </si>
  <si>
    <t>03.04.04</t>
  </si>
  <si>
    <t>CANALIZACION EN JARDIN, DUCTO DE 1 VIA (3")</t>
  </si>
  <si>
    <t>03.04.05</t>
  </si>
  <si>
    <t>CANALIZACION EN JARDIN, DUCTO DE 2 VIA (3")</t>
  </si>
  <si>
    <t>03.05</t>
  </si>
  <si>
    <t>CAJAS DE PASO</t>
  </si>
  <si>
    <t>03.05.01</t>
  </si>
  <si>
    <t>CAJAS DE PASO TIPO CE-2</t>
  </si>
  <si>
    <t>03.05.02</t>
  </si>
  <si>
    <t>CAJAS DE PASO TIPO CE-3</t>
  </si>
  <si>
    <t>03.05.03</t>
  </si>
  <si>
    <t>CAJAS DE PASO TIPO CE-1</t>
  </si>
  <si>
    <t>03.06</t>
  </si>
  <si>
    <t>ESTRUCTURA METALICA</t>
  </si>
  <si>
    <t>03.06.01</t>
  </si>
  <si>
    <t>SEMIPORTICO CON DOS (02) SEMAF. VEHICULARES AEREOS 1C-3L</t>
  </si>
  <si>
    <t>03.06.02</t>
  </si>
  <si>
    <t>BANDERA CON UN(01) SEMAF. VEHICULAR AEREO 1C-3L, CON UN (01) SEMAF. VEH. ADOSADO 1C-3L</t>
  </si>
  <si>
    <t>03.06.03</t>
  </si>
  <si>
    <t>PEDESTAL CON UN (01) SEMAF. VEHICULAR</t>
  </si>
  <si>
    <t>03.06.04</t>
  </si>
  <si>
    <t>PEDESTAL CON DOS (02) SEMAF. VEHICULAR 1C-2L</t>
  </si>
  <si>
    <t>03.06.05</t>
  </si>
  <si>
    <t>PEDESTAL CON UN (01) SEMAF. PEATONAL 1C-2L</t>
  </si>
  <si>
    <t>03.06.06</t>
  </si>
  <si>
    <t>PEDESTAL PARA CONTRALADOR DE TRAFICO</t>
  </si>
  <si>
    <t>03.07</t>
  </si>
  <si>
    <t>TRASLADO E INSTALACION DE ESTRUCTURAS</t>
  </si>
  <si>
    <t>03.07.01</t>
  </si>
  <si>
    <t>INSTALACION DE SEMIPORTICOS O BANDERAS (INCLUYE TRANSPORTE)</t>
  </si>
  <si>
    <t>03.07.02</t>
  </si>
  <si>
    <t>INSTALACION DE PEDESTALES (INCLUYE TRASNPORTE)</t>
  </si>
  <si>
    <t>03.08</t>
  </si>
  <si>
    <t>SEMAFOROS LED´S</t>
  </si>
  <si>
    <t>03.08.01</t>
  </si>
  <si>
    <t>AEREO VEHICULAR DE 1C-3L CON LED´S</t>
  </si>
  <si>
    <t>03.08.02</t>
  </si>
  <si>
    <t>ADOSADO VEHICULAR DE 1C-3L CON LED´S</t>
  </si>
  <si>
    <t>03.08.03</t>
  </si>
  <si>
    <t>ADOSADO VEHICULAR DE 1C-3F CON LED´S (CON FLECHAS)</t>
  </si>
  <si>
    <t>03.08.04</t>
  </si>
  <si>
    <t>PEDESTAL PEATONAL DE 1C-2L CON LED´S</t>
  </si>
  <si>
    <t>03.08.05</t>
  </si>
  <si>
    <t>PEDESTAL VEHICULAR DE 1C-3L CON LED´S</t>
  </si>
  <si>
    <t>03.08.06</t>
  </si>
  <si>
    <t>REPETIDOR ACUSTICO</t>
  </si>
  <si>
    <t>03.09</t>
  </si>
  <si>
    <t>CABLES (SUMINISTRO E INSTALACIÓN)</t>
  </si>
  <si>
    <t>03.09.01</t>
  </si>
  <si>
    <t>CABLE DE CONTROL (4x16 AWG-NMT-NPT)</t>
  </si>
  <si>
    <t>03.09.02</t>
  </si>
  <si>
    <t>CABLE DE CONTROL (3x16 AWG-NMT-NPT)</t>
  </si>
  <si>
    <t>03.09.03</t>
  </si>
  <si>
    <t>CABLE DE ACOMETIDA (2X12 AWG-NMT-NPT)</t>
  </si>
  <si>
    <t>03.09.04</t>
  </si>
  <si>
    <t>CABLE ELECTRICO 1X10 MM2</t>
  </si>
  <si>
    <t>03.09.05</t>
  </si>
  <si>
    <t>CABLE DE COBRE DESNUDO 1X35 MM2 (PARA EN LACE DE POZO A TIERRA)</t>
  </si>
  <si>
    <t>03.10</t>
  </si>
  <si>
    <t>CONTROL DE TRAFICO (SUMINISTRO E INSTALACION)</t>
  </si>
  <si>
    <t>03.10.01</t>
  </si>
  <si>
    <t>CONTRALADOR DE TRAFICO DE 16 GRUPOS</t>
  </si>
  <si>
    <t>03.11</t>
  </si>
  <si>
    <t>SUMINISTRO E INSTALACIÓN DE EE.EE (CON MURETE)</t>
  </si>
  <si>
    <t>03.11.01</t>
  </si>
  <si>
    <t>OPCION TARIFARIA</t>
  </si>
  <si>
    <t>03.12</t>
  </si>
  <si>
    <t>POZO A TIERRA</t>
  </si>
  <si>
    <t>03.12.01</t>
  </si>
  <si>
    <t>POZO DE TIERRA (INCLY. SUMINISTRO E INSTALACION )</t>
  </si>
  <si>
    <t>VEREDAS DE CONCRETO</t>
  </si>
  <si>
    <t>DEMOLICION DE VEREDAS DE CONCRETO C/EQUIPO  E=0.15M</t>
  </si>
  <si>
    <t>DEMOLICION DE DADOS DE CONCRETO EN SEÑALIZACION EXISTENTE (h=0.60m)</t>
  </si>
  <si>
    <t>RETIRO Y ELIMINACION DE SEÑAL EXISTENTE</t>
  </si>
  <si>
    <t>04.03</t>
  </si>
  <si>
    <t>04.03.01</t>
  </si>
  <si>
    <t>EXCAVACION A MANO EN TERRENO NORMAL PARA VEREDAS</t>
  </si>
  <si>
    <t>EXCAVACION A MANO EN TERRENO NORMAL PARA RAMPAS</t>
  </si>
  <si>
    <t>CONFORMACION Y COMPACTACIÓN DE SUBRASANTE PARA VEREDAS</t>
  </si>
  <si>
    <t>04.03.04</t>
  </si>
  <si>
    <t>CONFORMACION Y COMPACTACIÓN DE SUBRASANTE PARA RAMPAS</t>
  </si>
  <si>
    <t>ELIMINACION DE EXCEDENTES DE EXCAVACION C/VOLQUETE  (CARGUÍO, TRANSPORTE Y DISPOSICION FINAL)</t>
  </si>
  <si>
    <t>04.04</t>
  </si>
  <si>
    <t>BASES GRANULAR</t>
  </si>
  <si>
    <t>BASE GRANULAR E = 0.10 m PARA VEREDAS</t>
  </si>
  <si>
    <t>BASE GRANULAR E = 0.10 m PARA RAMPAS</t>
  </si>
  <si>
    <t>04.05</t>
  </si>
  <si>
    <t>CONCRETO</t>
  </si>
  <si>
    <t>ENCOFRADO Y DESENCOFRADO DE VEREDAS</t>
  </si>
  <si>
    <t>ENCOFRADO Y DESENCOFRADO DE RAMPAS</t>
  </si>
  <si>
    <t>VEREDA DE CONCRETO PREMEZCLADO F'C= 175 kg/cm2, E= 0.10m ACABADO. C.A. 1:2</t>
  </si>
  <si>
    <t>RAMPAS PEATONALES DE CONCRETO PREMEZCLADO, f'c 175 kg/cm2 E=0.10m. ACABADO C:A 1:2</t>
  </si>
  <si>
    <t>RAMPAS VEHICULARES DE CONCRETO PREMEZCLADO, f'c 350 kg/cm2 E=0.15m ACABADO C:A 1:2</t>
  </si>
  <si>
    <t>JUNTA CON ASFALTO E=1" PARA VEREDAS</t>
  </si>
  <si>
    <t>04.06</t>
  </si>
  <si>
    <t>NIVELACION Y RESANE DE CAJAS DOMICILIARIAS DE AGUA Y DESAGÜE</t>
  </si>
  <si>
    <t>SUMINISTRO E INSTALACIÓN DE BOLARDOS DE CONCRETO ALINEADO.</t>
  </si>
  <si>
    <t>FABRICACIÓN Y COLOCACIÓN DE BARANDAS METÁLICAS (INCLUYE. PINTURA)</t>
  </si>
  <si>
    <t>SARDINELES Y MURO SEPARADOR CENTRAL</t>
  </si>
  <si>
    <t>SARDINELES</t>
  </si>
  <si>
    <t>05.01.01.01</t>
  </si>
  <si>
    <t>05.01.02</t>
  </si>
  <si>
    <t>05.01.02.01</t>
  </si>
  <si>
    <t>EXCAVACION A MANO EN TERRENO NORMAL PARA SARDINELES</t>
  </si>
  <si>
    <t>05.01.02.02</t>
  </si>
  <si>
    <t>05.01.03</t>
  </si>
  <si>
    <t>05.01.03.01</t>
  </si>
  <si>
    <t>ENCOFRADO Y DESENCOFRADO NORMAL EN SARDINEL</t>
  </si>
  <si>
    <t>05.01.03.02</t>
  </si>
  <si>
    <t>ACERO CORRUGADO FY= 4200 kg/cm2 GRADO 60</t>
  </si>
  <si>
    <t>05.01.03.03</t>
  </si>
  <si>
    <t>SARDINEL DE CONCRETO PREMEZCLADO F'C= 175 kg/cm2, E= 0.15m ACABADO. C.A. 1:2</t>
  </si>
  <si>
    <t>05.01.03.04</t>
  </si>
  <si>
    <t>JUNTA DE 1" DE POLIESTILENO CADA 3.50 M Y PERIMETRAL</t>
  </si>
  <si>
    <t>05.01.03.05</t>
  </si>
  <si>
    <t>05.01.03.06</t>
  </si>
  <si>
    <t>PINTADO DE SARDINEL PERALTADO</t>
  </si>
  <si>
    <t>MURO SEPARADOR CENTRAL</t>
  </si>
  <si>
    <t>05.02.01.01</t>
  </si>
  <si>
    <t>05.02.02</t>
  </si>
  <si>
    <t>05.02.02.01</t>
  </si>
  <si>
    <t>EXCAVACION A MANO EN TERRENO NORMAL EN MUROS</t>
  </si>
  <si>
    <t>05.02.02.02</t>
  </si>
  <si>
    <t>RELLENO CON MATERIAL DE PRESTAMO</t>
  </si>
  <si>
    <t>05.02.02.03</t>
  </si>
  <si>
    <t>05.02.03</t>
  </si>
  <si>
    <t>05.02.03.01</t>
  </si>
  <si>
    <t>SOLADO DE E=0.05 PARA CIMIENTO</t>
  </si>
  <si>
    <t>05.02.03.02</t>
  </si>
  <si>
    <t>ENCOFRADO Y DESENCOFRADO NORMAL EN MUROS</t>
  </si>
  <si>
    <t>05.02.03.03</t>
  </si>
  <si>
    <t>05.02.03.04</t>
  </si>
  <si>
    <t>CONCRETO PREMEZCLADO F'C 210 kg/cm2 E=0.30 m ACABADO C:A 1:2</t>
  </si>
  <si>
    <t>05.02.03.05</t>
  </si>
  <si>
    <t>05.02.03.06</t>
  </si>
  <si>
    <t>05.02.03.07</t>
  </si>
  <si>
    <t>FABRICACIÓN Y COLOCACIÓN DE REJAS METÁLICAS (INCLUYE. PINTURA)</t>
  </si>
  <si>
    <t>OBRAS DE ARTE : CANAL Y VERTEDERO</t>
  </si>
  <si>
    <t>CANAL</t>
  </si>
  <si>
    <t>DEMOLICION DE OBRAS DE ARTE EXISTENTE</t>
  </si>
  <si>
    <t>EXCAVACION A MANO EN TERRENO NORMAL HASTA FONDO DE ZANJA</t>
  </si>
  <si>
    <t>06.01.02.02</t>
  </si>
  <si>
    <t>06.01.03</t>
  </si>
  <si>
    <t>06.01.03.01</t>
  </si>
  <si>
    <t>CONCRETO F'C 100 kg/cm2 PARA SOLADO</t>
  </si>
  <si>
    <t>06.01.03.02</t>
  </si>
  <si>
    <t>ENCOFRADO Y DESENCOFRADO NORMAL EN CANAL</t>
  </si>
  <si>
    <t>06.01.03.03</t>
  </si>
  <si>
    <t>ACERO CORRUGADO FY= 4200 kg/cm2 GRADO 60 EN CANAL</t>
  </si>
  <si>
    <t>06.01.03.04</t>
  </si>
  <si>
    <t>CONCRETO PREMEZCLADO F'C 210 kg/cm2 H67 PARA CANAL</t>
  </si>
  <si>
    <t>06.01.03.05</t>
  </si>
  <si>
    <t>RELLENO DE JUNTAS CON MATERIAL ELASTOMERICO</t>
  </si>
  <si>
    <t>06.01.03.06</t>
  </si>
  <si>
    <t>SUMINISTRO Y COLOCACION DE JUNTA DE CONSTRUCCION CON IDROSTOP</t>
  </si>
  <si>
    <t>06.01.03.07</t>
  </si>
  <si>
    <t>CURADO DE   CONCRETO</t>
  </si>
  <si>
    <t>06.01.03.08</t>
  </si>
  <si>
    <t>TAPA DE CONCRETO PARA INSPECCION Y LIMPIEZA SEGUN DETALLE</t>
  </si>
  <si>
    <t>06.01.03.09</t>
  </si>
  <si>
    <t>COMPUERTA METALICA DE IZAJE</t>
  </si>
  <si>
    <t>PLAN DE MANEJO DE MITIGACION DE IMPACTO AMBIENTAL</t>
  </si>
  <si>
    <t>07.01</t>
  </si>
  <si>
    <t>MITIGACION DE IMPACTO AMBIENTAL</t>
  </si>
  <si>
    <t>METRADO
CONTRACTUAL</t>
  </si>
  <si>
    <t>“RECONSTRUCCIÓN DE PISTAS Y VEREDAS EN LA AV. LAS TORRES TRAMO DESDE LA AV. CIRCUNVALACIÓN HASTA LA ALTURA
DE LA QUINTA AV., L = 1.99 KM DISTRITO DE LURIGANCHO CHOSICA, LIMA – LIMA”. Con código único de inversión (IRI): 2498581</t>
  </si>
  <si>
    <t>CONTRATISTA : DITRANSERVA S.A.C.</t>
  </si>
  <si>
    <t>SUPERVISOR : CONSORCIO SUPERVISOR LAS TORRES</t>
  </si>
  <si>
    <t>CONCRETO PREMEZCLADO</t>
  </si>
  <si>
    <t>47</t>
  </si>
  <si>
    <t>80</t>
  </si>
  <si>
    <t>39</t>
  </si>
  <si>
    <t>M</t>
  </si>
  <si>
    <t>C</t>
  </si>
  <si>
    <t>D</t>
  </si>
  <si>
    <t>MANO DE OBRA</t>
  </si>
  <si>
    <t>DÓLAR (GENERAL PONDERADO)</t>
  </si>
  <si>
    <t>INDICE GENERAL DE PRECIO AL CONSUMIDOR</t>
  </si>
  <si>
    <t>633.53</t>
  </si>
  <si>
    <t>110.38</t>
  </si>
  <si>
    <t>707.99</t>
  </si>
  <si>
    <t>347.73</t>
  </si>
  <si>
    <t>555.92</t>
  </si>
  <si>
    <t>472.57</t>
  </si>
  <si>
    <t>K = 0.179*(Mr/Mo) + 0.300*(Cr/Co) + 0.076*(Ar/Ao) + 0.152*(MAQr/MAQo) + 0.142*(Dr/Do) + 0.151*(IPCr/IPCo)</t>
  </si>
  <si>
    <t>AREA GEOGRAFICA 2</t>
  </si>
  <si>
    <t>(sin IGV)  - 29.Set.2021</t>
  </si>
  <si>
    <t xml:space="preserve">(sin IGV)  - </t>
  </si>
  <si>
    <t>Ka
(Set. 21)</t>
  </si>
  <si>
    <t>Am</t>
  </si>
  <si>
    <t>“RECONSTRUCCIÓN DE PISTAS Y VEREDAS EN LA AV. LAS TORRES TRAMO DESDE LA
  AV. CIRCUNVALACIÓN HASTA LA ALTURA DE LA QUINTA AV., L = 1.99 KM DISTRITO DE
LURIGANCHO CHOSICA, LIMA – LIMA”. Con código único de inversión (IRI): 2498581</t>
  </si>
  <si>
    <t>“RECONSTRUCCIÓN DE PISTAS Y VEREDAS EN LA AV. LAS TORRES
TRAMO DESDE LA AV. CIRCUNVALACIÓN HASTA LA ALTURA DE
LA QUINTA AV., L = 1.99 KM DISTRITO DE LURIGANCHO CHOSICA,
LIMA – LIMA”. Con código único de inversión (IRI): 2498581</t>
  </si>
  <si>
    <t>MONTO DE CONTRACTO DE OBRA</t>
  </si>
  <si>
    <t>AVANCE DE OBRA VALORIZADO ACUMULADO</t>
  </si>
  <si>
    <t>SALDO DE OBRA POR VALORIZAR</t>
  </si>
  <si>
    <t>Que representa el:</t>
  </si>
  <si>
    <t>AMORTIZACION ACUMULADA ACTUAL</t>
  </si>
  <si>
    <t>AMORTIZACION ACUMULADA ANTERIOR</t>
  </si>
  <si>
    <t>AMORTIZACION DEL MES</t>
  </si>
  <si>
    <t>(sin IGV)  - Febr.2021</t>
  </si>
  <si>
    <t>Regularizacion Valorizacion Nº 1</t>
  </si>
  <si>
    <t>Regularizacion Reajustes N° 1</t>
  </si>
  <si>
    <t>CAR Nº 16827980</t>
  </si>
  <si>
    <t>Carta Fianza Nº  0011-0347-9800209867-25</t>
  </si>
  <si>
    <t>Carta Fianza Nº  0011-0347-9800210024-20</t>
  </si>
  <si>
    <t>POLIZAS DE SEGURO</t>
  </si>
  <si>
    <t>15/10/2021 - 31/10/2021</t>
  </si>
  <si>
    <t>01/11/2021 - 30/11/2021</t>
  </si>
  <si>
    <t>01/01/2022 - 31/01/2022</t>
  </si>
  <si>
    <t>01/02/2022 - 11/02/2022</t>
  </si>
  <si>
    <t>SCTR N° 107496</t>
  </si>
  <si>
    <t>PACIFICO SEGUROS</t>
  </si>
  <si>
    <t>Todo Riesgo de Construcción</t>
  </si>
  <si>
    <t>: “RECONSTRUCCIÓN DE PISTAS Y VEREDAS EN LA AV. LAS TORRES TRAMO DESDE LA
    AV. CIRCUNVALACIÓN HASTA LA ALTURA DE LA QUINTA AV., L = 1.99 KM DISTRITO DE
    LURIGANCHO CHOSICA, LIMA – LIMA”. Con código único de inversión (IRI): 2498581</t>
  </si>
  <si>
    <t>19/12/2021 - 31/12/2021</t>
  </si>
  <si>
    <t>01/12/2021 - 18/12/2021</t>
  </si>
  <si>
    <t>: 027-2021-MML-PGRLM-SRAF</t>
  </si>
  <si>
    <t>: 24/09/2021</t>
  </si>
  <si>
    <t>: 120 días Calendarios</t>
  </si>
  <si>
    <t>15 de octubre de 2021</t>
  </si>
  <si>
    <t>11 de febrero de 2022</t>
  </si>
  <si>
    <t>: 29 de setiembre de 2021</t>
  </si>
  <si>
    <t>: 03 de diciembre 2021</t>
  </si>
  <si>
    <t>CONSIDERANDO LA CLÁUSULA DÉCIMA DEL CONTRATO (20%)</t>
  </si>
  <si>
    <t>Monto del Adelanto Especifico para CONCRETO PREMEZCLADO</t>
  </si>
  <si>
    <t>BASE FEBRERO 2021</t>
  </si>
  <si>
    <t>Indice INEI a la Fecha del P. Base   (Febrero 2,021)</t>
  </si>
  <si>
    <t>Indice INEI a la Fecha del Pago del Adelanto  (Diciembre 2,021)</t>
  </si>
  <si>
    <t>1.- CALCULO DE LA AMORTIZACION CON EL AVANCE DE LA VALORIZACION Nº 03 (DIC 21)</t>
  </si>
  <si>
    <t>Se usa el IU de Octubre 2021</t>
  </si>
  <si>
    <t>PAVIMENTOS - PAVIMENTO RIGIDO</t>
  </si>
  <si>
    <t>BOCACALLE - PAVIMENTO RIGIDO</t>
  </si>
  <si>
    <t>VEREDAS DE CONCRETO - CONCRETO</t>
  </si>
  <si>
    <t>SEMAFORIZACIÓN - OBRAS DE CONCRETO</t>
  </si>
  <si>
    <t>SARDINELES - OBRAS DE CONCRETO</t>
  </si>
  <si>
    <t>CANAL - OBRAS DE CONCRETO</t>
  </si>
  <si>
    <t>Deflactada</t>
  </si>
  <si>
    <t>EFECTIVO
N° 01</t>
  </si>
  <si>
    <t>EFECTIVO
N° 02</t>
  </si>
  <si>
    <t>En la valorizacion Nº 03</t>
  </si>
  <si>
    <t>ADELANTO DEFLACTADO</t>
  </si>
  <si>
    <t>Carta Fianza Nº  0011-0347-9800210555-23</t>
  </si>
  <si>
    <t>SCTR N° 62080702</t>
  </si>
  <si>
    <t>SCTR N° 1107011</t>
  </si>
  <si>
    <t>SCTR N° 62080186</t>
  </si>
  <si>
    <t>Valorizacion Nº 04</t>
  </si>
  <si>
    <t>Regularizacion Valorizacion Nº 04</t>
  </si>
  <si>
    <t>Reajuste de la valorizacion Nº 04</t>
  </si>
  <si>
    <t>Regularizacion Reajuste Valorizacion Nº 04</t>
  </si>
  <si>
    <t>En la valorizacion Nº 04</t>
  </si>
  <si>
    <t>POR EL PERIODO DEL 19 AL 31 DE DICIEMBRE DEL 2021</t>
  </si>
  <si>
    <t xml:space="preserve">      MATERIAL GRANULAR ESTABILIZADO CON CEMENTO CON MATERIAL DE PRESTAMO</t>
  </si>
  <si>
    <t xml:space="preserve">         CABEZALES DE CONCRETO</t>
  </si>
  <si>
    <t xml:space="preserve">         CABEZALES DE CONCRETO2</t>
  </si>
  <si>
    <t xml:space="preserve">            EMBOQUILLADO DE PIEDRA</t>
  </si>
  <si>
    <t xml:space="preserve">            CONCRETO f´c=350 kg/cm2 EN ALCANTARILLAS</t>
  </si>
  <si>
    <t xml:space="preserve">            CONCRETO f´c=350 Kg/cm2 EN ALCANTARILLAS</t>
  </si>
  <si>
    <t xml:space="preserve">         JUNTAS DE DILATACION</t>
  </si>
  <si>
    <t xml:space="preserve">         EMBOQUILLADO DE PIEDRA CON CON CONCRETO f´c=175 kg/cm2</t>
  </si>
  <si>
    <t xml:space="preserve">         CONCRETO f´c=350 Kg/cm2</t>
  </si>
  <si>
    <t xml:space="preserve">      CANALIZACION EN PISTA, DUCTO DE 1 VIA</t>
  </si>
  <si>
    <t xml:space="preserve">      CAJA DE PASO TIPO CE-2</t>
  </si>
  <si>
    <t xml:space="preserve">      COLOCACION DE SLURRY SEAL CON EMULSON ASFALTICA CSS 1HP</t>
  </si>
  <si>
    <t xml:space="preserve">         CONSTRUCCION DE ALAS DE CONCRETO AL INGRESO Y LA SALIDA</t>
  </si>
  <si>
    <t xml:space="preserve">         UÑA DE PROTECCIÓN</t>
  </si>
  <si>
    <t xml:space="preserve">         RECONSTRUCCION DE CABEZAL A LA SALIDA</t>
  </si>
  <si>
    <t xml:space="preserve">         EMBOQUILLADO DE PIEDRA A LA SALIDA</t>
  </si>
  <si>
    <t xml:space="preserve">         EMBOQUILLADO DE PIEDRA</t>
  </si>
  <si>
    <t xml:space="preserve">      COLOCACION DE CARPETA ASFÁLTICA EN CALIENTE (MAC2) CONVENCIONAL e= 2"</t>
  </si>
  <si>
    <t xml:space="preserve">      COLOCACION DE CARPETA ASFÁLTICA EN CALIENTE (MAC2) CON AMP e= 2"</t>
  </si>
  <si>
    <t xml:space="preserve">      MATERIAL GRANULAR ESTABILIZADO CON CEMENTO CON MATERIAL PROPRIO</t>
  </si>
  <si>
    <t xml:space="preserve">         GAVION TIPO CAJA 5.0 X 1.0 X 1.0</t>
  </si>
  <si>
    <t xml:space="preserve">         GAVION TIPO COLCHON 5.0 X 2.0 H=0,30M</t>
  </si>
  <si>
    <t xml:space="preserve">         CARTEL DE IDENTIFICACION DE LA OBRA DE 7.20 X 3.60m</t>
  </si>
  <si>
    <t xml:space="preserve">      CEMENTO MH</t>
  </si>
  <si>
    <t xml:space="preserve">            CONCRETO fc=100 kg/cm2 EN SOLADO</t>
  </si>
  <si>
    <t xml:space="preserve">         CONCRETO fc=100 kg/cm2 EN SOLADO</t>
  </si>
  <si>
    <t>CUNETA TRIANGULAR REVESTIDA F'c=175 KG./CM2 1.00 X 0.50 M</t>
  </si>
  <si>
    <t xml:space="preserve">      SEÑALES INFORMATIVAS</t>
  </si>
  <si>
    <t xml:space="preserve">            ACERO CORRUGADO FY= 4200 kg/cm2</t>
  </si>
  <si>
    <t xml:space="preserve">         ACERO CORRUGADO FY= 4200 kg/cm2</t>
  </si>
  <si>
    <t xml:space="preserve">         OFICINA PARA RESIDENTE Y SUPERVISION</t>
  </si>
  <si>
    <t xml:space="preserve">         CASETA DE GUARDANIA Y ALMACEN</t>
  </si>
  <si>
    <t xml:space="preserve">         COMEDOR PARA OBREROS</t>
  </si>
  <si>
    <t xml:space="preserve">            ENCOFRADO Y DESENCOFRADO DE ESTRUCTURA CARA VISTA</t>
  </si>
  <si>
    <t xml:space="preserve">         ENCOFRADO Y DESENCOFRADO DE ESTRUCTURA CARA VISTA</t>
  </si>
  <si>
    <t xml:space="preserve">      POSTE TIPO PEDESTAL DE 4M x 4 DE DIAMETRO</t>
  </si>
  <si>
    <t xml:space="preserve">      SEÑALES PREVENTIVAS</t>
  </si>
  <si>
    <t xml:space="preserve">      SEÑALES REGULADORAS</t>
  </si>
  <si>
    <t xml:space="preserve">         TUBERIA HDPE NO PERFORADA 60"</t>
  </si>
  <si>
    <t xml:space="preserve">      CABLE DE CONTROL (3xN°16 AWG NMT NTP)</t>
  </si>
  <si>
    <t xml:space="preserve">         IMPLEMENTACION DEL PLAN DE DESVIO/MANTENIMIENTO DE TRANSITO</t>
  </si>
  <si>
    <t xml:space="preserve">      CABLE DE CONTROL (4xN°18 AWG NMT NTP)</t>
  </si>
  <si>
    <t xml:space="preserve">         TRAZO Y REPLANTEO PRELIMINAR</t>
  </si>
  <si>
    <t>km</t>
  </si>
  <si>
    <t xml:space="preserve">            TRAZO NIVELES Y REPLANTEO PARA LA ESTRUCTURA</t>
  </si>
  <si>
    <t xml:space="preserve">         TRAZO NIVELES Y REPLANTEO PARA LA ESTRUCTURA</t>
  </si>
  <si>
    <t xml:space="preserve">      SUMINISTRO DE EE.EE DE 220V, 3KW MONOFÁSICA</t>
  </si>
  <si>
    <t xml:space="preserve">      POSTES KILOMETRICOS DE CONCRETO</t>
  </si>
  <si>
    <t xml:space="preserve">         PROGRAMA DE MEDIDAS DE PREVENCION, MITIGACIÓN Y REMEDIACIÓN</t>
  </si>
  <si>
    <t xml:space="preserve">         PLAN DE MANEJO DE RESIDUOS SOLIDOS</t>
  </si>
  <si>
    <t xml:space="preserve">      CABLE ELECTRICO 1x16 AWG TW PARA CIRCUITO DE PUESTA A TIERRA</t>
  </si>
  <si>
    <t xml:space="preserve">      CABLE DE ACOMEDITA (2xN°12 AWG)</t>
  </si>
  <si>
    <t>VALORIZACION Nº  - MES DE</t>
  </si>
  <si>
    <t>Supervisor:</t>
  </si>
  <si>
    <t>HOB CONSULTORES S.A.</t>
  </si>
  <si>
    <t>Contratista:</t>
  </si>
  <si>
    <t>CONSORCIO VIAL AYACUCHO</t>
  </si>
  <si>
    <t>Obra:</t>
  </si>
  <si>
    <t>REHABILITACION Y MEJORAMIENTO DE LA CARRETERA AYACUCHO - ABANCAY</t>
  </si>
  <si>
    <t>TRAMO: AYACUCHO km 0+000 km 50+000</t>
  </si>
  <si>
    <t>Entidad :</t>
  </si>
  <si>
    <t>MINISTERIO DE TRANSPORTE Y COMUNICACIONES - PROVIAS NACIONAL</t>
  </si>
  <si>
    <t>Fecha:</t>
  </si>
  <si>
    <t>1.- CALCULO DE LA AMORTIZACION CON EL AVANCE DE LA VALORIZACION Nº 06 (SETIEMBRE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</si>
</sst>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3">
    <numFmt numFmtId="43" formatCode="_-* #,##0.00_-;\-* #,##0.00_-;_-* &quot;-&quot;??_-;_-@_-"/>
    <numFmt numFmtId="164" formatCode="_ * #,##0.00_ ;_ * \-#,##0.00_ ;_ * &quot;-&quot;??_ ;_ @_ "/>
    <numFmt numFmtId="165" formatCode="&quot;S/.&quot;\ #,##0.00_);\(&quot;S/.&quot;\ #,##0.00\)"/>
    <numFmt numFmtId="166" formatCode="&quot;S/.&quot;\ #,##0.00_);[Red]\(&quot;S/.&quot;\ #,##0.00\)"/>
    <numFmt numFmtId="167" formatCode="_(&quot;S/.&quot;\ * #,##0_);_(&quot;S/.&quot;\ * \(#,##0\);_(&quot;S/.&quot;\ * &quot;-&quot;_);_(@_)"/>
    <numFmt numFmtId="168" formatCode="_(&quot;S/.&quot;\ * #,##0.00_);_(&quot;S/.&quot;\ * \(#,##0.00\);_(&quot;S/.&quot;\ * &quot;-&quot;??_);_(@_)"/>
    <numFmt numFmtId="169" formatCode="_(* #,##0.00_);_(* \(#,##0.00\);_(* &quot;-&quot;??_);_(@_)"/>
    <numFmt numFmtId="170" formatCode="_-* #,##0.00\ _P_t_s_-;\-* #,##0.00\ _P_t_s_-;_-* &quot;-&quot;??\ _P_t_s_-;_-@_-"/>
    <numFmt numFmtId="171" formatCode="#,##0.000_);\(#,##0.000\)"/>
    <numFmt numFmtId="172" formatCode="0.000_)"/>
    <numFmt numFmtId="173" formatCode="0.00_)"/>
    <numFmt numFmtId="174" formatCode="#,##0.000"/>
    <numFmt numFmtId="175" formatCode="0.00000"/>
    <numFmt numFmtId="176" formatCode="#,000.00"/>
    <numFmt numFmtId="177" formatCode="#,000.0000"/>
    <numFmt numFmtId="178" formatCode="_-* #,##0.000\ _P_t_s_-;\-* #,##0.000\ _P_t_s_-;_-* &quot;-&quot;??\ _P_t_s_-;_-@_-"/>
    <numFmt numFmtId="179" formatCode="00.00.00"/>
    <numFmt numFmtId="180" formatCode="0.000%"/>
    <numFmt numFmtId="181" formatCode="0.000"/>
    <numFmt numFmtId="182" formatCode="[$S/.-280A]\ #,##0.00"/>
    <numFmt numFmtId="183" formatCode="0.00000000000000"/>
    <numFmt numFmtId="184" formatCode="#,##0.00;[Red]\(#,##0.00\)"/>
    <numFmt numFmtId="185" formatCode="_ [$€]\ * #,##0.00_ ;_ [$€]\ * \-#,##0.00_ ;_ [$€]\ * &quot;-&quot;??_ ;_ @_ "/>
    <numFmt numFmtId="186" formatCode="#,##0.0000_);\(#,##0.0000\)"/>
    <numFmt numFmtId="187" formatCode="0.000000000000"/>
    <numFmt numFmtId="188" formatCode="#,##0.00\ "/>
    <numFmt numFmtId="189" formatCode="#,##0.00000"/>
    <numFmt numFmtId="190" formatCode="#,##0.000;\-#,##0.000"/>
    <numFmt numFmtId="191" formatCode="#,##0.0000"/>
    <numFmt numFmtId="192" formatCode="_ * #,##0.00%_ ;_ * \-\ #,##0.00%_ ;_ * &quot; &quot;??_ ;_ @_ "/>
    <numFmt numFmtId="193" formatCode="0.0000%"/>
    <numFmt numFmtId="194" formatCode="#,##0.00_);\-#,##0.00"/>
    <numFmt numFmtId="195" formatCode="#,##0.0000000_);\(#,##0.0000000\)"/>
    <numFmt numFmtId="196" formatCode="#,##0.00000_);[Red]\(#,##0.00000\)"/>
    <numFmt numFmtId="197" formatCode="0\ "/>
    <numFmt numFmtId="198" formatCode="#\ ###\ ##0.00\ "/>
    <numFmt numFmtId="199" formatCode="\-#,##0.00;[Red]#,##0.00"/>
    <numFmt numFmtId="200" formatCode="#,##0.00_);\(\ #,##0.00\)"/>
    <numFmt numFmtId="201" formatCode="mmmm\-yyyy"/>
    <numFmt numFmtId="202" formatCode="#\ ###\ ##0.00_);\(#\ ###\ ##0.00\)"/>
    <numFmt numFmtId="203" formatCode="#,##0.00\ \ \ "/>
    <numFmt numFmtId="204" formatCode="_-[$S/.-280A]\ * #,##0.00_ ;_-[$S/.-280A]\ * \-#,##0.00\ ;_-[$S/.-280A]\ * &quot;-&quot;??_ ;_-@_ "/>
    <numFmt numFmtId="205" formatCode="0.0000"/>
    <numFmt numFmtId="206" formatCode="d\-mmmm\-yyyy"/>
    <numFmt numFmtId="207" formatCode="dd\-mmmm\-yyyy"/>
    <numFmt numFmtId="208" formatCode="0\ &quot;Dias Calendarios&quot;"/>
    <numFmt numFmtId="209" formatCode="0.0"/>
    <numFmt numFmtId="210" formatCode="#,##0.0000000000000"/>
    <numFmt numFmtId="211" formatCode="#,##0.000000000000"/>
    <numFmt numFmtId="212" formatCode="#,##0.00_);\(#,##0.00\)"/>
    <numFmt numFmtId="213" formatCode="_-* #,##0.000_-;\-* #,##0.000_-;_-* &quot;-&quot;??_-;_-@_-"/>
    <numFmt numFmtId="214" formatCode="_-[$S/-280A]\ * #,##0.00_-;\-[$S/-280A]\ * #,##0.00_-;_-[$S/-280A]\ * &quot;-&quot;??_-;_-@_-"/>
    <numFmt numFmtId="215" formatCode="&quot;S/&quot;\ #,##0.00"/>
  </numFmts>
  <fonts count="12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u/>
      <sz val="20"/>
      <name val="Arial"/>
      <family val="2"/>
    </font>
    <font>
      <b/>
      <sz val="16"/>
      <name val="Arial"/>
      <family val="2"/>
    </font>
    <font>
      <i/>
      <sz val="9"/>
      <name val="Arial"/>
      <family val="2"/>
    </font>
    <font>
      <b/>
      <u/>
      <sz val="14"/>
      <name val="Arial"/>
      <family val="2"/>
    </font>
    <font>
      <u/>
      <sz val="10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20"/>
      <name val="Arial"/>
      <family val="2"/>
    </font>
    <font>
      <sz val="8"/>
      <name val="Times New Roman"/>
      <family val="1"/>
    </font>
    <font>
      <i/>
      <u/>
      <sz val="1"/>
      <color indexed="8"/>
      <name val="Courier"/>
      <family val="3"/>
    </font>
    <font>
      <sz val="1"/>
      <color indexed="8"/>
      <name val="Courier"/>
      <family val="3"/>
    </font>
    <font>
      <sz val="7"/>
      <name val="Arial"/>
      <family val="2"/>
    </font>
    <font>
      <sz val="10"/>
      <color indexed="10"/>
      <name val="Arial"/>
      <family val="2"/>
    </font>
    <font>
      <sz val="10"/>
      <name val="Arial Narrow"/>
      <family val="2"/>
    </font>
    <font>
      <sz val="8"/>
      <name val="Arial"/>
      <family val="2"/>
    </font>
    <font>
      <sz val="12"/>
      <color indexed="8"/>
      <name val="Courier"/>
      <family val="3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sz val="14"/>
      <name val="–¾’©"/>
      <charset val="128"/>
    </font>
    <font>
      <b/>
      <sz val="11"/>
      <color indexed="8"/>
      <name val="Arial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sz val="11"/>
      <name val="Arial Narrow"/>
      <family val="2"/>
    </font>
    <font>
      <sz val="9"/>
      <name val="Arial Narrow"/>
      <family val="2"/>
    </font>
    <font>
      <b/>
      <sz val="12"/>
      <name val="Arial Narrow"/>
      <family val="2"/>
    </font>
    <font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sz val="7"/>
      <name val="Arial"/>
      <family val="2"/>
    </font>
    <font>
      <sz val="6"/>
      <color indexed="8"/>
      <name val="Arial"/>
      <family val="2"/>
    </font>
    <font>
      <b/>
      <sz val="8"/>
      <color indexed="8"/>
      <name val="Times New Roman"/>
      <family val="1"/>
    </font>
    <font>
      <sz val="8"/>
      <color indexed="10"/>
      <name val="Times New Roman"/>
      <family val="1"/>
    </font>
    <font>
      <b/>
      <sz val="13"/>
      <color indexed="62"/>
      <name val="Garamond"/>
      <family val="1"/>
    </font>
    <font>
      <b/>
      <sz val="10"/>
      <color indexed="62"/>
      <name val="Arial"/>
      <family val="2"/>
    </font>
    <font>
      <sz val="10"/>
      <color indexed="12"/>
      <name val="Arial Narrow"/>
      <family val="2"/>
    </font>
    <font>
      <sz val="10"/>
      <color indexed="9"/>
      <name val="Arial Narrow"/>
      <family val="2"/>
    </font>
    <font>
      <sz val="7"/>
      <name val="Arial Narrow"/>
      <family val="2"/>
    </font>
    <font>
      <sz val="7"/>
      <color indexed="8"/>
      <name val="Arial Narrow"/>
      <family val="2"/>
    </font>
    <font>
      <b/>
      <sz val="7"/>
      <color indexed="8"/>
      <name val="Arial Narrow"/>
      <family val="2"/>
    </font>
    <font>
      <b/>
      <sz val="14"/>
      <color indexed="8"/>
      <name val="Arial Narrow"/>
      <family val="2"/>
    </font>
    <font>
      <b/>
      <sz val="14"/>
      <color indexed="9"/>
      <name val="Arial Narrow"/>
      <family val="2"/>
    </font>
    <font>
      <b/>
      <sz val="10"/>
      <color indexed="8"/>
      <name val="Arial Narrow"/>
      <family val="2"/>
    </font>
    <font>
      <b/>
      <sz val="10"/>
      <color indexed="9"/>
      <name val="Arial Narrow"/>
      <family val="2"/>
    </font>
    <font>
      <sz val="12"/>
      <name val="Courier"/>
      <family val="3"/>
    </font>
    <font>
      <sz val="9"/>
      <color indexed="10"/>
      <name val="Geneva"/>
    </font>
    <font>
      <sz val="10"/>
      <color indexed="8"/>
      <name val="Arial Narrow"/>
      <family val="2"/>
    </font>
    <font>
      <b/>
      <sz val="11"/>
      <color indexed="12"/>
      <name val="Arial Narrow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9"/>
      <name val="CG Omega"/>
      <family val="2"/>
    </font>
    <font>
      <sz val="10"/>
      <name val="Helv"/>
    </font>
    <font>
      <b/>
      <sz val="1"/>
      <color indexed="8"/>
      <name val="Courier"/>
      <family val="3"/>
    </font>
    <font>
      <sz val="10"/>
      <color indexed="8"/>
      <name val="MS Sans Serif"/>
      <family val="2"/>
    </font>
    <font>
      <b/>
      <sz val="8"/>
      <color indexed="12"/>
      <name val="Arial"/>
      <family val="2"/>
    </font>
    <font>
      <b/>
      <sz val="9"/>
      <color indexed="9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CG Omega"/>
      <family val="2"/>
    </font>
    <font>
      <b/>
      <sz val="8"/>
      <name val="CG Omega"/>
      <family val="2"/>
    </font>
    <font>
      <sz val="8"/>
      <name val="CG Omega"/>
      <family val="2"/>
    </font>
    <font>
      <sz val="8"/>
      <color indexed="8"/>
      <name val="CG Omega"/>
      <family val="2"/>
    </font>
    <font>
      <sz val="10"/>
      <name val="Arial"/>
      <family val="2"/>
    </font>
    <font>
      <b/>
      <sz val="13"/>
      <name val="CG Omega"/>
      <family val="2"/>
    </font>
    <font>
      <b/>
      <i/>
      <sz val="9"/>
      <name val="Arial Narrow"/>
      <family val="2"/>
    </font>
    <font>
      <b/>
      <i/>
      <sz val="11"/>
      <name val="Arial Narrow"/>
      <family val="2"/>
    </font>
    <font>
      <b/>
      <i/>
      <sz val="10"/>
      <name val="Arial Narrow"/>
      <family val="2"/>
    </font>
    <font>
      <i/>
      <sz val="9"/>
      <name val="Arial Narrow"/>
      <family val="2"/>
    </font>
    <font>
      <i/>
      <sz val="10"/>
      <name val="Arial Narrow"/>
      <family val="2"/>
    </font>
    <font>
      <sz val="9"/>
      <color indexed="8"/>
      <name val="Arial Narrow"/>
      <family val="2"/>
    </font>
    <font>
      <sz val="11"/>
      <color indexed="8"/>
      <name val="Arial Narrow"/>
      <family val="2"/>
    </font>
    <font>
      <b/>
      <sz val="9"/>
      <color indexed="8"/>
      <name val="Arial Narrow"/>
      <family val="2"/>
    </font>
    <font>
      <sz val="11"/>
      <color indexed="8"/>
      <name val="Calibri"/>
      <family val="2"/>
    </font>
    <font>
      <sz val="9"/>
      <color indexed="12"/>
      <name val="Arial Narrow"/>
      <family val="2"/>
    </font>
    <font>
      <sz val="10"/>
      <color indexed="12"/>
      <name val="Arial Narrow"/>
      <family val="2"/>
    </font>
    <font>
      <sz val="8"/>
      <name val="Arial"/>
      <family val="2"/>
    </font>
    <font>
      <b/>
      <sz val="11"/>
      <color indexed="8"/>
      <name val="CG Omega"/>
      <family val="2"/>
    </font>
    <font>
      <sz val="10"/>
      <color indexed="8"/>
      <name val="MS Sans Serif"/>
    </font>
    <font>
      <sz val="14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8"/>
      <color indexed="9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  <font>
      <sz val="8"/>
      <color indexed="12"/>
      <name val="Arial"/>
      <family val="2"/>
    </font>
    <font>
      <sz val="8"/>
      <color indexed="12"/>
      <name val="Arial"/>
      <family val="2"/>
    </font>
    <font>
      <b/>
      <i/>
      <u/>
      <sz val="14"/>
      <color indexed="18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11"/>
      <color indexed="9"/>
      <name val="Arial Narrow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6"/>
      <name val="Arial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b/>
      <sz val="11"/>
      <color rgb="FFFF0000"/>
      <name val="Arial Narrow"/>
      <family val="2"/>
    </font>
    <font>
      <sz val="10"/>
      <color theme="0"/>
      <name val="Arial"/>
      <family val="2"/>
    </font>
    <font>
      <sz val="8"/>
      <color theme="0"/>
      <name val="Arial"/>
      <family val="2"/>
    </font>
    <font>
      <sz val="10"/>
      <color theme="0"/>
      <name val="Arial Narrow"/>
      <family val="2"/>
    </font>
    <font>
      <sz val="8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CC"/>
      <name val="Arial Narrow"/>
      <family val="2"/>
    </font>
    <font>
      <sz val="10"/>
      <color theme="0"/>
      <name val="CG Omega"/>
      <family val="2"/>
    </font>
    <font>
      <b/>
      <sz val="13"/>
      <color theme="0"/>
      <name val="CG Omega"/>
      <family val="2"/>
    </font>
    <font>
      <sz val="10"/>
      <color indexed="8"/>
      <name val="CG Omega"/>
      <family val="2"/>
    </font>
    <font>
      <b/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99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theme="0" tint="-0.34998626667073579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34998626667073579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62">
    <xf numFmtId="0" fontId="0" fillId="0" borderId="0"/>
    <xf numFmtId="0" fontId="62" fillId="0" borderId="0"/>
    <xf numFmtId="4" fontId="26" fillId="0" borderId="0">
      <protection locked="0"/>
    </xf>
    <xf numFmtId="168" fontId="2" fillId="0" borderId="0">
      <protection locked="0"/>
    </xf>
    <xf numFmtId="0" fontId="68" fillId="0" borderId="0"/>
    <xf numFmtId="165" fontId="2" fillId="0" borderId="0">
      <protection locked="0"/>
    </xf>
    <xf numFmtId="199" fontId="2" fillId="0" borderId="0">
      <protection locked="0"/>
    </xf>
    <xf numFmtId="0" fontId="26" fillId="0" borderId="0">
      <protection locked="0"/>
    </xf>
    <xf numFmtId="185" fontId="24" fillId="0" borderId="0" applyFont="0" applyFill="0" applyBorder="0" applyAlignment="0" applyProtection="0"/>
    <xf numFmtId="0" fontId="25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167" fontId="2" fillId="0" borderId="0">
      <protection locked="0"/>
    </xf>
    <xf numFmtId="0" fontId="26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164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200" fontId="2" fillId="0" borderId="0" applyFont="0" applyFill="0" applyBorder="0" applyAlignment="0" applyProtection="0"/>
    <xf numFmtId="200" fontId="2" fillId="0" borderId="0" applyFont="0" applyFill="0" applyBorder="0" applyAlignment="0" applyProtection="0"/>
    <xf numFmtId="200" fontId="2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32" fillId="0" borderId="0">
      <alignment vertical="top"/>
    </xf>
    <xf numFmtId="0" fontId="89" fillId="0" borderId="0"/>
    <xf numFmtId="0" fontId="2" fillId="0" borderId="0"/>
    <xf numFmtId="0" fontId="2" fillId="0" borderId="0"/>
    <xf numFmtId="0" fontId="70" fillId="0" borderId="0"/>
    <xf numFmtId="0" fontId="89" fillId="0" borderId="0"/>
    <xf numFmtId="0" fontId="2" fillId="0" borderId="0"/>
    <xf numFmtId="0" fontId="32" fillId="0" borderId="0">
      <alignment vertical="top"/>
    </xf>
    <xf numFmtId="0" fontId="6" fillId="0" borderId="0">
      <alignment vertical="center"/>
    </xf>
    <xf numFmtId="0" fontId="2" fillId="0" borderId="0"/>
    <xf numFmtId="39" fontId="61" fillId="0" borderId="0"/>
    <xf numFmtId="0" fontId="24" fillId="0" borderId="0"/>
    <xf numFmtId="0" fontId="2" fillId="0" borderId="0"/>
    <xf numFmtId="0" fontId="70" fillId="0" borderId="0"/>
    <xf numFmtId="0" fontId="92" fillId="0" borderId="0">
      <alignment vertical="center"/>
    </xf>
    <xf numFmtId="0" fontId="94" fillId="0" borderId="0"/>
    <xf numFmtId="0" fontId="94" fillId="0" borderId="0"/>
    <xf numFmtId="0" fontId="62" fillId="0" borderId="0"/>
    <xf numFmtId="0" fontId="46" fillId="0" borderId="0" applyProtection="0"/>
    <xf numFmtId="0" fontId="108" fillId="0" borderId="0"/>
    <xf numFmtId="0" fontId="2" fillId="0" borderId="0"/>
    <xf numFmtId="39" fontId="61" fillId="0" borderId="0"/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166" fontId="2" fillId="0" borderId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89" fillId="0" borderId="0" applyFont="0" applyFill="0" applyBorder="0" applyAlignment="0" applyProtection="0"/>
    <xf numFmtId="0" fontId="24" fillId="0" borderId="1" applyNumberFormat="0" applyAlignment="0"/>
    <xf numFmtId="0" fontId="2" fillId="0" borderId="0"/>
    <xf numFmtId="0" fontId="2" fillId="0" borderId="0"/>
  </cellStyleXfs>
  <cellXfs count="1767">
    <xf numFmtId="0" fontId="0" fillId="0" borderId="0" xfId="0"/>
    <xf numFmtId="39" fontId="0" fillId="0" borderId="0" xfId="0" applyNumberFormat="1"/>
    <xf numFmtId="3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horizontal="centerContinuous"/>
    </xf>
    <xf numFmtId="4" fontId="0" fillId="0" borderId="0" xfId="0" applyNumberFormat="1"/>
    <xf numFmtId="0" fontId="7" fillId="0" borderId="0" xfId="0" applyFont="1" applyAlignment="1">
      <alignment horizontal="left"/>
    </xf>
    <xf numFmtId="0" fontId="0" fillId="0" borderId="3" xfId="0" applyBorder="1"/>
    <xf numFmtId="0" fontId="9" fillId="0" borderId="0" xfId="0" applyFont="1"/>
    <xf numFmtId="39" fontId="9" fillId="0" borderId="0" xfId="0" applyNumberFormat="1" applyFont="1"/>
    <xf numFmtId="0" fontId="12" fillId="0" borderId="0" xfId="0" applyFont="1"/>
    <xf numFmtId="0" fontId="8" fillId="0" borderId="0" xfId="0" applyFont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169" fontId="9" fillId="0" borderId="0" xfId="0" applyNumberFormat="1" applyFont="1"/>
    <xf numFmtId="4" fontId="0" fillId="0" borderId="7" xfId="0" applyNumberFormat="1" applyBorder="1" applyAlignment="1">
      <alignment horizontal="center"/>
    </xf>
    <xf numFmtId="173" fontId="0" fillId="0" borderId="0" xfId="0" applyNumberFormat="1"/>
    <xf numFmtId="171" fontId="0" fillId="0" borderId="0" xfId="0" applyNumberFormat="1"/>
    <xf numFmtId="174" fontId="0" fillId="0" borderId="0" xfId="0" applyNumberFormat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1" fillId="0" borderId="0" xfId="0" applyFont="1"/>
    <xf numFmtId="0" fontId="11" fillId="0" borderId="0" xfId="0" applyFont="1" applyAlignment="1">
      <alignment horizontal="centerContinuous"/>
    </xf>
    <xf numFmtId="0" fontId="5" fillId="0" borderId="0" xfId="0" applyFont="1" applyAlignment="1">
      <alignment horizontal="left"/>
    </xf>
    <xf numFmtId="39" fontId="10" fillId="0" borderId="0" xfId="0" applyNumberFormat="1" applyFont="1" applyAlignment="1">
      <alignment horizontal="left"/>
    </xf>
    <xf numFmtId="39" fontId="10" fillId="0" borderId="0" xfId="0" applyNumberFormat="1" applyFont="1"/>
    <xf numFmtId="169" fontId="10" fillId="0" borderId="0" xfId="0" applyNumberFormat="1" applyFont="1"/>
    <xf numFmtId="0" fontId="10" fillId="0" borderId="0" xfId="0" applyFont="1"/>
    <xf numFmtId="176" fontId="10" fillId="0" borderId="0" xfId="0" applyNumberFormat="1" applyFont="1"/>
    <xf numFmtId="0" fontId="12" fillId="0" borderId="0" xfId="0" applyFont="1" applyAlignment="1">
      <alignment horizontal="left"/>
    </xf>
    <xf numFmtId="4" fontId="9" fillId="0" borderId="7" xfId="0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4" fontId="0" fillId="0" borderId="3" xfId="0" applyNumberFormat="1" applyBorder="1"/>
    <xf numFmtId="4" fontId="0" fillId="0" borderId="12" xfId="0" applyNumberFormat="1" applyBorder="1" applyAlignment="1">
      <alignment horizontal="center"/>
    </xf>
    <xf numFmtId="0" fontId="0" fillId="0" borderId="13" xfId="0" applyBorder="1"/>
    <xf numFmtId="177" fontId="0" fillId="0" borderId="0" xfId="0" applyNumberFormat="1"/>
    <xf numFmtId="2" fontId="0" fillId="0" borderId="0" xfId="0" applyNumberFormat="1"/>
    <xf numFmtId="169" fontId="10" fillId="0" borderId="0" xfId="0" applyNumberFormat="1" applyFont="1" applyProtection="1">
      <protection locked="0"/>
    </xf>
    <xf numFmtId="0" fontId="0" fillId="0" borderId="14" xfId="0" applyBorder="1"/>
    <xf numFmtId="0" fontId="0" fillId="0" borderId="15" xfId="0" applyBorder="1"/>
    <xf numFmtId="17" fontId="0" fillId="0" borderId="2" xfId="0" applyNumberFormat="1" applyBorder="1" applyAlignment="1">
      <alignment horizontal="center"/>
    </xf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17" fontId="0" fillId="0" borderId="7" xfId="0" applyNumberFormat="1" applyBorder="1" applyAlignment="1">
      <alignment horizontal="center"/>
    </xf>
    <xf numFmtId="0" fontId="18" fillId="0" borderId="0" xfId="0" applyFont="1"/>
    <xf numFmtId="4" fontId="9" fillId="0" borderId="17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4" fontId="0" fillId="0" borderId="17" xfId="0" applyNumberFormat="1" applyBorder="1" applyAlignment="1">
      <alignment horizontal="center"/>
    </xf>
    <xf numFmtId="39" fontId="6" fillId="0" borderId="0" xfId="0" applyNumberFormat="1" applyFont="1" applyAlignment="1">
      <alignment horizontal="left"/>
    </xf>
    <xf numFmtId="0" fontId="0" fillId="0" borderId="12" xfId="0" applyBorder="1"/>
    <xf numFmtId="0" fontId="19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39" fontId="20" fillId="0" borderId="0" xfId="0" applyNumberFormat="1" applyFont="1" applyAlignment="1">
      <alignment horizontal="centerContinuous"/>
    </xf>
    <xf numFmtId="0" fontId="0" fillId="0" borderId="21" xfId="0" applyBorder="1"/>
    <xf numFmtId="0" fontId="0" fillId="0" borderId="5" xfId="0" applyBorder="1"/>
    <xf numFmtId="0" fontId="0" fillId="0" borderId="22" xfId="0" applyBorder="1"/>
    <xf numFmtId="0" fontId="0" fillId="0" borderId="23" xfId="0" applyBorder="1"/>
    <xf numFmtId="4" fontId="9" fillId="0" borderId="0" xfId="0" applyNumberFormat="1" applyFont="1" applyAlignment="1">
      <alignment horizontal="center"/>
    </xf>
    <xf numFmtId="4" fontId="0" fillId="0" borderId="2" xfId="0" applyNumberFormat="1" applyBorder="1"/>
    <xf numFmtId="0" fontId="0" fillId="0" borderId="5" xfId="0" applyBorder="1" applyAlignment="1">
      <alignment horizontal="left" indent="1"/>
    </xf>
    <xf numFmtId="0" fontId="10" fillId="0" borderId="24" xfId="0" applyFont="1" applyBorder="1" applyAlignment="1">
      <alignment vertical="center"/>
    </xf>
    <xf numFmtId="0" fontId="10" fillId="0" borderId="25" xfId="0" applyFont="1" applyBorder="1"/>
    <xf numFmtId="0" fontId="10" fillId="0" borderId="25" xfId="0" applyFont="1" applyBorder="1" applyAlignment="1">
      <alignment vertical="center"/>
    </xf>
    <xf numFmtId="4" fontId="10" fillId="0" borderId="26" xfId="0" applyNumberFormat="1" applyFont="1" applyBorder="1" applyAlignment="1">
      <alignment horizontal="right"/>
    </xf>
    <xf numFmtId="4" fontId="9" fillId="0" borderId="27" xfId="0" applyNumberFormat="1" applyFont="1" applyBorder="1" applyAlignment="1">
      <alignment horizontal="right"/>
    </xf>
    <xf numFmtId="4" fontId="10" fillId="0" borderId="27" xfId="0" applyNumberFormat="1" applyFont="1" applyBorder="1" applyAlignment="1">
      <alignment horizontal="right"/>
    </xf>
    <xf numFmtId="39" fontId="10" fillId="0" borderId="27" xfId="0" applyNumberFormat="1" applyFont="1" applyBorder="1" applyAlignment="1">
      <alignment horizontal="left"/>
    </xf>
    <xf numFmtId="4" fontId="10" fillId="0" borderId="28" xfId="0" applyNumberFormat="1" applyFont="1" applyBorder="1" applyAlignment="1">
      <alignment horizontal="right"/>
    </xf>
    <xf numFmtId="4" fontId="9" fillId="0" borderId="29" xfId="0" applyNumberFormat="1" applyFont="1" applyBorder="1" applyAlignment="1">
      <alignment horizontal="right"/>
    </xf>
    <xf numFmtId="4" fontId="10" fillId="0" borderId="29" xfId="0" applyNumberFormat="1" applyFont="1" applyBorder="1" applyAlignment="1">
      <alignment horizontal="right"/>
    </xf>
    <xf numFmtId="39" fontId="10" fillId="0" borderId="29" xfId="0" applyNumberFormat="1" applyFont="1" applyBorder="1" applyAlignment="1">
      <alignment horizontal="left"/>
    </xf>
    <xf numFmtId="4" fontId="9" fillId="0" borderId="30" xfId="0" applyNumberFormat="1" applyFont="1" applyBorder="1" applyAlignment="1">
      <alignment vertical="center"/>
    </xf>
    <xf numFmtId="4" fontId="10" fillId="0" borderId="30" xfId="0" applyNumberFormat="1" applyFont="1" applyBorder="1" applyAlignment="1">
      <alignment vertical="center"/>
    </xf>
    <xf numFmtId="4" fontId="9" fillId="0" borderId="30" xfId="0" applyNumberFormat="1" applyFont="1" applyBorder="1"/>
    <xf numFmtId="0" fontId="9" fillId="0" borderId="11" xfId="0" applyFont="1" applyBorder="1"/>
    <xf numFmtId="169" fontId="10" fillId="0" borderId="30" xfId="0" applyNumberFormat="1" applyFont="1" applyBorder="1" applyAlignment="1">
      <alignment vertical="center"/>
    </xf>
    <xf numFmtId="4" fontId="10" fillId="0" borderId="31" xfId="0" applyNumberFormat="1" applyFont="1" applyBorder="1" applyAlignment="1">
      <alignment vertical="center"/>
    </xf>
    <xf numFmtId="0" fontId="9" fillId="0" borderId="10" xfId="0" applyFont="1" applyBorder="1"/>
    <xf numFmtId="17" fontId="0" fillId="0" borderId="19" xfId="0" applyNumberForma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0" xfId="0" quotePrefix="1"/>
    <xf numFmtId="4" fontId="0" fillId="0" borderId="0" xfId="0" applyNumberFormat="1" applyAlignment="1">
      <alignment horizontal="center"/>
    </xf>
    <xf numFmtId="0" fontId="10" fillId="0" borderId="0" xfId="0" applyFont="1" applyAlignment="1">
      <alignment horizontal="left"/>
    </xf>
    <xf numFmtId="4" fontId="0" fillId="0" borderId="12" xfId="0" applyNumberFormat="1" applyBorder="1"/>
    <xf numFmtId="0" fontId="13" fillId="0" borderId="2" xfId="0" applyFont="1" applyBorder="1" applyAlignment="1">
      <alignment horizontal="center"/>
    </xf>
    <xf numFmtId="0" fontId="13" fillId="0" borderId="18" xfId="0" applyFont="1" applyBorder="1" applyAlignment="1">
      <alignment horizontal="centerContinuous"/>
    </xf>
    <xf numFmtId="0" fontId="13" fillId="0" borderId="32" xfId="0" applyFont="1" applyBorder="1" applyAlignment="1">
      <alignment horizontal="centerContinuous"/>
    </xf>
    <xf numFmtId="0" fontId="13" fillId="0" borderId="35" xfId="0" applyFont="1" applyBorder="1" applyAlignment="1">
      <alignment horizontal="centerContinuous"/>
    </xf>
    <xf numFmtId="0" fontId="13" fillId="0" borderId="15" xfId="0" applyFont="1" applyBorder="1" applyAlignment="1">
      <alignment horizontal="centerContinuous"/>
    </xf>
    <xf numFmtId="0" fontId="13" fillId="0" borderId="36" xfId="0" applyFont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38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/>
    <xf numFmtId="0" fontId="15" fillId="0" borderId="9" xfId="0" applyFont="1" applyBorder="1"/>
    <xf numFmtId="0" fontId="15" fillId="0" borderId="24" xfId="0" applyFont="1" applyBorder="1" applyAlignment="1">
      <alignment horizontal="centerContinuous"/>
    </xf>
    <xf numFmtId="0" fontId="15" fillId="0" borderId="22" xfId="0" applyFont="1" applyBorder="1" applyAlignment="1">
      <alignment horizontal="centerContinuous"/>
    </xf>
    <xf numFmtId="0" fontId="15" fillId="0" borderId="17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17" fontId="15" fillId="0" borderId="27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81" fontId="0" fillId="0" borderId="0" xfId="0" applyNumberFormat="1"/>
    <xf numFmtId="0" fontId="13" fillId="0" borderId="19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76" fontId="10" fillId="0" borderId="0" xfId="0" applyNumberFormat="1" applyFont="1" applyAlignment="1">
      <alignment horizontal="center"/>
    </xf>
    <xf numFmtId="184" fontId="22" fillId="0" borderId="7" xfId="0" applyNumberFormat="1" applyFont="1" applyBorder="1"/>
    <xf numFmtId="184" fontId="22" fillId="0" borderId="14" xfId="0" applyNumberFormat="1" applyFont="1" applyBorder="1"/>
    <xf numFmtId="184" fontId="21" fillId="0" borderId="14" xfId="0" applyNumberFormat="1" applyFont="1" applyBorder="1"/>
    <xf numFmtId="0" fontId="1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13" fillId="0" borderId="41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Continuous" vertical="center"/>
    </xf>
    <xf numFmtId="0" fontId="13" fillId="0" borderId="34" xfId="0" applyFont="1" applyBorder="1" applyAlignment="1">
      <alignment horizontal="centerContinuous" vertical="center"/>
    </xf>
    <xf numFmtId="0" fontId="13" fillId="0" borderId="33" xfId="0" applyFont="1" applyBorder="1" applyAlignment="1">
      <alignment horizontal="centerContinuous" vertical="center"/>
    </xf>
    <xf numFmtId="0" fontId="13" fillId="0" borderId="22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quotePrefix="1" applyBorder="1" applyAlignment="1">
      <alignment wrapText="1"/>
    </xf>
    <xf numFmtId="0" fontId="10" fillId="0" borderId="25" xfId="0" applyFont="1" applyBorder="1" applyAlignment="1">
      <alignment horizontal="left"/>
    </xf>
    <xf numFmtId="0" fontId="10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quotePrefix="1" applyBorder="1" applyAlignment="1">
      <alignment wrapText="1"/>
    </xf>
    <xf numFmtId="0" fontId="0" fillId="0" borderId="44" xfId="0" quotePrefix="1" applyBorder="1" applyAlignment="1">
      <alignment horizontal="center"/>
    </xf>
    <xf numFmtId="17" fontId="0" fillId="0" borderId="2" xfId="0" applyNumberFormat="1" applyBorder="1" applyAlignment="1">
      <alignment horizontal="left"/>
    </xf>
    <xf numFmtId="0" fontId="0" fillId="0" borderId="2" xfId="0" quotePrefix="1" applyBorder="1" applyAlignment="1">
      <alignment horizontal="center"/>
    </xf>
    <xf numFmtId="4" fontId="0" fillId="0" borderId="2" xfId="0" quotePrefix="1" applyNumberFormat="1" applyBorder="1" applyAlignment="1">
      <alignment wrapText="1"/>
    </xf>
    <xf numFmtId="4" fontId="10" fillId="0" borderId="12" xfId="0" applyNumberFormat="1" applyFont="1" applyBorder="1"/>
    <xf numFmtId="0" fontId="0" fillId="0" borderId="44" xfId="0" applyBorder="1" applyAlignment="1">
      <alignment horizontal="center"/>
    </xf>
    <xf numFmtId="0" fontId="0" fillId="0" borderId="2" xfId="0" quotePrefix="1" applyBorder="1" applyAlignment="1">
      <alignment wrapText="1"/>
    </xf>
    <xf numFmtId="0" fontId="0" fillId="0" borderId="25" xfId="0" applyBorder="1" applyAlignment="1">
      <alignment horizontal="center"/>
    </xf>
    <xf numFmtId="4" fontId="0" fillId="0" borderId="45" xfId="0" applyNumberFormat="1" applyBorder="1"/>
    <xf numFmtId="4" fontId="0" fillId="0" borderId="4" xfId="0" applyNumberFormat="1" applyBorder="1"/>
    <xf numFmtId="9" fontId="0" fillId="0" borderId="0" xfId="0" applyNumberFormat="1"/>
    <xf numFmtId="4" fontId="9" fillId="0" borderId="2" xfId="0" quotePrefix="1" applyNumberFormat="1" applyFont="1" applyBorder="1" applyAlignment="1">
      <alignment wrapText="1"/>
    </xf>
    <xf numFmtId="4" fontId="8" fillId="0" borderId="0" xfId="0" applyNumberFormat="1" applyFont="1"/>
    <xf numFmtId="4" fontId="12" fillId="0" borderId="0" xfId="0" applyNumberFormat="1" applyFont="1"/>
    <xf numFmtId="4" fontId="10" fillId="0" borderId="41" xfId="0" applyNumberFormat="1" applyFont="1" applyBorder="1" applyAlignment="1">
      <alignment horizontal="center"/>
    </xf>
    <xf numFmtId="4" fontId="10" fillId="0" borderId="41" xfId="0" applyNumberFormat="1" applyFont="1" applyBorder="1"/>
    <xf numFmtId="49" fontId="5" fillId="0" borderId="0" xfId="49" applyNumberFormat="1" applyFont="1" applyAlignment="1">
      <alignment horizontal="centerContinuous"/>
    </xf>
    <xf numFmtId="0" fontId="1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5" fillId="0" borderId="26" xfId="0" applyFont="1" applyBorder="1" applyAlignment="1">
      <alignment horizontal="center"/>
    </xf>
    <xf numFmtId="4" fontId="10" fillId="0" borderId="0" xfId="0" applyNumberFormat="1" applyFont="1"/>
    <xf numFmtId="0" fontId="29" fillId="0" borderId="0" xfId="0" applyFont="1"/>
    <xf numFmtId="0" fontId="23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22" fillId="0" borderId="14" xfId="0" applyFont="1" applyBorder="1" applyAlignment="1">
      <alignment horizontal="center"/>
    </xf>
    <xf numFmtId="17" fontId="22" fillId="0" borderId="14" xfId="0" applyNumberFormat="1" applyFont="1" applyBorder="1" applyAlignment="1">
      <alignment horizontal="center"/>
    </xf>
    <xf numFmtId="0" fontId="31" fillId="0" borderId="14" xfId="0" applyFont="1" applyBorder="1" applyAlignment="1">
      <alignment horizontal="right"/>
    </xf>
    <xf numFmtId="39" fontId="32" fillId="0" borderId="14" xfId="0" applyNumberFormat="1" applyFont="1" applyBorder="1"/>
    <xf numFmtId="0" fontId="31" fillId="0" borderId="0" xfId="0" applyFont="1" applyAlignment="1">
      <alignment horizontal="center"/>
    </xf>
    <xf numFmtId="17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right"/>
    </xf>
    <xf numFmtId="39" fontId="32" fillId="0" borderId="0" xfId="0" applyNumberFormat="1" applyFont="1"/>
    <xf numFmtId="0" fontId="31" fillId="0" borderId="50" xfId="0" applyFont="1" applyBorder="1"/>
    <xf numFmtId="49" fontId="22" fillId="0" borderId="2" xfId="0" applyNumberFormat="1" applyFont="1" applyBorder="1" applyAlignment="1">
      <alignment horizontal="center"/>
    </xf>
    <xf numFmtId="4" fontId="22" fillId="0" borderId="36" xfId="0" applyNumberFormat="1" applyFont="1" applyBorder="1"/>
    <xf numFmtId="172" fontId="22" fillId="0" borderId="37" xfId="0" applyNumberFormat="1" applyFont="1" applyBorder="1"/>
    <xf numFmtId="186" fontId="3" fillId="0" borderId="0" xfId="0" applyNumberFormat="1" applyFont="1"/>
    <xf numFmtId="0" fontId="22" fillId="0" borderId="37" xfId="0" applyFont="1" applyBorder="1"/>
    <xf numFmtId="0" fontId="22" fillId="0" borderId="51" xfId="0" applyFont="1" applyBorder="1"/>
    <xf numFmtId="0" fontId="22" fillId="0" borderId="14" xfId="0" applyFont="1" applyBorder="1"/>
    <xf numFmtId="184" fontId="22" fillId="0" borderId="36" xfId="0" applyNumberFormat="1" applyFont="1" applyBorder="1"/>
    <xf numFmtId="17" fontId="22" fillId="0" borderId="7" xfId="0" applyNumberFormat="1" applyFont="1" applyBorder="1" applyAlignment="1">
      <alignment horizontal="center"/>
    </xf>
    <xf numFmtId="4" fontId="22" fillId="0" borderId="2" xfId="0" applyNumberFormat="1" applyFont="1" applyBorder="1"/>
    <xf numFmtId="172" fontId="22" fillId="0" borderId="27" xfId="0" applyNumberFormat="1" applyFont="1" applyBorder="1"/>
    <xf numFmtId="0" fontId="22" fillId="0" borderId="27" xfId="0" applyFont="1" applyBorder="1"/>
    <xf numFmtId="4" fontId="22" fillId="0" borderId="7" xfId="0" applyNumberFormat="1" applyFont="1" applyBorder="1"/>
    <xf numFmtId="17" fontId="22" fillId="0" borderId="0" xfId="0" applyNumberFormat="1" applyFont="1" applyAlignment="1">
      <alignment horizontal="center"/>
    </xf>
    <xf numFmtId="0" fontId="22" fillId="0" borderId="2" xfId="0" applyFont="1" applyBorder="1"/>
    <xf numFmtId="0" fontId="22" fillId="0" borderId="7" xfId="0" applyFont="1" applyBorder="1"/>
    <xf numFmtId="0" fontId="3" fillId="0" borderId="27" xfId="0" applyFont="1" applyBorder="1"/>
    <xf numFmtId="2" fontId="3" fillId="0" borderId="0" xfId="0" applyNumberFormat="1" applyFont="1"/>
    <xf numFmtId="0" fontId="22" fillId="0" borderId="36" xfId="0" applyFont="1" applyBorder="1"/>
    <xf numFmtId="4" fontId="22" fillId="0" borderId="14" xfId="0" applyNumberFormat="1" applyFont="1" applyBorder="1"/>
    <xf numFmtId="4" fontId="3" fillId="0" borderId="0" xfId="0" applyNumberFormat="1" applyFont="1"/>
    <xf numFmtId="4" fontId="3" fillId="0" borderId="0" xfId="0" applyNumberFormat="1" applyFont="1" applyAlignment="1">
      <alignment horizontal="left"/>
    </xf>
    <xf numFmtId="184" fontId="3" fillId="0" borderId="0" xfId="0" applyNumberFormat="1" applyFont="1"/>
    <xf numFmtId="0" fontId="31" fillId="0" borderId="14" xfId="0" applyFont="1" applyBorder="1"/>
    <xf numFmtId="0" fontId="31" fillId="0" borderId="0" xfId="0" applyFont="1"/>
    <xf numFmtId="2" fontId="22" fillId="0" borderId="37" xfId="0" applyNumberFormat="1" applyFont="1" applyBorder="1"/>
    <xf numFmtId="2" fontId="22" fillId="0" borderId="51" xfId="0" applyNumberFormat="1" applyFont="1" applyBorder="1"/>
    <xf numFmtId="2" fontId="22" fillId="0" borderId="14" xfId="0" applyNumberFormat="1" applyFont="1" applyBorder="1"/>
    <xf numFmtId="2" fontId="22" fillId="0" borderId="27" xfId="0" applyNumberFormat="1" applyFont="1" applyBorder="1"/>
    <xf numFmtId="49" fontId="22" fillId="0" borderId="7" xfId="0" applyNumberFormat="1" applyFont="1" applyBorder="1" applyAlignment="1">
      <alignment horizontal="center"/>
    </xf>
    <xf numFmtId="17" fontId="22" fillId="0" borderId="2" xfId="0" applyNumberFormat="1" applyFont="1" applyBorder="1" applyAlignment="1">
      <alignment horizontal="center"/>
    </xf>
    <xf numFmtId="4" fontId="22" fillId="0" borderId="0" xfId="0" applyNumberFormat="1" applyFont="1"/>
    <xf numFmtId="172" fontId="22" fillId="0" borderId="2" xfId="0" applyNumberFormat="1" applyFont="1" applyBorder="1"/>
    <xf numFmtId="0" fontId="22" fillId="0" borderId="0" xfId="0" applyFont="1"/>
    <xf numFmtId="2" fontId="22" fillId="0" borderId="2" xfId="0" applyNumberFormat="1" applyFont="1" applyBorder="1"/>
    <xf numFmtId="2" fontId="22" fillId="0" borderId="0" xfId="0" applyNumberFormat="1" applyFont="1"/>
    <xf numFmtId="0" fontId="33" fillId="0" borderId="52" xfId="0" applyFont="1" applyBorder="1"/>
    <xf numFmtId="0" fontId="33" fillId="0" borderId="53" xfId="0" applyFont="1" applyBorder="1"/>
    <xf numFmtId="0" fontId="33" fillId="0" borderId="52" xfId="0" applyFont="1" applyBorder="1" applyAlignment="1">
      <alignment horizontal="center"/>
    </xf>
    <xf numFmtId="0" fontId="33" fillId="0" borderId="52" xfId="0" applyFont="1" applyBorder="1" applyAlignment="1">
      <alignment horizontal="centerContinuous"/>
    </xf>
    <xf numFmtId="0" fontId="33" fillId="0" borderId="53" xfId="0" applyFont="1" applyBorder="1" applyAlignment="1">
      <alignment horizontal="centerContinuous"/>
    </xf>
    <xf numFmtId="0" fontId="33" fillId="0" borderId="7" xfId="0" applyFont="1" applyBorder="1" applyAlignment="1">
      <alignment horizontal="centerContinuous"/>
    </xf>
    <xf numFmtId="0" fontId="33" fillId="0" borderId="0" xfId="0" applyFont="1" applyAlignment="1">
      <alignment horizontal="centerContinuous"/>
    </xf>
    <xf numFmtId="0" fontId="33" fillId="0" borderId="7" xfId="0" applyFont="1" applyBorder="1" applyAlignment="1">
      <alignment horizontal="center"/>
    </xf>
    <xf numFmtId="0" fontId="33" fillId="0" borderId="54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7" xfId="0" applyFont="1" applyBorder="1"/>
    <xf numFmtId="0" fontId="33" fillId="0" borderId="0" xfId="0" applyFont="1"/>
    <xf numFmtId="0" fontId="33" fillId="0" borderId="2" xfId="0" applyFont="1" applyBorder="1" applyAlignment="1">
      <alignment horizontal="center"/>
    </xf>
    <xf numFmtId="0" fontId="33" fillId="0" borderId="37" xfId="0" applyFont="1" applyBorder="1" applyAlignment="1">
      <alignment horizontal="center"/>
    </xf>
    <xf numFmtId="0" fontId="33" fillId="0" borderId="51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41" xfId="0" applyFont="1" applyBorder="1" applyAlignment="1">
      <alignment horizontal="center"/>
    </xf>
    <xf numFmtId="0" fontId="33" fillId="0" borderId="27" xfId="0" applyFont="1" applyBorder="1" applyAlignment="1">
      <alignment horizontal="center"/>
    </xf>
    <xf numFmtId="0" fontId="33" fillId="0" borderId="45" xfId="0" applyFont="1" applyBorder="1" applyAlignment="1">
      <alignment horizontal="center"/>
    </xf>
    <xf numFmtId="4" fontId="3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4" fontId="0" fillId="0" borderId="0" xfId="0" applyNumberFormat="1" applyAlignment="1">
      <alignment horizontal="left"/>
    </xf>
    <xf numFmtId="0" fontId="0" fillId="0" borderId="41" xfId="0" applyBorder="1" applyAlignment="1">
      <alignment wrapText="1"/>
    </xf>
    <xf numFmtId="4" fontId="0" fillId="0" borderId="41" xfId="0" quotePrefix="1" applyNumberFormat="1" applyBorder="1" applyAlignment="1">
      <alignment wrapText="1"/>
    </xf>
    <xf numFmtId="4" fontId="0" fillId="0" borderId="27" xfId="0" applyNumberFormat="1" applyBorder="1" applyAlignment="1">
      <alignment horizontal="left"/>
    </xf>
    <xf numFmtId="0" fontId="0" fillId="0" borderId="41" xfId="0" quotePrefix="1" applyBorder="1"/>
    <xf numFmtId="0" fontId="0" fillId="0" borderId="41" xfId="0" quotePrefix="1" applyBorder="1" applyAlignment="1">
      <alignment horizontal="center"/>
    </xf>
    <xf numFmtId="4" fontId="0" fillId="0" borderId="41" xfId="0" applyNumberFormat="1" applyBorder="1" applyAlignment="1">
      <alignment horizontal="center"/>
    </xf>
    <xf numFmtId="4" fontId="0" fillId="0" borderId="41" xfId="0" applyNumberFormat="1" applyBorder="1"/>
    <xf numFmtId="4" fontId="0" fillId="0" borderId="55" xfId="0" applyNumberFormat="1" applyBorder="1"/>
    <xf numFmtId="0" fontId="0" fillId="0" borderId="41" xfId="0" applyBorder="1"/>
    <xf numFmtId="181" fontId="0" fillId="0" borderId="41" xfId="0" applyNumberFormat="1" applyBorder="1"/>
    <xf numFmtId="174" fontId="0" fillId="0" borderId="41" xfId="0" applyNumberFormat="1" applyBorder="1" applyAlignment="1">
      <alignment horizontal="center"/>
    </xf>
    <xf numFmtId="0" fontId="15" fillId="0" borderId="56" xfId="0" applyFont="1" applyBorder="1" applyAlignment="1">
      <alignment horizontal="center"/>
    </xf>
    <xf numFmtId="174" fontId="0" fillId="0" borderId="0" xfId="0" applyNumberFormat="1"/>
    <xf numFmtId="181" fontId="0" fillId="0" borderId="15" xfId="0" applyNumberFormat="1" applyBorder="1"/>
    <xf numFmtId="0" fontId="0" fillId="0" borderId="36" xfId="0" applyBorder="1"/>
    <xf numFmtId="0" fontId="0" fillId="0" borderId="54" xfId="0" applyBorder="1"/>
    <xf numFmtId="0" fontId="15" fillId="0" borderId="37" xfId="0" applyFont="1" applyBorder="1" applyAlignment="1">
      <alignment horizontal="center"/>
    </xf>
    <xf numFmtId="0" fontId="15" fillId="0" borderId="54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4" fontId="0" fillId="0" borderId="51" xfId="0" applyNumberFormat="1" applyBorder="1"/>
    <xf numFmtId="4" fontId="0" fillId="0" borderId="57" xfId="0" applyNumberFormat="1" applyBorder="1"/>
    <xf numFmtId="4" fontId="9" fillId="0" borderId="12" xfId="0" applyNumberFormat="1" applyFont="1" applyBorder="1"/>
    <xf numFmtId="0" fontId="10" fillId="0" borderId="35" xfId="0" applyFont="1" applyBorder="1" applyAlignment="1">
      <alignment vertical="center"/>
    </xf>
    <xf numFmtId="0" fontId="10" fillId="0" borderId="58" xfId="0" applyFont="1" applyBorder="1" applyAlignment="1">
      <alignment vertical="center"/>
    </xf>
    <xf numFmtId="181" fontId="9" fillId="0" borderId="56" xfId="0" applyNumberFormat="1" applyFont="1" applyBorder="1" applyAlignment="1">
      <alignment horizontal="left"/>
    </xf>
    <xf numFmtId="181" fontId="10" fillId="0" borderId="10" xfId="0" applyNumberFormat="1" applyFont="1" applyBorder="1" applyAlignment="1">
      <alignment horizontal="center"/>
    </xf>
    <xf numFmtId="4" fontId="9" fillId="0" borderId="11" xfId="0" applyNumberFormat="1" applyFont="1" applyBorder="1"/>
    <xf numFmtId="4" fontId="10" fillId="0" borderId="11" xfId="0" applyNumberFormat="1" applyFont="1" applyBorder="1"/>
    <xf numFmtId="0" fontId="13" fillId="0" borderId="4" xfId="0" applyFont="1" applyBorder="1" applyAlignment="1">
      <alignment horizontal="center"/>
    </xf>
    <xf numFmtId="174" fontId="0" fillId="0" borderId="7" xfId="0" applyNumberFormat="1" applyBorder="1" applyAlignment="1">
      <alignment horizontal="center"/>
    </xf>
    <xf numFmtId="0" fontId="36" fillId="0" borderId="0" xfId="0" applyFont="1"/>
    <xf numFmtId="0" fontId="13" fillId="0" borderId="61" xfId="0" applyFont="1" applyBorder="1" applyAlignment="1">
      <alignment horizontal="center" vertical="center"/>
    </xf>
    <xf numFmtId="4" fontId="10" fillId="0" borderId="41" xfId="0" quotePrefix="1" applyNumberFormat="1" applyFont="1" applyBorder="1" applyAlignment="1">
      <alignment horizontal="center"/>
    </xf>
    <xf numFmtId="0" fontId="10" fillId="0" borderId="62" xfId="0" applyFont="1" applyBorder="1"/>
    <xf numFmtId="4" fontId="10" fillId="0" borderId="41" xfId="0" quotePrefix="1" applyNumberFormat="1" applyFont="1" applyBorder="1" applyAlignment="1">
      <alignment wrapText="1"/>
    </xf>
    <xf numFmtId="4" fontId="10" fillId="0" borderId="55" xfId="0" applyNumberFormat="1" applyFont="1" applyBorder="1"/>
    <xf numFmtId="0" fontId="0" fillId="0" borderId="14" xfId="0" quotePrefix="1" applyBorder="1" applyAlignment="1">
      <alignment horizontal="center"/>
    </xf>
    <xf numFmtId="0" fontId="0" fillId="0" borderId="14" xfId="0" quotePrefix="1" applyBorder="1"/>
    <xf numFmtId="4" fontId="0" fillId="0" borderId="14" xfId="0" applyNumberFormat="1" applyBorder="1" applyAlignment="1">
      <alignment horizontal="center"/>
    </xf>
    <xf numFmtId="4" fontId="0" fillId="0" borderId="14" xfId="0" applyNumberFormat="1" applyBorder="1"/>
    <xf numFmtId="0" fontId="0" fillId="0" borderId="14" xfId="0" applyBorder="1" applyAlignment="1">
      <alignment wrapText="1"/>
    </xf>
    <xf numFmtId="4" fontId="0" fillId="0" borderId="14" xfId="0" quotePrefix="1" applyNumberFormat="1" applyBorder="1" applyAlignment="1">
      <alignment wrapText="1"/>
    </xf>
    <xf numFmtId="0" fontId="10" fillId="0" borderId="41" xfId="0" applyFont="1" applyBorder="1"/>
    <xf numFmtId="4" fontId="21" fillId="0" borderId="14" xfId="0" applyNumberFormat="1" applyFont="1" applyBorder="1"/>
    <xf numFmtId="4" fontId="5" fillId="0" borderId="0" xfId="0" applyNumberFormat="1" applyFont="1" applyAlignment="1">
      <alignment horizontal="left"/>
    </xf>
    <xf numFmtId="4" fontId="22" fillId="0" borderId="27" xfId="0" applyNumberFormat="1" applyFont="1" applyBorder="1"/>
    <xf numFmtId="0" fontId="34" fillId="0" borderId="0" xfId="0" applyFont="1" applyAlignment="1">
      <alignment horizontal="centerContinuous"/>
    </xf>
    <xf numFmtId="0" fontId="0" fillId="0" borderId="10" xfId="0" applyBorder="1" applyAlignment="1">
      <alignment wrapText="1"/>
    </xf>
    <xf numFmtId="4" fontId="0" fillId="0" borderId="10" xfId="0" quotePrefix="1" applyNumberFormat="1" applyBorder="1" applyAlignment="1">
      <alignment wrapText="1"/>
    </xf>
    <xf numFmtId="0" fontId="22" fillId="0" borderId="0" xfId="0" applyFont="1" applyAlignment="1">
      <alignment horizontal="center"/>
    </xf>
    <xf numFmtId="4" fontId="28" fillId="0" borderId="2" xfId="0" quotePrefix="1" applyNumberFormat="1" applyFont="1" applyBorder="1" applyAlignment="1">
      <alignment wrapText="1"/>
    </xf>
    <xf numFmtId="0" fontId="29" fillId="0" borderId="0" xfId="0" applyFont="1" applyAlignment="1">
      <alignment horizontal="centerContinuous"/>
    </xf>
    <xf numFmtId="0" fontId="39" fillId="0" borderId="0" xfId="0" applyFont="1" applyAlignment="1">
      <alignment horizontal="centerContinuous"/>
    </xf>
    <xf numFmtId="0" fontId="40" fillId="0" borderId="0" xfId="0" applyFont="1"/>
    <xf numFmtId="0" fontId="41" fillId="0" borderId="0" xfId="0" applyFont="1" applyAlignment="1">
      <alignment horizontal="centerContinuous"/>
    </xf>
    <xf numFmtId="0" fontId="38" fillId="0" borderId="49" xfId="0" applyFont="1" applyBorder="1" applyAlignment="1">
      <alignment horizontal="centerContinuous" vertical="center"/>
    </xf>
    <xf numFmtId="0" fontId="38" fillId="0" borderId="48" xfId="0" applyFont="1" applyBorder="1" applyAlignment="1">
      <alignment horizontal="centerContinuous" vertical="center"/>
    </xf>
    <xf numFmtId="0" fontId="38" fillId="0" borderId="60" xfId="0" applyFont="1" applyBorder="1" applyAlignment="1">
      <alignment horizontal="center" vertical="center"/>
    </xf>
    <xf numFmtId="0" fontId="38" fillId="0" borderId="0" xfId="0" applyFont="1"/>
    <xf numFmtId="4" fontId="38" fillId="0" borderId="0" xfId="0" applyNumberFormat="1" applyFont="1"/>
    <xf numFmtId="0" fontId="29" fillId="0" borderId="0" xfId="0" applyFont="1" applyAlignment="1">
      <alignment horizontal="left" indent="1"/>
    </xf>
    <xf numFmtId="4" fontId="29" fillId="0" borderId="0" xfId="0" applyNumberFormat="1" applyFont="1"/>
    <xf numFmtId="0" fontId="29" fillId="0" borderId="0" xfId="0" quotePrefix="1" applyFont="1" applyAlignment="1">
      <alignment horizontal="center"/>
    </xf>
    <xf numFmtId="0" fontId="38" fillId="0" borderId="0" xfId="0" applyFont="1" applyAlignment="1">
      <alignment horizontal="left"/>
    </xf>
    <xf numFmtId="169" fontId="38" fillId="0" borderId="0" xfId="0" applyNumberFormat="1" applyFont="1"/>
    <xf numFmtId="169" fontId="29" fillId="0" borderId="0" xfId="0" applyNumberFormat="1" applyFont="1"/>
    <xf numFmtId="0" fontId="29" fillId="0" borderId="0" xfId="0" applyFont="1" applyAlignment="1">
      <alignment horizontal="left"/>
    </xf>
    <xf numFmtId="170" fontId="29" fillId="0" borderId="0" xfId="0" applyNumberFormat="1" applyFont="1"/>
    <xf numFmtId="10" fontId="29" fillId="0" borderId="0" xfId="0" applyNumberFormat="1" applyFont="1"/>
    <xf numFmtId="0" fontId="38" fillId="0" borderId="10" xfId="0" applyFont="1" applyBorder="1" applyAlignment="1">
      <alignment vertical="center"/>
    </xf>
    <xf numFmtId="4" fontId="38" fillId="0" borderId="11" xfId="0" applyNumberFormat="1" applyFont="1" applyBorder="1" applyAlignment="1">
      <alignment vertical="center"/>
    </xf>
    <xf numFmtId="178" fontId="29" fillId="0" borderId="0" xfId="0" applyNumberFormat="1" applyFont="1"/>
    <xf numFmtId="0" fontId="29" fillId="0" borderId="10" xfId="0" applyFont="1" applyBorder="1" applyAlignment="1">
      <alignment vertical="center"/>
    </xf>
    <xf numFmtId="4" fontId="29" fillId="0" borderId="11" xfId="0" applyNumberFormat="1" applyFont="1" applyBorder="1" applyAlignment="1">
      <alignment vertical="center"/>
    </xf>
    <xf numFmtId="9" fontId="29" fillId="0" borderId="0" xfId="0" applyNumberFormat="1" applyFont="1" applyAlignment="1">
      <alignment horizontal="left"/>
    </xf>
    <xf numFmtId="169" fontId="29" fillId="0" borderId="15" xfId="0" applyNumberFormat="1" applyFont="1" applyBorder="1"/>
    <xf numFmtId="169" fontId="38" fillId="0" borderId="11" xfId="0" applyNumberFormat="1" applyFont="1" applyBorder="1"/>
    <xf numFmtId="0" fontId="3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4" fontId="38" fillId="0" borderId="0" xfId="0" applyNumberFormat="1" applyFont="1" applyAlignment="1">
      <alignment vertical="center"/>
    </xf>
    <xf numFmtId="0" fontId="29" fillId="0" borderId="0" xfId="0" applyFont="1" applyAlignment="1">
      <alignment horizontal="center"/>
    </xf>
    <xf numFmtId="182" fontId="29" fillId="0" borderId="0" xfId="0" applyNumberFormat="1" applyFont="1" applyAlignment="1">
      <alignment horizontal="center"/>
    </xf>
    <xf numFmtId="0" fontId="37" fillId="0" borderId="0" xfId="0" applyFont="1" applyAlignment="1">
      <alignment horizontal="left"/>
    </xf>
    <xf numFmtId="2" fontId="29" fillId="0" borderId="0" xfId="0" applyNumberFormat="1" applyFont="1"/>
    <xf numFmtId="0" fontId="29" fillId="0" borderId="0" xfId="0" applyFont="1" applyAlignment="1">
      <alignment horizontal="right"/>
    </xf>
    <xf numFmtId="187" fontId="29" fillId="0" borderId="0" xfId="0" applyNumberFormat="1" applyFont="1"/>
    <xf numFmtId="0" fontId="37" fillId="0" borderId="0" xfId="0" applyFont="1" applyAlignment="1">
      <alignment horizontal="right"/>
    </xf>
    <xf numFmtId="0" fontId="37" fillId="0" borderId="0" xfId="0" applyFont="1" applyAlignment="1">
      <alignment horizontal="center"/>
    </xf>
    <xf numFmtId="183" fontId="29" fillId="0" borderId="0" xfId="0" applyNumberFormat="1" applyFont="1" applyAlignment="1">
      <alignment horizontal="left"/>
    </xf>
    <xf numFmtId="39" fontId="29" fillId="0" borderId="0" xfId="0" applyNumberFormat="1" applyFont="1"/>
    <xf numFmtId="0" fontId="43" fillId="0" borderId="0" xfId="0" applyFont="1" applyAlignment="1">
      <alignment horizontal="center"/>
    </xf>
    <xf numFmtId="17" fontId="43" fillId="0" borderId="0" xfId="0" applyNumberFormat="1" applyFont="1" applyAlignment="1">
      <alignment horizontal="center"/>
    </xf>
    <xf numFmtId="0" fontId="29" fillId="0" borderId="63" xfId="0" applyFont="1" applyBorder="1"/>
    <xf numFmtId="0" fontId="29" fillId="0" borderId="18" xfId="0" applyFont="1" applyBorder="1"/>
    <xf numFmtId="0" fontId="29" fillId="0" borderId="32" xfId="0" applyFont="1" applyBorder="1"/>
    <xf numFmtId="39" fontId="29" fillId="0" borderId="32" xfId="0" applyNumberFormat="1" applyFont="1" applyBorder="1"/>
    <xf numFmtId="4" fontId="29" fillId="0" borderId="32" xfId="0" applyNumberFormat="1" applyFont="1" applyBorder="1"/>
    <xf numFmtId="39" fontId="29" fillId="0" borderId="17" xfId="0" applyNumberFormat="1" applyFont="1" applyBorder="1"/>
    <xf numFmtId="39" fontId="29" fillId="0" borderId="64" xfId="0" applyNumberFormat="1" applyFont="1" applyBorder="1"/>
    <xf numFmtId="0" fontId="29" fillId="0" borderId="5" xfId="0" applyFont="1" applyBorder="1"/>
    <xf numFmtId="0" fontId="45" fillId="0" borderId="0" xfId="0" applyFont="1"/>
    <xf numFmtId="0" fontId="39" fillId="0" borderId="0" xfId="0" applyFont="1"/>
    <xf numFmtId="39" fontId="39" fillId="0" borderId="0" xfId="0" applyNumberFormat="1" applyFont="1"/>
    <xf numFmtId="10" fontId="38" fillId="0" borderId="8" xfId="54" applyNumberFormat="1" applyFont="1" applyBorder="1" applyProtection="1"/>
    <xf numFmtId="10" fontId="29" fillId="0" borderId="0" xfId="54" applyNumberFormat="1" applyFont="1" applyBorder="1"/>
    <xf numFmtId="180" fontId="29" fillId="0" borderId="0" xfId="0" applyNumberFormat="1" applyFont="1"/>
    <xf numFmtId="0" fontId="47" fillId="0" borderId="0" xfId="40" applyFont="1" applyAlignment="1">
      <alignment vertical="center"/>
    </xf>
    <xf numFmtId="0" fontId="48" fillId="0" borderId="0" xfId="40" applyFont="1" applyAlignment="1">
      <alignment vertical="center"/>
    </xf>
    <xf numFmtId="0" fontId="49" fillId="0" borderId="0" xfId="40" applyFont="1" applyAlignment="1">
      <alignment vertical="center"/>
    </xf>
    <xf numFmtId="0" fontId="2" fillId="0" borderId="0" xfId="38"/>
    <xf numFmtId="0" fontId="2" fillId="2" borderId="0" xfId="38" applyFill="1"/>
    <xf numFmtId="0" fontId="50" fillId="2" borderId="0" xfId="38" applyFont="1" applyFill="1" applyAlignment="1">
      <alignment horizontal="centerContinuous"/>
    </xf>
    <xf numFmtId="0" fontId="51" fillId="3" borderId="65" xfId="38" applyFont="1" applyFill="1" applyBorder="1" applyAlignment="1">
      <alignment horizontal="centerContinuous"/>
    </xf>
    <xf numFmtId="0" fontId="51" fillId="3" borderId="66" xfId="38" applyFont="1" applyFill="1" applyBorder="1" applyAlignment="1">
      <alignment horizontal="centerContinuous"/>
    </xf>
    <xf numFmtId="0" fontId="51" fillId="3" borderId="67" xfId="38" applyFont="1" applyFill="1" applyBorder="1" applyAlignment="1">
      <alignment horizontal="centerContinuous"/>
    </xf>
    <xf numFmtId="0" fontId="51" fillId="3" borderId="37" xfId="38" applyFont="1" applyFill="1" applyBorder="1" applyAlignment="1">
      <alignment horizontal="center"/>
    </xf>
    <xf numFmtId="0" fontId="51" fillId="3" borderId="51" xfId="38" applyFont="1" applyFill="1" applyBorder="1" applyAlignment="1">
      <alignment horizontal="center"/>
    </xf>
    <xf numFmtId="0" fontId="51" fillId="3" borderId="68" xfId="38" applyFont="1" applyFill="1" applyBorder="1" applyAlignment="1">
      <alignment horizontal="center"/>
    </xf>
    <xf numFmtId="0" fontId="51" fillId="3" borderId="69" xfId="38" applyFont="1" applyFill="1" applyBorder="1" applyAlignment="1">
      <alignment horizontal="center"/>
    </xf>
    <xf numFmtId="0" fontId="51" fillId="3" borderId="70" xfId="38" applyFont="1" applyFill="1" applyBorder="1" applyAlignment="1">
      <alignment horizontal="center"/>
    </xf>
    <xf numFmtId="0" fontId="51" fillId="3" borderId="71" xfId="38" applyFont="1" applyFill="1" applyBorder="1" applyAlignment="1">
      <alignment horizontal="center"/>
    </xf>
    <xf numFmtId="4" fontId="2" fillId="2" borderId="0" xfId="38" applyNumberFormat="1" applyFill="1"/>
    <xf numFmtId="169" fontId="2" fillId="2" borderId="0" xfId="38" applyNumberFormat="1" applyFill="1"/>
    <xf numFmtId="17" fontId="2" fillId="0" borderId="0" xfId="38" applyNumberFormat="1" applyAlignment="1">
      <alignment horizontal="left" indent="5"/>
    </xf>
    <xf numFmtId="17" fontId="2" fillId="2" borderId="72" xfId="38" applyNumberFormat="1" applyFill="1" applyBorder="1"/>
    <xf numFmtId="4" fontId="2" fillId="2" borderId="73" xfId="38" applyNumberFormat="1" applyFill="1" applyBorder="1"/>
    <xf numFmtId="4" fontId="2" fillId="2" borderId="72" xfId="38" applyNumberFormat="1" applyFill="1" applyBorder="1"/>
    <xf numFmtId="4" fontId="2" fillId="0" borderId="0" xfId="38" applyNumberFormat="1"/>
    <xf numFmtId="4" fontId="2" fillId="2" borderId="74" xfId="38" applyNumberFormat="1" applyFill="1" applyBorder="1"/>
    <xf numFmtId="4" fontId="2" fillId="2" borderId="75" xfId="38" applyNumberFormat="1" applyFill="1" applyBorder="1"/>
    <xf numFmtId="4" fontId="2" fillId="2" borderId="0" xfId="38" applyNumberFormat="1" applyFill="1" applyAlignment="1">
      <alignment horizontal="center"/>
    </xf>
    <xf numFmtId="0" fontId="2" fillId="0" borderId="0" xfId="38" applyAlignment="1">
      <alignment horizontal="left" indent="5"/>
    </xf>
    <xf numFmtId="191" fontId="2" fillId="2" borderId="0" xfId="38" applyNumberFormat="1" applyFill="1" applyAlignment="1">
      <alignment horizontal="center"/>
    </xf>
    <xf numFmtId="0" fontId="2" fillId="2" borderId="77" xfId="38" applyFill="1" applyBorder="1" applyAlignment="1">
      <alignment horizontal="left"/>
    </xf>
    <xf numFmtId="4" fontId="2" fillId="2" borderId="78" xfId="38" applyNumberFormat="1" applyFill="1" applyBorder="1"/>
    <xf numFmtId="4" fontId="2" fillId="2" borderId="79" xfId="38" applyNumberFormat="1" applyFill="1" applyBorder="1"/>
    <xf numFmtId="4" fontId="2" fillId="2" borderId="77" xfId="38" applyNumberFormat="1" applyFill="1" applyBorder="1"/>
    <xf numFmtId="10" fontId="2" fillId="2" borderId="79" xfId="38" applyNumberFormat="1" applyFill="1" applyBorder="1"/>
    <xf numFmtId="0" fontId="51" fillId="3" borderId="80" xfId="38" applyFont="1" applyFill="1" applyBorder="1"/>
    <xf numFmtId="4" fontId="51" fillId="3" borderId="81" xfId="38" applyNumberFormat="1" applyFont="1" applyFill="1" applyBorder="1"/>
    <xf numFmtId="10" fontId="51" fillId="3" borderId="82" xfId="38" applyNumberFormat="1" applyFont="1" applyFill="1" applyBorder="1"/>
    <xf numFmtId="4" fontId="51" fillId="3" borderId="80" xfId="38" applyNumberFormat="1" applyFont="1" applyFill="1" applyBorder="1"/>
    <xf numFmtId="10" fontId="51" fillId="3" borderId="80" xfId="38" applyNumberFormat="1" applyFont="1" applyFill="1" applyBorder="1"/>
    <xf numFmtId="0" fontId="6" fillId="2" borderId="0" xfId="38" applyFont="1" applyFill="1"/>
    <xf numFmtId="0" fontId="27" fillId="2" borderId="0" xfId="38" applyFont="1" applyFill="1"/>
    <xf numFmtId="4" fontId="2" fillId="0" borderId="76" xfId="38" applyNumberFormat="1" applyBorder="1"/>
    <xf numFmtId="182" fontId="29" fillId="0" borderId="0" xfId="0" applyNumberFormat="1" applyFont="1" applyAlignment="1">
      <alignment horizontal="right"/>
    </xf>
    <xf numFmtId="10" fontId="29" fillId="0" borderId="0" xfId="54" applyNumberFormat="1" applyFont="1"/>
    <xf numFmtId="4" fontId="10" fillId="0" borderId="34" xfId="0" applyNumberFormat="1" applyFont="1" applyBorder="1" applyAlignment="1">
      <alignment vertical="center"/>
    </xf>
    <xf numFmtId="4" fontId="10" fillId="0" borderId="57" xfId="0" applyNumberFormat="1" applyFont="1" applyBorder="1" applyAlignment="1">
      <alignment vertical="center"/>
    </xf>
    <xf numFmtId="4" fontId="9" fillId="0" borderId="11" xfId="0" applyNumberFormat="1" applyFont="1" applyBorder="1" applyAlignment="1">
      <alignment vertical="center"/>
    </xf>
    <xf numFmtId="169" fontId="9" fillId="0" borderId="11" xfId="0" applyNumberFormat="1" applyFont="1" applyBorder="1"/>
    <xf numFmtId="4" fontId="10" fillId="0" borderId="11" xfId="0" applyNumberFormat="1" applyFont="1" applyBorder="1" applyAlignment="1">
      <alignment vertical="center"/>
    </xf>
    <xf numFmtId="169" fontId="10" fillId="0" borderId="11" xfId="0" applyNumberFormat="1" applyFont="1" applyBorder="1" applyAlignment="1">
      <alignment vertical="center"/>
    </xf>
    <xf numFmtId="4" fontId="10" fillId="0" borderId="61" xfId="0" applyNumberFormat="1" applyFont="1" applyBorder="1"/>
    <xf numFmtId="0" fontId="0" fillId="0" borderId="7" xfId="0" applyBorder="1"/>
    <xf numFmtId="4" fontId="0" fillId="0" borderId="7" xfId="0" applyNumberFormat="1" applyBorder="1"/>
    <xf numFmtId="0" fontId="10" fillId="4" borderId="0" xfId="0" applyFont="1" applyFill="1"/>
    <xf numFmtId="181" fontId="0" fillId="0" borderId="7" xfId="0" applyNumberFormat="1" applyBorder="1"/>
    <xf numFmtId="0" fontId="53" fillId="0" borderId="0" xfId="41" applyFont="1"/>
    <xf numFmtId="49" fontId="54" fillId="0" borderId="0" xfId="41" applyNumberFormat="1" applyFont="1"/>
    <xf numFmtId="49" fontId="54" fillId="0" borderId="0" xfId="41" applyNumberFormat="1" applyFont="1" applyAlignment="1">
      <alignment horizontal="center"/>
    </xf>
    <xf numFmtId="0" fontId="54" fillId="0" borderId="0" xfId="41" quotePrefix="1" applyFont="1" applyAlignment="1">
      <alignment horizontal="center"/>
    </xf>
    <xf numFmtId="0" fontId="29" fillId="0" borderId="0" xfId="41" applyFont="1" applyAlignment="1">
      <alignment horizontal="center"/>
    </xf>
    <xf numFmtId="0" fontId="53" fillId="0" borderId="0" xfId="41" applyFont="1" applyAlignment="1">
      <alignment horizontal="left"/>
    </xf>
    <xf numFmtId="0" fontId="29" fillId="0" borderId="0" xfId="41" applyFont="1"/>
    <xf numFmtId="0" fontId="55" fillId="0" borderId="0" xfId="41" applyFont="1" applyAlignment="1">
      <alignment horizontal="center"/>
    </xf>
    <xf numFmtId="0" fontId="56" fillId="0" borderId="0" xfId="41" applyFont="1" applyAlignment="1">
      <alignment horizontal="center"/>
    </xf>
    <xf numFmtId="0" fontId="58" fillId="0" borderId="0" xfId="41" applyFont="1" applyAlignment="1">
      <alignment horizontal="left"/>
    </xf>
    <xf numFmtId="0" fontId="53" fillId="0" borderId="0" xfId="41" applyFont="1" applyAlignment="1">
      <alignment horizontal="left" vertical="center"/>
    </xf>
    <xf numFmtId="0" fontId="29" fillId="0" borderId="36" xfId="41" applyFont="1" applyBorder="1"/>
    <xf numFmtId="0" fontId="29" fillId="0" borderId="14" xfId="41" applyFont="1" applyBorder="1"/>
    <xf numFmtId="0" fontId="29" fillId="0" borderId="83" xfId="41" applyFont="1" applyBorder="1" applyAlignment="1">
      <alignment horizontal="center"/>
    </xf>
    <xf numFmtId="0" fontId="29" fillId="0" borderId="14" xfId="41" applyFont="1" applyBorder="1" applyAlignment="1">
      <alignment horizontal="right"/>
    </xf>
    <xf numFmtId="0" fontId="29" fillId="0" borderId="83" xfId="41" applyFont="1" applyBorder="1" applyAlignment="1">
      <alignment horizontal="right"/>
    </xf>
    <xf numFmtId="0" fontId="53" fillId="0" borderId="0" xfId="47" applyFont="1"/>
    <xf numFmtId="0" fontId="29" fillId="0" borderId="7" xfId="47" applyFont="1" applyBorder="1"/>
    <xf numFmtId="0" fontId="29" fillId="0" borderId="0" xfId="47" applyFont="1"/>
    <xf numFmtId="0" fontId="29" fillId="0" borderId="84" xfId="47" applyFont="1" applyBorder="1" applyAlignment="1">
      <alignment horizontal="center"/>
    </xf>
    <xf numFmtId="175" fontId="29" fillId="0" borderId="0" xfId="47" applyNumberFormat="1" applyFont="1" applyAlignment="1" applyProtection="1">
      <alignment horizontal="right"/>
    </xf>
    <xf numFmtId="0" fontId="53" fillId="0" borderId="0" xfId="47" applyFont="1" applyAlignment="1" applyProtection="1">
      <alignment horizontal="left"/>
    </xf>
    <xf numFmtId="0" fontId="29" fillId="0" borderId="0" xfId="47" applyFont="1" applyAlignment="1" applyProtection="1">
      <alignment horizontal="center"/>
    </xf>
    <xf numFmtId="0" fontId="29" fillId="0" borderId="0" xfId="47" applyFont="1" applyProtection="1"/>
    <xf numFmtId="0" fontId="38" fillId="0" borderId="0" xfId="47" applyFont="1"/>
    <xf numFmtId="0" fontId="38" fillId="0" borderId="84" xfId="47" applyFont="1" applyBorder="1" applyAlignment="1">
      <alignment horizontal="center"/>
    </xf>
    <xf numFmtId="0" fontId="60" fillId="0" borderId="0" xfId="47" applyFont="1" applyAlignment="1" applyProtection="1">
      <alignment horizontal="center"/>
    </xf>
    <xf numFmtId="0" fontId="29" fillId="0" borderId="85" xfId="47" applyFont="1" applyBorder="1"/>
    <xf numFmtId="0" fontId="29" fillId="0" borderId="1" xfId="47" applyFont="1" applyBorder="1"/>
    <xf numFmtId="0" fontId="29" fillId="0" borderId="86" xfId="47" applyFont="1" applyBorder="1" applyAlignment="1">
      <alignment horizontal="center"/>
    </xf>
    <xf numFmtId="175" fontId="29" fillId="0" borderId="1" xfId="47" applyNumberFormat="1" applyFont="1" applyBorder="1" applyAlignment="1" applyProtection="1">
      <alignment horizontal="right"/>
    </xf>
    <xf numFmtId="0" fontId="29" fillId="0" borderId="0" xfId="47" applyFont="1" applyAlignment="1">
      <alignment horizontal="right"/>
    </xf>
    <xf numFmtId="0" fontId="53" fillId="0" borderId="0" xfId="47" applyFont="1" applyProtection="1"/>
    <xf numFmtId="0" fontId="29" fillId="0" borderId="7" xfId="47" applyFont="1" applyBorder="1" applyProtection="1"/>
    <xf numFmtId="0" fontId="29" fillId="0" borderId="84" xfId="47" applyFont="1" applyBorder="1" applyAlignment="1" applyProtection="1">
      <alignment horizontal="center"/>
    </xf>
    <xf numFmtId="0" fontId="29" fillId="0" borderId="7" xfId="41" applyFont="1" applyBorder="1"/>
    <xf numFmtId="0" fontId="29" fillId="0" borderId="84" xfId="41" applyFont="1" applyBorder="1" applyAlignment="1">
      <alignment horizontal="center"/>
    </xf>
    <xf numFmtId="0" fontId="29" fillId="0" borderId="0" xfId="41" applyFont="1" applyAlignment="1">
      <alignment horizontal="right"/>
    </xf>
    <xf numFmtId="0" fontId="29" fillId="0" borderId="0" xfId="47" applyFont="1" applyAlignment="1" applyProtection="1">
      <alignment horizontal="right"/>
    </xf>
    <xf numFmtId="0" fontId="29" fillId="0" borderId="87" xfId="47" applyFont="1" applyBorder="1"/>
    <xf numFmtId="0" fontId="29" fillId="0" borderId="88" xfId="47" applyFont="1" applyBorder="1" applyAlignment="1">
      <alignment horizontal="center"/>
    </xf>
    <xf numFmtId="175" fontId="29" fillId="0" borderId="87" xfId="47" applyNumberFormat="1" applyFont="1" applyBorder="1" applyAlignment="1" applyProtection="1">
      <alignment horizontal="right"/>
    </xf>
    <xf numFmtId="0" fontId="29" fillId="0" borderId="85" xfId="47" applyFont="1" applyBorder="1" applyProtection="1"/>
    <xf numFmtId="0" fontId="29" fillId="0" borderId="1" xfId="47" applyFont="1" applyBorder="1" applyProtection="1"/>
    <xf numFmtId="0" fontId="29" fillId="0" borderId="86" xfId="47" applyFont="1" applyBorder="1" applyAlignment="1" applyProtection="1">
      <alignment horizontal="center"/>
    </xf>
    <xf numFmtId="0" fontId="29" fillId="0" borderId="1" xfId="47" applyFont="1" applyBorder="1" applyAlignment="1">
      <alignment horizontal="right"/>
    </xf>
    <xf numFmtId="0" fontId="29" fillId="0" borderId="54" xfId="47" applyFont="1" applyBorder="1"/>
    <xf numFmtId="0" fontId="29" fillId="0" borderId="15" xfId="47" applyFont="1" applyBorder="1"/>
    <xf numFmtId="0" fontId="29" fillId="0" borderId="89" xfId="47" applyFont="1" applyBorder="1" applyAlignment="1">
      <alignment horizontal="center"/>
    </xf>
    <xf numFmtId="175" fontId="29" fillId="0" borderId="15" xfId="47" applyNumberFormat="1" applyFont="1" applyBorder="1" applyAlignment="1" applyProtection="1">
      <alignment horizontal="center"/>
    </xf>
    <xf numFmtId="175" fontId="29" fillId="0" borderId="0" xfId="47" applyNumberFormat="1" applyFont="1" applyAlignment="1" applyProtection="1">
      <alignment horizontal="center"/>
    </xf>
    <xf numFmtId="0" fontId="29" fillId="0" borderId="0" xfId="47" applyFont="1" applyAlignment="1">
      <alignment horizontal="center"/>
    </xf>
    <xf numFmtId="0" fontId="57" fillId="0" borderId="0" xfId="47" applyFont="1" applyAlignment="1" applyProtection="1">
      <alignment horizontal="centerContinuous"/>
    </xf>
    <xf numFmtId="189" fontId="29" fillId="0" borderId="0" xfId="47" applyNumberFormat="1" applyFont="1" applyAlignment="1" applyProtection="1">
      <alignment horizontal="right"/>
    </xf>
    <xf numFmtId="4" fontId="29" fillId="0" borderId="51" xfId="41" applyNumberFormat="1" applyFont="1" applyBorder="1" applyAlignment="1">
      <alignment horizontal="right"/>
    </xf>
    <xf numFmtId="4" fontId="38" fillId="0" borderId="27" xfId="47" applyNumberFormat="1" applyFont="1" applyBorder="1" applyAlignment="1" applyProtection="1">
      <alignment horizontal="right"/>
    </xf>
    <xf numFmtId="4" fontId="29" fillId="0" borderId="27" xfId="47" applyNumberFormat="1" applyFont="1" applyBorder="1" applyAlignment="1" applyProtection="1">
      <alignment horizontal="right"/>
    </xf>
    <xf numFmtId="4" fontId="38" fillId="0" borderId="90" xfId="47" applyNumberFormat="1" applyFont="1" applyBorder="1" applyAlignment="1" applyProtection="1">
      <alignment horizontal="right"/>
    </xf>
    <xf numFmtId="4" fontId="29" fillId="0" borderId="90" xfId="47" applyNumberFormat="1" applyFont="1" applyBorder="1" applyAlignment="1" applyProtection="1">
      <alignment horizontal="right"/>
    </xf>
    <xf numFmtId="4" fontId="29" fillId="0" borderId="27" xfId="47" applyNumberFormat="1" applyFont="1" applyBorder="1" applyAlignment="1">
      <alignment horizontal="right"/>
    </xf>
    <xf numFmtId="4" fontId="38" fillId="0" borderId="91" xfId="47" applyNumberFormat="1" applyFont="1" applyBorder="1" applyAlignment="1" applyProtection="1">
      <alignment horizontal="right"/>
    </xf>
    <xf numFmtId="4" fontId="29" fillId="0" borderId="27" xfId="41" applyNumberFormat="1" applyFont="1" applyBorder="1" applyAlignment="1">
      <alignment horizontal="right"/>
    </xf>
    <xf numFmtId="4" fontId="38" fillId="0" borderId="57" xfId="47" applyNumberFormat="1" applyFont="1" applyBorder="1" applyAlignment="1" applyProtection="1">
      <alignment horizontal="center"/>
    </xf>
    <xf numFmtId="4" fontId="29" fillId="0" borderId="0" xfId="47" applyNumberFormat="1" applyFont="1" applyAlignment="1" applyProtection="1">
      <alignment horizontal="center"/>
    </xf>
    <xf numFmtId="4" fontId="29" fillId="0" borderId="0" xfId="41" applyNumberFormat="1" applyFont="1" applyAlignment="1">
      <alignment horizontal="center"/>
    </xf>
    <xf numFmtId="4" fontId="29" fillId="0" borderId="84" xfId="47" applyNumberFormat="1" applyFont="1" applyBorder="1" applyAlignment="1" applyProtection="1">
      <alignment horizontal="right"/>
    </xf>
    <xf numFmtId="4" fontId="29" fillId="0" borderId="86" xfId="47" applyNumberFormat="1" applyFont="1" applyBorder="1" applyAlignment="1" applyProtection="1">
      <alignment horizontal="right"/>
    </xf>
    <xf numFmtId="4" fontId="29" fillId="0" borderId="88" xfId="47" applyNumberFormat="1" applyFont="1" applyBorder="1" applyAlignment="1" applyProtection="1">
      <alignment horizontal="right"/>
    </xf>
    <xf numFmtId="4" fontId="29" fillId="0" borderId="84" xfId="41" applyNumberFormat="1" applyFont="1" applyBorder="1" applyAlignment="1">
      <alignment horizontal="right"/>
    </xf>
    <xf numFmtId="4" fontId="29" fillId="0" borderId="89" xfId="47" applyNumberFormat="1" applyFont="1" applyBorder="1" applyAlignment="1" applyProtection="1">
      <alignment horizontal="center"/>
    </xf>
    <xf numFmtId="0" fontId="10" fillId="0" borderId="56" xfId="0" applyFont="1" applyBorder="1"/>
    <xf numFmtId="0" fontId="10" fillId="0" borderId="10" xfId="0" applyFont="1" applyBorder="1" applyAlignment="1">
      <alignment horizontal="centerContinuous"/>
    </xf>
    <xf numFmtId="0" fontId="9" fillId="0" borderId="36" xfId="0" applyFont="1" applyBorder="1"/>
    <xf numFmtId="0" fontId="9" fillId="0" borderId="14" xfId="0" applyFont="1" applyBorder="1"/>
    <xf numFmtId="0" fontId="9" fillId="0" borderId="51" xfId="0" applyFont="1" applyBorder="1"/>
    <xf numFmtId="0" fontId="9" fillId="0" borderId="7" xfId="0" applyFont="1" applyBorder="1"/>
    <xf numFmtId="0" fontId="9" fillId="0" borderId="27" xfId="0" applyFont="1" applyBorder="1"/>
    <xf numFmtId="0" fontId="9" fillId="0" borderId="15" xfId="0" applyFont="1" applyBorder="1"/>
    <xf numFmtId="0" fontId="9" fillId="0" borderId="57" xfId="0" applyFont="1" applyBorder="1"/>
    <xf numFmtId="0" fontId="10" fillId="0" borderId="41" xfId="0" applyFont="1" applyBorder="1" applyAlignment="1">
      <alignment horizontal="center"/>
    </xf>
    <xf numFmtId="188" fontId="9" fillId="0" borderId="37" xfId="0" applyNumberFormat="1" applyFont="1" applyBorder="1"/>
    <xf numFmtId="188" fontId="9" fillId="0" borderId="2" xfId="0" applyNumberFormat="1" applyFont="1" applyBorder="1"/>
    <xf numFmtId="0" fontId="10" fillId="0" borderId="56" xfId="0" applyFont="1" applyBorder="1" applyAlignment="1">
      <alignment horizontal="centerContinuous"/>
    </xf>
    <xf numFmtId="0" fontId="10" fillId="0" borderId="11" xfId="0" applyFont="1" applyBorder="1" applyAlignment="1">
      <alignment horizontal="centerContinuous"/>
    </xf>
    <xf numFmtId="188" fontId="9" fillId="0" borderId="36" xfId="0" applyNumberFormat="1" applyFont="1" applyBorder="1" applyAlignment="1">
      <alignment horizontal="centerContinuous"/>
    </xf>
    <xf numFmtId="188" fontId="9" fillId="0" borderId="51" xfId="0" applyNumberFormat="1" applyFont="1" applyBorder="1" applyAlignment="1">
      <alignment horizontal="centerContinuous"/>
    </xf>
    <xf numFmtId="188" fontId="9" fillId="0" borderId="7" xfId="0" applyNumberFormat="1" applyFont="1" applyBorder="1"/>
    <xf numFmtId="188" fontId="9" fillId="0" borderId="27" xfId="0" applyNumberFormat="1" applyFont="1" applyBorder="1"/>
    <xf numFmtId="0" fontId="9" fillId="0" borderId="11" xfId="0" applyFont="1" applyBorder="1" applyAlignment="1">
      <alignment horizontal="centerContinuous"/>
    </xf>
    <xf numFmtId="0" fontId="10" fillId="0" borderId="36" xfId="0" applyFont="1" applyBorder="1"/>
    <xf numFmtId="49" fontId="10" fillId="0" borderId="37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188" fontId="9" fillId="0" borderId="36" xfId="0" applyNumberFormat="1" applyFont="1" applyBorder="1"/>
    <xf numFmtId="188" fontId="9" fillId="0" borderId="51" xfId="0" applyNumberFormat="1" applyFont="1" applyBorder="1"/>
    <xf numFmtId="188" fontId="9" fillId="0" borderId="41" xfId="0" applyNumberFormat="1" applyFont="1" applyBorder="1"/>
    <xf numFmtId="188" fontId="9" fillId="0" borderId="56" xfId="0" applyNumberFormat="1" applyFont="1" applyBorder="1" applyAlignment="1">
      <alignment horizontal="centerContinuous"/>
    </xf>
    <xf numFmtId="188" fontId="9" fillId="0" borderId="11" xfId="0" applyNumberFormat="1" applyFont="1" applyBorder="1" applyAlignment="1">
      <alignment horizontal="centerContinuous"/>
    </xf>
    <xf numFmtId="0" fontId="9" fillId="0" borderId="56" xfId="0" applyFont="1" applyBorder="1"/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horizontal="right"/>
    </xf>
    <xf numFmtId="0" fontId="10" fillId="0" borderId="41" xfId="0" quotePrefix="1" applyFont="1" applyBorder="1" applyAlignment="1">
      <alignment horizontal="center"/>
    </xf>
    <xf numFmtId="0" fontId="9" fillId="0" borderId="41" xfId="0" applyFont="1" applyBorder="1"/>
    <xf numFmtId="0" fontId="9" fillId="0" borderId="37" xfId="0" quotePrefix="1" applyFont="1" applyBorder="1" applyAlignment="1">
      <alignment horizontal="center"/>
    </xf>
    <xf numFmtId="0" fontId="9" fillId="0" borderId="2" xfId="0" quotePrefix="1" applyFont="1" applyBorder="1" applyAlignment="1">
      <alignment horizontal="center"/>
    </xf>
    <xf numFmtId="188" fontId="9" fillId="0" borderId="41" xfId="0" applyNumberFormat="1" applyFont="1" applyBorder="1" applyAlignment="1">
      <alignment horizontal="centerContinuous"/>
    </xf>
    <xf numFmtId="0" fontId="10" fillId="0" borderId="7" xfId="0" applyFont="1" applyBorder="1"/>
    <xf numFmtId="39" fontId="3" fillId="0" borderId="0" xfId="0" applyNumberFormat="1" applyFont="1"/>
    <xf numFmtId="0" fontId="29" fillId="0" borderId="92" xfId="47" applyFont="1" applyBorder="1" applyAlignment="1">
      <alignment horizontal="center"/>
    </xf>
    <xf numFmtId="179" fontId="29" fillId="0" borderId="84" xfId="0" applyNumberFormat="1" applyFont="1" applyBorder="1" applyAlignment="1">
      <alignment horizontal="center" vertical="center"/>
    </xf>
    <xf numFmtId="175" fontId="52" fillId="0" borderId="0" xfId="47" applyNumberFormat="1" applyFont="1" applyAlignment="1" applyProtection="1">
      <alignment horizontal="right"/>
    </xf>
    <xf numFmtId="0" fontId="29" fillId="0" borderId="93" xfId="47" applyFont="1" applyBorder="1"/>
    <xf numFmtId="0" fontId="29" fillId="0" borderId="94" xfId="47" applyFont="1" applyBorder="1" applyAlignment="1">
      <alignment horizontal="center"/>
    </xf>
    <xf numFmtId="175" fontId="29" fillId="0" borderId="93" xfId="47" applyNumberFormat="1" applyFont="1" applyBorder="1" applyAlignment="1" applyProtection="1">
      <alignment horizontal="right"/>
    </xf>
    <xf numFmtId="4" fontId="29" fillId="0" borderId="94" xfId="47" applyNumberFormat="1" applyFont="1" applyBorder="1" applyAlignment="1" applyProtection="1">
      <alignment horizontal="right"/>
    </xf>
    <xf numFmtId="4" fontId="29" fillId="0" borderId="75" xfId="47" applyNumberFormat="1" applyFont="1" applyBorder="1" applyAlignment="1" applyProtection="1">
      <alignment horizontal="right"/>
    </xf>
    <xf numFmtId="0" fontId="29" fillId="0" borderId="94" xfId="47" applyFont="1" applyBorder="1"/>
    <xf numFmtId="175" fontId="29" fillId="0" borderId="94" xfId="47" applyNumberFormat="1" applyFont="1" applyBorder="1" applyAlignment="1" applyProtection="1">
      <alignment horizontal="right"/>
    </xf>
    <xf numFmtId="4" fontId="29" fillId="0" borderId="95" xfId="47" applyNumberFormat="1" applyFont="1" applyBorder="1" applyAlignment="1" applyProtection="1">
      <alignment horizontal="right"/>
    </xf>
    <xf numFmtId="0" fontId="29" fillId="0" borderId="96" xfId="47" applyFont="1" applyBorder="1"/>
    <xf numFmtId="0" fontId="29" fillId="0" borderId="83" xfId="41" applyFont="1" applyBorder="1"/>
    <xf numFmtId="0" fontId="29" fillId="0" borderId="84" xfId="47" applyFont="1" applyBorder="1"/>
    <xf numFmtId="0" fontId="29" fillId="0" borderId="86" xfId="47" applyFont="1" applyBorder="1"/>
    <xf numFmtId="0" fontId="29" fillId="0" borderId="84" xfId="47" applyFont="1" applyBorder="1" applyProtection="1"/>
    <xf numFmtId="0" fontId="29" fillId="0" borderId="88" xfId="47" applyFont="1" applyBorder="1"/>
    <xf numFmtId="0" fontId="29" fillId="0" borderId="86" xfId="47" applyFont="1" applyBorder="1" applyProtection="1"/>
    <xf numFmtId="0" fontId="29" fillId="0" borderId="84" xfId="41" applyFont="1" applyBorder="1"/>
    <xf numFmtId="0" fontId="29" fillId="0" borderId="89" xfId="47" applyFont="1" applyBorder="1"/>
    <xf numFmtId="175" fontId="52" fillId="0" borderId="93" xfId="47" applyNumberFormat="1" applyFont="1" applyBorder="1" applyAlignment="1" applyProtection="1">
      <alignment horizontal="right"/>
    </xf>
    <xf numFmtId="0" fontId="29" fillId="0" borderId="97" xfId="47" applyFont="1" applyBorder="1"/>
    <xf numFmtId="0" fontId="38" fillId="0" borderId="93" xfId="47" applyFont="1" applyBorder="1"/>
    <xf numFmtId="0" fontId="38" fillId="0" borderId="94" xfId="47" applyFont="1" applyBorder="1" applyAlignment="1">
      <alignment horizontal="center"/>
    </xf>
    <xf numFmtId="4" fontId="38" fillId="0" borderId="75" xfId="47" applyNumberFormat="1" applyFont="1" applyBorder="1" applyAlignment="1" applyProtection="1">
      <alignment horizontal="right"/>
    </xf>
    <xf numFmtId="0" fontId="29" fillId="0" borderId="93" xfId="47" applyFont="1" applyBorder="1" applyAlignment="1">
      <alignment horizontal="right"/>
    </xf>
    <xf numFmtId="0" fontId="29" fillId="0" borderId="98" xfId="47" applyFont="1" applyBorder="1"/>
    <xf numFmtId="175" fontId="29" fillId="0" borderId="86" xfId="47" applyNumberFormat="1" applyFont="1" applyBorder="1" applyAlignment="1" applyProtection="1">
      <alignment horizontal="right"/>
    </xf>
    <xf numFmtId="4" fontId="29" fillId="0" borderId="99" xfId="47" applyNumberFormat="1" applyFont="1" applyBorder="1" applyAlignment="1" applyProtection="1">
      <alignment horizontal="right"/>
    </xf>
    <xf numFmtId="0" fontId="29" fillId="0" borderId="93" xfId="47" applyFont="1" applyBorder="1" applyAlignment="1" applyProtection="1">
      <alignment horizontal="right"/>
    </xf>
    <xf numFmtId="0" fontId="38" fillId="0" borderId="1" xfId="47" applyFont="1" applyBorder="1"/>
    <xf numFmtId="0" fontId="38" fillId="0" borderId="86" xfId="47" applyFont="1" applyBorder="1" applyAlignment="1">
      <alignment horizontal="center"/>
    </xf>
    <xf numFmtId="2" fontId="29" fillId="0" borderId="5" xfId="0" applyNumberFormat="1" applyFont="1" applyBorder="1" applyAlignment="1">
      <alignment horizontal="center" vertical="center"/>
    </xf>
    <xf numFmtId="0" fontId="29" fillId="0" borderId="0" xfId="0" applyFont="1" applyAlignment="1">
      <alignment horizontal="left" vertical="center" wrapText="1"/>
    </xf>
    <xf numFmtId="4" fontId="29" fillId="0" borderId="0" xfId="0" applyNumberFormat="1" applyFont="1" applyAlignment="1">
      <alignment horizontal="center" vertical="center"/>
    </xf>
    <xf numFmtId="4" fontId="29" fillId="0" borderId="0" xfId="0" applyNumberFormat="1" applyFont="1" applyAlignment="1">
      <alignment horizontal="right" vertical="center"/>
    </xf>
    <xf numFmtId="190" fontId="29" fillId="0" borderId="7" xfId="22" applyNumberFormat="1" applyFont="1" applyBorder="1" applyProtection="1"/>
    <xf numFmtId="39" fontId="29" fillId="0" borderId="7" xfId="0" applyNumberFormat="1" applyFont="1" applyBorder="1"/>
    <xf numFmtId="10" fontId="29" fillId="0" borderId="8" xfId="54" applyNumberFormat="1" applyFont="1" applyBorder="1" applyProtection="1"/>
    <xf numFmtId="0" fontId="29" fillId="0" borderId="93" xfId="0" applyFont="1" applyBorder="1"/>
    <xf numFmtId="0" fontId="29" fillId="0" borderId="100" xfId="0" applyFont="1" applyBorder="1"/>
    <xf numFmtId="193" fontId="39" fillId="0" borderId="0" xfId="0" applyNumberFormat="1" applyFont="1" applyAlignment="1">
      <alignment horizontal="center"/>
    </xf>
    <xf numFmtId="196" fontId="29" fillId="0" borderId="0" xfId="0" applyNumberFormat="1" applyFont="1"/>
    <xf numFmtId="166" fontId="40" fillId="0" borderId="0" xfId="0" applyNumberFormat="1" applyFont="1" applyAlignment="1">
      <alignment horizontal="center"/>
    </xf>
    <xf numFmtId="193" fontId="39" fillId="0" borderId="0" xfId="54" applyNumberFormat="1" applyFont="1" applyBorder="1" applyAlignment="1" applyProtection="1">
      <alignment horizontal="center"/>
    </xf>
    <xf numFmtId="4" fontId="10" fillId="0" borderId="101" xfId="0" applyNumberFormat="1" applyFont="1" applyBorder="1" applyAlignment="1">
      <alignment vertical="center"/>
    </xf>
    <xf numFmtId="0" fontId="29" fillId="0" borderId="102" xfId="0" applyFont="1" applyBorder="1"/>
    <xf numFmtId="0" fontId="45" fillId="0" borderId="103" xfId="0" applyFont="1" applyBorder="1"/>
    <xf numFmtId="0" fontId="39" fillId="0" borderId="103" xfId="0" applyFont="1" applyBorder="1"/>
    <xf numFmtId="39" fontId="39" fillId="0" borderId="103" xfId="0" applyNumberFormat="1" applyFont="1" applyBorder="1"/>
    <xf numFmtId="0" fontId="29" fillId="0" borderId="103" xfId="0" applyFont="1" applyBorder="1"/>
    <xf numFmtId="0" fontId="29" fillId="0" borderId="106" xfId="0" applyFont="1" applyBorder="1"/>
    <xf numFmtId="0" fontId="39" fillId="0" borderId="87" xfId="0" applyFont="1" applyBorder="1"/>
    <xf numFmtId="195" fontId="39" fillId="0" borderId="103" xfId="0" applyNumberFormat="1" applyFont="1" applyBorder="1"/>
    <xf numFmtId="0" fontId="45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12" fillId="5" borderId="4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197" fontId="29" fillId="0" borderId="0" xfId="0" applyNumberFormat="1" applyFont="1" applyAlignment="1">
      <alignment vertical="center"/>
    </xf>
    <xf numFmtId="49" fontId="29" fillId="0" borderId="0" xfId="0" applyNumberFormat="1" applyFont="1" applyAlignment="1">
      <alignment vertical="center"/>
    </xf>
    <xf numFmtId="0" fontId="40" fillId="0" borderId="0" xfId="0" applyFont="1" applyAlignment="1">
      <alignment horizontal="left"/>
    </xf>
    <xf numFmtId="0" fontId="14" fillId="0" borderId="0" xfId="0" applyFont="1"/>
    <xf numFmtId="0" fontId="15" fillId="0" borderId="2" xfId="0" applyFont="1" applyBorder="1"/>
    <xf numFmtId="0" fontId="15" fillId="0" borderId="8" xfId="0" applyFont="1" applyBorder="1"/>
    <xf numFmtId="0" fontId="72" fillId="0" borderId="2" xfId="0" applyFont="1" applyBorder="1" applyAlignment="1">
      <alignment horizontal="center"/>
    </xf>
    <xf numFmtId="4" fontId="2" fillId="0" borderId="0" xfId="0" applyNumberFormat="1" applyFont="1" applyAlignment="1">
      <alignment horizontal="centerContinuous"/>
    </xf>
    <xf numFmtId="0" fontId="2" fillId="0" borderId="0" xfId="28"/>
    <xf numFmtId="0" fontId="29" fillId="0" borderId="0" xfId="28" applyFont="1"/>
    <xf numFmtId="49" fontId="29" fillId="0" borderId="0" xfId="28" applyNumberFormat="1" applyFont="1"/>
    <xf numFmtId="0" fontId="29" fillId="0" borderId="0" xfId="28" quotePrefix="1" applyFont="1"/>
    <xf numFmtId="0" fontId="10" fillId="5" borderId="112" xfId="28" applyFont="1" applyFill="1" applyBorder="1" applyAlignment="1">
      <alignment horizontal="center" wrapText="1"/>
    </xf>
    <xf numFmtId="0" fontId="10" fillId="5" borderId="113" xfId="28" applyFont="1" applyFill="1" applyBorder="1" applyAlignment="1">
      <alignment horizontal="center" wrapText="1"/>
    </xf>
    <xf numFmtId="0" fontId="10" fillId="5" borderId="10" xfId="28" applyFont="1" applyFill="1" applyBorder="1" applyAlignment="1">
      <alignment horizontal="centerContinuous" vertical="center"/>
    </xf>
    <xf numFmtId="0" fontId="10" fillId="5" borderId="11" xfId="28" applyFont="1" applyFill="1" applyBorder="1" applyAlignment="1">
      <alignment horizontal="centerContinuous" vertical="center"/>
    </xf>
    <xf numFmtId="0" fontId="10" fillId="5" borderId="56" xfId="28" applyFont="1" applyFill="1" applyBorder="1" applyAlignment="1">
      <alignment horizontal="centerContinuous" vertical="center"/>
    </xf>
    <xf numFmtId="0" fontId="67" fillId="0" borderId="0" xfId="28" applyFont="1" applyAlignment="1">
      <alignment vertical="center"/>
    </xf>
    <xf numFmtId="0" fontId="29" fillId="0" borderId="0" xfId="28" applyFont="1" applyAlignment="1">
      <alignment vertical="center"/>
    </xf>
    <xf numFmtId="0" fontId="6" fillId="0" borderId="0" xfId="28" applyFont="1" applyAlignment="1">
      <alignment vertical="center"/>
    </xf>
    <xf numFmtId="4" fontId="2" fillId="0" borderId="74" xfId="38" applyNumberFormat="1" applyBorder="1"/>
    <xf numFmtId="0" fontId="6" fillId="0" borderId="0" xfId="28" applyFont="1"/>
    <xf numFmtId="0" fontId="15" fillId="0" borderId="0" xfId="28" applyFont="1"/>
    <xf numFmtId="201" fontId="6" fillId="0" borderId="0" xfId="28" applyNumberFormat="1" applyFont="1" applyAlignment="1">
      <alignment horizontal="left"/>
    </xf>
    <xf numFmtId="0" fontId="66" fillId="5" borderId="114" xfId="28" applyFont="1" applyFill="1" applyBorder="1" applyAlignment="1">
      <alignment horizontal="center"/>
    </xf>
    <xf numFmtId="0" fontId="66" fillId="5" borderId="115" xfId="28" applyFont="1" applyFill="1" applyBorder="1" applyAlignment="1">
      <alignment horizontal="center"/>
    </xf>
    <xf numFmtId="0" fontId="6" fillId="0" borderId="32" xfId="28" applyFont="1" applyBorder="1"/>
    <xf numFmtId="0" fontId="6" fillId="0" borderId="17" xfId="28" applyFont="1" applyBorder="1"/>
    <xf numFmtId="0" fontId="6" fillId="0" borderId="116" xfId="28" applyFont="1" applyBorder="1"/>
    <xf numFmtId="0" fontId="6" fillId="0" borderId="117" xfId="28" applyFont="1" applyBorder="1"/>
    <xf numFmtId="2" fontId="6" fillId="0" borderId="0" xfId="28" applyNumberFormat="1" applyFont="1" applyAlignment="1">
      <alignment horizontal="center"/>
    </xf>
    <xf numFmtId="2" fontId="6" fillId="0" borderId="56" xfId="28" applyNumberFormat="1" applyFont="1" applyBorder="1" applyAlignment="1">
      <alignment horizontal="center"/>
    </xf>
    <xf numFmtId="0" fontId="6" fillId="0" borderId="0" xfId="28" applyFont="1" applyAlignment="1">
      <alignment horizontal="right"/>
    </xf>
    <xf numFmtId="0" fontId="75" fillId="0" borderId="0" xfId="0" applyFont="1" applyAlignment="1">
      <alignment vertical="center"/>
    </xf>
    <xf numFmtId="0" fontId="76" fillId="0" borderId="0" xfId="0" applyFont="1" applyAlignment="1">
      <alignment horizontal="left" vertical="center"/>
    </xf>
    <xf numFmtId="0" fontId="77" fillId="0" borderId="0" xfId="0" applyFont="1" applyAlignment="1">
      <alignment vertical="center"/>
    </xf>
    <xf numFmtId="0" fontId="78" fillId="0" borderId="0" xfId="0" quotePrefix="1" applyFont="1" applyAlignment="1">
      <alignment horizontal="left" vertical="center"/>
    </xf>
    <xf numFmtId="4" fontId="75" fillId="0" borderId="0" xfId="0" applyNumberFormat="1" applyFont="1" applyAlignment="1">
      <alignment vertical="center"/>
    </xf>
    <xf numFmtId="4" fontId="29" fillId="0" borderId="0" xfId="0" applyNumberFormat="1" applyFont="1" applyAlignment="1">
      <alignment vertical="center"/>
    </xf>
    <xf numFmtId="0" fontId="80" fillId="0" borderId="0" xfId="0" applyFont="1" applyAlignment="1">
      <alignment horizontal="centerContinuous" vertical="center"/>
    </xf>
    <xf numFmtId="0" fontId="80" fillId="0" borderId="0" xfId="0" applyFont="1" applyAlignment="1">
      <alignment vertical="center"/>
    </xf>
    <xf numFmtId="0" fontId="75" fillId="0" borderId="0" xfId="0" applyFont="1" applyAlignment="1">
      <alignment horizontal="centerContinuous" vertical="center"/>
    </xf>
    <xf numFmtId="0" fontId="81" fillId="0" borderId="0" xfId="0" applyFont="1" applyAlignment="1">
      <alignment horizontal="centerContinuous" vertical="center"/>
    </xf>
    <xf numFmtId="0" fontId="82" fillId="0" borderId="56" xfId="0" applyFont="1" applyBorder="1" applyAlignment="1">
      <alignment horizontal="centerContinuous" vertical="center"/>
    </xf>
    <xf numFmtId="0" fontId="83" fillId="0" borderId="11" xfId="0" applyFont="1" applyBorder="1" applyAlignment="1">
      <alignment horizontal="centerContinuous" vertical="center"/>
    </xf>
    <xf numFmtId="49" fontId="83" fillId="0" borderId="0" xfId="0" applyNumberFormat="1" applyFont="1" applyAlignment="1">
      <alignment horizontal="left" vertical="center"/>
    </xf>
    <xf numFmtId="39" fontId="82" fillId="0" borderId="56" xfId="50" applyFont="1" applyBorder="1" applyAlignment="1">
      <alignment horizontal="centerContinuous" vertical="center"/>
    </xf>
    <xf numFmtId="39" fontId="83" fillId="0" borderId="10" xfId="50" applyFont="1" applyBorder="1" applyAlignment="1">
      <alignment horizontal="centerContinuous" vertical="center"/>
    </xf>
    <xf numFmtId="39" fontId="83" fillId="0" borderId="11" xfId="50" applyFont="1" applyBorder="1" applyAlignment="1">
      <alignment horizontal="centerContinuous" vertical="center"/>
    </xf>
    <xf numFmtId="0" fontId="81" fillId="0" borderId="0" xfId="0" applyFont="1" applyAlignment="1">
      <alignment horizontal="right" vertical="center"/>
    </xf>
    <xf numFmtId="0" fontId="83" fillId="0" borderId="0" xfId="0" applyFont="1" applyAlignment="1">
      <alignment horizontal="right" vertical="center"/>
    </xf>
    <xf numFmtId="39" fontId="83" fillId="0" borderId="0" xfId="50" applyFont="1" applyAlignment="1">
      <alignment horizontal="right" vertical="center"/>
    </xf>
    <xf numFmtId="39" fontId="83" fillId="0" borderId="0" xfId="50" applyFont="1" applyAlignment="1">
      <alignment horizontal="left" vertical="center"/>
    </xf>
    <xf numFmtId="0" fontId="84" fillId="0" borderId="0" xfId="0" applyFont="1" applyAlignment="1">
      <alignment horizontal="right"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right" vertical="center"/>
    </xf>
    <xf numFmtId="0" fontId="83" fillId="0" borderId="0" xfId="0" applyFont="1" applyAlignment="1">
      <alignment vertical="center"/>
    </xf>
    <xf numFmtId="0" fontId="8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85" fillId="0" borderId="0" xfId="0" applyFont="1" applyAlignment="1">
      <alignment vertical="center"/>
    </xf>
    <xf numFmtId="202" fontId="40" fillId="0" borderId="0" xfId="0" applyNumberFormat="1" applyFont="1" applyAlignment="1">
      <alignment vertical="center"/>
    </xf>
    <xf numFmtId="0" fontId="90" fillId="0" borderId="0" xfId="0" applyFont="1" applyAlignment="1">
      <alignment horizontal="right" vertical="center"/>
    </xf>
    <xf numFmtId="0" fontId="90" fillId="0" borderId="0" xfId="0" applyFont="1" applyAlignment="1">
      <alignment vertical="center"/>
    </xf>
    <xf numFmtId="0" fontId="91" fillId="0" borderId="0" xfId="0" applyFont="1" applyAlignment="1">
      <alignment vertical="center"/>
    </xf>
    <xf numFmtId="202" fontId="86" fillId="0" borderId="0" xfId="0" quotePrefix="1" applyNumberFormat="1" applyFont="1" applyAlignment="1">
      <alignment horizontal="right" vertical="center"/>
    </xf>
    <xf numFmtId="202" fontId="90" fillId="0" borderId="0" xfId="0" quotePrefix="1" applyNumberFormat="1" applyFont="1" applyAlignment="1">
      <alignment horizontal="right" vertical="center"/>
    </xf>
    <xf numFmtId="0" fontId="90" fillId="0" borderId="0" xfId="0" applyFont="1" applyAlignment="1">
      <alignment horizontal="centerContinuous" vertical="center" wrapText="1"/>
    </xf>
    <xf numFmtId="10" fontId="91" fillId="0" borderId="0" xfId="57" applyNumberFormat="1" applyFont="1" applyFill="1" applyAlignment="1">
      <alignment horizontal="centerContinuous" vertical="center" wrapText="1"/>
    </xf>
    <xf numFmtId="0" fontId="91" fillId="0" borderId="0" xfId="0" applyFont="1" applyAlignment="1">
      <alignment horizontal="centerContinuous" vertical="center" wrapText="1"/>
    </xf>
    <xf numFmtId="39" fontId="59" fillId="5" borderId="51" xfId="0" applyNumberFormat="1" applyFont="1" applyFill="1" applyBorder="1" applyAlignment="1">
      <alignment horizontal="center" vertical="center"/>
    </xf>
    <xf numFmtId="0" fontId="59" fillId="5" borderId="37" xfId="0" applyFont="1" applyFill="1" applyBorder="1" applyAlignment="1">
      <alignment horizontal="center" vertical="center"/>
    </xf>
    <xf numFmtId="49" fontId="63" fillId="5" borderId="118" xfId="0" applyNumberFormat="1" applyFont="1" applyFill="1" applyBorder="1" applyAlignment="1">
      <alignment horizontal="center" vertical="center"/>
    </xf>
    <xf numFmtId="49" fontId="63" fillId="5" borderId="36" xfId="0" applyNumberFormat="1" applyFont="1" applyFill="1" applyBorder="1" applyAlignment="1">
      <alignment horizontal="center" vertical="center"/>
    </xf>
    <xf numFmtId="39" fontId="59" fillId="5" borderId="37" xfId="0" applyNumberFormat="1" applyFont="1" applyFill="1" applyBorder="1" applyAlignment="1">
      <alignment horizontal="centerContinuous" vertical="center"/>
    </xf>
    <xf numFmtId="39" fontId="59" fillId="5" borderId="36" xfId="0" applyNumberFormat="1" applyFont="1" applyFill="1" applyBorder="1" applyAlignment="1">
      <alignment horizontal="centerContinuous" vertical="center"/>
    </xf>
    <xf numFmtId="39" fontId="87" fillId="5" borderId="36" xfId="0" applyNumberFormat="1" applyFont="1" applyFill="1" applyBorder="1" applyAlignment="1">
      <alignment horizontal="centerContinuous" vertical="center"/>
    </xf>
    <xf numFmtId="39" fontId="87" fillId="5" borderId="119" xfId="0" applyNumberFormat="1" applyFont="1" applyFill="1" applyBorder="1" applyAlignment="1">
      <alignment horizontal="centerContinuous" vertical="center"/>
    </xf>
    <xf numFmtId="39" fontId="87" fillId="5" borderId="120" xfId="0" applyNumberFormat="1" applyFont="1" applyFill="1" applyBorder="1" applyAlignment="1">
      <alignment horizontal="centerContinuous" vertical="center"/>
    </xf>
    <xf numFmtId="0" fontId="38" fillId="5" borderId="2" xfId="0" applyFont="1" applyFill="1" applyBorder="1" applyAlignment="1">
      <alignment horizontal="center" vertical="center"/>
    </xf>
    <xf numFmtId="0" fontId="59" fillId="5" borderId="111" xfId="0" applyFont="1" applyFill="1" applyBorder="1" applyAlignment="1">
      <alignment horizontal="center" vertical="center"/>
    </xf>
    <xf numFmtId="0" fontId="63" fillId="5" borderId="7" xfId="0" applyFont="1" applyFill="1" applyBorder="1" applyAlignment="1">
      <alignment horizontal="center" vertical="center"/>
    </xf>
    <xf numFmtId="0" fontId="88" fillId="5" borderId="45" xfId="0" applyFont="1" applyFill="1" applyBorder="1" applyAlignment="1">
      <alignment horizontal="center" vertical="center"/>
    </xf>
    <xf numFmtId="0" fontId="88" fillId="5" borderId="109" xfId="0" applyFont="1" applyFill="1" applyBorder="1" applyAlignment="1">
      <alignment horizontal="center" vertical="center"/>
    </xf>
    <xf numFmtId="0" fontId="88" fillId="5" borderId="54" xfId="0" applyFont="1" applyFill="1" applyBorder="1" applyAlignment="1">
      <alignment horizontal="center" vertical="center"/>
    </xf>
    <xf numFmtId="39" fontId="59" fillId="5" borderId="45" xfId="0" applyNumberFormat="1" applyFont="1" applyFill="1" applyBorder="1" applyAlignment="1">
      <alignment horizontal="center" vertical="center"/>
    </xf>
    <xf numFmtId="0" fontId="40" fillId="0" borderId="7" xfId="0" applyFont="1" applyBorder="1" applyAlignment="1">
      <alignment vertical="center"/>
    </xf>
    <xf numFmtId="39" fontId="29" fillId="0" borderId="0" xfId="0" applyNumberFormat="1" applyFont="1" applyAlignment="1">
      <alignment vertical="center"/>
    </xf>
    <xf numFmtId="39" fontId="40" fillId="0" borderId="27" xfId="0" applyNumberFormat="1" applyFont="1" applyBorder="1" applyAlignment="1">
      <alignment vertical="center"/>
    </xf>
    <xf numFmtId="0" fontId="29" fillId="0" borderId="93" xfId="0" applyFont="1" applyBorder="1" applyAlignment="1">
      <alignment horizontal="left" vertical="center"/>
    </xf>
    <xf numFmtId="0" fontId="29" fillId="0" borderId="93" xfId="0" applyFont="1" applyBorder="1" applyAlignment="1">
      <alignment vertical="center"/>
    </xf>
    <xf numFmtId="0" fontId="63" fillId="0" borderId="93" xfId="0" applyFont="1" applyBorder="1" applyAlignment="1">
      <alignment vertical="center"/>
    </xf>
    <xf numFmtId="0" fontId="59" fillId="0" borderId="93" xfId="0" quotePrefix="1" applyFont="1" applyBorder="1" applyAlignment="1">
      <alignment horizontal="left" vertical="center"/>
    </xf>
    <xf numFmtId="0" fontId="59" fillId="0" borderId="123" xfId="0" quotePrefix="1" applyFont="1" applyBorder="1" applyAlignment="1">
      <alignment horizontal="left" vertical="center"/>
    </xf>
    <xf numFmtId="188" fontId="29" fillId="0" borderId="131" xfId="0" applyNumberFormat="1" applyFont="1" applyBorder="1" applyAlignment="1">
      <alignment vertical="center"/>
    </xf>
    <xf numFmtId="188" fontId="29" fillId="0" borderId="132" xfId="0" applyNumberFormat="1" applyFont="1" applyBorder="1" applyAlignment="1">
      <alignment vertical="center"/>
    </xf>
    <xf numFmtId="188" fontId="29" fillId="0" borderId="133" xfId="0" applyNumberFormat="1" applyFont="1" applyBorder="1" applyAlignment="1">
      <alignment vertical="center"/>
    </xf>
    <xf numFmtId="188" fontId="29" fillId="0" borderId="124" xfId="0" applyNumberFormat="1" applyFont="1" applyBorder="1" applyAlignment="1">
      <alignment vertical="center"/>
    </xf>
    <xf numFmtId="203" fontId="29" fillId="0" borderId="132" xfId="0" applyNumberFormat="1" applyFont="1" applyBorder="1" applyAlignment="1">
      <alignment vertical="center"/>
    </xf>
    <xf numFmtId="203" fontId="63" fillId="0" borderId="134" xfId="0" applyNumberFormat="1" applyFont="1" applyBorder="1" applyAlignment="1">
      <alignment vertical="center"/>
    </xf>
    <xf numFmtId="181" fontId="63" fillId="0" borderId="132" xfId="0" applyNumberFormat="1" applyFont="1" applyBorder="1" applyAlignment="1">
      <alignment horizontal="center" vertical="center"/>
    </xf>
    <xf numFmtId="181" fontId="63" fillId="0" borderId="133" xfId="0" applyNumberFormat="1" applyFont="1" applyBorder="1" applyAlignment="1">
      <alignment horizontal="center" vertical="center"/>
    </xf>
    <xf numFmtId="203" fontId="29" fillId="0" borderId="124" xfId="0" applyNumberFormat="1" applyFont="1" applyBorder="1" applyAlignment="1">
      <alignment vertical="center"/>
    </xf>
    <xf numFmtId="49" fontId="40" fillId="0" borderId="0" xfId="0" applyNumberFormat="1" applyFont="1" applyAlignment="1">
      <alignment vertical="center"/>
    </xf>
    <xf numFmtId="203" fontId="40" fillId="0" borderId="15" xfId="0" applyNumberFormat="1" applyFont="1" applyBorder="1" applyAlignment="1">
      <alignment vertical="center"/>
    </xf>
    <xf numFmtId="203" fontId="29" fillId="0" borderId="15" xfId="0" applyNumberFormat="1" applyFont="1" applyBorder="1" applyAlignment="1">
      <alignment vertical="center"/>
    </xf>
    <xf numFmtId="203" fontId="29" fillId="0" borderId="0" xfId="0" applyNumberFormat="1" applyFont="1" applyAlignment="1">
      <alignment vertical="center"/>
    </xf>
    <xf numFmtId="39" fontId="86" fillId="0" borderId="56" xfId="0" applyNumberFormat="1" applyFont="1" applyBorder="1" applyAlignment="1">
      <alignment horizontal="center" vertical="center"/>
    </xf>
    <xf numFmtId="39" fontId="86" fillId="0" borderId="10" xfId="0" applyNumberFormat="1" applyFont="1" applyBorder="1" applyAlignment="1">
      <alignment horizontal="centerContinuous" vertical="center"/>
    </xf>
    <xf numFmtId="202" fontId="29" fillId="0" borderId="0" xfId="0" applyNumberFormat="1" applyFont="1" applyAlignment="1">
      <alignment vertical="center"/>
    </xf>
    <xf numFmtId="39" fontId="40" fillId="0" borderId="0" xfId="0" applyNumberFormat="1" applyFont="1" applyAlignment="1">
      <alignment vertical="center"/>
    </xf>
    <xf numFmtId="0" fontId="38" fillId="0" borderId="56" xfId="0" applyFont="1" applyBorder="1" applyAlignment="1">
      <alignment horizontal="centerContinuous" vertical="center"/>
    </xf>
    <xf numFmtId="0" fontId="29" fillId="0" borderId="10" xfId="0" applyFont="1" applyBorder="1" applyAlignment="1">
      <alignment horizontal="centerContinuous" vertical="center"/>
    </xf>
    <xf numFmtId="4" fontId="29" fillId="0" borderId="10" xfId="0" applyNumberFormat="1" applyFont="1" applyBorder="1" applyAlignment="1">
      <alignment horizontal="centerContinuous" vertical="center"/>
    </xf>
    <xf numFmtId="4" fontId="29" fillId="0" borderId="7" xfId="0" applyNumberFormat="1" applyFont="1" applyBorder="1" applyAlignment="1">
      <alignment horizontal="centerContinuous" vertical="center"/>
    </xf>
    <xf numFmtId="204" fontId="38" fillId="0" borderId="0" xfId="0" applyNumberFormat="1" applyFont="1" applyAlignment="1">
      <alignment vertical="center"/>
    </xf>
    <xf numFmtId="0" fontId="38" fillId="0" borderId="0" xfId="0" applyFont="1" applyAlignment="1">
      <alignment horizontal="centerContinuous" vertical="center"/>
    </xf>
    <xf numFmtId="0" fontId="29" fillId="0" borderId="0" xfId="0" applyFont="1" applyAlignment="1">
      <alignment horizontal="centerContinuous" vertical="center"/>
    </xf>
    <xf numFmtId="4" fontId="29" fillId="0" borderId="0" xfId="0" applyNumberFormat="1" applyFont="1" applyAlignment="1">
      <alignment horizontal="centerContinuous" vertical="center"/>
    </xf>
    <xf numFmtId="0" fontId="40" fillId="0" borderId="0" xfId="0" applyFont="1" applyAlignment="1">
      <alignment horizontal="center" vertical="center"/>
    </xf>
    <xf numFmtId="4" fontId="40" fillId="0" borderId="0" xfId="0" applyNumberFormat="1" applyFont="1" applyAlignment="1">
      <alignment vertical="center"/>
    </xf>
    <xf numFmtId="0" fontId="63" fillId="0" borderId="126" xfId="0" applyFont="1" applyBorder="1" applyAlignment="1">
      <alignment horizontal="center" vertical="center"/>
    </xf>
    <xf numFmtId="0" fontId="29" fillId="0" borderId="136" xfId="0" applyFont="1" applyBorder="1" applyAlignment="1">
      <alignment horizontal="left" vertical="center"/>
    </xf>
    <xf numFmtId="0" fontId="63" fillId="0" borderId="130" xfId="0" applyFont="1" applyBorder="1" applyAlignment="1">
      <alignment horizontal="center" vertical="center"/>
    </xf>
    <xf numFmtId="17" fontId="29" fillId="0" borderId="137" xfId="0" applyNumberFormat="1" applyFont="1" applyBorder="1" applyAlignment="1">
      <alignment horizontal="left" vertical="center"/>
    </xf>
    <xf numFmtId="49" fontId="63" fillId="0" borderId="132" xfId="0" applyNumberFormat="1" applyFont="1" applyBorder="1" applyAlignment="1">
      <alignment horizontal="center" vertical="center"/>
    </xf>
    <xf numFmtId="0" fontId="29" fillId="0" borderId="122" xfId="0" applyFont="1" applyBorder="1" applyAlignment="1">
      <alignment vertical="center"/>
    </xf>
    <xf numFmtId="189" fontId="29" fillId="0" borderId="0" xfId="0" applyNumberFormat="1" applyFont="1"/>
    <xf numFmtId="0" fontId="66" fillId="5" borderId="10" xfId="28" applyFont="1" applyFill="1" applyBorder="1" applyAlignment="1">
      <alignment horizontal="centerContinuous"/>
    </xf>
    <xf numFmtId="0" fontId="93" fillId="0" borderId="0" xfId="42" applyFont="1" applyAlignment="1">
      <alignment horizontal="centerContinuous" vertical="center"/>
    </xf>
    <xf numFmtId="0" fontId="6" fillId="0" borderId="0" xfId="0" applyFont="1"/>
    <xf numFmtId="0" fontId="15" fillId="0" borderId="0" xfId="0" applyFont="1"/>
    <xf numFmtId="0" fontId="2" fillId="0" borderId="0" xfId="0" applyFont="1"/>
    <xf numFmtId="206" fontId="66" fillId="0" borderId="0" xfId="0" applyNumberFormat="1" applyFont="1" applyAlignment="1">
      <alignment horizontal="left"/>
    </xf>
    <xf numFmtId="182" fontId="6" fillId="0" borderId="0" xfId="0" applyNumberFormat="1" applyFont="1" applyAlignment="1">
      <alignment horizontal="centerContinuous"/>
    </xf>
    <xf numFmtId="15" fontId="6" fillId="0" borderId="0" xfId="0" applyNumberFormat="1" applyFont="1" applyAlignment="1">
      <alignment horizontal="right"/>
    </xf>
    <xf numFmtId="4" fontId="96" fillId="0" borderId="0" xfId="0" applyNumberFormat="1" applyFont="1" applyAlignment="1">
      <alignment horizontal="left" indent="4"/>
    </xf>
    <xf numFmtId="4" fontId="6" fillId="0" borderId="0" xfId="0" applyNumberFormat="1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6" fillId="0" borderId="0" xfId="0" applyFont="1" applyAlignment="1">
      <alignment horizontal="left" indent="1"/>
    </xf>
    <xf numFmtId="49" fontId="15" fillId="0" borderId="0" xfId="0" applyNumberFormat="1" applyFont="1" applyAlignment="1">
      <alignment horizontal="left" indent="2"/>
    </xf>
    <xf numFmtId="2" fontId="6" fillId="0" borderId="0" xfId="0" applyNumberFormat="1" applyFont="1"/>
    <xf numFmtId="0" fontId="97" fillId="0" borderId="0" xfId="0" applyFont="1"/>
    <xf numFmtId="0" fontId="66" fillId="0" borderId="0" xfId="0" applyFont="1" applyAlignment="1">
      <alignment horizontal="left" indent="1"/>
    </xf>
    <xf numFmtId="0" fontId="66" fillId="0" borderId="0" xfId="0" applyFont="1"/>
    <xf numFmtId="175" fontId="66" fillId="0" borderId="0" xfId="0" applyNumberFormat="1" applyFont="1"/>
    <xf numFmtId="0" fontId="98" fillId="0" borderId="0" xfId="0" applyFont="1"/>
    <xf numFmtId="0" fontId="6" fillId="0" borderId="15" xfId="0" applyFont="1" applyBorder="1"/>
    <xf numFmtId="0" fontId="15" fillId="0" borderId="11" xfId="0" applyFont="1" applyBorder="1" applyAlignment="1">
      <alignment horizontal="center"/>
    </xf>
    <xf numFmtId="0" fontId="15" fillId="0" borderId="112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15" fillId="0" borderId="139" xfId="0" applyFont="1" applyBorder="1" applyAlignment="1">
      <alignment horizontal="center" vertical="center" wrapText="1"/>
    </xf>
    <xf numFmtId="0" fontId="15" fillId="0" borderId="140" xfId="0" applyFont="1" applyBorder="1" applyAlignment="1">
      <alignment horizontal="center" vertical="center" wrapText="1"/>
    </xf>
    <xf numFmtId="0" fontId="15" fillId="0" borderId="7" xfId="0" applyFont="1" applyBorder="1"/>
    <xf numFmtId="0" fontId="15" fillId="0" borderId="27" xfId="0" applyFont="1" applyBorder="1"/>
    <xf numFmtId="0" fontId="6" fillId="0" borderId="7" xfId="0" applyFont="1" applyBorder="1"/>
    <xf numFmtId="0" fontId="6" fillId="0" borderId="141" xfId="0" applyFont="1" applyBorder="1"/>
    <xf numFmtId="4" fontId="6" fillId="0" borderId="111" xfId="0" applyNumberFormat="1" applyFont="1" applyBorder="1"/>
    <xf numFmtId="4" fontId="6" fillId="0" borderId="27" xfId="0" applyNumberFormat="1" applyFont="1" applyBorder="1"/>
    <xf numFmtId="0" fontId="6" fillId="0" borderId="27" xfId="0" applyFont="1" applyBorder="1"/>
    <xf numFmtId="0" fontId="6" fillId="0" borderId="2" xfId="0" applyFont="1" applyBorder="1"/>
    <xf numFmtId="0" fontId="6" fillId="0" borderId="111" xfId="0" applyFont="1" applyBorder="1"/>
    <xf numFmtId="0" fontId="6" fillId="0" borderId="36" xfId="0" applyFont="1" applyBorder="1"/>
    <xf numFmtId="0" fontId="6" fillId="0" borderId="135" xfId="0" applyFont="1" applyBorder="1"/>
    <xf numFmtId="0" fontId="99" fillId="0" borderId="27" xfId="0" applyFont="1" applyBorder="1"/>
    <xf numFmtId="205" fontId="6" fillId="0" borderId="141" xfId="0" applyNumberFormat="1" applyFont="1" applyBorder="1"/>
    <xf numFmtId="0" fontId="6" fillId="0" borderId="92" xfId="0" applyFont="1" applyBorder="1"/>
    <xf numFmtId="49" fontId="6" fillId="0" borderId="97" xfId="44" applyNumberFormat="1" applyFont="1" applyBorder="1"/>
    <xf numFmtId="0" fontId="6" fillId="0" borderId="93" xfId="44" applyFont="1" applyBorder="1"/>
    <xf numFmtId="0" fontId="6" fillId="0" borderId="97" xfId="0" applyFont="1" applyBorder="1" applyAlignment="1">
      <alignment horizontal="center"/>
    </xf>
    <xf numFmtId="205" fontId="6" fillId="0" borderId="130" xfId="0" applyNumberFormat="1" applyFont="1" applyBorder="1" applyAlignment="1">
      <alignment horizontal="center"/>
    </xf>
    <xf numFmtId="205" fontId="6" fillId="0" borderId="75" xfId="0" applyNumberFormat="1" applyFont="1" applyBorder="1" applyAlignment="1">
      <alignment horizontal="center"/>
    </xf>
    <xf numFmtId="4" fontId="6" fillId="0" borderId="130" xfId="43" applyNumberFormat="1" applyFont="1" applyBorder="1" applyProtection="1">
      <alignment vertical="center"/>
      <protection locked="0"/>
    </xf>
    <xf numFmtId="4" fontId="6" fillId="0" borderId="95" xfId="0" applyNumberFormat="1" applyFont="1" applyBorder="1" applyAlignment="1">
      <alignment horizontal="right"/>
    </xf>
    <xf numFmtId="4" fontId="6" fillId="0" borderId="96" xfId="0" applyNumberFormat="1" applyFont="1" applyBorder="1" applyAlignment="1">
      <alignment horizontal="right"/>
    </xf>
    <xf numFmtId="4" fontId="6" fillId="0" borderId="75" xfId="0" applyNumberFormat="1" applyFont="1" applyBorder="1"/>
    <xf numFmtId="2" fontId="6" fillId="0" borderId="74" xfId="0" applyNumberFormat="1" applyFont="1" applyBorder="1"/>
    <xf numFmtId="2" fontId="6" fillId="0" borderId="97" xfId="0" applyNumberFormat="1" applyFont="1" applyBorder="1"/>
    <xf numFmtId="2" fontId="6" fillId="0" borderId="95" xfId="0" applyNumberFormat="1" applyFont="1" applyBorder="1"/>
    <xf numFmtId="4" fontId="6" fillId="0" borderId="130" xfId="0" applyNumberFormat="1" applyFont="1" applyBorder="1"/>
    <xf numFmtId="4" fontId="6" fillId="0" borderId="92" xfId="0" applyNumberFormat="1" applyFont="1" applyBorder="1"/>
    <xf numFmtId="4" fontId="6" fillId="0" borderId="141" xfId="0" applyNumberFormat="1" applyFont="1" applyBorder="1"/>
    <xf numFmtId="4" fontId="6" fillId="0" borderId="0" xfId="0" applyNumberFormat="1" applyFont="1"/>
    <xf numFmtId="4" fontId="6" fillId="0" borderId="130" xfId="43" applyNumberFormat="1" applyFont="1" applyBorder="1">
      <alignment vertical="center"/>
    </xf>
    <xf numFmtId="205" fontId="6" fillId="0" borderId="93" xfId="0" applyNumberFormat="1" applyFont="1" applyBorder="1" applyAlignment="1">
      <alignment horizontal="center"/>
    </xf>
    <xf numFmtId="4" fontId="6" fillId="0" borderId="130" xfId="0" applyNumberFormat="1" applyFont="1" applyBorder="1" applyAlignment="1">
      <alignment horizontal="right"/>
    </xf>
    <xf numFmtId="0" fontId="6" fillId="0" borderId="107" xfId="0" applyFont="1" applyBorder="1" applyAlignment="1">
      <alignment horizontal="center"/>
    </xf>
    <xf numFmtId="205" fontId="6" fillId="0" borderId="138" xfId="0" applyNumberFormat="1" applyFont="1" applyBorder="1" applyAlignment="1">
      <alignment horizontal="center"/>
    </xf>
    <xf numFmtId="49" fontId="6" fillId="0" borderId="107" xfId="44" applyNumberFormat="1" applyFont="1" applyBorder="1"/>
    <xf numFmtId="0" fontId="6" fillId="0" borderId="87" xfId="44" applyFont="1" applyBorder="1"/>
    <xf numFmtId="4" fontId="6" fillId="0" borderId="75" xfId="0" applyNumberFormat="1" applyFont="1" applyBorder="1" applyAlignment="1">
      <alignment horizontal="right"/>
    </xf>
    <xf numFmtId="4" fontId="6" fillId="0" borderId="138" xfId="0" applyNumberFormat="1" applyFont="1" applyBorder="1" applyAlignment="1">
      <alignment horizontal="right"/>
    </xf>
    <xf numFmtId="4" fontId="6" fillId="0" borderId="91" xfId="0" applyNumberFormat="1" applyFont="1" applyBorder="1" applyAlignment="1">
      <alignment horizontal="right"/>
    </xf>
    <xf numFmtId="49" fontId="6" fillId="0" borderId="142" xfId="44" applyNumberFormat="1" applyFont="1" applyBorder="1"/>
    <xf numFmtId="0" fontId="6" fillId="0" borderId="100" xfId="44" applyFont="1" applyBorder="1"/>
    <xf numFmtId="0" fontId="6" fillId="0" borderId="142" xfId="0" applyFont="1" applyBorder="1" applyAlignment="1">
      <alignment horizontal="center"/>
    </xf>
    <xf numFmtId="205" fontId="6" fillId="0" borderId="142" xfId="0" applyNumberFormat="1" applyFont="1" applyBorder="1" applyAlignment="1">
      <alignment horizontal="center"/>
    </xf>
    <xf numFmtId="205" fontId="6" fillId="0" borderId="143" xfId="0" applyNumberFormat="1" applyFont="1" applyBorder="1" applyAlignment="1">
      <alignment horizontal="center"/>
    </xf>
    <xf numFmtId="4" fontId="6" fillId="0" borderId="144" xfId="0" applyNumberFormat="1" applyFont="1" applyBorder="1" applyAlignment="1">
      <alignment horizontal="right"/>
    </xf>
    <xf numFmtId="4" fontId="6" fillId="0" borderId="145" xfId="0" applyNumberFormat="1" applyFont="1" applyBorder="1" applyAlignment="1">
      <alignment horizontal="right"/>
    </xf>
    <xf numFmtId="4" fontId="6" fillId="0" borderId="145" xfId="0" applyNumberFormat="1" applyFont="1" applyBorder="1"/>
    <xf numFmtId="2" fontId="6" fillId="0" borderId="146" xfId="0" applyNumberFormat="1" applyFont="1" applyBorder="1"/>
    <xf numFmtId="2" fontId="6" fillId="0" borderId="142" xfId="0" applyNumberFormat="1" applyFont="1" applyBorder="1"/>
    <xf numFmtId="2" fontId="6" fillId="0" borderId="143" xfId="0" applyNumberFormat="1" applyFont="1" applyBorder="1"/>
    <xf numFmtId="4" fontId="6" fillId="0" borderId="144" xfId="0" applyNumberFormat="1" applyFont="1" applyBorder="1"/>
    <xf numFmtId="0" fontId="6" fillId="0" borderId="54" xfId="0" applyFont="1" applyBorder="1"/>
    <xf numFmtId="49" fontId="15" fillId="0" borderId="54" xfId="44" applyNumberFormat="1" applyFont="1" applyBorder="1"/>
    <xf numFmtId="0" fontId="15" fillId="0" borderId="57" xfId="44" applyFont="1" applyBorder="1"/>
    <xf numFmtId="0" fontId="15" fillId="0" borderId="54" xfId="0" applyFont="1" applyBorder="1"/>
    <xf numFmtId="0" fontId="15" fillId="0" borderId="57" xfId="0" applyFont="1" applyBorder="1"/>
    <xf numFmtId="4" fontId="15" fillId="0" borderId="54" xfId="0" applyNumberFormat="1" applyFont="1" applyBorder="1" applyAlignment="1">
      <alignment horizontal="right"/>
    </xf>
    <xf numFmtId="4" fontId="15" fillId="0" borderId="34" xfId="0" applyNumberFormat="1" applyFont="1" applyBorder="1" applyAlignment="1">
      <alignment horizontal="right"/>
    </xf>
    <xf numFmtId="0" fontId="15" fillId="0" borderId="45" xfId="0" applyFont="1" applyBorder="1"/>
    <xf numFmtId="4" fontId="15" fillId="0" borderId="109" xfId="0" applyNumberFormat="1" applyFont="1" applyBorder="1"/>
    <xf numFmtId="4" fontId="15" fillId="0" borderId="57" xfId="0" applyNumberFormat="1" applyFont="1" applyBorder="1"/>
    <xf numFmtId="49" fontId="6" fillId="0" borderId="0" xfId="44" applyNumberFormat="1" applyFont="1" applyAlignment="1">
      <alignment horizontal="right" vertical="center"/>
    </xf>
    <xf numFmtId="0" fontId="6" fillId="0" borderId="0" xfId="44" applyFont="1" applyAlignment="1">
      <alignment horizontal="left" vertical="center" indent="1"/>
    </xf>
    <xf numFmtId="0" fontId="6" fillId="0" borderId="56" xfId="0" applyFont="1" applyBorder="1"/>
    <xf numFmtId="0" fontId="15" fillId="0" borderId="10" xfId="0" applyFont="1" applyBorder="1"/>
    <xf numFmtId="0" fontId="6" fillId="0" borderId="10" xfId="0" applyFont="1" applyBorder="1"/>
    <xf numFmtId="4" fontId="15" fillId="0" borderId="11" xfId="0" applyNumberFormat="1" applyFont="1" applyBorder="1"/>
    <xf numFmtId="49" fontId="6" fillId="0" borderId="0" xfId="44" applyNumberFormat="1" applyFont="1"/>
    <xf numFmtId="0" fontId="6" fillId="0" borderId="0" xfId="44" applyFont="1"/>
    <xf numFmtId="205" fontId="6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" fontId="6" fillId="0" borderId="147" xfId="0" applyNumberFormat="1" applyFont="1" applyBorder="1"/>
    <xf numFmtId="4" fontId="6" fillId="0" borderId="90" xfId="0" applyNumberFormat="1" applyFont="1" applyBorder="1"/>
    <xf numFmtId="4" fontId="6" fillId="0" borderId="97" xfId="45" applyNumberFormat="1" applyFont="1" applyBorder="1"/>
    <xf numFmtId="4" fontId="6" fillId="0" borderId="130" xfId="45" applyNumberFormat="1" applyFont="1" applyBorder="1"/>
    <xf numFmtId="205" fontId="6" fillId="0" borderId="144" xfId="0" applyNumberFormat="1" applyFont="1" applyBorder="1" applyAlignment="1">
      <alignment horizontal="center"/>
    </xf>
    <xf numFmtId="4" fontId="6" fillId="0" borderId="142" xfId="0" applyNumberFormat="1" applyFont="1" applyBorder="1" applyAlignment="1">
      <alignment horizontal="right"/>
    </xf>
    <xf numFmtId="4" fontId="6" fillId="0" borderId="143" xfId="0" applyNumberFormat="1" applyFont="1" applyBorder="1" applyAlignment="1">
      <alignment horizontal="right"/>
    </xf>
    <xf numFmtId="4" fontId="6" fillId="0" borderId="143" xfId="0" applyNumberFormat="1" applyFont="1" applyBorder="1"/>
    <xf numFmtId="205" fontId="6" fillId="0" borderId="0" xfId="0" applyNumberFormat="1" applyFont="1"/>
    <xf numFmtId="205" fontId="6" fillId="0" borderId="27" xfId="0" applyNumberFormat="1" applyFont="1" applyBorder="1"/>
    <xf numFmtId="205" fontId="6" fillId="0" borderId="145" xfId="0" applyNumberFormat="1" applyFont="1" applyBorder="1" applyAlignment="1">
      <alignment horizontal="center"/>
    </xf>
    <xf numFmtId="4" fontId="15" fillId="0" borderId="0" xfId="0" applyNumberFormat="1" applyFont="1"/>
    <xf numFmtId="0" fontId="13" fillId="0" borderId="36" xfId="0" applyFont="1" applyBorder="1"/>
    <xf numFmtId="0" fontId="10" fillId="0" borderId="14" xfId="0" applyFont="1" applyBorder="1"/>
    <xf numFmtId="4" fontId="13" fillId="0" borderId="112" xfId="0" applyNumberFormat="1" applyFont="1" applyBorder="1"/>
    <xf numFmtId="4" fontId="13" fillId="0" borderId="140" xfId="0" applyNumberFormat="1" applyFont="1" applyBorder="1"/>
    <xf numFmtId="0" fontId="13" fillId="0" borderId="56" xfId="0" applyFont="1" applyBorder="1"/>
    <xf numFmtId="0" fontId="10" fillId="0" borderId="10" xfId="0" applyFont="1" applyBorder="1"/>
    <xf numFmtId="0" fontId="6" fillId="0" borderId="0" xfId="0" applyFont="1" applyAlignment="1">
      <alignment horizontal="right"/>
    </xf>
    <xf numFmtId="180" fontId="6" fillId="0" borderId="0" xfId="0" applyNumberFormat="1" applyFont="1"/>
    <xf numFmtId="0" fontId="10" fillId="0" borderId="0" xfId="0" applyFont="1" applyAlignment="1">
      <alignment horizontal="left" indent="1"/>
    </xf>
    <xf numFmtId="0" fontId="15" fillId="0" borderId="0" xfId="0" applyFont="1" applyAlignment="1">
      <alignment horizontal="centerContinuous"/>
    </xf>
    <xf numFmtId="0" fontId="15" fillId="0" borderId="113" xfId="0" applyFont="1" applyBorder="1" applyAlignment="1">
      <alignment horizontal="center"/>
    </xf>
    <xf numFmtId="0" fontId="6" fillId="0" borderId="148" xfId="0" applyFont="1" applyBorder="1" applyAlignment="1">
      <alignment horizontal="left" indent="1"/>
    </xf>
    <xf numFmtId="201" fontId="6" fillId="0" borderId="129" xfId="0" applyNumberFormat="1" applyFont="1" applyBorder="1" applyAlignment="1">
      <alignment horizontal="left" indent="1"/>
    </xf>
    <xf numFmtId="4" fontId="6" fillId="0" borderId="148" xfId="0" applyNumberFormat="1" applyFont="1" applyBorder="1"/>
    <xf numFmtId="4" fontId="6" fillId="0" borderId="127" xfId="0" applyNumberFormat="1" applyFont="1" applyBorder="1"/>
    <xf numFmtId="4" fontId="6" fillId="0" borderId="129" xfId="0" applyNumberFormat="1" applyFont="1" applyBorder="1"/>
    <xf numFmtId="0" fontId="6" fillId="0" borderId="97" xfId="0" applyFont="1" applyBorder="1" applyAlignment="1">
      <alignment horizontal="left" indent="1"/>
    </xf>
    <xf numFmtId="201" fontId="6" fillId="0" borderId="75" xfId="0" applyNumberFormat="1" applyFont="1" applyBorder="1" applyAlignment="1">
      <alignment horizontal="left" indent="1"/>
    </xf>
    <xf numFmtId="4" fontId="6" fillId="0" borderId="97" xfId="0" applyNumberFormat="1" applyFont="1" applyBorder="1"/>
    <xf numFmtId="4" fontId="6" fillId="0" borderId="94" xfId="0" applyNumberFormat="1" applyFont="1" applyBorder="1"/>
    <xf numFmtId="0" fontId="2" fillId="0" borderId="121" xfId="0" applyFont="1" applyBorder="1"/>
    <xf numFmtId="0" fontId="2" fillId="0" borderId="124" xfId="0" applyFont="1" applyBorder="1"/>
    <xf numFmtId="4" fontId="6" fillId="0" borderId="121" xfId="0" applyNumberFormat="1" applyFont="1" applyBorder="1"/>
    <xf numFmtId="4" fontId="6" fillId="0" borderId="133" xfId="0" applyNumberFormat="1" applyFont="1" applyBorder="1"/>
    <xf numFmtId="4" fontId="6" fillId="0" borderId="124" xfId="0" applyNumberFormat="1" applyFont="1" applyBorder="1"/>
    <xf numFmtId="0" fontId="6" fillId="0" borderId="56" xfId="0" applyFont="1" applyBorder="1" applyAlignment="1">
      <alignment horizontal="left" indent="1"/>
    </xf>
    <xf numFmtId="4" fontId="6" fillId="0" borderId="10" xfId="0" applyNumberFormat="1" applyFont="1" applyBorder="1"/>
    <xf numFmtId="4" fontId="6" fillId="0" borderId="11" xfId="0" applyNumberFormat="1" applyFont="1" applyBorder="1"/>
    <xf numFmtId="0" fontId="15" fillId="0" borderId="0" xfId="0" applyFont="1" applyAlignment="1">
      <alignment horizontal="left" indent="1"/>
    </xf>
    <xf numFmtId="0" fontId="15" fillId="0" borderId="15" xfId="0" applyFont="1" applyBorder="1" applyAlignment="1">
      <alignment horizontal="left" indent="1"/>
    </xf>
    <xf numFmtId="0" fontId="15" fillId="0" borderId="41" xfId="0" applyFont="1" applyBorder="1" applyAlignment="1">
      <alignment horizontal="center"/>
    </xf>
    <xf numFmtId="0" fontId="6" fillId="0" borderId="45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4" fontId="6" fillId="0" borderId="125" xfId="0" applyNumberFormat="1" applyFont="1" applyBorder="1"/>
    <xf numFmtId="174" fontId="6" fillId="0" borderId="74" xfId="0" applyNumberFormat="1" applyFont="1" applyBorder="1"/>
    <xf numFmtId="180" fontId="6" fillId="0" borderId="74" xfId="0" applyNumberFormat="1" applyFont="1" applyBorder="1"/>
    <xf numFmtId="4" fontId="6" fillId="0" borderId="74" xfId="0" applyNumberFormat="1" applyFont="1" applyBorder="1"/>
    <xf numFmtId="39" fontId="6" fillId="0" borderId="125" xfId="0" applyNumberFormat="1" applyFont="1" applyBorder="1"/>
    <xf numFmtId="17" fontId="100" fillId="0" borderId="2" xfId="0" applyNumberFormat="1" applyFont="1" applyBorder="1"/>
    <xf numFmtId="17" fontId="100" fillId="0" borderId="27" xfId="0" applyNumberFormat="1" applyFont="1" applyBorder="1"/>
    <xf numFmtId="4" fontId="6" fillId="0" borderId="107" xfId="0" applyNumberFormat="1" applyFont="1" applyBorder="1"/>
    <xf numFmtId="39" fontId="6" fillId="0" borderId="74" xfId="0" applyNumberFormat="1" applyFont="1" applyBorder="1"/>
    <xf numFmtId="4" fontId="6" fillId="0" borderId="149" xfId="0" applyNumberFormat="1" applyFont="1" applyBorder="1"/>
    <xf numFmtId="174" fontId="6" fillId="0" borderId="149" xfId="0" applyNumberFormat="1" applyFont="1" applyBorder="1"/>
    <xf numFmtId="180" fontId="6" fillId="0" borderId="149" xfId="0" applyNumberFormat="1" applyFont="1" applyBorder="1"/>
    <xf numFmtId="4" fontId="6" fillId="0" borderId="91" xfId="0" applyNumberFormat="1" applyFont="1" applyBorder="1"/>
    <xf numFmtId="39" fontId="6" fillId="0" borderId="149" xfId="0" applyNumberFormat="1" applyFont="1" applyBorder="1"/>
    <xf numFmtId="0" fontId="6" fillId="0" borderId="87" xfId="0" applyFont="1" applyBorder="1"/>
    <xf numFmtId="10" fontId="6" fillId="0" borderId="149" xfId="0" applyNumberFormat="1" applyFont="1" applyBorder="1"/>
    <xf numFmtId="17" fontId="66" fillId="0" borderId="2" xfId="0" applyNumberFormat="1" applyFont="1" applyBorder="1"/>
    <xf numFmtId="17" fontId="66" fillId="0" borderId="27" xfId="0" applyNumberFormat="1" applyFont="1" applyBorder="1"/>
    <xf numFmtId="0" fontId="6" fillId="0" borderId="121" xfId="0" applyFont="1" applyBorder="1" applyAlignment="1">
      <alignment horizontal="left" indent="1"/>
    </xf>
    <xf numFmtId="0" fontId="6" fillId="0" borderId="123" xfId="0" applyFont="1" applyBorder="1"/>
    <xf numFmtId="4" fontId="6" fillId="0" borderId="131" xfId="0" applyNumberFormat="1" applyFont="1" applyBorder="1"/>
    <xf numFmtId="174" fontId="6" fillId="0" borderId="131" xfId="0" applyNumberFormat="1" applyFont="1" applyBorder="1"/>
    <xf numFmtId="10" fontId="6" fillId="0" borderId="131" xfId="0" applyNumberFormat="1" applyFont="1" applyBorder="1"/>
    <xf numFmtId="39" fontId="6" fillId="0" borderId="131" xfId="0" applyNumberFormat="1" applyFont="1" applyBorder="1"/>
    <xf numFmtId="17" fontId="66" fillId="0" borderId="45" xfId="0" applyNumberFormat="1" applyFont="1" applyBorder="1"/>
    <xf numFmtId="17" fontId="66" fillId="0" borderId="57" xfId="0" applyNumberFormat="1" applyFont="1" applyBorder="1"/>
    <xf numFmtId="4" fontId="6" fillId="0" borderId="54" xfId="0" applyNumberFormat="1" applyFont="1" applyBorder="1" applyAlignment="1">
      <alignment horizontal="centerContinuous"/>
    </xf>
    <xf numFmtId="0" fontId="6" fillId="0" borderId="45" xfId="0" applyFont="1" applyBorder="1"/>
    <xf numFmtId="4" fontId="6" fillId="0" borderId="45" xfId="0" applyNumberFormat="1" applyFont="1" applyBorder="1" applyAlignment="1">
      <alignment horizontal="centerContinuous"/>
    </xf>
    <xf numFmtId="4" fontId="6" fillId="0" borderId="45" xfId="0" applyNumberFormat="1" applyFont="1" applyBorder="1"/>
    <xf numFmtId="4" fontId="6" fillId="0" borderId="57" xfId="0" applyNumberFormat="1" applyFont="1" applyBorder="1"/>
    <xf numFmtId="4" fontId="6" fillId="0" borderId="54" xfId="0" applyNumberFormat="1" applyFont="1" applyBorder="1"/>
    <xf numFmtId="39" fontId="6" fillId="0" borderId="2" xfId="0" applyNumberFormat="1" applyFont="1" applyBorder="1"/>
    <xf numFmtId="0" fontId="15" fillId="0" borderId="36" xfId="0" applyFont="1" applyBorder="1"/>
    <xf numFmtId="0" fontId="6" fillId="0" borderId="14" xfId="0" applyFont="1" applyBorder="1"/>
    <xf numFmtId="39" fontId="6" fillId="0" borderId="51" xfId="0" applyNumberFormat="1" applyFont="1" applyBorder="1"/>
    <xf numFmtId="0" fontId="15" fillId="0" borderId="97" xfId="0" applyFont="1" applyBorder="1"/>
    <xf numFmtId="0" fontId="6" fillId="0" borderId="93" xfId="0" applyFont="1" applyBorder="1"/>
    <xf numFmtId="39" fontId="6" fillId="0" borderId="75" xfId="0" applyNumberFormat="1" applyFont="1" applyBorder="1"/>
    <xf numFmtId="0" fontId="10" fillId="0" borderId="54" xfId="0" applyFont="1" applyBorder="1"/>
    <xf numFmtId="0" fontId="2" fillId="0" borderId="15" xfId="0" applyFont="1" applyBorder="1"/>
    <xf numFmtId="39" fontId="13" fillId="0" borderId="57" xfId="0" applyNumberFormat="1" applyFont="1" applyBorder="1"/>
    <xf numFmtId="4" fontId="6" fillId="0" borderId="95" xfId="0" applyNumberFormat="1" applyFont="1" applyBorder="1"/>
    <xf numFmtId="4" fontId="6" fillId="0" borderId="137" xfId="0" applyNumberFormat="1" applyFont="1" applyBorder="1"/>
    <xf numFmtId="49" fontId="6" fillId="0" borderId="121" xfId="44" applyNumberFormat="1" applyFont="1" applyBorder="1"/>
    <xf numFmtId="0" fontId="6" fillId="0" borderId="121" xfId="0" applyFont="1" applyBorder="1" applyAlignment="1">
      <alignment horizontal="center"/>
    </xf>
    <xf numFmtId="205" fontId="6" fillId="0" borderId="132" xfId="0" applyNumberFormat="1" applyFont="1" applyBorder="1" applyAlignment="1">
      <alignment horizontal="center"/>
    </xf>
    <xf numFmtId="205" fontId="6" fillId="0" borderId="124" xfId="0" applyNumberFormat="1" applyFont="1" applyBorder="1" applyAlignment="1">
      <alignment horizontal="center"/>
    </xf>
    <xf numFmtId="4" fontId="6" fillId="0" borderId="132" xfId="43" applyNumberFormat="1" applyFont="1" applyBorder="1" applyProtection="1">
      <alignment vertical="center"/>
      <protection locked="0"/>
    </xf>
    <xf numFmtId="4" fontId="6" fillId="0" borderId="134" xfId="0" applyNumberFormat="1" applyFont="1" applyBorder="1" applyAlignment="1">
      <alignment horizontal="right"/>
    </xf>
    <xf numFmtId="4" fontId="6" fillId="0" borderId="132" xfId="0" applyNumberFormat="1" applyFont="1" applyBorder="1" applyAlignment="1">
      <alignment horizontal="right"/>
    </xf>
    <xf numFmtId="4" fontId="6" fillId="0" borderId="134" xfId="0" applyNumberFormat="1" applyFont="1" applyBorder="1"/>
    <xf numFmtId="2" fontId="6" fillId="0" borderId="131" xfId="0" applyNumberFormat="1" applyFont="1" applyBorder="1"/>
    <xf numFmtId="2" fontId="6" fillId="0" borderId="121" xfId="0" applyNumberFormat="1" applyFont="1" applyBorder="1"/>
    <xf numFmtId="2" fontId="6" fillId="0" borderId="134" xfId="0" applyNumberFormat="1" applyFont="1" applyBorder="1"/>
    <xf numFmtId="4" fontId="6" fillId="0" borderId="132" xfId="0" applyNumberFormat="1" applyFont="1" applyBorder="1"/>
    <xf numFmtId="4" fontId="6" fillId="0" borderId="139" xfId="0" applyNumberFormat="1" applyFont="1" applyBorder="1"/>
    <xf numFmtId="4" fontId="6" fillId="0" borderId="110" xfId="0" applyNumberFormat="1" applyFont="1" applyBorder="1"/>
    <xf numFmtId="4" fontId="15" fillId="0" borderId="57" xfId="0" applyNumberFormat="1" applyFont="1" applyBorder="1" applyAlignment="1">
      <alignment horizontal="right"/>
    </xf>
    <xf numFmtId="4" fontId="96" fillId="0" borderId="11" xfId="0" applyNumberFormat="1" applyFont="1" applyBorder="1"/>
    <xf numFmtId="182" fontId="6" fillId="0" borderId="0" xfId="0" applyNumberFormat="1" applyFont="1"/>
    <xf numFmtId="201" fontId="6" fillId="0" borderId="93" xfId="0" applyNumberFormat="1" applyFont="1" applyBorder="1" applyAlignment="1">
      <alignment horizontal="left"/>
    </xf>
    <xf numFmtId="17" fontId="6" fillId="0" borderId="0" xfId="0" applyNumberFormat="1" applyFont="1"/>
    <xf numFmtId="10" fontId="6" fillId="0" borderId="74" xfId="0" applyNumberFormat="1" applyFont="1" applyBorder="1"/>
    <xf numFmtId="205" fontId="6" fillId="0" borderId="91" xfId="0" applyNumberFormat="1" applyFont="1" applyBorder="1" applyAlignment="1">
      <alignment horizontal="center"/>
    </xf>
    <xf numFmtId="4" fontId="73" fillId="0" borderId="118" xfId="0" applyNumberFormat="1" applyFont="1" applyBorder="1"/>
    <xf numFmtId="0" fontId="15" fillId="0" borderId="56" xfId="0" applyFont="1" applyBorder="1"/>
    <xf numFmtId="4" fontId="6" fillId="0" borderId="51" xfId="0" applyNumberFormat="1" applyFont="1" applyBorder="1"/>
    <xf numFmtId="4" fontId="6" fillId="0" borderId="128" xfId="0" applyNumberFormat="1" applyFont="1" applyBorder="1"/>
    <xf numFmtId="17" fontId="66" fillId="0" borderId="54" xfId="0" applyNumberFormat="1" applyFont="1" applyBorder="1"/>
    <xf numFmtId="4" fontId="13" fillId="0" borderId="11" xfId="0" applyNumberFormat="1" applyFont="1" applyBorder="1"/>
    <xf numFmtId="0" fontId="6" fillId="0" borderId="54" xfId="0" applyFont="1" applyBorder="1" applyAlignment="1">
      <alignment horizontal="center"/>
    </xf>
    <xf numFmtId="201" fontId="6" fillId="0" borderId="124" xfId="0" applyNumberFormat="1" applyFont="1" applyBorder="1" applyAlignment="1">
      <alignment horizontal="left"/>
    </xf>
    <xf numFmtId="4" fontId="33" fillId="0" borderId="112" xfId="0" applyNumberFormat="1" applyFont="1" applyBorder="1"/>
    <xf numFmtId="4" fontId="33" fillId="0" borderId="140" xfId="0" applyNumberFormat="1" applyFont="1" applyBorder="1"/>
    <xf numFmtId="39" fontId="6" fillId="0" borderId="37" xfId="0" applyNumberFormat="1" applyFont="1" applyBorder="1"/>
    <xf numFmtId="17" fontId="100" fillId="0" borderId="7" xfId="0" applyNumberFormat="1" applyFont="1" applyBorder="1"/>
    <xf numFmtId="201" fontId="6" fillId="0" borderId="123" xfId="0" applyNumberFormat="1" applyFont="1" applyBorder="1" applyAlignment="1">
      <alignment horizontal="left"/>
    </xf>
    <xf numFmtId="180" fontId="6" fillId="0" borderId="131" xfId="0" applyNumberFormat="1" applyFont="1" applyBorder="1"/>
    <xf numFmtId="17" fontId="100" fillId="0" borderId="54" xfId="0" applyNumberFormat="1" applyFont="1" applyBorder="1"/>
    <xf numFmtId="17" fontId="100" fillId="0" borderId="45" xfId="0" applyNumberFormat="1" applyFont="1" applyBorder="1"/>
    <xf numFmtId="4" fontId="6" fillId="0" borderId="14" xfId="0" applyNumberFormat="1" applyFont="1" applyBorder="1"/>
    <xf numFmtId="4" fontId="6" fillId="0" borderId="0" xfId="54" applyNumberFormat="1" applyFont="1" applyFill="1" applyBorder="1"/>
    <xf numFmtId="10" fontId="6" fillId="0" borderId="0" xfId="54" applyNumberFormat="1" applyFont="1"/>
    <xf numFmtId="0" fontId="6" fillId="0" borderId="3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36" xfId="0" applyFont="1" applyBorder="1" applyAlignment="1">
      <alignment horizontal="left" indent="1"/>
    </xf>
    <xf numFmtId="49" fontId="6" fillId="0" borderId="37" xfId="0" applyNumberFormat="1" applyFont="1" applyBorder="1" applyAlignment="1">
      <alignment horizontal="center"/>
    </xf>
    <xf numFmtId="4" fontId="15" fillId="0" borderId="37" xfId="0" applyNumberFormat="1" applyFont="1" applyBorder="1"/>
    <xf numFmtId="0" fontId="6" fillId="0" borderId="74" xfId="0" applyFont="1" applyBorder="1" applyAlignment="1">
      <alignment horizontal="center"/>
    </xf>
    <xf numFmtId="49" fontId="6" fillId="0" borderId="74" xfId="0" applyNumberFormat="1" applyFont="1" applyBorder="1" applyAlignment="1">
      <alignment horizontal="center"/>
    </xf>
    <xf numFmtId="4" fontId="15" fillId="0" borderId="74" xfId="0" applyNumberFormat="1" applyFont="1" applyBorder="1"/>
    <xf numFmtId="0" fontId="6" fillId="0" borderId="45" xfId="0" applyFont="1" applyBorder="1" applyAlignment="1">
      <alignment horizontal="center"/>
    </xf>
    <xf numFmtId="0" fontId="6" fillId="0" borderId="7" xfId="0" applyFont="1" applyBorder="1" applyAlignment="1">
      <alignment horizontal="left" indent="1"/>
    </xf>
    <xf numFmtId="49" fontId="6" fillId="0" borderId="45" xfId="0" applyNumberFormat="1" applyFont="1" applyBorder="1" applyAlignment="1">
      <alignment horizontal="center"/>
    </xf>
    <xf numFmtId="4" fontId="15" fillId="0" borderId="45" xfId="0" applyNumberFormat="1" applyFont="1" applyBorder="1"/>
    <xf numFmtId="4" fontId="15" fillId="0" borderId="141" xfId="0" applyNumberFormat="1" applyFont="1" applyBorder="1"/>
    <xf numFmtId="4" fontId="15" fillId="0" borderId="131" xfId="0" applyNumberFormat="1" applyFont="1" applyBorder="1"/>
    <xf numFmtId="0" fontId="15" fillId="0" borderId="56" xfId="0" applyFont="1" applyBorder="1" applyAlignment="1">
      <alignment horizontal="right" indent="1"/>
    </xf>
    <xf numFmtId="0" fontId="96" fillId="0" borderId="0" xfId="0" applyFont="1"/>
    <xf numFmtId="4" fontId="2" fillId="0" borderId="0" xfId="0" applyNumberFormat="1" applyFont="1"/>
    <xf numFmtId="0" fontId="15" fillId="0" borderId="56" xfId="0" applyFont="1" applyBorder="1" applyAlignment="1">
      <alignment horizontal="left" indent="1"/>
    </xf>
    <xf numFmtId="0" fontId="15" fillId="0" borderId="41" xfId="0" applyFont="1" applyBorder="1" applyAlignment="1">
      <alignment horizontal="left" indent="1"/>
    </xf>
    <xf numFmtId="0" fontId="15" fillId="0" borderId="54" xfId="0" applyFont="1" applyBorder="1" applyAlignment="1">
      <alignment horizontal="left" indent="1"/>
    </xf>
    <xf numFmtId="0" fontId="15" fillId="0" borderId="10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left" indent="1"/>
    </xf>
    <xf numFmtId="0" fontId="6" fillId="0" borderId="57" xfId="0" applyFont="1" applyBorder="1"/>
    <xf numFmtId="4" fontId="42" fillId="0" borderId="0" xfId="0" applyNumberFormat="1" applyFont="1"/>
    <xf numFmtId="4" fontId="2" fillId="2" borderId="151" xfId="38" applyNumberFormat="1" applyFill="1" applyBorder="1"/>
    <xf numFmtId="4" fontId="2" fillId="0" borderId="75" xfId="38" applyNumberFormat="1" applyBorder="1"/>
    <xf numFmtId="4" fontId="2" fillId="2" borderId="152" xfId="38" applyNumberFormat="1" applyFill="1" applyBorder="1"/>
    <xf numFmtId="4" fontId="6" fillId="0" borderId="7" xfId="0" applyNumberFormat="1" applyFont="1" applyBorder="1"/>
    <xf numFmtId="4" fontId="101" fillId="0" borderId="141" xfId="0" applyNumberFormat="1" applyFont="1" applyBorder="1"/>
    <xf numFmtId="4" fontId="6" fillId="0" borderId="56" xfId="0" applyNumberFormat="1" applyFont="1" applyBorder="1"/>
    <xf numFmtId="0" fontId="96" fillId="0" borderId="54" xfId="0" applyFont="1" applyBorder="1" applyAlignment="1">
      <alignment horizontal="center" vertical="center" wrapText="1"/>
    </xf>
    <xf numFmtId="0" fontId="96" fillId="0" borderId="139" xfId="0" applyFont="1" applyBorder="1" applyAlignment="1">
      <alignment horizontal="center" vertical="center" wrapText="1"/>
    </xf>
    <xf numFmtId="0" fontId="96" fillId="0" borderId="140" xfId="0" applyFont="1" applyBorder="1" applyAlignment="1">
      <alignment horizontal="center" vertical="center" wrapText="1"/>
    </xf>
    <xf numFmtId="0" fontId="97" fillId="0" borderId="36" xfId="0" applyFont="1" applyBorder="1"/>
    <xf numFmtId="0" fontId="97" fillId="0" borderId="135" xfId="0" applyFont="1" applyBorder="1"/>
    <xf numFmtId="0" fontId="97" fillId="0" borderId="141" xfId="0" applyFont="1" applyBorder="1"/>
    <xf numFmtId="0" fontId="97" fillId="0" borderId="7" xfId="0" applyFont="1" applyBorder="1"/>
    <xf numFmtId="0" fontId="97" fillId="0" borderId="92" xfId="0" applyFont="1" applyBorder="1"/>
    <xf numFmtId="4" fontId="97" fillId="0" borderId="92" xfId="0" applyNumberFormat="1" applyFont="1" applyBorder="1"/>
    <xf numFmtId="4" fontId="97" fillId="0" borderId="141" xfId="0" applyNumberFormat="1" applyFont="1" applyBorder="1"/>
    <xf numFmtId="4" fontId="97" fillId="0" borderId="0" xfId="0" applyNumberFormat="1" applyFont="1"/>
    <xf numFmtId="4" fontId="97" fillId="0" borderId="97" xfId="0" applyNumberFormat="1" applyFont="1" applyBorder="1"/>
    <xf numFmtId="4" fontId="97" fillId="0" borderId="137" xfId="0" applyNumberFormat="1" applyFont="1" applyBorder="1"/>
    <xf numFmtId="4" fontId="97" fillId="0" borderId="95" xfId="0" applyNumberFormat="1" applyFont="1" applyBorder="1"/>
    <xf numFmtId="0" fontId="97" fillId="0" borderId="54" xfId="0" applyFont="1" applyBorder="1"/>
    <xf numFmtId="4" fontId="97" fillId="0" borderId="139" xfId="0" applyNumberFormat="1" applyFont="1" applyBorder="1"/>
    <xf numFmtId="4" fontId="97" fillId="0" borderId="110" xfId="0" applyNumberFormat="1" applyFont="1" applyBorder="1"/>
    <xf numFmtId="4" fontId="101" fillId="0" borderId="130" xfId="0" applyNumberFormat="1" applyFont="1" applyBorder="1"/>
    <xf numFmtId="4" fontId="101" fillId="0" borderId="75" xfId="0" applyNumberFormat="1" applyFont="1" applyBorder="1"/>
    <xf numFmtId="4" fontId="52" fillId="0" borderId="0" xfId="0" applyNumberFormat="1" applyFont="1"/>
    <xf numFmtId="0" fontId="22" fillId="0" borderId="0" xfId="28" applyFont="1" applyAlignment="1">
      <alignment horizontal="centerContinuous"/>
    </xf>
    <xf numFmtId="0" fontId="6" fillId="0" borderId="0" xfId="28" applyFont="1" applyAlignment="1">
      <alignment horizontal="centerContinuous"/>
    </xf>
    <xf numFmtId="0" fontId="73" fillId="0" borderId="0" xfId="28" applyFont="1" applyAlignment="1">
      <alignment horizontal="centerContinuous"/>
    </xf>
    <xf numFmtId="0" fontId="15" fillId="0" borderId="0" xfId="28" quotePrefix="1" applyFont="1"/>
    <xf numFmtId="0" fontId="96" fillId="0" borderId="113" xfId="0" applyFont="1" applyBorder="1" applyAlignment="1">
      <alignment horizontal="center" vertical="center" wrapText="1"/>
    </xf>
    <xf numFmtId="0" fontId="96" fillId="0" borderId="11" xfId="0" applyFont="1" applyBorder="1" applyAlignment="1">
      <alignment horizontal="center" vertical="center" wrapText="1"/>
    </xf>
    <xf numFmtId="0" fontId="97" fillId="0" borderId="83" xfId="0" applyFont="1" applyBorder="1"/>
    <xf numFmtId="0" fontId="97" fillId="0" borderId="27" xfId="0" applyFont="1" applyBorder="1"/>
    <xf numFmtId="0" fontId="97" fillId="0" borderId="84" xfId="0" applyFont="1" applyBorder="1"/>
    <xf numFmtId="4" fontId="97" fillId="0" borderId="84" xfId="0" applyNumberFormat="1" applyFont="1" applyBorder="1"/>
    <xf numFmtId="4" fontId="97" fillId="0" borderId="27" xfId="0" applyNumberFormat="1" applyFont="1" applyBorder="1"/>
    <xf numFmtId="4" fontId="97" fillId="0" borderId="7" xfId="0" applyNumberFormat="1" applyFont="1" applyBorder="1" applyAlignment="1">
      <alignment horizontal="right"/>
    </xf>
    <xf numFmtId="4" fontId="97" fillId="0" borderId="92" xfId="0" applyNumberFormat="1" applyFont="1" applyBorder="1" applyAlignment="1">
      <alignment horizontal="right"/>
    </xf>
    <xf numFmtId="4" fontId="97" fillId="0" borderId="141" xfId="0" applyNumberFormat="1" applyFont="1" applyBorder="1" applyAlignment="1">
      <alignment horizontal="right"/>
    </xf>
    <xf numFmtId="4" fontId="97" fillId="0" borderId="89" xfId="0" applyNumberFormat="1" applyFont="1" applyBorder="1"/>
    <xf numFmtId="4" fontId="97" fillId="0" borderId="57" xfId="0" applyNumberFormat="1" applyFont="1" applyBorder="1"/>
    <xf numFmtId="4" fontId="97" fillId="0" borderId="56" xfId="0" applyNumberFormat="1" applyFont="1" applyBorder="1"/>
    <xf numFmtId="4" fontId="97" fillId="0" borderId="10" xfId="0" applyNumberFormat="1" applyFont="1" applyBorder="1"/>
    <xf numFmtId="4" fontId="97" fillId="0" borderId="11" xfId="0" applyNumberFormat="1" applyFont="1" applyBorder="1"/>
    <xf numFmtId="4" fontId="102" fillId="0" borderId="75" xfId="0" applyNumberFormat="1" applyFont="1" applyBorder="1"/>
    <xf numFmtId="0" fontId="2" fillId="0" borderId="0" xfId="0" applyFont="1" applyAlignment="1">
      <alignment horizontal="left" indent="1"/>
    </xf>
    <xf numFmtId="207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208" fontId="2" fillId="0" borderId="0" xfId="0" applyNumberFormat="1" applyFont="1"/>
    <xf numFmtId="14" fontId="2" fillId="0" borderId="0" xfId="0" applyNumberFormat="1" applyFont="1" applyAlignment="1">
      <alignment horizontal="left" indent="1"/>
    </xf>
    <xf numFmtId="182" fontId="2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82" fontId="2" fillId="0" borderId="0" xfId="0" applyNumberFormat="1" applyFont="1"/>
    <xf numFmtId="0" fontId="2" fillId="0" borderId="0" xfId="0" applyFont="1" applyAlignment="1">
      <alignment horizontal="left" indent="4"/>
    </xf>
    <xf numFmtId="0" fontId="2" fillId="0" borderId="0" xfId="0" applyFont="1" applyAlignment="1">
      <alignment horizontal="left" indent="3"/>
    </xf>
    <xf numFmtId="207" fontId="10" fillId="0" borderId="0" xfId="0" applyNumberFormat="1" applyFont="1" applyAlignment="1">
      <alignment horizontal="left"/>
    </xf>
    <xf numFmtId="0" fontId="6" fillId="0" borderId="56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04" fillId="0" borderId="0" xfId="0" applyFont="1"/>
    <xf numFmtId="0" fontId="15" fillId="5" borderId="56" xfId="0" applyFont="1" applyFill="1" applyBorder="1" applyAlignment="1">
      <alignment horizontal="center"/>
    </xf>
    <xf numFmtId="0" fontId="15" fillId="5" borderId="11" xfId="0" applyFont="1" applyFill="1" applyBorder="1" applyAlignment="1">
      <alignment horizontal="center"/>
    </xf>
    <xf numFmtId="0" fontId="15" fillId="5" borderId="112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6" fillId="0" borderId="74" xfId="44" applyFont="1" applyBorder="1" applyAlignment="1">
      <alignment horizontal="left" indent="1"/>
    </xf>
    <xf numFmtId="4" fontId="6" fillId="0" borderId="122" xfId="0" applyNumberFormat="1" applyFont="1" applyBorder="1"/>
    <xf numFmtId="0" fontId="6" fillId="0" borderId="146" xfId="44" applyFont="1" applyBorder="1" applyAlignment="1">
      <alignment horizontal="left" indent="1"/>
    </xf>
    <xf numFmtId="49" fontId="6" fillId="0" borderId="0" xfId="0" applyNumberFormat="1" applyFont="1"/>
    <xf numFmtId="0" fontId="15" fillId="5" borderId="113" xfId="0" applyFont="1" applyFill="1" applyBorder="1" applyAlignment="1">
      <alignment horizontal="center"/>
    </xf>
    <xf numFmtId="0" fontId="15" fillId="5" borderId="41" xfId="0" applyFont="1" applyFill="1" applyBorder="1" applyAlignment="1">
      <alignment horizontal="center"/>
    </xf>
    <xf numFmtId="40" fontId="6" fillId="0" borderId="75" xfId="0" applyNumberFormat="1" applyFont="1" applyBorder="1"/>
    <xf numFmtId="39" fontId="6" fillId="0" borderId="41" xfId="0" applyNumberFormat="1" applyFont="1" applyBorder="1"/>
    <xf numFmtId="40" fontId="6" fillId="0" borderId="90" xfId="0" applyNumberFormat="1" applyFont="1" applyBorder="1"/>
    <xf numFmtId="40" fontId="15" fillId="0" borderId="124" xfId="0" applyNumberFormat="1" applyFont="1" applyBorder="1"/>
    <xf numFmtId="4" fontId="6" fillId="0" borderId="74" xfId="45" applyNumberFormat="1" applyFont="1" applyBorder="1" applyAlignment="1">
      <alignment horizontal="left" vertical="center" indent="1"/>
    </xf>
    <xf numFmtId="0" fontId="6" fillId="0" borderId="146" xfId="44" applyFont="1" applyBorder="1"/>
    <xf numFmtId="0" fontId="96" fillId="0" borderId="15" xfId="0" applyFont="1" applyBorder="1" applyAlignment="1">
      <alignment horizontal="right"/>
    </xf>
    <xf numFmtId="0" fontId="96" fillId="0" borderId="15" xfId="0" applyFont="1" applyBorder="1"/>
    <xf numFmtId="0" fontId="6" fillId="0" borderId="149" xfId="44" applyFont="1" applyBorder="1" applyAlignment="1">
      <alignment horizontal="left" indent="1"/>
    </xf>
    <xf numFmtId="0" fontId="6" fillId="0" borderId="131" xfId="44" applyFont="1" applyBorder="1" applyAlignment="1">
      <alignment horizontal="left" indent="1"/>
    </xf>
    <xf numFmtId="4" fontId="10" fillId="0" borderId="112" xfId="0" applyNumberFormat="1" applyFont="1" applyBorder="1"/>
    <xf numFmtId="4" fontId="15" fillId="0" borderId="54" xfId="0" applyNumberFormat="1" applyFont="1" applyBorder="1" applyAlignment="1">
      <alignment horizontal="center" vertical="center" wrapText="1"/>
    </xf>
    <xf numFmtId="4" fontId="6" fillId="0" borderId="36" xfId="0" applyNumberFormat="1" applyFont="1" applyBorder="1"/>
    <xf numFmtId="4" fontId="6" fillId="0" borderId="74" xfId="45" applyNumberFormat="1" applyFont="1" applyBorder="1"/>
    <xf numFmtId="4" fontId="6" fillId="0" borderId="74" xfId="45" applyNumberFormat="1" applyFont="1" applyBorder="1" applyAlignment="1">
      <alignment horizontal="center" vertical="center"/>
    </xf>
    <xf numFmtId="0" fontId="97" fillId="0" borderId="111" xfId="0" applyFont="1" applyBorder="1"/>
    <xf numFmtId="4" fontId="96" fillId="0" borderId="14" xfId="0" applyNumberFormat="1" applyFont="1" applyBorder="1"/>
    <xf numFmtId="4" fontId="96" fillId="0" borderId="0" xfId="0" applyNumberFormat="1" applyFont="1"/>
    <xf numFmtId="4" fontId="6" fillId="0" borderId="57" xfId="0" applyNumberFormat="1" applyFont="1" applyBorder="1" applyAlignment="1">
      <alignment horizontal="center"/>
    </xf>
    <xf numFmtId="4" fontId="66" fillId="0" borderId="57" xfId="0" applyNumberFormat="1" applyFont="1" applyBorder="1"/>
    <xf numFmtId="4" fontId="6" fillId="0" borderId="153" xfId="0" applyNumberFormat="1" applyFont="1" applyBorder="1"/>
    <xf numFmtId="4" fontId="6" fillId="0" borderId="154" xfId="0" applyNumberFormat="1" applyFont="1" applyBorder="1"/>
    <xf numFmtId="0" fontId="99" fillId="0" borderId="0" xfId="0" applyFont="1"/>
    <xf numFmtId="4" fontId="6" fillId="0" borderId="74" xfId="45" applyNumberFormat="1" applyFont="1" applyBorder="1" applyAlignment="1">
      <alignment horizontal="left" indent="1"/>
    </xf>
    <xf numFmtId="2" fontId="6" fillId="0" borderId="149" xfId="0" applyNumberFormat="1" applyFont="1" applyBorder="1"/>
    <xf numFmtId="4" fontId="6" fillId="0" borderId="138" xfId="43" applyNumberFormat="1" applyFont="1" applyBorder="1" applyProtection="1">
      <alignment vertical="center"/>
      <protection locked="0"/>
    </xf>
    <xf numFmtId="40" fontId="66" fillId="0" borderId="0" xfId="0" applyNumberFormat="1" applyFont="1"/>
    <xf numFmtId="4" fontId="6" fillId="0" borderId="56" xfId="0" applyNumberFormat="1" applyFont="1" applyBorder="1" applyAlignment="1">
      <alignment horizontal="center"/>
    </xf>
    <xf numFmtId="4" fontId="6" fillId="0" borderId="10" xfId="0" applyNumberFormat="1" applyFont="1" applyBorder="1" applyAlignment="1">
      <alignment horizontal="center"/>
    </xf>
    <xf numFmtId="0" fontId="101" fillId="0" borderId="0" xfId="0" applyFont="1"/>
    <xf numFmtId="4" fontId="101" fillId="0" borderId="0" xfId="0" applyNumberFormat="1" applyFont="1"/>
    <xf numFmtId="4" fontId="92" fillId="0" borderId="0" xfId="0" applyNumberFormat="1" applyFont="1"/>
    <xf numFmtId="0" fontId="97" fillId="0" borderId="56" xfId="0" applyFont="1" applyBorder="1"/>
    <xf numFmtId="0" fontId="97" fillId="0" borderId="41" xfId="0" applyFont="1" applyBorder="1"/>
    <xf numFmtId="4" fontId="92" fillId="0" borderId="10" xfId="0" applyNumberFormat="1" applyFont="1" applyBorder="1"/>
    <xf numFmtId="2" fontId="6" fillId="0" borderId="56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4" fontId="97" fillId="0" borderId="54" xfId="0" applyNumberFormat="1" applyFont="1" applyBorder="1"/>
    <xf numFmtId="2" fontId="97" fillId="0" borderId="56" xfId="0" applyNumberFormat="1" applyFont="1" applyBorder="1" applyAlignment="1">
      <alignment horizontal="center"/>
    </xf>
    <xf numFmtId="4" fontId="101" fillId="0" borderId="96" xfId="0" applyNumberFormat="1" applyFont="1" applyBorder="1" applyAlignment="1">
      <alignment horizontal="right"/>
    </xf>
    <xf numFmtId="4" fontId="105" fillId="0" borderId="0" xfId="0" applyNumberFormat="1" applyFont="1"/>
    <xf numFmtId="2" fontId="101" fillId="0" borderId="10" xfId="0" applyNumberFormat="1" applyFont="1" applyBorder="1" applyAlignment="1">
      <alignment horizontal="center"/>
    </xf>
    <xf numFmtId="4" fontId="6" fillId="0" borderId="41" xfId="0" applyNumberFormat="1" applyFont="1" applyBorder="1"/>
    <xf numFmtId="4" fontId="6" fillId="6" borderId="36" xfId="0" applyNumberFormat="1" applyFont="1" applyFill="1" applyBorder="1"/>
    <xf numFmtId="4" fontId="6" fillId="6" borderId="37" xfId="0" applyNumberFormat="1" applyFont="1" applyFill="1" applyBorder="1"/>
    <xf numFmtId="4" fontId="6" fillId="6" borderId="7" xfId="0" applyNumberFormat="1" applyFont="1" applyFill="1" applyBorder="1"/>
    <xf numFmtId="4" fontId="6" fillId="6" borderId="2" xfId="0" applyNumberFormat="1" applyFont="1" applyFill="1" applyBorder="1"/>
    <xf numFmtId="4" fontId="6" fillId="6" borderId="54" xfId="0" applyNumberFormat="1" applyFont="1" applyFill="1" applyBorder="1"/>
    <xf numFmtId="4" fontId="6" fillId="6" borderId="45" xfId="0" applyNumberFormat="1" applyFont="1" applyFill="1" applyBorder="1"/>
    <xf numFmtId="4" fontId="97" fillId="0" borderId="56" xfId="0" applyNumberFormat="1" applyFont="1" applyBorder="1" applyAlignment="1">
      <alignment horizontal="center"/>
    </xf>
    <xf numFmtId="4" fontId="97" fillId="0" borderId="7" xfId="0" applyNumberFormat="1" applyFont="1" applyBorder="1"/>
    <xf numFmtId="210" fontId="6" fillId="0" borderId="0" xfId="0" applyNumberFormat="1" applyFont="1"/>
    <xf numFmtId="211" fontId="6" fillId="0" borderId="0" xfId="0" applyNumberFormat="1" applyFont="1"/>
    <xf numFmtId="4" fontId="97" fillId="0" borderId="84" xfId="0" applyNumberFormat="1" applyFont="1" applyBorder="1" applyAlignment="1">
      <alignment horizontal="right"/>
    </xf>
    <xf numFmtId="4" fontId="101" fillId="0" borderId="137" xfId="0" applyNumberFormat="1" applyFont="1" applyBorder="1"/>
    <xf numFmtId="189" fontId="52" fillId="0" borderId="0" xfId="0" applyNumberFormat="1" applyFont="1"/>
    <xf numFmtId="4" fontId="97" fillId="0" borderId="56" xfId="0" applyNumberFormat="1" applyFont="1" applyBorder="1" applyAlignment="1">
      <alignment horizontal="right"/>
    </xf>
    <xf numFmtId="4" fontId="97" fillId="0" borderId="10" xfId="0" applyNumberFormat="1" applyFont="1" applyBorder="1" applyAlignment="1">
      <alignment horizontal="right"/>
    </xf>
    <xf numFmtId="4" fontId="97" fillId="0" borderId="11" xfId="0" applyNumberFormat="1" applyFont="1" applyBorder="1" applyAlignment="1">
      <alignment horizontal="right"/>
    </xf>
    <xf numFmtId="0" fontId="19" fillId="0" borderId="0" xfId="0" applyFont="1"/>
    <xf numFmtId="193" fontId="106" fillId="0" borderId="87" xfId="0" applyNumberFormat="1" applyFont="1" applyBorder="1" applyAlignment="1">
      <alignment horizontal="center"/>
    </xf>
    <xf numFmtId="4" fontId="107" fillId="0" borderId="11" xfId="0" applyNumberFormat="1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22" fillId="0" borderId="0" xfId="28" applyFont="1"/>
    <xf numFmtId="0" fontId="2" fillId="0" borderId="0" xfId="0" applyFont="1" applyAlignment="1">
      <alignment vertical="center"/>
    </xf>
    <xf numFmtId="0" fontId="97" fillId="0" borderId="56" xfId="0" applyFont="1" applyBorder="1" applyAlignment="1">
      <alignment horizontal="center"/>
    </xf>
    <xf numFmtId="0" fontId="97" fillId="0" borderId="10" xfId="0" applyFont="1" applyBorder="1" applyAlignment="1">
      <alignment horizontal="center"/>
    </xf>
    <xf numFmtId="0" fontId="97" fillId="0" borderId="11" xfId="0" applyFont="1" applyBorder="1" applyAlignment="1">
      <alignment horizontal="center"/>
    </xf>
    <xf numFmtId="198" fontId="29" fillId="0" borderId="0" xfId="28" applyNumberFormat="1" applyFont="1"/>
    <xf numFmtId="198" fontId="10" fillId="0" borderId="0" xfId="28" applyNumberFormat="1" applyFont="1"/>
    <xf numFmtId="0" fontId="65" fillId="0" borderId="0" xfId="28" applyFont="1"/>
    <xf numFmtId="198" fontId="65" fillId="0" borderId="0" xfId="28" applyNumberFormat="1" applyFont="1"/>
    <xf numFmtId="4" fontId="97" fillId="0" borderId="27" xfId="0" applyNumberFormat="1" applyFont="1" applyBorder="1" applyAlignment="1">
      <alignment horizontal="right"/>
    </xf>
    <xf numFmtId="0" fontId="97" fillId="0" borderId="97" xfId="0" applyFont="1" applyBorder="1"/>
    <xf numFmtId="4" fontId="97" fillId="0" borderId="94" xfId="0" applyNumberFormat="1" applyFont="1" applyBorder="1"/>
    <xf numFmtId="4" fontId="97" fillId="0" borderId="75" xfId="0" applyNumberFormat="1" applyFont="1" applyBorder="1"/>
    <xf numFmtId="4" fontId="97" fillId="0" borderId="54" xfId="0" applyNumberFormat="1" applyFont="1" applyBorder="1" applyAlignment="1">
      <alignment horizontal="right"/>
    </xf>
    <xf numFmtId="4" fontId="97" fillId="0" borderId="89" xfId="0" applyNumberFormat="1" applyFont="1" applyBorder="1" applyAlignment="1">
      <alignment horizontal="right"/>
    </xf>
    <xf numFmtId="4" fontId="97" fillId="0" borderId="57" xfId="0" applyNumberFormat="1" applyFont="1" applyBorder="1" applyAlignment="1">
      <alignment horizontal="right"/>
    </xf>
    <xf numFmtId="0" fontId="96" fillId="0" borderId="112" xfId="0" applyFont="1" applyBorder="1" applyAlignment="1">
      <alignment horizontal="center" vertical="center" wrapText="1"/>
    </xf>
    <xf numFmtId="0" fontId="96" fillId="0" borderId="7" xfId="0" applyFont="1" applyBorder="1"/>
    <xf numFmtId="0" fontId="96" fillId="0" borderId="27" xfId="0" applyFont="1" applyBorder="1"/>
    <xf numFmtId="4" fontId="97" fillId="0" borderId="111" xfId="0" applyNumberFormat="1" applyFont="1" applyBorder="1"/>
    <xf numFmtId="0" fontId="97" fillId="0" borderId="2" xfId="0" applyFont="1" applyBorder="1"/>
    <xf numFmtId="205" fontId="97" fillId="0" borderId="141" xfId="0" applyNumberFormat="1" applyFont="1" applyBorder="1"/>
    <xf numFmtId="49" fontId="97" fillId="0" borderId="97" xfId="44" applyNumberFormat="1" applyFont="1" applyBorder="1"/>
    <xf numFmtId="0" fontId="97" fillId="0" borderId="93" xfId="44" applyFont="1" applyBorder="1"/>
    <xf numFmtId="0" fontId="97" fillId="0" borderId="97" xfId="0" applyFont="1" applyBorder="1" applyAlignment="1">
      <alignment horizontal="center"/>
    </xf>
    <xf numFmtId="205" fontId="97" fillId="0" borderId="130" xfId="0" applyNumberFormat="1" applyFont="1" applyBorder="1" applyAlignment="1">
      <alignment horizontal="center"/>
    </xf>
    <xf numFmtId="205" fontId="97" fillId="0" borderId="75" xfId="0" applyNumberFormat="1" applyFont="1" applyBorder="1" applyAlignment="1">
      <alignment horizontal="center"/>
    </xf>
    <xf numFmtId="4" fontId="97" fillId="0" borderId="130" xfId="43" applyNumberFormat="1" applyFont="1" applyBorder="1" applyProtection="1">
      <alignment vertical="center"/>
      <protection locked="0"/>
    </xf>
    <xf numFmtId="4" fontId="97" fillId="0" borderId="95" xfId="0" applyNumberFormat="1" applyFont="1" applyBorder="1" applyAlignment="1">
      <alignment horizontal="right"/>
    </xf>
    <xf numFmtId="4" fontId="97" fillId="0" borderId="96" xfId="0" applyNumberFormat="1" applyFont="1" applyBorder="1" applyAlignment="1">
      <alignment horizontal="right"/>
    </xf>
    <xf numFmtId="2" fontId="97" fillId="0" borderId="74" xfId="0" applyNumberFormat="1" applyFont="1" applyBorder="1"/>
    <xf numFmtId="2" fontId="97" fillId="0" borderId="97" xfId="0" applyNumberFormat="1" applyFont="1" applyBorder="1"/>
    <xf numFmtId="2" fontId="97" fillId="0" borderId="95" xfId="0" applyNumberFormat="1" applyFont="1" applyBorder="1"/>
    <xf numFmtId="4" fontId="97" fillId="0" borderId="130" xfId="0" applyNumberFormat="1" applyFont="1" applyBorder="1"/>
    <xf numFmtId="49" fontId="97" fillId="0" borderId="142" xfId="44" applyNumberFormat="1" applyFont="1" applyBorder="1"/>
    <xf numFmtId="0" fontId="97" fillId="0" borderId="100" xfId="44" applyFont="1" applyBorder="1"/>
    <xf numFmtId="0" fontId="97" fillId="0" borderId="142" xfId="0" applyFont="1" applyBorder="1" applyAlignment="1">
      <alignment horizontal="center"/>
    </xf>
    <xf numFmtId="205" fontId="97" fillId="0" borderId="142" xfId="0" applyNumberFormat="1" applyFont="1" applyBorder="1" applyAlignment="1">
      <alignment horizontal="center"/>
    </xf>
    <xf numFmtId="205" fontId="97" fillId="0" borderId="143" xfId="0" applyNumberFormat="1" applyFont="1" applyBorder="1" applyAlignment="1">
      <alignment horizontal="center"/>
    </xf>
    <xf numFmtId="4" fontId="97" fillId="0" borderId="144" xfId="0" applyNumberFormat="1" applyFont="1" applyBorder="1" applyAlignment="1">
      <alignment horizontal="right"/>
    </xf>
    <xf numFmtId="4" fontId="97" fillId="0" borderId="145" xfId="0" applyNumberFormat="1" applyFont="1" applyBorder="1" applyAlignment="1">
      <alignment horizontal="right"/>
    </xf>
    <xf numFmtId="4" fontId="97" fillId="0" borderId="145" xfId="0" applyNumberFormat="1" applyFont="1" applyBorder="1"/>
    <xf numFmtId="2" fontId="97" fillId="0" borderId="146" xfId="0" applyNumberFormat="1" applyFont="1" applyBorder="1"/>
    <xf numFmtId="2" fontId="97" fillId="0" borderId="142" xfId="0" applyNumberFormat="1" applyFont="1" applyBorder="1"/>
    <xf numFmtId="2" fontId="97" fillId="0" borderId="143" xfId="0" applyNumberFormat="1" applyFont="1" applyBorder="1"/>
    <xf numFmtId="4" fontId="97" fillId="0" borderId="144" xfId="0" applyNumberFormat="1" applyFont="1" applyBorder="1"/>
    <xf numFmtId="49" fontId="96" fillId="0" borderId="54" xfId="44" applyNumberFormat="1" applyFont="1" applyBorder="1"/>
    <xf numFmtId="0" fontId="96" fillId="0" borderId="57" xfId="44" applyFont="1" applyBorder="1"/>
    <xf numFmtId="0" fontId="96" fillId="0" borderId="54" xfId="0" applyFont="1" applyBorder="1"/>
    <xf numFmtId="0" fontId="96" fillId="0" borderId="57" xfId="0" applyFont="1" applyBorder="1"/>
    <xf numFmtId="4" fontId="96" fillId="0" borderId="54" xfId="0" applyNumberFormat="1" applyFont="1" applyBorder="1" applyAlignment="1">
      <alignment horizontal="right"/>
    </xf>
    <xf numFmtId="4" fontId="96" fillId="0" borderId="34" xfId="0" applyNumberFormat="1" applyFont="1" applyBorder="1" applyAlignment="1">
      <alignment horizontal="right"/>
    </xf>
    <xf numFmtId="0" fontId="96" fillId="0" borderId="45" xfId="0" applyFont="1" applyBorder="1"/>
    <xf numFmtId="4" fontId="96" fillId="0" borderId="109" xfId="0" applyNumberFormat="1" applyFont="1" applyBorder="1"/>
    <xf numFmtId="4" fontId="96" fillId="0" borderId="57" xfId="0" applyNumberFormat="1" applyFont="1" applyBorder="1"/>
    <xf numFmtId="0" fontId="52" fillId="0" borderId="0" xfId="28" applyFont="1"/>
    <xf numFmtId="0" fontId="107" fillId="0" borderId="0" xfId="28" applyFont="1"/>
    <xf numFmtId="198" fontId="109" fillId="0" borderId="0" xfId="28" applyNumberFormat="1" applyFont="1"/>
    <xf numFmtId="198" fontId="107" fillId="0" borderId="0" xfId="28" applyNumberFormat="1" applyFont="1"/>
    <xf numFmtId="0" fontId="14" fillId="0" borderId="0" xfId="48" applyFont="1"/>
    <xf numFmtId="4" fontId="6" fillId="4" borderId="75" xfId="0" applyNumberFormat="1" applyFont="1" applyFill="1" applyBorder="1"/>
    <xf numFmtId="4" fontId="97" fillId="0" borderId="121" xfId="0" applyNumberFormat="1" applyFont="1" applyBorder="1"/>
    <xf numFmtId="4" fontId="97" fillId="0" borderId="122" xfId="0" applyNumberFormat="1" applyFont="1" applyBorder="1"/>
    <xf numFmtId="4" fontId="97" fillId="0" borderId="134" xfId="0" applyNumberFormat="1" applyFont="1" applyBorder="1"/>
    <xf numFmtId="4" fontId="97" fillId="0" borderId="154" xfId="0" applyNumberFormat="1" applyFont="1" applyBorder="1"/>
    <xf numFmtId="0" fontId="28" fillId="0" borderId="0" xfId="0" applyFont="1"/>
    <xf numFmtId="4" fontId="96" fillId="0" borderId="54" xfId="0" applyNumberFormat="1" applyFont="1" applyBorder="1" applyAlignment="1">
      <alignment horizontal="center" vertical="center" wrapText="1"/>
    </xf>
    <xf numFmtId="4" fontId="97" fillId="0" borderId="36" xfId="0" applyNumberFormat="1" applyFont="1" applyBorder="1"/>
    <xf numFmtId="2" fontId="97" fillId="0" borderId="10" xfId="0" applyNumberFormat="1" applyFont="1" applyBorder="1" applyAlignment="1">
      <alignment horizontal="center"/>
    </xf>
    <xf numFmtId="2" fontId="97" fillId="0" borderId="11" xfId="0" applyNumberFormat="1" applyFont="1" applyBorder="1" applyAlignment="1">
      <alignment horizontal="center"/>
    </xf>
    <xf numFmtId="0" fontId="97" fillId="0" borderId="139" xfId="0" applyFont="1" applyBorder="1"/>
    <xf numFmtId="0" fontId="97" fillId="0" borderId="110" xfId="0" applyFont="1" applyBorder="1"/>
    <xf numFmtId="4" fontId="97" fillId="0" borderId="107" xfId="0" applyNumberFormat="1" applyFont="1" applyBorder="1"/>
    <xf numFmtId="4" fontId="97" fillId="0" borderId="112" xfId="0" applyNumberFormat="1" applyFont="1" applyBorder="1"/>
    <xf numFmtId="182" fontId="2" fillId="0" borderId="0" xfId="0" quotePrefix="1" applyNumberFormat="1" applyFont="1" applyAlignment="1">
      <alignment horizontal="left"/>
    </xf>
    <xf numFmtId="0" fontId="29" fillId="0" borderId="0" xfId="0" applyFont="1" applyAlignment="1">
      <alignment horizontal="centerContinuous" wrapText="1"/>
    </xf>
    <xf numFmtId="170" fontId="29" fillId="0" borderId="0" xfId="22" applyFont="1"/>
    <xf numFmtId="43" fontId="29" fillId="0" borderId="0" xfId="0" applyNumberFormat="1" applyFont="1"/>
    <xf numFmtId="170" fontId="111" fillId="0" borderId="0" xfId="22" applyFont="1"/>
    <xf numFmtId="39" fontId="6" fillId="0" borderId="0" xfId="0" applyNumberFormat="1" applyFont="1" applyAlignment="1">
      <alignment horizontal="centerContinuous" wrapText="1"/>
    </xf>
    <xf numFmtId="0" fontId="29" fillId="0" borderId="155" xfId="0" applyFont="1" applyBorder="1"/>
    <xf numFmtId="39" fontId="29" fillId="0" borderId="63" xfId="0" applyNumberFormat="1" applyFont="1" applyBorder="1"/>
    <xf numFmtId="39" fontId="29" fillId="0" borderId="156" xfId="0" applyNumberFormat="1" applyFont="1" applyBorder="1"/>
    <xf numFmtId="0" fontId="52" fillId="0" borderId="74" xfId="0" applyFont="1" applyBorder="1"/>
    <xf numFmtId="0" fontId="29" fillId="0" borderId="157" xfId="46" applyFont="1" applyBorder="1" applyAlignment="1">
      <alignment horizontal="left"/>
    </xf>
    <xf numFmtId="0" fontId="29" fillId="0" borderId="74" xfId="0" applyFont="1" applyBorder="1"/>
    <xf numFmtId="0" fontId="29" fillId="0" borderId="74" xfId="0" applyFont="1" applyBorder="1" applyAlignment="1">
      <alignment horizontal="center"/>
    </xf>
    <xf numFmtId="0" fontId="111" fillId="0" borderId="74" xfId="0" applyFont="1" applyBorder="1"/>
    <xf numFmtId="0" fontId="111" fillId="0" borderId="74" xfId="0" applyFont="1" applyBorder="1" applyAlignment="1">
      <alignment horizontal="center"/>
    </xf>
    <xf numFmtId="0" fontId="111" fillId="0" borderId="0" xfId="0" applyFont="1"/>
    <xf numFmtId="4" fontId="111" fillId="0" borderId="0" xfId="0" applyNumberFormat="1" applyFont="1"/>
    <xf numFmtId="193" fontId="39" fillId="0" borderId="87" xfId="0" applyNumberFormat="1" applyFont="1" applyBorder="1" applyAlignment="1">
      <alignment horizontal="center"/>
    </xf>
    <xf numFmtId="0" fontId="71" fillId="0" borderId="0" xfId="28" applyFont="1"/>
    <xf numFmtId="17" fontId="66" fillId="5" borderId="159" xfId="28" applyNumberFormat="1" applyFont="1" applyFill="1" applyBorder="1" applyAlignment="1">
      <alignment horizontal="center"/>
    </xf>
    <xf numFmtId="4" fontId="6" fillId="0" borderId="130" xfId="28" applyNumberFormat="1" applyFont="1" applyBorder="1" applyAlignment="1">
      <alignment horizontal="center"/>
    </xf>
    <xf numFmtId="4" fontId="6" fillId="0" borderId="132" xfId="28" applyNumberFormat="1" applyFont="1" applyBorder="1" applyAlignment="1">
      <alignment horizontal="center"/>
    </xf>
    <xf numFmtId="205" fontId="15" fillId="0" borderId="10" xfId="28" applyNumberFormat="1" applyFont="1" applyBorder="1" applyAlignment="1">
      <alignment horizontal="center"/>
    </xf>
    <xf numFmtId="209" fontId="90" fillId="0" borderId="0" xfId="0" applyNumberFormat="1" applyFont="1" applyAlignment="1">
      <alignment horizontal="right" vertical="center"/>
    </xf>
    <xf numFmtId="170" fontId="29" fillId="0" borderId="0" xfId="22" applyFont="1" applyFill="1" applyAlignment="1">
      <alignment vertical="center"/>
    </xf>
    <xf numFmtId="0" fontId="49" fillId="0" borderId="0" xfId="40" applyFont="1" applyAlignment="1">
      <alignment vertical="center" wrapText="1"/>
    </xf>
    <xf numFmtId="10" fontId="2" fillId="2" borderId="160" xfId="54" applyNumberFormat="1" applyFill="1" applyBorder="1"/>
    <xf numFmtId="4" fontId="114" fillId="2" borderId="161" xfId="38" applyNumberFormat="1" applyFont="1" applyFill="1" applyBorder="1"/>
    <xf numFmtId="10" fontId="2" fillId="2" borderId="74" xfId="54" applyNumberFormat="1" applyFill="1" applyBorder="1"/>
    <xf numFmtId="4" fontId="114" fillId="2" borderId="162" xfId="38" applyNumberFormat="1" applyFont="1" applyFill="1" applyBorder="1"/>
    <xf numFmtId="4" fontId="114" fillId="2" borderId="73" xfId="38" applyNumberFormat="1" applyFont="1" applyFill="1" applyBorder="1"/>
    <xf numFmtId="39" fontId="66" fillId="0" borderId="0" xfId="40" applyNumberFormat="1" applyFont="1" applyAlignment="1">
      <alignment vertical="center"/>
    </xf>
    <xf numFmtId="39" fontId="6" fillId="0" borderId="0" xfId="0" applyNumberFormat="1" applyFont="1" applyAlignment="1">
      <alignment wrapText="1"/>
    </xf>
    <xf numFmtId="4" fontId="0" fillId="0" borderId="19" xfId="0" applyNumberFormat="1" applyBorder="1" applyAlignment="1">
      <alignment horizontal="center"/>
    </xf>
    <xf numFmtId="188" fontId="29" fillId="0" borderId="163" xfId="0" applyNumberFormat="1" applyFont="1" applyBorder="1" applyAlignment="1">
      <alignment vertical="center"/>
    </xf>
    <xf numFmtId="0" fontId="29" fillId="0" borderId="167" xfId="0" applyFont="1" applyBorder="1"/>
    <xf numFmtId="0" fontId="29" fillId="0" borderId="123" xfId="0" applyFont="1" applyBorder="1"/>
    <xf numFmtId="9" fontId="39" fillId="0" borderId="123" xfId="54" applyFont="1" applyBorder="1"/>
    <xf numFmtId="0" fontId="29" fillId="0" borderId="121" xfId="0" applyFont="1" applyBorder="1"/>
    <xf numFmtId="10" fontId="39" fillId="0" borderId="123" xfId="54" applyNumberFormat="1" applyFont="1" applyBorder="1" applyAlignment="1">
      <alignment horizontal="center"/>
    </xf>
    <xf numFmtId="10" fontId="39" fillId="0" borderId="121" xfId="54" applyNumberFormat="1" applyFont="1" applyBorder="1" applyAlignment="1">
      <alignment horizontal="center"/>
    </xf>
    <xf numFmtId="10" fontId="39" fillId="0" borderId="168" xfId="54" applyNumberFormat="1" applyFont="1" applyBorder="1" applyAlignment="1">
      <alignment horizontal="center"/>
    </xf>
    <xf numFmtId="0" fontId="29" fillId="0" borderId="58" xfId="0" applyFont="1" applyBorder="1"/>
    <xf numFmtId="0" fontId="29" fillId="0" borderId="169" xfId="0" applyFont="1" applyBorder="1"/>
    <xf numFmtId="9" fontId="39" fillId="0" borderId="169" xfId="54" applyFont="1" applyBorder="1"/>
    <xf numFmtId="0" fontId="29" fillId="0" borderId="170" xfId="0" applyFont="1" applyBorder="1"/>
    <xf numFmtId="10" fontId="39" fillId="0" borderId="171" xfId="54" applyNumberFormat="1" applyFont="1" applyBorder="1" applyAlignment="1">
      <alignment horizontal="center"/>
    </xf>
    <xf numFmtId="2" fontId="6" fillId="0" borderId="10" xfId="28" applyNumberFormat="1" applyFont="1" applyBorder="1" applyAlignment="1">
      <alignment horizontal="center"/>
    </xf>
    <xf numFmtId="181" fontId="2" fillId="0" borderId="2" xfId="0" applyNumberFormat="1" applyFont="1" applyBorder="1" applyAlignment="1">
      <alignment horizontal="center"/>
    </xf>
    <xf numFmtId="17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2" fillId="0" borderId="8" xfId="0" applyNumberFormat="1" applyFont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39" fontId="29" fillId="0" borderId="7" xfId="22" applyNumberFormat="1" applyFont="1" applyBorder="1" applyProtection="1"/>
    <xf numFmtId="212" fontId="29" fillId="0" borderId="7" xfId="0" applyNumberFormat="1" applyFont="1" applyBorder="1"/>
    <xf numFmtId="0" fontId="0" fillId="0" borderId="0" xfId="0" applyAlignment="1">
      <alignment wrapText="1"/>
    </xf>
    <xf numFmtId="4" fontId="6" fillId="0" borderId="96" xfId="28" applyNumberFormat="1" applyFont="1" applyBorder="1" applyAlignment="1">
      <alignment horizontal="center"/>
    </xf>
    <xf numFmtId="4" fontId="6" fillId="0" borderId="163" xfId="28" applyNumberFormat="1" applyFont="1" applyBorder="1" applyAlignment="1">
      <alignment horizontal="center"/>
    </xf>
    <xf numFmtId="4" fontId="117" fillId="0" borderId="96" xfId="0" applyNumberFormat="1" applyFont="1" applyBorder="1" applyAlignment="1">
      <alignment horizontal="right"/>
    </xf>
    <xf numFmtId="17" fontId="100" fillId="0" borderId="57" xfId="0" applyNumberFormat="1" applyFont="1" applyBorder="1"/>
    <xf numFmtId="17" fontId="100" fillId="0" borderId="27" xfId="0" applyNumberFormat="1" applyFont="1" applyBorder="1" applyAlignment="1">
      <alignment horizontal="center"/>
    </xf>
    <xf numFmtId="17" fontId="100" fillId="0" borderId="2" xfId="0" applyNumberFormat="1" applyFont="1" applyBorder="1" applyAlignment="1">
      <alignment horizontal="center"/>
    </xf>
    <xf numFmtId="17" fontId="100" fillId="0" borderId="45" xfId="0" applyNumberFormat="1" applyFont="1" applyBorder="1" applyAlignment="1">
      <alignment horizontal="center"/>
    </xf>
    <xf numFmtId="0" fontId="10" fillId="5" borderId="140" xfId="28" applyFont="1" applyFill="1" applyBorder="1" applyAlignment="1">
      <alignment horizontal="center" wrapText="1"/>
    </xf>
    <xf numFmtId="0" fontId="29" fillId="0" borderId="54" xfId="28" applyFont="1" applyBorder="1"/>
    <xf numFmtId="0" fontId="2" fillId="0" borderId="41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17" fontId="110" fillId="0" borderId="2" xfId="0" applyNumberFormat="1" applyFont="1" applyBorder="1"/>
    <xf numFmtId="17" fontId="110" fillId="0" borderId="27" xfId="0" applyNumberFormat="1" applyFont="1" applyBorder="1"/>
    <xf numFmtId="17" fontId="110" fillId="0" borderId="27" xfId="0" applyNumberFormat="1" applyFont="1" applyBorder="1" applyAlignment="1">
      <alignment horizontal="center"/>
    </xf>
    <xf numFmtId="192" fontId="2" fillId="0" borderId="172" xfId="54" applyNumberFormat="1" applyFont="1" applyFill="1" applyBorder="1"/>
    <xf numFmtId="10" fontId="2" fillId="0" borderId="72" xfId="38" applyNumberFormat="1" applyBorder="1"/>
    <xf numFmtId="10" fontId="2" fillId="0" borderId="161" xfId="38" applyNumberFormat="1" applyBorder="1"/>
    <xf numFmtId="192" fontId="2" fillId="0" borderId="160" xfId="54" applyNumberFormat="1" applyFont="1" applyFill="1" applyBorder="1" applyAlignment="1">
      <alignment horizontal="right"/>
    </xf>
    <xf numFmtId="10" fontId="2" fillId="0" borderId="77" xfId="38" applyNumberFormat="1" applyBorder="1"/>
    <xf numFmtId="10" fontId="2" fillId="0" borderId="79" xfId="38" applyNumberFormat="1" applyBorder="1"/>
    <xf numFmtId="0" fontId="103" fillId="0" borderId="0" xfId="0" applyFont="1" applyAlignment="1">
      <alignment horizontal="center"/>
    </xf>
    <xf numFmtId="0" fontId="2" fillId="0" borderId="0" xfId="0" applyFont="1" applyAlignment="1">
      <alignment horizontal="left" vertical="top" indent="1"/>
    </xf>
    <xf numFmtId="0" fontId="40" fillId="0" borderId="0" xfId="0" applyFont="1" applyAlignment="1">
      <alignment vertical="top"/>
    </xf>
    <xf numFmtId="0" fontId="40" fillId="0" borderId="0" xfId="0" applyFont="1" applyAlignment="1">
      <alignment horizontal="left" indent="1"/>
    </xf>
    <xf numFmtId="166" fontId="40" fillId="0" borderId="0" xfId="0" applyNumberFormat="1" applyFont="1" applyAlignment="1">
      <alignment horizontal="left" indent="1"/>
    </xf>
    <xf numFmtId="0" fontId="38" fillId="0" borderId="56" xfId="0" applyFont="1" applyBorder="1" applyAlignment="1">
      <alignment horizontal="left" vertical="center" indent="1"/>
    </xf>
    <xf numFmtId="0" fontId="38" fillId="0" borderId="0" xfId="0" applyFont="1" applyAlignment="1">
      <alignment horizontal="left" indent="1"/>
    </xf>
    <xf numFmtId="0" fontId="38" fillId="0" borderId="0" xfId="0" applyFont="1" applyAlignment="1">
      <alignment horizontal="left" vertical="center" indent="1"/>
    </xf>
    <xf numFmtId="39" fontId="2" fillId="0" borderId="0" xfId="0" applyNumberFormat="1" applyFont="1" applyAlignment="1">
      <alignment horizontal="left" indent="11"/>
    </xf>
    <xf numFmtId="0" fontId="38" fillId="0" borderId="74" xfId="0" applyFont="1" applyBorder="1" applyAlignment="1">
      <alignment horizontal="left" indent="1"/>
    </xf>
    <xf numFmtId="0" fontId="29" fillId="0" borderId="74" xfId="0" applyFont="1" applyBorder="1" applyAlignment="1">
      <alignment horizontal="left" indent="1"/>
    </xf>
    <xf numFmtId="37" fontId="38" fillId="0" borderId="157" xfId="39" applyNumberFormat="1" applyFont="1" applyBorder="1" applyAlignment="1">
      <alignment horizontal="left" vertical="center" indent="1"/>
    </xf>
    <xf numFmtId="0" fontId="29" fillId="0" borderId="157" xfId="46" applyFont="1" applyBorder="1" applyAlignment="1">
      <alignment horizontal="left" indent="1"/>
    </xf>
    <xf numFmtId="39" fontId="2" fillId="0" borderId="0" xfId="0" applyNumberFormat="1" applyFont="1" applyAlignment="1">
      <alignment horizontal="center" vertical="center" wrapText="1"/>
    </xf>
    <xf numFmtId="0" fontId="38" fillId="0" borderId="157" xfId="0" applyFont="1" applyBorder="1" applyAlignment="1">
      <alignment horizontal="left" indent="1"/>
    </xf>
    <xf numFmtId="0" fontId="38" fillId="0" borderId="157" xfId="46" applyFont="1" applyBorder="1" applyAlignment="1">
      <alignment horizontal="left" indent="1"/>
    </xf>
    <xf numFmtId="37" fontId="119" fillId="0" borderId="157" xfId="39" applyNumberFormat="1" applyFont="1" applyBorder="1" applyAlignment="1">
      <alignment horizontal="left" vertical="center" indent="1"/>
    </xf>
    <xf numFmtId="0" fontId="119" fillId="0" borderId="74" xfId="0" applyFont="1" applyBorder="1" applyAlignment="1">
      <alignment horizontal="left" indent="1"/>
    </xf>
    <xf numFmtId="0" fontId="29" fillId="0" borderId="177" xfId="46" applyFont="1" applyBorder="1" applyAlignment="1">
      <alignment horizontal="left"/>
    </xf>
    <xf numFmtId="0" fontId="29" fillId="0" borderId="131" xfId="0" applyFont="1" applyBorder="1"/>
    <xf numFmtId="0" fontId="29" fillId="0" borderId="131" xfId="0" applyFont="1" applyBorder="1" applyAlignment="1">
      <alignment horizontal="center"/>
    </xf>
    <xf numFmtId="4" fontId="29" fillId="0" borderId="131" xfId="0" applyNumberFormat="1" applyFont="1" applyBorder="1" applyAlignment="1">
      <alignment horizontal="right"/>
    </xf>
    <xf numFmtId="194" fontId="63" fillId="0" borderId="131" xfId="0" applyNumberFormat="1" applyFont="1" applyBorder="1" applyAlignment="1">
      <alignment horizontal="right" vertical="center"/>
    </xf>
    <xf numFmtId="4" fontId="29" fillId="0" borderId="131" xfId="22" applyNumberFormat="1" applyFont="1" applyBorder="1" applyAlignment="1">
      <alignment vertical="center"/>
    </xf>
    <xf numFmtId="39" fontId="29" fillId="0" borderId="131" xfId="22" applyNumberFormat="1" applyFont="1" applyBorder="1" applyProtection="1"/>
    <xf numFmtId="39" fontId="29" fillId="0" borderId="131" xfId="0" applyNumberFormat="1" applyFont="1" applyBorder="1"/>
    <xf numFmtId="212" fontId="29" fillId="0" borderId="131" xfId="0" applyNumberFormat="1" applyFont="1" applyBorder="1"/>
    <xf numFmtId="10" fontId="29" fillId="0" borderId="131" xfId="54" applyNumberFormat="1" applyFont="1" applyBorder="1"/>
    <xf numFmtId="10" fontId="29" fillId="0" borderId="178" xfId="54" applyNumberFormat="1" applyFont="1" applyBorder="1" applyProtection="1"/>
    <xf numFmtId="43" fontId="29" fillId="0" borderId="74" xfId="22" applyNumberFormat="1" applyFont="1" applyBorder="1" applyProtection="1"/>
    <xf numFmtId="213" fontId="29" fillId="0" borderId="74" xfId="22" applyNumberFormat="1" applyFont="1" applyBorder="1" applyProtection="1"/>
    <xf numFmtId="37" fontId="38" fillId="8" borderId="157" xfId="39" applyNumberFormat="1" applyFont="1" applyFill="1" applyBorder="1" applyAlignment="1">
      <alignment horizontal="left" vertical="center" indent="1"/>
    </xf>
    <xf numFmtId="0" fontId="38" fillId="8" borderId="74" xfId="0" applyFont="1" applyFill="1" applyBorder="1" applyAlignment="1">
      <alignment horizontal="left" indent="1"/>
    </xf>
    <xf numFmtId="0" fontId="29" fillId="8" borderId="74" xfId="0" applyFont="1" applyFill="1" applyBorder="1"/>
    <xf numFmtId="0" fontId="38" fillId="7" borderId="19" xfId="0" applyFont="1" applyFill="1" applyBorder="1" applyAlignment="1">
      <alignment horizontal="centerContinuous"/>
    </xf>
    <xf numFmtId="0" fontId="38" fillId="7" borderId="19" xfId="0" applyFont="1" applyFill="1" applyBorder="1" applyAlignment="1">
      <alignment horizontal="centerContinuous" vertical="center"/>
    </xf>
    <xf numFmtId="0" fontId="38" fillId="7" borderId="2" xfId="0" applyFont="1" applyFill="1" applyBorder="1" applyAlignment="1">
      <alignment horizontal="centerContinuous"/>
    </xf>
    <xf numFmtId="0" fontId="38" fillId="7" borderId="4" xfId="0" applyFont="1" applyFill="1" applyBorder="1" applyAlignment="1">
      <alignment horizontal="centerContinuous"/>
    </xf>
    <xf numFmtId="0" fontId="38" fillId="7" borderId="3" xfId="0" applyFont="1" applyFill="1" applyBorder="1" applyAlignment="1">
      <alignment horizontal="center"/>
    </xf>
    <xf numFmtId="43" fontId="29" fillId="8" borderId="74" xfId="0" applyNumberFormat="1" applyFont="1" applyFill="1" applyBorder="1" applyAlignment="1">
      <alignment horizontal="center"/>
    </xf>
    <xf numFmtId="43" fontId="38" fillId="8" borderId="74" xfId="46" applyNumberFormat="1" applyFont="1" applyFill="1" applyBorder="1"/>
    <xf numFmtId="43" fontId="45" fillId="8" borderId="74" xfId="0" applyNumberFormat="1" applyFont="1" applyFill="1" applyBorder="1"/>
    <xf numFmtId="43" fontId="38" fillId="8" borderId="74" xfId="0" applyNumberFormat="1" applyFont="1" applyFill="1" applyBorder="1" applyAlignment="1">
      <alignment horizontal="right" vertical="center"/>
    </xf>
    <xf numFmtId="43" fontId="38" fillId="8" borderId="74" xfId="54" applyNumberFormat="1" applyFont="1" applyFill="1" applyBorder="1"/>
    <xf numFmtId="43" fontId="38" fillId="8" borderId="158" xfId="54" applyNumberFormat="1" applyFont="1" applyFill="1" applyBorder="1" applyProtection="1"/>
    <xf numFmtId="43" fontId="52" fillId="0" borderId="74" xfId="0" applyNumberFormat="1" applyFont="1" applyBorder="1" applyAlignment="1">
      <alignment horizontal="center"/>
    </xf>
    <xf numFmtId="43" fontId="43" fillId="0" borderId="74" xfId="46" applyNumberFormat="1" applyFont="1" applyBorder="1"/>
    <xf numFmtId="43" fontId="64" fillId="0" borderId="74" xfId="0" applyNumberFormat="1" applyFont="1" applyBorder="1"/>
    <xf numFmtId="43" fontId="43" fillId="0" borderId="74" xfId="0" applyNumberFormat="1" applyFont="1" applyBorder="1" applyAlignment="1">
      <alignment horizontal="right" vertical="center"/>
    </xf>
    <xf numFmtId="43" fontId="43" fillId="0" borderId="74" xfId="54" applyNumberFormat="1" applyFont="1" applyBorder="1"/>
    <xf numFmtId="43" fontId="43" fillId="0" borderId="158" xfId="54" applyNumberFormat="1" applyFont="1" applyBorder="1" applyProtection="1"/>
    <xf numFmtId="43" fontId="111" fillId="0" borderId="74" xfId="0" applyNumberFormat="1" applyFont="1" applyBorder="1" applyAlignment="1">
      <alignment horizontal="center"/>
    </xf>
    <xf numFmtId="43" fontId="38" fillId="0" borderId="74" xfId="46" applyNumberFormat="1" applyFont="1" applyBorder="1"/>
    <xf numFmtId="43" fontId="113" fillId="0" borderId="74" xfId="0" applyNumberFormat="1" applyFont="1" applyBorder="1"/>
    <xf numFmtId="43" fontId="38" fillId="0" borderId="74" xfId="0" applyNumberFormat="1" applyFont="1" applyBorder="1" applyAlignment="1">
      <alignment horizontal="right" vertical="center"/>
    </xf>
    <xf numFmtId="43" fontId="29" fillId="0" borderId="74" xfId="0" applyNumberFormat="1" applyFont="1" applyBorder="1" applyAlignment="1">
      <alignment horizontal="right"/>
    </xf>
    <xf numFmtId="43" fontId="63" fillId="0" borderId="74" xfId="0" applyNumberFormat="1" applyFont="1" applyBorder="1" applyAlignment="1">
      <alignment horizontal="right" vertical="center"/>
    </xf>
    <xf numFmtId="43" fontId="29" fillId="0" borderId="74" xfId="22" applyNumberFormat="1" applyFont="1" applyBorder="1" applyAlignment="1">
      <alignment vertical="center"/>
    </xf>
    <xf numFmtId="43" fontId="29" fillId="0" borderId="74" xfId="0" applyNumberFormat="1" applyFont="1" applyBorder="1"/>
    <xf numFmtId="43" fontId="29" fillId="0" borderId="74" xfId="54" applyNumberFormat="1" applyFont="1" applyBorder="1"/>
    <xf numFmtId="43" fontId="29" fillId="0" borderId="158" xfId="54" applyNumberFormat="1" applyFont="1" applyBorder="1" applyProtection="1"/>
    <xf numFmtId="43" fontId="111" fillId="0" borderId="74" xfId="0" applyNumberFormat="1" applyFont="1" applyBorder="1" applyAlignment="1">
      <alignment horizontal="right"/>
    </xf>
    <xf numFmtId="43" fontId="112" fillId="0" borderId="74" xfId="46" applyNumberFormat="1" applyFont="1" applyBorder="1" applyAlignment="1">
      <alignment horizontal="center"/>
    </xf>
    <xf numFmtId="43" fontId="111" fillId="0" borderId="74" xfId="22" applyNumberFormat="1" applyFont="1" applyBorder="1" applyProtection="1"/>
    <xf numFmtId="43" fontId="112" fillId="0" borderId="74" xfId="22" applyNumberFormat="1" applyFont="1" applyBorder="1" applyProtection="1"/>
    <xf numFmtId="43" fontId="119" fillId="0" borderId="74" xfId="46" applyNumberFormat="1" applyFont="1" applyBorder="1"/>
    <xf numFmtId="43" fontId="29" fillId="0" borderId="74" xfId="0" applyNumberFormat="1" applyFont="1" applyBorder="1" applyAlignment="1">
      <alignment horizontal="center"/>
    </xf>
    <xf numFmtId="43" fontId="45" fillId="0" borderId="74" xfId="0" applyNumberFormat="1" applyFont="1" applyBorder="1"/>
    <xf numFmtId="43" fontId="38" fillId="0" borderId="74" xfId="54" applyNumberFormat="1" applyFont="1" applyBorder="1"/>
    <xf numFmtId="43" fontId="38" fillId="0" borderId="158" xfId="54" applyNumberFormat="1" applyFont="1" applyBorder="1" applyProtection="1"/>
    <xf numFmtId="43" fontId="45" fillId="0" borderId="0" xfId="0" applyNumberFormat="1" applyFont="1"/>
    <xf numFmtId="43" fontId="39" fillId="0" borderId="7" xfId="0" applyNumberFormat="1" applyFont="1" applyBorder="1"/>
    <xf numFmtId="43" fontId="39" fillId="0" borderId="0" xfId="0" applyNumberFormat="1" applyFont="1"/>
    <xf numFmtId="43" fontId="39" fillId="0" borderId="8" xfId="0" applyNumberFormat="1" applyFont="1" applyBorder="1"/>
    <xf numFmtId="43" fontId="45" fillId="0" borderId="103" xfId="0" applyNumberFormat="1" applyFont="1" applyBorder="1"/>
    <xf numFmtId="43" fontId="39" fillId="0" borderId="104" xfId="0" applyNumberFormat="1" applyFont="1" applyBorder="1"/>
    <xf numFmtId="43" fontId="45" fillId="0" borderId="105" xfId="0" applyNumberFormat="1" applyFont="1" applyBorder="1"/>
    <xf numFmtId="43" fontId="39" fillId="0" borderId="87" xfId="0" applyNumberFormat="1" applyFont="1" applyBorder="1"/>
    <xf numFmtId="43" fontId="39" fillId="0" borderId="107" xfId="0" applyNumberFormat="1" applyFont="1" applyBorder="1"/>
    <xf numFmtId="43" fontId="39" fillId="0" borderId="108" xfId="0" applyNumberFormat="1" applyFont="1" applyBorder="1"/>
    <xf numFmtId="43" fontId="45" fillId="2" borderId="103" xfId="0" applyNumberFormat="1" applyFont="1" applyFill="1" applyBorder="1"/>
    <xf numFmtId="43" fontId="38" fillId="0" borderId="74" xfId="0" applyNumberFormat="1" applyFont="1" applyBorder="1"/>
    <xf numFmtId="10" fontId="38" fillId="0" borderId="27" xfId="54" applyNumberFormat="1" applyFont="1" applyBorder="1"/>
    <xf numFmtId="10" fontId="39" fillId="0" borderId="169" xfId="54" applyNumberFormat="1" applyFont="1" applyBorder="1" applyAlignment="1">
      <alignment horizontal="right" indent="1"/>
    </xf>
    <xf numFmtId="10" fontId="39" fillId="0" borderId="170" xfId="54" applyNumberFormat="1" applyFont="1" applyBorder="1" applyAlignment="1">
      <alignment horizontal="right" indent="1"/>
    </xf>
    <xf numFmtId="10" fontId="39" fillId="0" borderId="169" xfId="54" applyNumberFormat="1" applyFont="1" applyFill="1" applyBorder="1" applyAlignment="1">
      <alignment horizontal="right" indent="1"/>
    </xf>
    <xf numFmtId="43" fontId="29" fillId="0" borderId="0" xfId="54" applyNumberFormat="1" applyFont="1"/>
    <xf numFmtId="43" fontId="42" fillId="0" borderId="0" xfId="0" applyNumberFormat="1" applyFont="1"/>
    <xf numFmtId="43" fontId="43" fillId="0" borderId="0" xfId="0" applyNumberFormat="1" applyFont="1" applyAlignment="1">
      <alignment horizontal="center"/>
    </xf>
    <xf numFmtId="43" fontId="111" fillId="0" borderId="0" xfId="54" applyNumberFormat="1" applyFont="1"/>
    <xf numFmtId="43" fontId="111" fillId="0" borderId="0" xfId="0" applyNumberFormat="1" applyFont="1"/>
    <xf numFmtId="43" fontId="52" fillId="0" borderId="0" xfId="0" applyNumberFormat="1" applyFont="1"/>
    <xf numFmtId="43" fontId="39" fillId="0" borderId="0" xfId="54" applyNumberFormat="1" applyFont="1"/>
    <xf numFmtId="43" fontId="29" fillId="0" borderId="0" xfId="54" applyNumberFormat="1" applyFont="1" applyBorder="1"/>
    <xf numFmtId="10" fontId="39" fillId="0" borderId="123" xfId="54" applyNumberFormat="1" applyFont="1" applyBorder="1" applyAlignment="1">
      <alignment horizontal="right" indent="1"/>
    </xf>
    <xf numFmtId="39" fontId="6" fillId="0" borderId="0" xfId="0" applyNumberFormat="1" applyFont="1" applyAlignment="1">
      <alignment horizontal="left" indent="1"/>
    </xf>
    <xf numFmtId="39" fontId="2" fillId="0" borderId="0" xfId="0" applyNumberFormat="1" applyFont="1" applyAlignment="1">
      <alignment horizontal="left"/>
    </xf>
    <xf numFmtId="39" fontId="2" fillId="0" borderId="0" xfId="0" applyNumberFormat="1" applyFont="1" applyAlignment="1">
      <alignment horizontal="left" indent="5"/>
    </xf>
    <xf numFmtId="0" fontId="13" fillId="0" borderId="33" xfId="0" applyFont="1" applyBorder="1" applyAlignment="1">
      <alignment horizontal="left" vertical="center"/>
    </xf>
    <xf numFmtId="0" fontId="15" fillId="0" borderId="34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Continuous" vertical="center"/>
    </xf>
    <xf numFmtId="205" fontId="6" fillId="0" borderId="95" xfId="28" applyNumberFormat="1" applyFont="1" applyBorder="1" applyAlignment="1">
      <alignment horizontal="center"/>
    </xf>
    <xf numFmtId="205" fontId="6" fillId="0" borderId="134" xfId="28" applyNumberFormat="1" applyFont="1" applyBorder="1" applyAlignment="1">
      <alignment horizontal="center"/>
    </xf>
    <xf numFmtId="205" fontId="15" fillId="0" borderId="11" xfId="28" applyNumberFormat="1" applyFont="1" applyBorder="1" applyAlignment="1">
      <alignment horizontal="center"/>
    </xf>
    <xf numFmtId="205" fontId="6" fillId="0" borderId="137" xfId="28" applyNumberFormat="1" applyFont="1" applyBorder="1" applyAlignment="1">
      <alignment horizontal="center"/>
    </xf>
    <xf numFmtId="205" fontId="6" fillId="0" borderId="122" xfId="28" applyNumberFormat="1" applyFont="1" applyBorder="1" applyAlignment="1">
      <alignment horizontal="center"/>
    </xf>
    <xf numFmtId="0" fontId="14" fillId="0" borderId="0" xfId="28" applyFont="1"/>
    <xf numFmtId="39" fontId="14" fillId="0" borderId="0" xfId="0" applyNumberFormat="1" applyFont="1" applyAlignment="1">
      <alignment horizontal="left"/>
    </xf>
    <xf numFmtId="0" fontId="13" fillId="0" borderId="0" xfId="28" applyFont="1"/>
    <xf numFmtId="39" fontId="2" fillId="0" borderId="0" xfId="0" applyNumberFormat="1" applyFont="1"/>
    <xf numFmtId="39" fontId="2" fillId="0" borderId="0" xfId="0" applyNumberFormat="1" applyFont="1" applyAlignment="1">
      <alignment horizontal="left" indent="1"/>
    </xf>
    <xf numFmtId="4" fontId="0" fillId="0" borderId="2" xfId="0" applyNumberForma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/>
    </xf>
    <xf numFmtId="4" fontId="9" fillId="0" borderId="2" xfId="0" applyNumberFormat="1" applyFon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17" fontId="110" fillId="0" borderId="2" xfId="0" applyNumberFormat="1" applyFont="1" applyBorder="1" applyAlignment="1">
      <alignment horizontal="center" vertical="center"/>
    </xf>
    <xf numFmtId="17" fontId="110" fillId="0" borderId="27" xfId="0" applyNumberFormat="1" applyFont="1" applyBorder="1" applyAlignment="1">
      <alignment horizontal="center" vertical="center"/>
    </xf>
    <xf numFmtId="205" fontId="0" fillId="0" borderId="2" xfId="0" applyNumberFormat="1" applyBorder="1" applyAlignment="1">
      <alignment horizontal="center" vertical="center"/>
    </xf>
    <xf numFmtId="205" fontId="2" fillId="0" borderId="2" xfId="0" applyNumberFormat="1" applyFont="1" applyBorder="1" applyAlignment="1">
      <alignment horizontal="center" vertical="center"/>
    </xf>
    <xf numFmtId="0" fontId="10" fillId="0" borderId="49" xfId="0" applyFont="1" applyBorder="1" applyAlignment="1">
      <alignment horizontal="left" vertical="center"/>
    </xf>
    <xf numFmtId="0" fontId="0" fillId="0" borderId="16" xfId="0" applyBorder="1" applyAlignment="1">
      <alignment vertical="center"/>
    </xf>
    <xf numFmtId="4" fontId="9" fillId="0" borderId="46" xfId="0" applyNumberFormat="1" applyFont="1" applyBorder="1" applyAlignment="1">
      <alignment vertical="center"/>
    </xf>
    <xf numFmtId="176" fontId="9" fillId="0" borderId="46" xfId="0" applyNumberFormat="1" applyFont="1" applyBorder="1" applyAlignment="1">
      <alignment horizontal="center" vertical="center"/>
    </xf>
    <xf numFmtId="0" fontId="9" fillId="0" borderId="47" xfId="0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0" fontId="12" fillId="0" borderId="0" xfId="60" applyFont="1" applyAlignment="1">
      <alignment vertical="center"/>
    </xf>
    <xf numFmtId="0" fontId="0" fillId="0" borderId="5" xfId="0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39" fontId="88" fillId="5" borderId="54" xfId="0" applyNumberFormat="1" applyFont="1" applyFill="1" applyBorder="1" applyAlignment="1">
      <alignment horizontal="center" vertical="center"/>
    </xf>
    <xf numFmtId="39" fontId="88" fillId="5" borderId="139" xfId="0" applyNumberFormat="1" applyFont="1" applyFill="1" applyBorder="1" applyAlignment="1">
      <alignment horizontal="centerContinuous" vertical="center"/>
    </xf>
    <xf numFmtId="39" fontId="88" fillId="5" borderId="15" xfId="0" applyNumberFormat="1" applyFont="1" applyFill="1" applyBorder="1" applyAlignment="1">
      <alignment vertical="center"/>
    </xf>
    <xf numFmtId="39" fontId="88" fillId="5" borderId="57" xfId="0" applyNumberFormat="1" applyFont="1" applyFill="1" applyBorder="1" applyAlignment="1">
      <alignment vertical="center"/>
    </xf>
    <xf numFmtId="39" fontId="59" fillId="5" borderId="57" xfId="0" applyNumberFormat="1" applyFont="1" applyFill="1" applyBorder="1" applyAlignment="1">
      <alignment horizontal="center" vertical="center"/>
    </xf>
    <xf numFmtId="4" fontId="120" fillId="0" borderId="0" xfId="0" applyNumberFormat="1" applyFont="1" applyAlignment="1">
      <alignment vertical="center"/>
    </xf>
    <xf numFmtId="0" fontId="121" fillId="0" borderId="0" xfId="0" applyFont="1" applyAlignment="1">
      <alignment horizontal="centerContinuous" vertical="center"/>
    </xf>
    <xf numFmtId="4" fontId="116" fillId="0" borderId="0" xfId="0" applyNumberFormat="1" applyFont="1" applyAlignment="1">
      <alignment vertical="center"/>
    </xf>
    <xf numFmtId="0" fontId="122" fillId="0" borderId="0" xfId="0" quotePrefix="1" applyFont="1" applyAlignment="1">
      <alignment horizontal="left" vertical="center"/>
    </xf>
    <xf numFmtId="17" fontId="29" fillId="0" borderId="135" xfId="0" applyNumberFormat="1" applyFont="1" applyBorder="1" applyAlignment="1">
      <alignment horizontal="left" vertical="center" indent="1"/>
    </xf>
    <xf numFmtId="17" fontId="29" fillId="0" borderId="137" xfId="0" applyNumberFormat="1" applyFont="1" applyBorder="1" applyAlignment="1">
      <alignment horizontal="left" vertical="center" indent="1"/>
    </xf>
    <xf numFmtId="39" fontId="2" fillId="0" borderId="0" xfId="0" applyNumberFormat="1" applyFont="1" applyAlignment="1">
      <alignment horizontal="left" indent="9"/>
    </xf>
    <xf numFmtId="205" fontId="15" fillId="0" borderId="0" xfId="28" applyNumberFormat="1" applyFont="1" applyAlignment="1">
      <alignment horizontal="center"/>
    </xf>
    <xf numFmtId="2" fontId="115" fillId="0" borderId="0" xfId="28" applyNumberFormat="1" applyFont="1" applyAlignment="1">
      <alignment horizontal="center"/>
    </xf>
    <xf numFmtId="0" fontId="32" fillId="5" borderId="37" xfId="28" applyFont="1" applyFill="1" applyBorder="1" applyAlignment="1">
      <alignment horizontal="center"/>
    </xf>
    <xf numFmtId="0" fontId="32" fillId="5" borderId="56" xfId="28" applyFont="1" applyFill="1" applyBorder="1" applyAlignment="1">
      <alignment horizontal="centerContinuous"/>
    </xf>
    <xf numFmtId="0" fontId="32" fillId="5" borderId="10" xfId="28" applyFont="1" applyFill="1" applyBorder="1" applyAlignment="1">
      <alignment horizontal="centerContinuous"/>
    </xf>
    <xf numFmtId="17" fontId="32" fillId="5" borderId="4" xfId="28" applyNumberFormat="1" applyFont="1" applyFill="1" applyBorder="1" applyAlignment="1">
      <alignment horizontal="center"/>
    </xf>
    <xf numFmtId="17" fontId="2" fillId="5" borderId="159" xfId="28" applyNumberFormat="1" applyFill="1" applyBorder="1" applyAlignment="1">
      <alignment horizontal="center"/>
    </xf>
    <xf numFmtId="0" fontId="32" fillId="5" borderId="114" xfId="28" applyFont="1" applyFill="1" applyBorder="1" applyAlignment="1">
      <alignment horizontal="center"/>
    </xf>
    <xf numFmtId="17" fontId="32" fillId="5" borderId="159" xfId="28" applyNumberFormat="1" applyFont="1" applyFill="1" applyBorder="1" applyAlignment="1">
      <alignment horizontal="center"/>
    </xf>
    <xf numFmtId="0" fontId="2" fillId="0" borderId="63" xfId="28" applyBorder="1"/>
    <xf numFmtId="0" fontId="2" fillId="0" borderId="104" xfId="28" applyBorder="1"/>
    <xf numFmtId="0" fontId="2" fillId="0" borderId="103" xfId="28" applyBorder="1"/>
    <xf numFmtId="0" fontId="2" fillId="0" borderId="184" xfId="28" applyBorder="1"/>
    <xf numFmtId="0" fontId="2" fillId="0" borderId="131" xfId="28" applyBorder="1"/>
    <xf numFmtId="0" fontId="2" fillId="0" borderId="121" xfId="28" applyBorder="1"/>
    <xf numFmtId="0" fontId="2" fillId="0" borderId="123" xfId="28" applyBorder="1"/>
    <xf numFmtId="0" fontId="2" fillId="0" borderId="124" xfId="28" applyBorder="1"/>
    <xf numFmtId="0" fontId="2" fillId="0" borderId="56" xfId="28" applyBorder="1"/>
    <xf numFmtId="0" fontId="2" fillId="0" borderId="10" xfId="28" applyBorder="1"/>
    <xf numFmtId="205" fontId="10" fillId="0" borderId="10" xfId="28" applyNumberFormat="1" applyFont="1" applyBorder="1" applyAlignment="1">
      <alignment horizontal="center"/>
    </xf>
    <xf numFmtId="2" fontId="2" fillId="0" borderId="11" xfId="28" applyNumberFormat="1" applyBorder="1" applyAlignment="1">
      <alignment horizontal="center"/>
    </xf>
    <xf numFmtId="2" fontId="2" fillId="0" borderId="56" xfId="28" applyNumberFormat="1" applyBorder="1" applyAlignment="1">
      <alignment horizontal="center"/>
    </xf>
    <xf numFmtId="2" fontId="114" fillId="0" borderId="10" xfId="28" applyNumberFormat="1" applyFont="1" applyBorder="1" applyAlignment="1">
      <alignment horizontal="center"/>
    </xf>
    <xf numFmtId="2" fontId="2" fillId="0" borderId="10" xfId="28" applyNumberFormat="1" applyBorder="1" applyAlignment="1">
      <alignment horizontal="center"/>
    </xf>
    <xf numFmtId="0" fontId="2" fillId="0" borderId="74" xfId="28" applyBorder="1" applyAlignment="1">
      <alignment horizontal="center" vertical="center"/>
    </xf>
    <xf numFmtId="0" fontId="2" fillId="0" borderId="93" xfId="28" applyBorder="1" applyAlignment="1">
      <alignment vertical="center"/>
    </xf>
    <xf numFmtId="0" fontId="2" fillId="0" borderId="75" xfId="28" applyBorder="1" applyAlignment="1">
      <alignment vertical="center"/>
    </xf>
    <xf numFmtId="205" fontId="2" fillId="0" borderId="74" xfId="28" applyNumberFormat="1" applyBorder="1" applyAlignment="1">
      <alignment horizontal="center" vertical="center"/>
    </xf>
    <xf numFmtId="10" fontId="2" fillId="0" borderId="74" xfId="54" applyNumberFormat="1" applyFont="1" applyBorder="1" applyAlignment="1">
      <alignment horizontal="center" vertical="center"/>
    </xf>
    <xf numFmtId="2" fontId="2" fillId="0" borderId="74" xfId="28" applyNumberFormat="1" applyBorder="1" applyAlignment="1">
      <alignment horizontal="center" vertical="center"/>
    </xf>
    <xf numFmtId="4" fontId="2" fillId="0" borderId="74" xfId="28" applyNumberFormat="1" applyBorder="1" applyAlignment="1">
      <alignment horizontal="center" vertical="center"/>
    </xf>
    <xf numFmtId="0" fontId="2" fillId="0" borderId="97" xfId="28" applyBorder="1" applyAlignment="1">
      <alignment horizontal="left" vertical="center" indent="1"/>
    </xf>
    <xf numFmtId="0" fontId="123" fillId="0" borderId="0" xfId="28" applyFont="1"/>
    <xf numFmtId="0" fontId="10" fillId="0" borderId="0" xfId="28" applyFont="1"/>
    <xf numFmtId="0" fontId="29" fillId="0" borderId="0" xfId="0" applyFont="1" applyAlignment="1">
      <alignment horizontal="left" vertical="center" indent="1"/>
    </xf>
    <xf numFmtId="4" fontId="38" fillId="0" borderId="0" xfId="0" applyNumberFormat="1" applyFont="1" applyAlignment="1">
      <alignment horizontal="centerContinuous" vertical="center"/>
    </xf>
    <xf numFmtId="176" fontId="38" fillId="0" borderId="0" xfId="0" applyNumberFormat="1" applyFont="1" applyAlignment="1">
      <alignment horizontal="center" vertical="center"/>
    </xf>
    <xf numFmtId="214" fontId="29" fillId="0" borderId="0" xfId="22" applyNumberFormat="1" applyFont="1" applyBorder="1"/>
    <xf numFmtId="177" fontId="29" fillId="0" borderId="0" xfId="0" applyNumberFormat="1" applyFont="1"/>
    <xf numFmtId="214" fontId="29" fillId="0" borderId="0" xfId="22" applyNumberFormat="1" applyFont="1"/>
    <xf numFmtId="214" fontId="29" fillId="0" borderId="0" xfId="0" applyNumberFormat="1" applyFont="1"/>
    <xf numFmtId="214" fontId="38" fillId="0" borderId="0" xfId="0" applyNumberFormat="1" applyFont="1"/>
    <xf numFmtId="10" fontId="38" fillId="0" borderId="0" xfId="54" applyNumberFormat="1" applyFont="1"/>
    <xf numFmtId="188" fontId="29" fillId="0" borderId="0" xfId="0" applyNumberFormat="1" applyFont="1"/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2" fillId="0" borderId="5" xfId="0" applyFont="1" applyBorder="1" applyAlignment="1">
      <alignment horizontal="left" vertical="center" indent="2"/>
    </xf>
    <xf numFmtId="0" fontId="0" fillId="0" borderId="5" xfId="0" applyBorder="1" applyAlignment="1">
      <alignment horizontal="left" vertical="center" indent="2"/>
    </xf>
    <xf numFmtId="0" fontId="10" fillId="0" borderId="5" xfId="0" applyFont="1" applyBorder="1" applyAlignment="1">
      <alignment horizontal="left" vertical="center" indent="1"/>
    </xf>
    <xf numFmtId="0" fontId="10" fillId="0" borderId="18" xfId="0" applyFont="1" applyBorder="1" applyAlignment="1">
      <alignment horizontal="left" vertical="center" indent="1"/>
    </xf>
    <xf numFmtId="0" fontId="10" fillId="0" borderId="28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17" fontId="10" fillId="0" borderId="27" xfId="0" applyNumberFormat="1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4" fontId="10" fillId="0" borderId="59" xfId="0" applyNumberFormat="1" applyFont="1" applyBorder="1" applyAlignment="1">
      <alignment vertical="center"/>
    </xf>
    <xf numFmtId="4" fontId="10" fillId="0" borderId="61" xfId="0" applyNumberFormat="1" applyFont="1" applyBorder="1" applyAlignment="1">
      <alignment vertical="center"/>
    </xf>
    <xf numFmtId="0" fontId="29" fillId="0" borderId="37" xfId="28" applyFont="1" applyBorder="1"/>
    <xf numFmtId="170" fontId="29" fillId="0" borderId="37" xfId="22" applyFont="1" applyBorder="1"/>
    <xf numFmtId="0" fontId="38" fillId="0" borderId="37" xfId="28" applyFont="1" applyBorder="1" applyAlignment="1">
      <alignment horizontal="center"/>
    </xf>
    <xf numFmtId="0" fontId="29" fillId="0" borderId="74" xfId="28" applyFont="1" applyBorder="1"/>
    <xf numFmtId="170" fontId="29" fillId="0" borderId="74" xfId="22" applyFont="1" applyFill="1" applyBorder="1"/>
    <xf numFmtId="0" fontId="38" fillId="0" borderId="74" xfId="28" applyFont="1" applyBorder="1" applyAlignment="1">
      <alignment horizontal="center"/>
    </xf>
    <xf numFmtId="170" fontId="2" fillId="0" borderId="74" xfId="22" applyFont="1" applyFill="1" applyBorder="1" applyAlignment="1">
      <alignment horizontal="right"/>
    </xf>
    <xf numFmtId="170" fontId="40" fillId="0" borderId="74" xfId="22" applyFont="1" applyFill="1" applyBorder="1" applyAlignment="1">
      <alignment horizontal="right"/>
    </xf>
    <xf numFmtId="0" fontId="38" fillId="0" borderId="74" xfId="28" applyFont="1" applyBorder="1"/>
    <xf numFmtId="0" fontId="29" fillId="0" borderId="45" xfId="28" applyFont="1" applyBorder="1"/>
    <xf numFmtId="0" fontId="29" fillId="0" borderId="36" xfId="28" applyFont="1" applyBorder="1"/>
    <xf numFmtId="0" fontId="29" fillId="0" borderId="51" xfId="28" applyFont="1" applyBorder="1"/>
    <xf numFmtId="0" fontId="29" fillId="0" borderId="57" xfId="28" applyFont="1" applyBorder="1"/>
    <xf numFmtId="0" fontId="37" fillId="0" borderId="0" xfId="28" applyFont="1" applyAlignment="1">
      <alignment horizontal="center"/>
    </xf>
    <xf numFmtId="170" fontId="10" fillId="0" borderId="60" xfId="22" quotePrefix="1" applyFont="1" applyBorder="1" applyAlignment="1">
      <alignment horizontal="center" vertical="center"/>
    </xf>
    <xf numFmtId="0" fontId="12" fillId="0" borderId="97" xfId="28" applyFont="1" applyBorder="1" applyAlignment="1">
      <alignment horizontal="left" indent="1"/>
    </xf>
    <xf numFmtId="0" fontId="29" fillId="0" borderId="75" xfId="28" applyFont="1" applyBorder="1"/>
    <xf numFmtId="0" fontId="2" fillId="0" borderId="97" xfId="28" applyBorder="1" applyAlignment="1">
      <alignment horizontal="left" indent="1"/>
    </xf>
    <xf numFmtId="0" fontId="2" fillId="0" borderId="74" xfId="28" applyBorder="1" applyAlignment="1">
      <alignment horizontal="center"/>
    </xf>
    <xf numFmtId="0" fontId="2" fillId="0" borderId="74" xfId="28" applyBorder="1" applyAlignment="1">
      <alignment horizontal="left" indent="1"/>
    </xf>
    <xf numFmtId="15" fontId="2" fillId="0" borderId="74" xfId="28" applyNumberFormat="1" applyBorder="1" applyAlignment="1">
      <alignment horizontal="center"/>
    </xf>
    <xf numFmtId="0" fontId="45" fillId="0" borderId="97" xfId="28" applyFont="1" applyBorder="1" applyAlignment="1">
      <alignment horizontal="left" indent="1"/>
    </xf>
    <xf numFmtId="0" fontId="29" fillId="0" borderId="74" xfId="28" applyFont="1" applyBorder="1" applyAlignment="1">
      <alignment horizontal="center"/>
    </xf>
    <xf numFmtId="0" fontId="29" fillId="0" borderId="74" xfId="28" applyFont="1" applyBorder="1" applyAlignment="1">
      <alignment horizontal="left" indent="1"/>
    </xf>
    <xf numFmtId="170" fontId="2" fillId="0" borderId="74" xfId="22" applyFont="1" applyFill="1" applyBorder="1" applyAlignment="1">
      <alignment horizontal="center"/>
    </xf>
    <xf numFmtId="0" fontId="2" fillId="0" borderId="74" xfId="28" applyBorder="1" applyAlignment="1">
      <alignment horizontal="centerContinuous"/>
    </xf>
    <xf numFmtId="39" fontId="32" fillId="0" borderId="0" xfId="40" applyNumberFormat="1" applyFont="1" applyAlignment="1">
      <alignment vertical="center"/>
    </xf>
    <xf numFmtId="0" fontId="2" fillId="2" borderId="0" xfId="61" quotePrefix="1" applyFill="1"/>
    <xf numFmtId="17" fontId="2" fillId="2" borderId="76" xfId="38" applyNumberFormat="1" applyFill="1" applyBorder="1" applyAlignment="1">
      <alignment horizontal="left" indent="1"/>
    </xf>
    <xf numFmtId="4" fontId="0" fillId="0" borderId="26" xfId="0" applyNumberFormat="1" applyBorder="1" applyAlignment="1">
      <alignment horizontal="center"/>
    </xf>
    <xf numFmtId="4" fontId="2" fillId="0" borderId="20" xfId="0" applyNumberFormat="1" applyFont="1" applyBorder="1" applyAlignment="1">
      <alignment horizontal="center"/>
    </xf>
    <xf numFmtId="174" fontId="0" fillId="0" borderId="19" xfId="0" applyNumberFormat="1" applyBorder="1" applyAlignment="1">
      <alignment horizontal="center"/>
    </xf>
    <xf numFmtId="43" fontId="29" fillId="0" borderId="125" xfId="0" applyNumberFormat="1" applyFont="1" applyBorder="1" applyAlignment="1">
      <alignment vertical="center"/>
    </xf>
    <xf numFmtId="43" fontId="29" fillId="0" borderId="126" xfId="0" applyNumberFormat="1" applyFont="1" applyBorder="1" applyAlignment="1">
      <alignment vertical="center"/>
    </xf>
    <xf numFmtId="43" fontId="29" fillId="0" borderId="127" xfId="0" applyNumberFormat="1" applyFont="1" applyBorder="1" applyAlignment="1">
      <alignment vertical="center"/>
    </xf>
    <xf numFmtId="43" fontId="29" fillId="0" borderId="128" xfId="0" applyNumberFormat="1" applyFont="1" applyBorder="1" applyAlignment="1">
      <alignment vertical="center"/>
    </xf>
    <xf numFmtId="43" fontId="63" fillId="0" borderId="128" xfId="0" applyNumberFormat="1" applyFont="1" applyBorder="1" applyAlignment="1">
      <alignment horizontal="center" vertical="center"/>
    </xf>
    <xf numFmtId="43" fontId="29" fillId="0" borderId="129" xfId="0" applyNumberFormat="1" applyFont="1" applyBorder="1" applyAlignment="1">
      <alignment vertical="center"/>
    </xf>
    <xf numFmtId="43" fontId="29" fillId="0" borderId="74" xfId="0" applyNumberFormat="1" applyFont="1" applyBorder="1" applyAlignment="1">
      <alignment vertical="center"/>
    </xf>
    <xf numFmtId="43" fontId="29" fillId="0" borderId="130" xfId="0" applyNumberFormat="1" applyFont="1" applyBorder="1" applyAlignment="1">
      <alignment vertical="center"/>
    </xf>
    <xf numFmtId="43" fontId="29" fillId="0" borderId="94" xfId="0" applyNumberFormat="1" applyFont="1" applyBorder="1" applyAlignment="1">
      <alignment vertical="center"/>
    </xf>
    <xf numFmtId="43" fontId="29" fillId="0" borderId="95" xfId="0" applyNumberFormat="1" applyFont="1" applyBorder="1"/>
    <xf numFmtId="43" fontId="29" fillId="0" borderId="130" xfId="0" applyNumberFormat="1" applyFont="1" applyBorder="1" applyAlignment="1">
      <alignment horizontal="center" vertical="center"/>
    </xf>
    <xf numFmtId="43" fontId="63" fillId="0" borderId="95" xfId="0" applyNumberFormat="1" applyFont="1" applyBorder="1" applyAlignment="1">
      <alignment horizontal="center" vertical="center"/>
    </xf>
    <xf numFmtId="43" fontId="29" fillId="0" borderId="75" xfId="0" applyNumberFormat="1" applyFont="1" applyBorder="1" applyAlignment="1">
      <alignment vertical="center"/>
    </xf>
    <xf numFmtId="43" fontId="29" fillId="0" borderId="96" xfId="0" applyNumberFormat="1" applyFont="1" applyBorder="1" applyAlignment="1">
      <alignment vertical="center"/>
    </xf>
    <xf numFmtId="213" fontId="63" fillId="0" borderId="126" xfId="0" applyNumberFormat="1" applyFont="1" applyBorder="1" applyAlignment="1">
      <alignment horizontal="center" vertical="center"/>
    </xf>
    <xf numFmtId="213" fontId="29" fillId="0" borderId="130" xfId="0" applyNumberFormat="1" applyFont="1" applyBorder="1" applyAlignment="1">
      <alignment horizontal="center" vertical="center"/>
    </xf>
    <xf numFmtId="213" fontId="63" fillId="0" borderId="128" xfId="0" applyNumberFormat="1" applyFont="1" applyBorder="1" applyAlignment="1">
      <alignment horizontal="center" vertical="center"/>
    </xf>
    <xf numFmtId="213" fontId="63" fillId="0" borderId="95" xfId="0" applyNumberFormat="1" applyFont="1" applyBorder="1" applyAlignment="1">
      <alignment horizontal="center" vertical="center"/>
    </xf>
    <xf numFmtId="43" fontId="2" fillId="0" borderId="74" xfId="22" applyNumberFormat="1" applyFont="1" applyFill="1" applyBorder="1" applyAlignment="1">
      <alignment horizontal="right"/>
    </xf>
    <xf numFmtId="43" fontId="2" fillId="0" borderId="74" xfId="22" applyNumberFormat="1" applyFont="1" applyFill="1" applyBorder="1" applyAlignment="1">
      <alignment horizontal="center"/>
    </xf>
    <xf numFmtId="181" fontId="10" fillId="0" borderId="11" xfId="28" applyNumberFormat="1" applyFont="1" applyBorder="1" applyAlignment="1">
      <alignment horizontal="center"/>
    </xf>
    <xf numFmtId="9" fontId="29" fillId="0" borderId="0" xfId="54" applyFont="1" applyFill="1" applyAlignment="1">
      <alignment vertical="center"/>
    </xf>
    <xf numFmtId="17" fontId="66" fillId="5" borderId="185" xfId="28" applyNumberFormat="1" applyFont="1" applyFill="1" applyBorder="1" applyAlignment="1">
      <alignment horizontal="center"/>
    </xf>
    <xf numFmtId="0" fontId="32" fillId="5" borderId="11" xfId="28" applyFont="1" applyFill="1" applyBorder="1" applyAlignment="1">
      <alignment horizontal="centerContinuous"/>
    </xf>
    <xf numFmtId="0" fontId="10" fillId="0" borderId="20" xfId="0" applyFont="1" applyBorder="1" applyAlignment="1">
      <alignment horizontal="center"/>
    </xf>
    <xf numFmtId="17" fontId="10" fillId="0" borderId="12" xfId="0" applyNumberFormat="1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4" fontId="10" fillId="0" borderId="20" xfId="0" applyNumberFormat="1" applyFont="1" applyBorder="1" applyAlignment="1">
      <alignment horizontal="right"/>
    </xf>
    <xf numFmtId="4" fontId="9" fillId="0" borderId="12" xfId="0" applyNumberFormat="1" applyFont="1" applyBorder="1" applyAlignment="1">
      <alignment horizontal="right"/>
    </xf>
    <xf numFmtId="4" fontId="10" fillId="0" borderId="12" xfId="0" applyNumberFormat="1" applyFont="1" applyBorder="1" applyAlignment="1">
      <alignment horizontal="right"/>
    </xf>
    <xf numFmtId="39" fontId="10" fillId="0" borderId="13" xfId="0" applyNumberFormat="1" applyFont="1" applyBorder="1" applyAlignment="1">
      <alignment horizontal="left"/>
    </xf>
    <xf numFmtId="4" fontId="10" fillId="0" borderId="186" xfId="0" applyNumberFormat="1" applyFont="1" applyBorder="1" applyAlignment="1">
      <alignment vertical="center"/>
    </xf>
    <xf numFmtId="4" fontId="10" fillId="0" borderId="187" xfId="0" applyNumberFormat="1" applyFont="1" applyBorder="1" applyAlignment="1">
      <alignment vertical="center"/>
    </xf>
    <xf numFmtId="4" fontId="9" fillId="0" borderId="55" xfId="0" applyNumberFormat="1" applyFont="1" applyBorder="1" applyAlignment="1">
      <alignment vertical="center"/>
    </xf>
    <xf numFmtId="169" fontId="9" fillId="0" borderId="55" xfId="0" applyNumberFormat="1" applyFont="1" applyBorder="1"/>
    <xf numFmtId="4" fontId="10" fillId="0" borderId="55" xfId="0" applyNumberFormat="1" applyFont="1" applyBorder="1" applyAlignment="1">
      <alignment vertical="center"/>
    </xf>
    <xf numFmtId="169" fontId="10" fillId="0" borderId="55" xfId="0" applyNumberFormat="1" applyFont="1" applyBorder="1" applyAlignment="1">
      <alignment vertical="center"/>
    </xf>
    <xf numFmtId="4" fontId="10" fillId="0" borderId="188" xfId="0" applyNumberFormat="1" applyFont="1" applyBorder="1" applyAlignment="1">
      <alignment vertical="center"/>
    </xf>
    <xf numFmtId="193" fontId="29" fillId="0" borderId="0" xfId="0" applyNumberFormat="1" applyFont="1"/>
    <xf numFmtId="43" fontId="29" fillId="0" borderId="0" xfId="0" applyNumberFormat="1" applyFont="1" applyAlignment="1">
      <alignment vertical="center"/>
    </xf>
    <xf numFmtId="0" fontId="29" fillId="0" borderId="189" xfId="46" applyFont="1" applyBorder="1" applyAlignment="1">
      <alignment horizontal="left" indent="1"/>
    </xf>
    <xf numFmtId="0" fontId="29" fillId="0" borderId="190" xfId="0" applyFont="1" applyBorder="1" applyAlignment="1">
      <alignment horizontal="left" indent="1"/>
    </xf>
    <xf numFmtId="0" fontId="29" fillId="0" borderId="190" xfId="0" applyFont="1" applyBorder="1" applyAlignment="1">
      <alignment horizontal="center"/>
    </xf>
    <xf numFmtId="43" fontId="29" fillId="0" borderId="190" xfId="0" applyNumberFormat="1" applyFont="1" applyBorder="1" applyAlignment="1">
      <alignment horizontal="right"/>
    </xf>
    <xf numFmtId="43" fontId="63" fillId="0" borderId="190" xfId="0" applyNumberFormat="1" applyFont="1" applyBorder="1" applyAlignment="1">
      <alignment horizontal="right" vertical="center"/>
    </xf>
    <xf numFmtId="43" fontId="29" fillId="0" borderId="190" xfId="22" applyNumberFormat="1" applyFont="1" applyBorder="1" applyAlignment="1">
      <alignment vertical="center"/>
    </xf>
    <xf numFmtId="43" fontId="29" fillId="0" borderId="190" xfId="22" applyNumberFormat="1" applyFont="1" applyBorder="1" applyProtection="1"/>
    <xf numFmtId="43" fontId="29" fillId="0" borderId="190" xfId="0" applyNumberFormat="1" applyFont="1" applyBorder="1"/>
    <xf numFmtId="43" fontId="29" fillId="0" borderId="190" xfId="54" applyNumberFormat="1" applyFont="1" applyBorder="1"/>
    <xf numFmtId="43" fontId="29" fillId="0" borderId="191" xfId="54" applyNumberFormat="1" applyFont="1" applyBorder="1" applyProtection="1"/>
    <xf numFmtId="0" fontId="29" fillId="0" borderId="192" xfId="46" applyFont="1" applyBorder="1" applyAlignment="1">
      <alignment horizontal="left" indent="1"/>
    </xf>
    <xf numFmtId="0" fontId="29" fillId="0" borderId="193" xfId="0" applyFont="1" applyBorder="1" applyAlignment="1">
      <alignment horizontal="left" indent="1"/>
    </xf>
    <xf numFmtId="0" fontId="29" fillId="0" borderId="193" xfId="0" applyFont="1" applyBorder="1" applyAlignment="1">
      <alignment horizontal="center"/>
    </xf>
    <xf numFmtId="43" fontId="29" fillId="0" borderId="193" xfId="0" applyNumberFormat="1" applyFont="1" applyBorder="1" applyAlignment="1">
      <alignment horizontal="right"/>
    </xf>
    <xf numFmtId="43" fontId="63" fillId="0" borderId="193" xfId="0" applyNumberFormat="1" applyFont="1" applyBorder="1" applyAlignment="1">
      <alignment horizontal="right" vertical="center"/>
    </xf>
    <xf numFmtId="43" fontId="29" fillId="0" borderId="193" xfId="22" applyNumberFormat="1" applyFont="1" applyBorder="1" applyAlignment="1">
      <alignment vertical="center"/>
    </xf>
    <xf numFmtId="43" fontId="29" fillId="0" borderId="193" xfId="22" applyNumberFormat="1" applyFont="1" applyBorder="1" applyProtection="1"/>
    <xf numFmtId="43" fontId="29" fillId="0" borderId="193" xfId="0" applyNumberFormat="1" applyFont="1" applyBorder="1"/>
    <xf numFmtId="43" fontId="29" fillId="0" borderId="193" xfId="54" applyNumberFormat="1" applyFont="1" applyBorder="1"/>
    <xf numFmtId="43" fontId="29" fillId="0" borderId="194" xfId="54" applyNumberFormat="1" applyFont="1" applyBorder="1" applyProtection="1"/>
    <xf numFmtId="0" fontId="3" fillId="0" borderId="0" xfId="0" applyFont="1" applyAlignment="1">
      <alignment horizontal="center"/>
    </xf>
    <xf numFmtId="39" fontId="6" fillId="0" borderId="0" xfId="0" applyNumberFormat="1" applyFont="1" applyAlignment="1">
      <alignment horizontal="center" wrapText="1"/>
    </xf>
    <xf numFmtId="43" fontId="29" fillId="0" borderId="10" xfId="0" applyNumberFormat="1" applyFont="1" applyBorder="1" applyAlignment="1">
      <alignment vertical="center"/>
    </xf>
    <xf numFmtId="43" fontId="63" fillId="0" borderId="10" xfId="0" applyNumberFormat="1" applyFont="1" applyBorder="1" applyAlignment="1">
      <alignment vertical="center"/>
    </xf>
    <xf numFmtId="43" fontId="59" fillId="0" borderId="10" xfId="0" applyNumberFormat="1" applyFont="1" applyBorder="1" applyAlignment="1">
      <alignment vertical="center"/>
    </xf>
    <xf numFmtId="43" fontId="59" fillId="0" borderId="11" xfId="0" applyNumberFormat="1" applyFont="1" applyBorder="1" applyAlignment="1">
      <alignment vertical="center"/>
    </xf>
    <xf numFmtId="207" fontId="1" fillId="0" borderId="0" xfId="0" applyNumberFormat="1" applyFont="1" applyAlignment="1">
      <alignment horizontal="left"/>
    </xf>
    <xf numFmtId="43" fontId="15" fillId="0" borderId="150" xfId="0" applyNumberFormat="1" applyFont="1" applyBorder="1"/>
    <xf numFmtId="43" fontId="15" fillId="0" borderId="125" xfId="0" applyNumberFormat="1" applyFont="1" applyBorder="1"/>
    <xf numFmtId="43" fontId="15" fillId="0" borderId="95" xfId="0" applyNumberFormat="1" applyFont="1" applyBorder="1"/>
    <xf numFmtId="43" fontId="15" fillId="0" borderId="74" xfId="0" applyNumberFormat="1" applyFont="1" applyBorder="1"/>
    <xf numFmtId="0" fontId="15" fillId="5" borderId="41" xfId="0" applyFont="1" applyFill="1" applyBorder="1" applyAlignment="1">
      <alignment horizontal="center" vertical="center" wrapText="1"/>
    </xf>
    <xf numFmtId="4" fontId="6" fillId="0" borderId="2" xfId="0" applyNumberFormat="1" applyFont="1" applyBorder="1"/>
    <xf numFmtId="205" fontId="6" fillId="0" borderId="2" xfId="0" applyNumberFormat="1" applyFont="1" applyBorder="1"/>
    <xf numFmtId="4" fontId="6" fillId="0" borderId="74" xfId="0" applyNumberFormat="1" applyFont="1" applyBorder="1" applyAlignment="1">
      <alignment horizontal="right"/>
    </xf>
    <xf numFmtId="205" fontId="6" fillId="0" borderId="146" xfId="0" applyNumberFormat="1" applyFont="1" applyBorder="1" applyAlignment="1">
      <alignment horizontal="center"/>
    </xf>
    <xf numFmtId="4" fontId="6" fillId="0" borderId="146" xfId="0" applyNumberFormat="1" applyFont="1" applyBorder="1" applyAlignment="1">
      <alignment horizontal="right"/>
    </xf>
    <xf numFmtId="0" fontId="6" fillId="0" borderId="37" xfId="0" applyFont="1" applyBorder="1"/>
    <xf numFmtId="4" fontId="6" fillId="0" borderId="37" xfId="0" applyNumberFormat="1" applyFont="1" applyBorder="1"/>
    <xf numFmtId="0" fontId="15" fillId="0" borderId="41" xfId="0" applyFont="1" applyBorder="1" applyAlignment="1">
      <alignment horizontal="center" vertical="center" wrapText="1"/>
    </xf>
    <xf numFmtId="4" fontId="6" fillId="0" borderId="146" xfId="0" applyNumberFormat="1" applyFont="1" applyBorder="1"/>
    <xf numFmtId="4" fontId="15" fillId="0" borderId="45" xfId="0" applyNumberFormat="1" applyFont="1" applyBorder="1" applyAlignment="1">
      <alignment horizontal="right"/>
    </xf>
    <xf numFmtId="4" fontId="15" fillId="0" borderId="195" xfId="0" applyNumberFormat="1" applyFont="1" applyBorder="1" applyAlignment="1">
      <alignment horizontal="right"/>
    </xf>
    <xf numFmtId="0" fontId="15" fillId="0" borderId="33" xfId="0" applyFont="1" applyBorder="1"/>
    <xf numFmtId="0" fontId="6" fillId="0" borderId="34" xfId="0" applyFont="1" applyBorder="1"/>
    <xf numFmtId="4" fontId="6" fillId="0" borderId="196" xfId="0" applyNumberFormat="1" applyFont="1" applyBorder="1"/>
    <xf numFmtId="205" fontId="6" fillId="0" borderId="74" xfId="0" applyNumberFormat="1" applyFont="1" applyBorder="1" applyAlignment="1">
      <alignment horizontal="center"/>
    </xf>
    <xf numFmtId="43" fontId="15" fillId="0" borderId="41" xfId="0" applyNumberFormat="1" applyFont="1" applyBorder="1" applyAlignment="1">
      <alignment vertical="center"/>
    </xf>
    <xf numFmtId="43" fontId="15" fillId="0" borderId="140" xfId="0" applyNumberFormat="1" applyFont="1" applyBorder="1" applyAlignment="1">
      <alignment vertical="center"/>
    </xf>
    <xf numFmtId="43" fontId="15" fillId="0" borderId="56" xfId="0" applyNumberFormat="1" applyFont="1" applyBorder="1" applyAlignment="1">
      <alignment horizontal="right" vertical="center"/>
    </xf>
    <xf numFmtId="43" fontId="15" fillId="0" borderId="51" xfId="0" applyNumberFormat="1" applyFont="1" applyBorder="1"/>
    <xf numFmtId="43" fontId="15" fillId="0" borderId="75" xfId="0" applyNumberFormat="1" applyFont="1" applyBorder="1"/>
    <xf numFmtId="43" fontId="73" fillId="0" borderId="75" xfId="0" applyNumberFormat="1" applyFont="1" applyBorder="1"/>
    <xf numFmtId="43" fontId="73" fillId="0" borderId="27" xfId="0" applyNumberFormat="1" applyFont="1" applyBorder="1"/>
    <xf numFmtId="43" fontId="73" fillId="0" borderId="41" xfId="0" applyNumberFormat="1" applyFont="1" applyBorder="1"/>
    <xf numFmtId="43" fontId="32" fillId="0" borderId="0" xfId="0" applyNumberFormat="1" applyFont="1"/>
    <xf numFmtId="43" fontId="66" fillId="0" borderId="11" xfId="0" applyNumberFormat="1" applyFont="1" applyBorder="1"/>
    <xf numFmtId="43" fontId="66" fillId="0" borderId="41" xfId="0" applyNumberFormat="1" applyFont="1" applyBorder="1"/>
    <xf numFmtId="43" fontId="6" fillId="0" borderId="0" xfId="0" applyNumberFormat="1" applyFont="1"/>
    <xf numFmtId="43" fontId="6" fillId="0" borderId="27" xfId="0" applyNumberFormat="1" applyFont="1" applyBorder="1"/>
    <xf numFmtId="43" fontId="6" fillId="0" borderId="15" xfId="0" applyNumberFormat="1" applyFont="1" applyBorder="1"/>
    <xf numFmtId="43" fontId="6" fillId="0" borderId="57" xfId="0" applyNumberFormat="1" applyFont="1" applyBorder="1"/>
    <xf numFmtId="215" fontId="2" fillId="0" borderId="0" xfId="0" applyNumberFormat="1" applyFont="1"/>
    <xf numFmtId="37" fontId="119" fillId="0" borderId="197" xfId="39" applyNumberFormat="1" applyFont="1" applyBorder="1" applyAlignment="1">
      <alignment horizontal="left" vertical="center" indent="1"/>
    </xf>
    <xf numFmtId="0" fontId="119" fillId="0" borderId="196" xfId="0" applyFont="1" applyBorder="1" applyAlignment="1">
      <alignment horizontal="left" indent="1"/>
    </xf>
    <xf numFmtId="0" fontId="52" fillId="0" borderId="196" xfId="0" applyFont="1" applyBorder="1"/>
    <xf numFmtId="43" fontId="52" fillId="0" borderId="196" xfId="0" applyNumberFormat="1" applyFont="1" applyBorder="1" applyAlignment="1">
      <alignment horizontal="center"/>
    </xf>
    <xf numFmtId="43" fontId="119" fillId="0" borderId="196" xfId="46" applyNumberFormat="1" applyFont="1" applyBorder="1"/>
    <xf numFmtId="43" fontId="64" fillId="0" borderId="196" xfId="0" applyNumberFormat="1" applyFont="1" applyBorder="1"/>
    <xf numFmtId="43" fontId="43" fillId="0" borderId="196" xfId="0" applyNumberFormat="1" applyFont="1" applyBorder="1" applyAlignment="1">
      <alignment horizontal="right" vertical="center"/>
    </xf>
    <xf numFmtId="43" fontId="43" fillId="0" borderId="196" xfId="54" applyNumberFormat="1" applyFont="1" applyBorder="1"/>
    <xf numFmtId="43" fontId="43" fillId="0" borderId="198" xfId="54" applyNumberFormat="1" applyFont="1" applyBorder="1" applyProtection="1"/>
    <xf numFmtId="0" fontId="29" fillId="0" borderId="177" xfId="46" applyFont="1" applyBorder="1" applyAlignment="1">
      <alignment horizontal="left" indent="1"/>
    </xf>
    <xf numFmtId="0" fontId="29" fillId="0" borderId="131" xfId="0" applyFont="1" applyBorder="1" applyAlignment="1">
      <alignment horizontal="left" indent="1"/>
    </xf>
    <xf numFmtId="43" fontId="29" fillId="0" borderId="131" xfId="0" applyNumberFormat="1" applyFont="1" applyBorder="1" applyAlignment="1">
      <alignment horizontal="right"/>
    </xf>
    <xf numFmtId="43" fontId="63" fillId="0" borderId="131" xfId="0" applyNumberFormat="1" applyFont="1" applyBorder="1" applyAlignment="1">
      <alignment horizontal="right" vertical="center"/>
    </xf>
    <xf numFmtId="43" fontId="29" fillId="0" borderId="131" xfId="22" applyNumberFormat="1" applyFont="1" applyBorder="1" applyAlignment="1">
      <alignment vertical="center"/>
    </xf>
    <xf numFmtId="43" fontId="29" fillId="0" borderId="131" xfId="22" applyNumberFormat="1" applyFont="1" applyBorder="1" applyProtection="1"/>
    <xf numFmtId="43" fontId="29" fillId="0" borderId="131" xfId="0" applyNumberFormat="1" applyFont="1" applyBorder="1"/>
    <xf numFmtId="43" fontId="29" fillId="0" borderId="131" xfId="54" applyNumberFormat="1" applyFont="1" applyBorder="1"/>
    <xf numFmtId="43" fontId="29" fillId="0" borderId="178" xfId="54" applyNumberFormat="1" applyFont="1" applyBorder="1" applyProtection="1"/>
    <xf numFmtId="174" fontId="116" fillId="0" borderId="0" xfId="0" applyNumberFormat="1" applyFont="1" applyAlignment="1">
      <alignment vertical="center"/>
    </xf>
    <xf numFmtId="4" fontId="10" fillId="0" borderId="19" xfId="0" applyNumberFormat="1" applyFont="1" applyBorder="1" applyAlignment="1">
      <alignment horizontal="right"/>
    </xf>
    <xf numFmtId="4" fontId="9" fillId="0" borderId="2" xfId="0" applyNumberFormat="1" applyFont="1" applyBorder="1" applyAlignment="1">
      <alignment horizontal="right"/>
    </xf>
    <xf numFmtId="4" fontId="10" fillId="0" borderId="2" xfId="0" applyNumberFormat="1" applyFont="1" applyBorder="1" applyAlignment="1">
      <alignment horizontal="right"/>
    </xf>
    <xf numFmtId="39" fontId="10" fillId="0" borderId="4" xfId="0" applyNumberFormat="1" applyFont="1" applyBorder="1" applyAlignment="1">
      <alignment horizontal="left"/>
    </xf>
    <xf numFmtId="4" fontId="10" fillId="0" borderId="195" xfId="0" applyNumberFormat="1" applyFont="1" applyBorder="1" applyAlignment="1">
      <alignment vertical="center"/>
    </xf>
    <xf numFmtId="4" fontId="10" fillId="0" borderId="45" xfId="0" applyNumberFormat="1" applyFont="1" applyBorder="1" applyAlignment="1">
      <alignment vertical="center"/>
    </xf>
    <xf numFmtId="4" fontId="9" fillId="0" borderId="41" xfId="0" applyNumberFormat="1" applyFont="1" applyBorder="1" applyAlignment="1">
      <alignment vertical="center"/>
    </xf>
    <xf numFmtId="169" fontId="9" fillId="0" borderId="41" xfId="0" applyNumberFormat="1" applyFont="1" applyBorder="1"/>
    <xf numFmtId="4" fontId="10" fillId="0" borderId="41" xfId="0" applyNumberFormat="1" applyFont="1" applyBorder="1" applyAlignment="1">
      <alignment vertical="center"/>
    </xf>
    <xf numFmtId="169" fontId="10" fillId="0" borderId="41" xfId="0" applyNumberFormat="1" applyFont="1" applyBorder="1" applyAlignment="1">
      <alignment vertical="center"/>
    </xf>
    <xf numFmtId="4" fontId="10" fillId="0" borderId="43" xfId="0" applyNumberFormat="1" applyFont="1" applyBorder="1" applyAlignment="1">
      <alignment vertical="center"/>
    </xf>
    <xf numFmtId="17" fontId="10" fillId="0" borderId="2" xfId="0" applyNumberFormat="1" applyFont="1" applyBorder="1" applyAlignment="1">
      <alignment horizontal="center"/>
    </xf>
    <xf numFmtId="39" fontId="59" fillId="0" borderId="10" xfId="0" applyNumberFormat="1" applyFont="1" applyBorder="1" applyAlignment="1">
      <alignment horizontal="centerContinuous" vertical="center"/>
    </xf>
    <xf numFmtId="43" fontId="29" fillId="0" borderId="74" xfId="22" applyNumberFormat="1" applyFont="1" applyFill="1" applyBorder="1" applyProtection="1"/>
    <xf numFmtId="43" fontId="29" fillId="0" borderId="131" xfId="22" applyNumberFormat="1" applyFont="1" applyFill="1" applyBorder="1" applyProtection="1"/>
    <xf numFmtId="43" fontId="29" fillId="0" borderId="190" xfId="22" applyNumberFormat="1" applyFont="1" applyFill="1" applyBorder="1" applyProtection="1"/>
    <xf numFmtId="43" fontId="29" fillId="0" borderId="193" xfId="22" applyNumberFormat="1" applyFont="1" applyFill="1" applyBorder="1" applyProtection="1"/>
    <xf numFmtId="43" fontId="111" fillId="0" borderId="74" xfId="22" applyNumberFormat="1" applyFont="1" applyFill="1" applyBorder="1" applyProtection="1"/>
    <xf numFmtId="43" fontId="112" fillId="0" borderId="74" xfId="22" applyNumberFormat="1" applyFont="1" applyFill="1" applyBorder="1" applyProtection="1"/>
    <xf numFmtId="205" fontId="10" fillId="9" borderId="11" xfId="28" applyNumberFormat="1" applyFont="1" applyFill="1" applyBorder="1" applyAlignment="1">
      <alignment horizontal="center"/>
    </xf>
    <xf numFmtId="10" fontId="2" fillId="0" borderId="0" xfId="54" applyNumberFormat="1"/>
    <xf numFmtId="0" fontId="103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1"/>
    </xf>
    <xf numFmtId="0" fontId="40" fillId="0" borderId="0" xfId="0" applyFont="1" applyAlignment="1">
      <alignment horizontal="left" vertical="top" wrapText="1" indent="1"/>
    </xf>
    <xf numFmtId="0" fontId="37" fillId="0" borderId="0" xfId="0" applyFont="1" applyAlignment="1">
      <alignment horizontal="center"/>
    </xf>
    <xf numFmtId="0" fontId="38" fillId="0" borderId="0" xfId="28" applyFont="1" applyAlignment="1">
      <alignment horizontal="center"/>
    </xf>
    <xf numFmtId="0" fontId="38" fillId="7" borderId="182" xfId="0" applyFont="1" applyFill="1" applyBorder="1" applyAlignment="1">
      <alignment horizontal="center" vertical="center"/>
    </xf>
    <xf numFmtId="0" fontId="38" fillId="7" borderId="183" xfId="0" applyFont="1" applyFill="1" applyBorder="1" applyAlignment="1">
      <alignment horizontal="center" vertical="center"/>
    </xf>
    <xf numFmtId="0" fontId="38" fillId="7" borderId="33" xfId="0" applyFont="1" applyFill="1" applyBorder="1" applyAlignment="1">
      <alignment horizontal="center" vertical="center"/>
    </xf>
    <xf numFmtId="0" fontId="38" fillId="7" borderId="22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2" fontId="29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 vertical="center" wrapText="1"/>
    </xf>
    <xf numFmtId="0" fontId="38" fillId="7" borderId="19" xfId="0" applyFont="1" applyFill="1" applyBorder="1" applyAlignment="1">
      <alignment horizontal="center" vertical="center"/>
    </xf>
    <xf numFmtId="0" fontId="38" fillId="7" borderId="2" xfId="0" applyFont="1" applyFill="1" applyBorder="1" applyAlignment="1">
      <alignment horizontal="center" vertical="center"/>
    </xf>
    <xf numFmtId="0" fontId="38" fillId="7" borderId="4" xfId="0" applyFont="1" applyFill="1" applyBorder="1" applyAlignment="1">
      <alignment horizontal="center" vertical="center"/>
    </xf>
    <xf numFmtId="0" fontId="38" fillId="7" borderId="118" xfId="0" applyFont="1" applyFill="1" applyBorder="1" applyAlignment="1">
      <alignment horizontal="center" vertical="center"/>
    </xf>
    <xf numFmtId="0" fontId="38" fillId="7" borderId="181" xfId="0" applyFont="1" applyFill="1" applyBorder="1" applyAlignment="1">
      <alignment horizontal="center" vertical="center"/>
    </xf>
    <xf numFmtId="0" fontId="38" fillId="7" borderId="150" xfId="0" applyFont="1" applyFill="1" applyBorder="1" applyAlignment="1">
      <alignment horizontal="center" vertical="center"/>
    </xf>
    <xf numFmtId="0" fontId="38" fillId="7" borderId="165" xfId="0" applyFont="1" applyFill="1" applyBorder="1" applyAlignment="1">
      <alignment horizontal="center" vertical="center"/>
    </xf>
    <xf numFmtId="0" fontId="38" fillId="7" borderId="83" xfId="0" applyFont="1" applyFill="1" applyBorder="1" applyAlignment="1">
      <alignment horizontal="center" vertical="center"/>
    </xf>
    <xf numFmtId="0" fontId="38" fillId="7" borderId="166" xfId="0" applyFont="1" applyFill="1" applyBorder="1" applyAlignment="1">
      <alignment horizontal="center" vertical="center"/>
    </xf>
    <xf numFmtId="0" fontId="38" fillId="7" borderId="179" xfId="0" applyFont="1" applyFill="1" applyBorder="1" applyAlignment="1">
      <alignment horizontal="center" vertical="center"/>
    </xf>
    <xf numFmtId="0" fontId="38" fillId="7" borderId="44" xfId="0" applyFont="1" applyFill="1" applyBorder="1" applyAlignment="1">
      <alignment horizontal="center" vertical="center"/>
    </xf>
    <xf numFmtId="0" fontId="38" fillId="7" borderId="180" xfId="0" applyFont="1" applyFill="1" applyBorder="1" applyAlignment="1">
      <alignment horizontal="center" vertical="center"/>
    </xf>
    <xf numFmtId="0" fontId="38" fillId="7" borderId="19" xfId="0" applyFont="1" applyFill="1" applyBorder="1" applyAlignment="1">
      <alignment horizontal="center" vertical="center" wrapText="1"/>
    </xf>
    <xf numFmtId="0" fontId="38" fillId="7" borderId="2" xfId="0" applyFont="1" applyFill="1" applyBorder="1" applyAlignment="1">
      <alignment horizontal="center" vertical="center" wrapText="1"/>
    </xf>
    <xf numFmtId="0" fontId="38" fillId="7" borderId="4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2" fillId="5" borderId="37" xfId="28" applyFont="1" applyFill="1" applyBorder="1" applyAlignment="1">
      <alignment horizontal="center" vertical="center" wrapText="1"/>
    </xf>
    <xf numFmtId="0" fontId="32" fillId="5" borderId="4" xfId="28" applyFont="1" applyFill="1" applyBorder="1" applyAlignment="1">
      <alignment horizontal="center" vertical="center" wrapText="1"/>
    </xf>
    <xf numFmtId="0" fontId="32" fillId="5" borderId="36" xfId="28" applyFont="1" applyFill="1" applyBorder="1" applyAlignment="1">
      <alignment horizontal="center" vertical="center" wrapText="1"/>
    </xf>
    <xf numFmtId="0" fontId="32" fillId="5" borderId="3" xfId="28" applyFont="1" applyFill="1" applyBorder="1" applyAlignment="1">
      <alignment horizontal="center" vertical="center" wrapText="1"/>
    </xf>
    <xf numFmtId="0" fontId="32" fillId="5" borderId="14" xfId="28" applyFont="1" applyFill="1" applyBorder="1" applyAlignment="1">
      <alignment horizontal="center" vertical="center" wrapText="1"/>
    </xf>
    <xf numFmtId="0" fontId="32" fillId="5" borderId="51" xfId="28" applyFont="1" applyFill="1" applyBorder="1" applyAlignment="1">
      <alignment horizontal="center" vertical="center" wrapText="1"/>
    </xf>
    <xf numFmtId="0" fontId="32" fillId="5" borderId="164" xfId="28" applyFont="1" applyFill="1" applyBorder="1" applyAlignment="1">
      <alignment horizontal="center" vertical="center" wrapText="1"/>
    </xf>
    <xf numFmtId="0" fontId="32" fillId="5" borderId="40" xfId="28" applyFont="1" applyFill="1" applyBorder="1" applyAlignment="1">
      <alignment horizontal="center" vertical="center" wrapText="1"/>
    </xf>
    <xf numFmtId="0" fontId="32" fillId="5" borderId="37" xfId="28" applyFont="1" applyFill="1" applyBorder="1" applyAlignment="1">
      <alignment horizontal="center" vertical="center"/>
    </xf>
    <xf numFmtId="0" fontId="32" fillId="5" borderId="4" xfId="28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39" fontId="6" fillId="0" borderId="0" xfId="0" applyNumberFormat="1" applyFont="1" applyAlignment="1">
      <alignment horizontal="center" vertical="center" wrapText="1"/>
    </xf>
    <xf numFmtId="39" fontId="63" fillId="5" borderId="37" xfId="0" applyNumberFormat="1" applyFont="1" applyFill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204" fontId="38" fillId="0" borderId="10" xfId="0" applyNumberFormat="1" applyFont="1" applyBorder="1" applyAlignment="1">
      <alignment vertical="center"/>
    </xf>
    <xf numFmtId="204" fontId="38" fillId="0" borderId="11" xfId="0" applyNumberFormat="1" applyFont="1" applyBorder="1" applyAlignment="1">
      <alignment vertical="center"/>
    </xf>
    <xf numFmtId="204" fontId="38" fillId="0" borderId="0" xfId="0" applyNumberFormat="1" applyFont="1" applyAlignment="1">
      <alignment vertical="center"/>
    </xf>
    <xf numFmtId="39" fontId="59" fillId="5" borderId="36" xfId="0" applyNumberFormat="1" applyFont="1" applyFill="1" applyBorder="1" applyAlignment="1">
      <alignment horizontal="center" vertical="center"/>
    </xf>
    <xf numFmtId="39" fontId="59" fillId="5" borderId="14" xfId="0" applyNumberFormat="1" applyFont="1" applyFill="1" applyBorder="1" applyAlignment="1">
      <alignment horizontal="center" vertical="center"/>
    </xf>
    <xf numFmtId="39" fontId="59" fillId="5" borderId="54" xfId="0" applyNumberFormat="1" applyFont="1" applyFill="1" applyBorder="1" applyAlignment="1">
      <alignment horizontal="center" vertical="center"/>
    </xf>
    <xf numFmtId="39" fontId="59" fillId="5" borderId="15" xfId="0" applyNumberFormat="1" applyFont="1" applyFill="1" applyBorder="1" applyAlignment="1">
      <alignment horizontal="center" vertical="center"/>
    </xf>
    <xf numFmtId="39" fontId="59" fillId="5" borderId="37" xfId="0" applyNumberFormat="1" applyFont="1" applyFill="1" applyBorder="1" applyAlignment="1">
      <alignment horizontal="center" vertical="center"/>
    </xf>
    <xf numFmtId="39" fontId="38" fillId="5" borderId="36" xfId="0" applyNumberFormat="1" applyFont="1" applyFill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/>
    </xf>
    <xf numFmtId="0" fontId="59" fillId="0" borderId="37" xfId="41" applyFont="1" applyBorder="1" applyAlignment="1">
      <alignment horizontal="center" vertical="center" wrapText="1"/>
    </xf>
    <xf numFmtId="0" fontId="59" fillId="0" borderId="45" xfId="41" applyFont="1" applyBorder="1" applyAlignment="1">
      <alignment horizontal="center" vertical="center"/>
    </xf>
    <xf numFmtId="0" fontId="59" fillId="0" borderId="37" xfId="41" applyFont="1" applyBorder="1" applyAlignment="1">
      <alignment horizontal="center" vertical="center"/>
    </xf>
    <xf numFmtId="0" fontId="59" fillId="0" borderId="36" xfId="41" applyFont="1" applyBorder="1" applyAlignment="1">
      <alignment horizontal="center" vertical="center"/>
    </xf>
    <xf numFmtId="0" fontId="59" fillId="0" borderId="51" xfId="41" applyFont="1" applyBorder="1" applyAlignment="1">
      <alignment horizontal="center" vertical="center"/>
    </xf>
    <xf numFmtId="0" fontId="59" fillId="0" borderId="54" xfId="41" applyFont="1" applyBorder="1" applyAlignment="1">
      <alignment horizontal="center" vertical="center"/>
    </xf>
    <xf numFmtId="0" fontId="59" fillId="0" borderId="57" xfId="41" applyFont="1" applyBorder="1" applyAlignment="1">
      <alignment horizontal="center" vertical="center"/>
    </xf>
    <xf numFmtId="0" fontId="0" fillId="0" borderId="5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5" fillId="0" borderId="56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36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15" fillId="0" borderId="57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95" fillId="0" borderId="0" xfId="0" applyFont="1" applyAlignment="1">
      <alignment horizontal="center"/>
    </xf>
    <xf numFmtId="0" fontId="15" fillId="0" borderId="1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18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5" fillId="0" borderId="37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96" fillId="0" borderId="56" xfId="0" applyFont="1" applyBorder="1" applyAlignment="1">
      <alignment horizontal="center"/>
    </xf>
    <xf numFmtId="0" fontId="96" fillId="0" borderId="10" xfId="0" applyFont="1" applyBorder="1" applyAlignment="1">
      <alignment horizontal="center"/>
    </xf>
    <xf numFmtId="0" fontId="96" fillId="0" borderId="11" xfId="0" applyFont="1" applyBorder="1" applyAlignment="1">
      <alignment horizontal="center"/>
    </xf>
    <xf numFmtId="0" fontId="97" fillId="0" borderId="56" xfId="0" applyFont="1" applyBorder="1" applyAlignment="1">
      <alignment horizontal="center"/>
    </xf>
    <xf numFmtId="0" fontId="97" fillId="0" borderId="10" xfId="0" applyFont="1" applyBorder="1" applyAlignment="1">
      <alignment horizontal="center"/>
    </xf>
    <xf numFmtId="0" fontId="97" fillId="0" borderId="11" xfId="0" applyFont="1" applyBorder="1" applyAlignment="1">
      <alignment horizontal="center"/>
    </xf>
    <xf numFmtId="0" fontId="15" fillId="0" borderId="56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5" fillId="5" borderId="36" xfId="0" applyFont="1" applyFill="1" applyBorder="1" applyAlignment="1">
      <alignment horizontal="center" vertical="center" wrapText="1"/>
    </xf>
    <xf numFmtId="0" fontId="15" fillId="5" borderId="51" xfId="0" applyFont="1" applyFill="1" applyBorder="1" applyAlignment="1">
      <alignment horizontal="center" vertical="center" wrapText="1"/>
    </xf>
    <xf numFmtId="0" fontId="15" fillId="5" borderId="54" xfId="0" applyFont="1" applyFill="1" applyBorder="1" applyAlignment="1">
      <alignment horizontal="center" vertical="center" wrapText="1"/>
    </xf>
    <xf numFmtId="0" fontId="15" fillId="5" borderId="57" xfId="0" applyFont="1" applyFill="1" applyBorder="1" applyAlignment="1">
      <alignment horizontal="center" vertical="center" wrapText="1"/>
    </xf>
    <xf numFmtId="0" fontId="15" fillId="5" borderId="56" xfId="0" applyFont="1" applyFill="1" applyBorder="1" applyAlignment="1">
      <alignment horizontal="center"/>
    </xf>
    <xf numFmtId="0" fontId="15" fillId="5" borderId="11" xfId="0" applyFont="1" applyFill="1" applyBorder="1" applyAlignment="1">
      <alignment horizontal="center"/>
    </xf>
    <xf numFmtId="0" fontId="15" fillId="5" borderId="37" xfId="0" applyFont="1" applyFill="1" applyBorder="1" applyAlignment="1">
      <alignment horizontal="center" vertical="center" wrapText="1"/>
    </xf>
    <xf numFmtId="0" fontId="15" fillId="5" borderId="45" xfId="0" applyFont="1" applyFill="1" applyBorder="1" applyAlignment="1">
      <alignment horizontal="center" vertical="center" wrapText="1"/>
    </xf>
    <xf numFmtId="0" fontId="15" fillId="5" borderId="37" xfId="0" applyFont="1" applyFill="1" applyBorder="1" applyAlignment="1">
      <alignment horizontal="center" vertical="center"/>
    </xf>
    <xf numFmtId="0" fontId="15" fillId="5" borderId="45" xfId="0" applyFont="1" applyFill="1" applyBorder="1" applyAlignment="1">
      <alignment horizontal="center" vertical="center"/>
    </xf>
    <xf numFmtId="0" fontId="15" fillId="5" borderId="10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5" fillId="5" borderId="7" xfId="0" applyFont="1" applyFill="1" applyBorder="1" applyAlignment="1">
      <alignment horizontal="center" vertical="center" wrapText="1"/>
    </xf>
    <xf numFmtId="0" fontId="15" fillId="5" borderId="27" xfId="0" applyFont="1" applyFill="1" applyBorder="1" applyAlignment="1">
      <alignment horizontal="center" vertical="center" wrapText="1"/>
    </xf>
    <xf numFmtId="0" fontId="6" fillId="5" borderId="45" xfId="0" applyFont="1" applyFill="1" applyBorder="1" applyAlignment="1">
      <alignment horizontal="center" vertical="center" wrapText="1"/>
    </xf>
    <xf numFmtId="0" fontId="15" fillId="5" borderId="56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96" fillId="0" borderId="37" xfId="0" applyFont="1" applyBorder="1" applyAlignment="1">
      <alignment horizontal="center" vertical="center" wrapText="1"/>
    </xf>
    <xf numFmtId="0" fontId="96" fillId="0" borderId="45" xfId="0" applyFont="1" applyBorder="1" applyAlignment="1">
      <alignment horizontal="center" vertical="center" wrapText="1"/>
    </xf>
    <xf numFmtId="39" fontId="6" fillId="0" borderId="0" xfId="0" applyNumberFormat="1" applyFont="1" applyAlignment="1">
      <alignment horizontal="center" wrapText="1"/>
    </xf>
    <xf numFmtId="0" fontId="15" fillId="5" borderId="41" xfId="0" applyFont="1" applyFill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96" fillId="0" borderId="37" xfId="0" applyFont="1" applyBorder="1" applyAlignment="1">
      <alignment horizontal="center" vertical="center"/>
    </xf>
    <xf numFmtId="0" fontId="96" fillId="0" borderId="45" xfId="0" applyFont="1" applyBorder="1" applyAlignment="1">
      <alignment horizontal="center" vertical="center"/>
    </xf>
    <xf numFmtId="0" fontId="13" fillId="0" borderId="56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5" fillId="0" borderId="56" xfId="0" applyFont="1" applyBorder="1" applyAlignment="1">
      <alignment horizontal="left" vertical="center" indent="1"/>
    </xf>
    <xf numFmtId="0" fontId="15" fillId="0" borderId="10" xfId="0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0" fontId="10" fillId="0" borderId="0" xfId="0" applyFont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39" fontId="2" fillId="0" borderId="0" xfId="0" applyNumberFormat="1" applyFont="1" applyAlignment="1">
      <alignment horizontal="center" wrapText="1"/>
    </xf>
    <xf numFmtId="0" fontId="51" fillId="3" borderId="72" xfId="38" applyFont="1" applyFill="1" applyBorder="1" applyAlignment="1">
      <alignment horizontal="center" vertical="center"/>
    </xf>
    <xf numFmtId="0" fontId="51" fillId="3" borderId="175" xfId="38" applyFont="1" applyFill="1" applyBorder="1" applyAlignment="1">
      <alignment horizontal="center" vertical="center"/>
    </xf>
    <xf numFmtId="0" fontId="51" fillId="3" borderId="176" xfId="38" applyFont="1" applyFill="1" applyBorder="1" applyAlignment="1">
      <alignment horizontal="center" vertical="center"/>
    </xf>
    <xf numFmtId="0" fontId="51" fillId="3" borderId="65" xfId="38" applyFont="1" applyFill="1" applyBorder="1" applyAlignment="1">
      <alignment horizontal="center"/>
    </xf>
    <xf numFmtId="0" fontId="51" fillId="3" borderId="66" xfId="38" applyFont="1" applyFill="1" applyBorder="1" applyAlignment="1">
      <alignment horizontal="center"/>
    </xf>
    <xf numFmtId="0" fontId="51" fillId="3" borderId="37" xfId="38" applyFont="1" applyFill="1" applyBorder="1" applyAlignment="1">
      <alignment horizontal="center" vertical="justify"/>
    </xf>
    <xf numFmtId="0" fontId="51" fillId="3" borderId="69" xfId="38" applyFont="1" applyFill="1" applyBorder="1" applyAlignment="1">
      <alignment horizontal="center" vertical="justify"/>
    </xf>
    <xf numFmtId="0" fontId="51" fillId="3" borderId="37" xfId="38" applyFont="1" applyFill="1" applyBorder="1" applyAlignment="1">
      <alignment horizontal="center" vertical="center"/>
    </xf>
    <xf numFmtId="0" fontId="51" fillId="3" borderId="69" xfId="38" applyFont="1" applyFill="1" applyBorder="1" applyAlignment="1">
      <alignment horizontal="center" vertical="center"/>
    </xf>
    <xf numFmtId="0" fontId="51" fillId="3" borderId="173" xfId="38" applyFont="1" applyFill="1" applyBorder="1" applyAlignment="1">
      <alignment horizontal="center" vertical="center"/>
    </xf>
    <xf numFmtId="0" fontId="51" fillId="3" borderId="174" xfId="38" applyFont="1" applyFill="1" applyBorder="1" applyAlignment="1">
      <alignment horizontal="center" vertical="center"/>
    </xf>
    <xf numFmtId="39" fontId="32" fillId="0" borderId="0" xfId="40" applyNumberFormat="1" applyFont="1" applyAlignment="1">
      <alignment horizontal="center" vertical="center" wrapText="1"/>
    </xf>
    <xf numFmtId="0" fontId="10" fillId="5" borderId="36" xfId="28" applyFont="1" applyFill="1" applyBorder="1" applyAlignment="1">
      <alignment horizontal="center" vertical="center"/>
    </xf>
    <xf numFmtId="0" fontId="10" fillId="5" borderId="14" xfId="28" applyFont="1" applyFill="1" applyBorder="1" applyAlignment="1">
      <alignment horizontal="center" vertical="center"/>
    </xf>
    <xf numFmtId="0" fontId="10" fillId="5" borderId="54" xfId="28" applyFont="1" applyFill="1" applyBorder="1" applyAlignment="1">
      <alignment horizontal="center" vertical="center"/>
    </xf>
    <xf numFmtId="0" fontId="10" fillId="5" borderId="15" xfId="28" applyFont="1" applyFill="1" applyBorder="1" applyAlignment="1">
      <alignment horizontal="center" vertical="center"/>
    </xf>
    <xf numFmtId="0" fontId="10" fillId="5" borderId="56" xfId="28" applyFont="1" applyFill="1" applyBorder="1" applyAlignment="1">
      <alignment horizontal="center" vertical="center"/>
    </xf>
    <xf numFmtId="0" fontId="10" fillId="5" borderId="11" xfId="28" applyFont="1" applyFill="1" applyBorder="1" applyAlignment="1">
      <alignment horizontal="center" vertical="center"/>
    </xf>
    <xf numFmtId="0" fontId="37" fillId="0" borderId="0" xfId="28" applyFont="1" applyAlignment="1">
      <alignment horizontal="center"/>
    </xf>
  </cellXfs>
  <cellStyles count="62">
    <cellStyle name="Cancel" xfId="1" xr:uid="{00000000-0005-0000-0000-000000000000}"/>
    <cellStyle name="Comma" xfId="2" xr:uid="{00000000-0005-0000-0000-000001000000}"/>
    <cellStyle name="Comma0" xfId="3" xr:uid="{00000000-0005-0000-0000-000002000000}"/>
    <cellStyle name="Comma1 - Modelo1" xfId="4" xr:uid="{00000000-0005-0000-0000-000003000000}"/>
    <cellStyle name="Currency" xfId="5" xr:uid="{00000000-0005-0000-0000-000004000000}"/>
    <cellStyle name="Currency0" xfId="6" xr:uid="{00000000-0005-0000-0000-000005000000}"/>
    <cellStyle name="Date" xfId="7" xr:uid="{00000000-0005-0000-0000-000006000000}"/>
    <cellStyle name="Euro" xfId="8" xr:uid="{00000000-0005-0000-0000-000007000000}"/>
    <cellStyle name="F2" xfId="9" xr:uid="{00000000-0005-0000-0000-000008000000}"/>
    <cellStyle name="F3" xfId="10" xr:uid="{00000000-0005-0000-0000-000009000000}"/>
    <cellStyle name="F4" xfId="11" xr:uid="{00000000-0005-0000-0000-00000A000000}"/>
    <cellStyle name="F5" xfId="12" xr:uid="{00000000-0005-0000-0000-00000B000000}"/>
    <cellStyle name="F6" xfId="13" xr:uid="{00000000-0005-0000-0000-00000C000000}"/>
    <cellStyle name="F7" xfId="14" xr:uid="{00000000-0005-0000-0000-00000D000000}"/>
    <cellStyle name="F8" xfId="15" xr:uid="{00000000-0005-0000-0000-00000E000000}"/>
    <cellStyle name="Fixed" xfId="16" xr:uid="{00000000-0005-0000-0000-00000F000000}"/>
    <cellStyle name="Heading 1" xfId="17" xr:uid="{00000000-0005-0000-0000-000010000000}"/>
    <cellStyle name="Heading 2" xfId="18" xr:uid="{00000000-0005-0000-0000-000011000000}"/>
    <cellStyle name="Heading1" xfId="19" xr:uid="{00000000-0005-0000-0000-000012000000}"/>
    <cellStyle name="Heading2" xfId="20" xr:uid="{00000000-0005-0000-0000-000013000000}"/>
    <cellStyle name="Millare?_CRONOGRAMA VALORIZADO DE LA CONTRATA" xfId="21" xr:uid="{00000000-0005-0000-0000-000014000000}"/>
    <cellStyle name="Millares" xfId="22" builtinId="3"/>
    <cellStyle name="Millares 2" xfId="23" xr:uid="{00000000-0005-0000-0000-000016000000}"/>
    <cellStyle name="Millares 3" xfId="24" xr:uid="{00000000-0005-0000-0000-000017000000}"/>
    <cellStyle name="Millares 4" xfId="25" xr:uid="{00000000-0005-0000-0000-000018000000}"/>
    <cellStyle name="Millares 5" xfId="26" xr:uid="{00000000-0005-0000-0000-000019000000}"/>
    <cellStyle name="Millareෳ_CRONOGRAMA VALORIZADO DE LA CONTRATA" xfId="27" xr:uid="{00000000-0005-0000-0000-00001A000000}"/>
    <cellStyle name="Normal" xfId="0" builtinId="0"/>
    <cellStyle name="Normal 2" xfId="28" xr:uid="{00000000-0005-0000-0000-00001C000000}"/>
    <cellStyle name="Normal 2 2" xfId="29" xr:uid="{00000000-0005-0000-0000-00001D000000}"/>
    <cellStyle name="Normal 2 3" xfId="30" xr:uid="{00000000-0005-0000-0000-00001E000000}"/>
    <cellStyle name="Normal 2_Avance Fisico_Nov 10" xfId="31" xr:uid="{00000000-0005-0000-0000-00001F000000}"/>
    <cellStyle name="Normal 3" xfId="32" xr:uid="{00000000-0005-0000-0000-000020000000}"/>
    <cellStyle name="Normal 3 2 2" xfId="60" xr:uid="{00000000-0005-0000-0000-000021000000}"/>
    <cellStyle name="Normal 4" xfId="33" xr:uid="{00000000-0005-0000-0000-000022000000}"/>
    <cellStyle name="Normal 4 2" xfId="34" xr:uid="{00000000-0005-0000-0000-000023000000}"/>
    <cellStyle name="Normal 4_Avance Fisico_Nov 10" xfId="35" xr:uid="{00000000-0005-0000-0000-000024000000}"/>
    <cellStyle name="Normal 5" xfId="36" xr:uid="{00000000-0005-0000-0000-000025000000}"/>
    <cellStyle name="Normal 6" xfId="37" xr:uid="{00000000-0005-0000-0000-000026000000}"/>
    <cellStyle name="Normal_Cuadros Res-ejec-ago-05" xfId="38" xr:uid="{00000000-0005-0000-0000-000027000000}"/>
    <cellStyle name="Normal_Cuadros Res-ejec-ago-05_CAOA Nº 06_Amplia N° 09 2" xfId="61" xr:uid="{BAC5A6F4-6A60-4619-99FD-AC2B2DB24122}"/>
    <cellStyle name="Normal_Formato 03 - Valorización de Obra" xfId="39" xr:uid="{00000000-0005-0000-0000-000028000000}"/>
    <cellStyle name="Normal_Informe Mensual Nº 04" xfId="40" xr:uid="{00000000-0005-0000-0000-000029000000}"/>
    <cellStyle name="Normal_Mat x Part Ejecutada " xfId="41" xr:uid="{00000000-0005-0000-0000-00002A000000}"/>
    <cellStyle name="Normal_materiales" xfId="42" xr:uid="{00000000-0005-0000-0000-00002B000000}"/>
    <cellStyle name="Normal_PPTO 90 JUNIO 25" xfId="43" xr:uid="{00000000-0005-0000-0000-00002C000000}"/>
    <cellStyle name="Normal_presupuestoclientevial" xfId="44" xr:uid="{00000000-0005-0000-0000-00002D000000}"/>
    <cellStyle name="Normal_pscp1402" xfId="45" xr:uid="{00000000-0005-0000-0000-00002E000000}"/>
    <cellStyle name="Normal_SUSTENTO DE METRADOS (HUAMACHUCO)" xfId="46" xr:uid="{00000000-0005-0000-0000-00002F000000}"/>
    <cellStyle name="Normal_Sustento_ Adel_Mat Nº 01" xfId="47" xr:uid="{00000000-0005-0000-0000-000030000000}"/>
    <cellStyle name="Normal_Val N° 10 Ene 11" xfId="48" xr:uid="{00000000-0005-0000-0000-000031000000}"/>
    <cellStyle name="Normal_VAL-05-CP" xfId="49" xr:uid="{00000000-0005-0000-0000-000032000000}"/>
    <cellStyle name="Normal_Valorizacion de Obra Principal (Metrados Finales)" xfId="50" xr:uid="{00000000-0005-0000-0000-000033000000}"/>
    <cellStyle name="Œ…‹æØ‚è [0.00]_PRODUCT DETAIL Q1" xfId="51" xr:uid="{00000000-0005-0000-0000-000034000000}"/>
    <cellStyle name="Œ…‹æØ‚è_PRODUCT DETAIL Q1" xfId="52" xr:uid="{00000000-0005-0000-0000-000035000000}"/>
    <cellStyle name="Percent" xfId="53" xr:uid="{00000000-0005-0000-0000-000036000000}"/>
    <cellStyle name="Porcentaje" xfId="54" builtinId="5"/>
    <cellStyle name="Porcentual 2" xfId="55" xr:uid="{00000000-0005-0000-0000-000038000000}"/>
    <cellStyle name="Porcentual 3" xfId="56" xr:uid="{00000000-0005-0000-0000-000039000000}"/>
    <cellStyle name="Porcentual 4" xfId="57" xr:uid="{00000000-0005-0000-0000-00003A000000}"/>
    <cellStyle name="Porcentual 5" xfId="58" xr:uid="{00000000-0005-0000-0000-00003B000000}"/>
    <cellStyle name="producto" xfId="59" xr:uid="{00000000-0005-0000-0000-00003C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8.xml"/><Relationship Id="rId47" Type="http://schemas.openxmlformats.org/officeDocument/2006/relationships/externalLink" Target="externalLinks/externalLink13.xml"/><Relationship Id="rId63" Type="http://schemas.openxmlformats.org/officeDocument/2006/relationships/externalLink" Target="externalLinks/externalLink29.xml"/><Relationship Id="rId68" Type="http://schemas.openxmlformats.org/officeDocument/2006/relationships/externalLink" Target="externalLinks/externalLink34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3.xml"/><Relationship Id="rId40" Type="http://schemas.openxmlformats.org/officeDocument/2006/relationships/externalLink" Target="externalLinks/externalLink6.xml"/><Relationship Id="rId45" Type="http://schemas.openxmlformats.org/officeDocument/2006/relationships/externalLink" Target="externalLinks/externalLink11.xml"/><Relationship Id="rId53" Type="http://schemas.openxmlformats.org/officeDocument/2006/relationships/externalLink" Target="externalLinks/externalLink19.xml"/><Relationship Id="rId58" Type="http://schemas.openxmlformats.org/officeDocument/2006/relationships/externalLink" Target="externalLinks/externalLink24.xml"/><Relationship Id="rId66" Type="http://schemas.openxmlformats.org/officeDocument/2006/relationships/externalLink" Target="externalLinks/externalLink32.xml"/><Relationship Id="rId74" Type="http://schemas.openxmlformats.org/officeDocument/2006/relationships/externalLink" Target="externalLinks/externalLink40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27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externalLink" Target="externalLinks/externalLink9.xml"/><Relationship Id="rId48" Type="http://schemas.openxmlformats.org/officeDocument/2006/relationships/externalLink" Target="externalLinks/externalLink14.xml"/><Relationship Id="rId56" Type="http://schemas.openxmlformats.org/officeDocument/2006/relationships/externalLink" Target="externalLinks/externalLink22.xml"/><Relationship Id="rId64" Type="http://schemas.openxmlformats.org/officeDocument/2006/relationships/externalLink" Target="externalLinks/externalLink30.xml"/><Relationship Id="rId69" Type="http://schemas.openxmlformats.org/officeDocument/2006/relationships/externalLink" Target="externalLinks/externalLink35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7.xml"/><Relationship Id="rId72" Type="http://schemas.openxmlformats.org/officeDocument/2006/relationships/externalLink" Target="externalLinks/externalLink3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4.xml"/><Relationship Id="rId46" Type="http://schemas.openxmlformats.org/officeDocument/2006/relationships/externalLink" Target="externalLinks/externalLink12.xml"/><Relationship Id="rId59" Type="http://schemas.openxmlformats.org/officeDocument/2006/relationships/externalLink" Target="externalLinks/externalLink25.xml"/><Relationship Id="rId67" Type="http://schemas.openxmlformats.org/officeDocument/2006/relationships/externalLink" Target="externalLinks/externalLink33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7.xml"/><Relationship Id="rId54" Type="http://schemas.openxmlformats.org/officeDocument/2006/relationships/externalLink" Target="externalLinks/externalLink20.xml"/><Relationship Id="rId62" Type="http://schemas.openxmlformats.org/officeDocument/2006/relationships/externalLink" Target="externalLinks/externalLink28.xml"/><Relationship Id="rId70" Type="http://schemas.openxmlformats.org/officeDocument/2006/relationships/externalLink" Target="externalLinks/externalLink36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49" Type="http://schemas.openxmlformats.org/officeDocument/2006/relationships/externalLink" Target="externalLinks/externalLink15.xml"/><Relationship Id="rId57" Type="http://schemas.openxmlformats.org/officeDocument/2006/relationships/externalLink" Target="externalLinks/externalLink2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0.xml"/><Relationship Id="rId52" Type="http://schemas.openxmlformats.org/officeDocument/2006/relationships/externalLink" Target="externalLinks/externalLink18.xml"/><Relationship Id="rId60" Type="http://schemas.openxmlformats.org/officeDocument/2006/relationships/externalLink" Target="externalLinks/externalLink26.xml"/><Relationship Id="rId65" Type="http://schemas.openxmlformats.org/officeDocument/2006/relationships/externalLink" Target="externalLinks/externalLink31.xml"/><Relationship Id="rId73" Type="http://schemas.openxmlformats.org/officeDocument/2006/relationships/externalLink" Target="externalLinks/externalLink39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5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16.xml"/><Relationship Id="rId55" Type="http://schemas.openxmlformats.org/officeDocument/2006/relationships/externalLink" Target="externalLinks/externalLink21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37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r>
              <a:rPr lang="es-PE" sz="1100" b="1" i="0" baseline="0">
                <a:effectLst/>
              </a:rPr>
              <a:t>GRÁFICO COMPARATIVO DEL % ACUMULADO</a:t>
            </a:r>
            <a:endParaRPr lang="es-PE" sz="1100">
              <a:effectLst/>
            </a:endParaRPr>
          </a:p>
          <a:p>
            <a:pPr>
              <a:defRPr sz="1000" b="1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r>
              <a:rPr lang="es-PE" sz="1100" b="1" i="0" baseline="0">
                <a:effectLst/>
              </a:rPr>
              <a:t> </a:t>
            </a:r>
            <a:r>
              <a:rPr lang="es-PE" sz="1100" b="1" i="0" u="sng" baseline="0">
                <a:effectLst/>
              </a:rPr>
              <a:t>EJECUTADO VS PROGRAMADO</a:t>
            </a:r>
            <a:endParaRPr lang="es-PE" sz="1100">
              <a:effectLst/>
            </a:endParaRPr>
          </a:p>
        </c:rich>
      </c:tx>
      <c:layout>
        <c:manualLayout>
          <c:xMode val="edge"/>
          <c:yMode val="edge"/>
          <c:x val="0.34393419259447811"/>
          <c:y val="3.8302742025371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881638522272287E-2"/>
          <c:y val="0.15471706091497556"/>
          <c:w val="0.9251544994360551"/>
          <c:h val="0.7133181333448978"/>
        </c:manualLayout>
      </c:layout>
      <c:lineChart>
        <c:grouping val="standard"/>
        <c:varyColors val="0"/>
        <c:ser>
          <c:idx val="0"/>
          <c:order val="0"/>
          <c:tx>
            <c:v>MONTO MENSUAL PROGRAMADO</c:v>
          </c:tx>
          <c:cat>
            <c:strRef>
              <c:f>'Curva "S"'!$C$55:$C$60</c:f>
              <c:strCache>
                <c:ptCount val="6"/>
                <c:pt idx="0">
                  <c:v>15/10/2021 - 31/10/2021</c:v>
                </c:pt>
                <c:pt idx="1">
                  <c:v>01/11/2021 - 30/11/2021</c:v>
                </c:pt>
                <c:pt idx="2">
                  <c:v>01/12/2021 - 18/12/2021</c:v>
                </c:pt>
                <c:pt idx="3">
                  <c:v>19/12/2021 - 31/12/2021</c:v>
                </c:pt>
                <c:pt idx="4">
                  <c:v>01/01/2022 - 31/01/2022</c:v>
                </c:pt>
                <c:pt idx="5">
                  <c:v>01/02/2022 - 11/02/2022</c:v>
                </c:pt>
              </c:strCache>
            </c:strRef>
          </c:cat>
          <c:val>
            <c:numRef>
              <c:f>'Curva "S"'!$L$12:$L$17</c:f>
              <c:numCache>
                <c:formatCode>0.00%</c:formatCode>
                <c:ptCount val="6"/>
                <c:pt idx="0">
                  <c:v>1.4409999999999999E-2</c:v>
                </c:pt>
                <c:pt idx="1">
                  <c:v>6.5820000000000004E-2</c:v>
                </c:pt>
                <c:pt idx="2">
                  <c:v>0.59875999999999996</c:v>
                </c:pt>
                <c:pt idx="3">
                  <c:v>0.59875999999999996</c:v>
                </c:pt>
                <c:pt idx="4">
                  <c:v>0.97019999999999995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1-4DB7-9AFC-535EAD1BE7FD}"/>
            </c:ext>
          </c:extLst>
        </c:ser>
        <c:ser>
          <c:idx val="1"/>
          <c:order val="1"/>
          <c:tx>
            <c:v>MONTO MENSUAL EJECUTADO</c:v>
          </c:tx>
          <c:spPr>
            <a:ln>
              <a:solidFill>
                <a:srgbClr val="FF0000"/>
              </a:solidFill>
            </a:ln>
            <a:effectLst>
              <a:glow rad="127000">
                <a:schemeClr val="bg1"/>
              </a:glow>
              <a:outerShdw blurRad="50800" dist="50800" dir="9000000" algn="ctr" rotWithShape="0">
                <a:schemeClr val="bg1"/>
              </a:outerShdw>
            </a:effectLst>
          </c:spPr>
          <c:marker>
            <c:spPr>
              <a:effectLst>
                <a:glow rad="127000">
                  <a:schemeClr val="bg1"/>
                </a:glow>
                <a:outerShdw blurRad="50800" dist="50800" dir="9000000" algn="ctr" rotWithShape="0">
                  <a:schemeClr val="bg1"/>
                </a:outerShdw>
              </a:effectLst>
            </c:spPr>
          </c:marker>
          <c:cat>
            <c:strRef>
              <c:f>'Curva "S"'!$C$55:$C$60</c:f>
              <c:strCache>
                <c:ptCount val="6"/>
                <c:pt idx="0">
                  <c:v>15/10/2021 - 31/10/2021</c:v>
                </c:pt>
                <c:pt idx="1">
                  <c:v>01/11/2021 - 30/11/2021</c:v>
                </c:pt>
                <c:pt idx="2">
                  <c:v>01/12/2021 - 18/12/2021</c:v>
                </c:pt>
                <c:pt idx="3">
                  <c:v>19/12/2021 - 31/12/2021</c:v>
                </c:pt>
                <c:pt idx="4">
                  <c:v>01/01/2022 - 31/01/2022</c:v>
                </c:pt>
                <c:pt idx="5">
                  <c:v>01/02/2022 - 11/02/2022</c:v>
                </c:pt>
              </c:strCache>
            </c:strRef>
          </c:cat>
          <c:val>
            <c:numRef>
              <c:f>'Curva "S"'!$V$12:$V$15</c:f>
              <c:numCache>
                <c:formatCode>0.00%</c:formatCode>
                <c:ptCount val="4"/>
                <c:pt idx="0">
                  <c:v>8.2199999999999999E-3</c:v>
                </c:pt>
                <c:pt idx="1">
                  <c:v>0.14538000000000001</c:v>
                </c:pt>
                <c:pt idx="2">
                  <c:v>0.29167999999999999</c:v>
                </c:pt>
                <c:pt idx="3">
                  <c:v>0.44234000000000001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1-4DB7-9AFC-535EAD1B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131456"/>
        <c:axId val="1262135808"/>
      </c:lineChart>
      <c:dateAx>
        <c:axId val="1262131456"/>
        <c:scaling>
          <c:orientation val="minMax"/>
          <c:max val="5"/>
          <c:min val="1"/>
        </c:scaling>
        <c:delete val="0"/>
        <c:axPos val="b"/>
        <c:majorGridlines>
          <c:spPr>
            <a:ln w="3175">
              <a:solidFill>
                <a:srgbClr val="333399"/>
              </a:solidFill>
              <a:prstDash val="solid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62135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26213580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olid"/>
            </a:ln>
          </c:spPr>
        </c:majorGridlines>
        <c:numFmt formatCode="#,###%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62131456"/>
        <c:crossesAt val="1258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</c:legendEntry>
      <c:legendEntry>
        <c:idx val="1"/>
        <c:txPr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</c:legendEntry>
      <c:layout>
        <c:manualLayout>
          <c:xMode val="edge"/>
          <c:yMode val="edge"/>
          <c:x val="0.25913304852637381"/>
          <c:y val="0.93870965659998362"/>
          <c:w val="0.58186196357927433"/>
          <c:h val="5.3460851464655679E-2"/>
        </c:manualLayout>
      </c:layout>
      <c:overlay val="0"/>
      <c:spPr>
        <a:solidFill>
          <a:srgbClr val="69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r>
              <a:rPr lang="es-PE" sz="1100" b="1" i="0" baseline="0">
                <a:effectLst/>
              </a:rPr>
              <a:t>GRÁFICO COMPARATIVO DEL MONTO MENSUAL  VALORIZADO</a:t>
            </a:r>
            <a:endParaRPr lang="es-PE" sz="1100">
              <a:effectLst/>
            </a:endParaRPr>
          </a:p>
          <a:p>
            <a:pPr>
              <a:defRPr sz="1025" b="1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r>
              <a:rPr lang="es-PE" sz="1100" b="1" i="0" u="sng" baseline="0">
                <a:effectLst/>
              </a:rPr>
              <a:t>EJECUTADO VS PROGRAMADO</a:t>
            </a:r>
            <a:endParaRPr lang="es-PE" sz="1100">
              <a:effectLst/>
            </a:endParaRPr>
          </a:p>
        </c:rich>
      </c:tx>
      <c:layout>
        <c:manualLayout>
          <c:xMode val="edge"/>
          <c:yMode val="edge"/>
          <c:x val="0.29639162500124749"/>
          <c:y val="4.93616016743490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593103391188012E-2"/>
          <c:y val="0.16533324522391005"/>
          <c:w val="0.88313033406396613"/>
          <c:h val="0.72830340934076832"/>
        </c:manualLayout>
      </c:layout>
      <c:barChart>
        <c:barDir val="col"/>
        <c:grouping val="clustered"/>
        <c:varyColors val="0"/>
        <c:ser>
          <c:idx val="0"/>
          <c:order val="0"/>
          <c:tx>
            <c:v>MONTO PROGRAMADO</c:v>
          </c:tx>
          <c:invertIfNegative val="0"/>
          <c:dLbls>
            <c:dLbl>
              <c:idx val="0"/>
              <c:layout>
                <c:manualLayout>
                  <c:x val="-5.9459809967383854E-3"/>
                  <c:y val="-5.28735636969279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E8-4D9A-B3C9-DBA38D3679FF}"/>
                </c:ext>
              </c:extLst>
            </c:dLbl>
            <c:dLbl>
              <c:idx val="1"/>
              <c:layout>
                <c:manualLayout>
                  <c:x val="-7.4088161411852002E-3"/>
                  <c:y val="-5.58292188591101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98-42BE-9A1E-BF4752C68D0B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'Curva "S"'!$C$55:$C$60</c:f>
              <c:strCache>
                <c:ptCount val="6"/>
                <c:pt idx="0">
                  <c:v>15/10/2021 - 31/10/2021</c:v>
                </c:pt>
                <c:pt idx="1">
                  <c:v>01/11/2021 - 30/11/2021</c:v>
                </c:pt>
                <c:pt idx="2">
                  <c:v>01/12/2021 - 18/12/2021</c:v>
                </c:pt>
                <c:pt idx="3">
                  <c:v>19/12/2021 - 31/12/2021</c:v>
                </c:pt>
                <c:pt idx="4">
                  <c:v>01/01/2022 - 31/01/2022</c:v>
                </c:pt>
                <c:pt idx="5">
                  <c:v>01/02/2022 - 11/02/2022</c:v>
                </c:pt>
              </c:strCache>
            </c:strRef>
          </c:cat>
          <c:val>
            <c:numRef>
              <c:f>'Curva "S"'!$K$12:$K$17</c:f>
              <c:numCache>
                <c:formatCode>#,##0.00</c:formatCode>
                <c:ptCount val="6"/>
                <c:pt idx="0">
                  <c:v>136826.52999999997</c:v>
                </c:pt>
                <c:pt idx="1">
                  <c:v>624875.04</c:v>
                </c:pt>
                <c:pt idx="2">
                  <c:v>5684205.0499999998</c:v>
                </c:pt>
                <c:pt idx="3">
                  <c:v>5684205.0499999998</c:v>
                </c:pt>
                <c:pt idx="4">
                  <c:v>9210450.2799999993</c:v>
                </c:pt>
                <c:pt idx="5">
                  <c:v>9493320.25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825-4983-802C-BA1B35246483}"/>
            </c:ext>
          </c:extLst>
        </c:ser>
        <c:ser>
          <c:idx val="1"/>
          <c:order val="1"/>
          <c:tx>
            <c:v>MONTO EJECUTADO</c:v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1.7837942990215117E-2"/>
                  <c:y val="2.643678184846298E-3"/>
                </c:manualLayout>
              </c:layout>
              <c:tx>
                <c:rich>
                  <a:bodyPr/>
                  <a:lstStyle/>
                  <a:p>
                    <a:fld id="{314D9B35-52FB-4EC6-8E66-765EAC3D9E0E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0C8-4EEA-8D91-45A7B2FBF49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C8-4EEA-8D91-45A7B2FBF4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1,647,730.42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2-D0C8-4EEA-8D91-45A7B2FBF49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4397C21-993E-4AE6-8ABD-A62DE418D33C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0C8-4EEA-8D91-45A7B2FBF49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AB0333D-ED9B-4A30-8BA8-75EAA20AFA8D}" type="CELLRANGE">
                      <a:rPr lang="en-US"/>
                      <a:pPr/>
                      <a:t>[CELLRANGE]</a:t>
                    </a:fld>
                    <a:endParaRPr lang="es-P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0C8-4EEA-8D91-45A7B2FBF49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C8-4EEA-8D91-45A7B2FBF49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C8-4EEA-8D91-45A7B2FBF49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C8-4EEA-8D91-45A7B2FBF490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'Curva "S"'!$C$55:$C$60</c:f>
              <c:strCache>
                <c:ptCount val="6"/>
                <c:pt idx="0">
                  <c:v>15/10/2021 - 31/10/2021</c:v>
                </c:pt>
                <c:pt idx="1">
                  <c:v>01/11/2021 - 30/11/2021</c:v>
                </c:pt>
                <c:pt idx="2">
                  <c:v>01/12/2021 - 18/12/2021</c:v>
                </c:pt>
                <c:pt idx="3">
                  <c:v>19/12/2021 - 31/12/2021</c:v>
                </c:pt>
                <c:pt idx="4">
                  <c:v>01/01/2022 - 31/01/2022</c:v>
                </c:pt>
                <c:pt idx="5">
                  <c:v>01/02/2022 - 11/02/2022</c:v>
                </c:pt>
              </c:strCache>
            </c:strRef>
          </c:cat>
          <c:val>
            <c:numRef>
              <c:f>'Curva "S"'!$S$12:$S$17</c:f>
              <c:numCache>
                <c:formatCode>#,##0.00</c:formatCode>
                <c:ptCount val="6"/>
                <c:pt idx="0">
                  <c:v>78066.42</c:v>
                </c:pt>
                <c:pt idx="1">
                  <c:v>1302063.97</c:v>
                </c:pt>
                <c:pt idx="2">
                  <c:v>1388847.1600000001</c:v>
                </c:pt>
                <c:pt idx="3">
                  <c:v>1430309.29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'Curva "S"'!$U$12:$U$17</c15:f>
                <c15:dlblRangeCache>
                  <c:ptCount val="6"/>
                  <c:pt idx="0">
                    <c:v>78,066.42</c:v>
                  </c:pt>
                  <c:pt idx="1">
                    <c:v>1,380,130.39</c:v>
                  </c:pt>
                  <c:pt idx="2">
                    <c:v>2,768,977.55</c:v>
                  </c:pt>
                  <c:pt idx="3">
                    <c:v>4,199,286.84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1825-4983-802C-BA1B35246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136352"/>
        <c:axId val="1262136896"/>
      </c:barChart>
      <c:dateAx>
        <c:axId val="1262136352"/>
        <c:scaling>
          <c:orientation val="minMax"/>
          <c:max val="5"/>
        </c:scaling>
        <c:delete val="0"/>
        <c:axPos val="b"/>
        <c:minorGridlines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62136896"/>
        <c:crosses val="autoZero"/>
        <c:auto val="0"/>
        <c:lblOffset val="100"/>
        <c:baseTimeUnit val="months"/>
        <c:majorUnit val="1"/>
        <c:majorTimeUnit val="months"/>
        <c:minorUnit val="1"/>
        <c:minorTimeUnit val="days"/>
      </c:dateAx>
      <c:valAx>
        <c:axId val="1262136896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 anchor="ctr" anchorCtr="0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62136352"/>
        <c:crossesAt val="65348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</c:legendEntry>
      <c:legendEntry>
        <c:idx val="1"/>
        <c:txPr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</c:legendEntry>
      <c:layout>
        <c:manualLayout>
          <c:xMode val="edge"/>
          <c:yMode val="edge"/>
          <c:x val="0.108765605820185"/>
          <c:y val="0.18295366900174939"/>
          <c:w val="0.17242923521809225"/>
          <c:h val="9.1836647222419437E-2"/>
        </c:manualLayout>
      </c:layout>
      <c:overlay val="0"/>
      <c:spPr>
        <a:solidFill>
          <a:srgbClr val="69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 paperSize="8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</xdr:row>
      <xdr:rowOff>76200</xdr:rowOff>
    </xdr:from>
    <xdr:to>
      <xdr:col>3</xdr:col>
      <xdr:colOff>647700</xdr:colOff>
      <xdr:row>3</xdr:row>
      <xdr:rowOff>76200</xdr:rowOff>
    </xdr:to>
    <xdr:sp macro="" textlink="">
      <xdr:nvSpPr>
        <xdr:cNvPr id="2287832" name="Line 1">
          <a:extLst>
            <a:ext uri="{FF2B5EF4-FFF2-40B4-BE49-F238E27FC236}">
              <a16:creationId xmlns:a16="http://schemas.microsoft.com/office/drawing/2014/main" id="{00000000-0008-0000-0000-0000D8E82200}"/>
            </a:ext>
          </a:extLst>
        </xdr:cNvPr>
        <xdr:cNvSpPr>
          <a:spLocks noChangeShapeType="1"/>
        </xdr:cNvSpPr>
      </xdr:nvSpPr>
      <xdr:spPr bwMode="auto">
        <a:xfrm>
          <a:off x="2278380" y="579120"/>
          <a:ext cx="571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999408</xdr:colOff>
      <xdr:row>2</xdr:row>
      <xdr:rowOff>13859</xdr:rowOff>
    </xdr:to>
    <xdr:pic>
      <xdr:nvPicPr>
        <xdr:cNvPr id="4" name="Imagen 3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39" y="0"/>
          <a:ext cx="1695147" cy="78414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538370</xdr:colOff>
      <xdr:row>0</xdr:row>
      <xdr:rowOff>33131</xdr:rowOff>
    </xdr:from>
    <xdr:to>
      <xdr:col>10</xdr:col>
      <xdr:colOff>884397</xdr:colOff>
      <xdr:row>1</xdr:row>
      <xdr:rowOff>328979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7066" y="33131"/>
          <a:ext cx="1737505" cy="43665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107156</xdr:colOff>
      <xdr:row>0</xdr:row>
      <xdr:rowOff>0</xdr:rowOff>
    </xdr:from>
    <xdr:to>
      <xdr:col>0</xdr:col>
      <xdr:colOff>1802303</xdr:colOff>
      <xdr:row>1</xdr:row>
      <xdr:rowOff>581736</xdr:rowOff>
    </xdr:to>
    <xdr:pic>
      <xdr:nvPicPr>
        <xdr:cNvPr id="4" name="Imagen 3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0"/>
          <a:ext cx="1695147" cy="78414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231323</xdr:colOff>
      <xdr:row>0</xdr:row>
      <xdr:rowOff>42523</xdr:rowOff>
    </xdr:from>
    <xdr:to>
      <xdr:col>5</xdr:col>
      <xdr:colOff>914275</xdr:colOff>
      <xdr:row>1</xdr:row>
      <xdr:rowOff>276769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2104" y="42523"/>
          <a:ext cx="1730702" cy="43665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160020</xdr:rowOff>
    </xdr:from>
    <xdr:to>
      <xdr:col>11</xdr:col>
      <xdr:colOff>464820</xdr:colOff>
      <xdr:row>50</xdr:row>
      <xdr:rowOff>144780</xdr:rowOff>
    </xdr:to>
    <xdr:graphicFrame macro="">
      <xdr:nvGraphicFramePr>
        <xdr:cNvPr id="2681071" name="Chart 1">
          <a:extLst>
            <a:ext uri="{FF2B5EF4-FFF2-40B4-BE49-F238E27FC236}">
              <a16:creationId xmlns:a16="http://schemas.microsoft.com/office/drawing/2014/main" id="{00000000-0008-0000-1900-0000EFE82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588818</xdr:colOff>
      <xdr:row>21</xdr:row>
      <xdr:rowOff>121920</xdr:rowOff>
    </xdr:from>
    <xdr:to>
      <xdr:col>23</xdr:col>
      <xdr:colOff>800100</xdr:colOff>
      <xdr:row>50</xdr:row>
      <xdr:rowOff>121920</xdr:rowOff>
    </xdr:to>
    <xdr:graphicFrame macro="">
      <xdr:nvGraphicFramePr>
        <xdr:cNvPr id="2681072" name="Chart 2">
          <a:extLst>
            <a:ext uri="{FF2B5EF4-FFF2-40B4-BE49-F238E27FC236}">
              <a16:creationId xmlns:a16="http://schemas.microsoft.com/office/drawing/2014/main" id="{00000000-0008-0000-1900-0000F0E82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182634</xdr:colOff>
      <xdr:row>39</xdr:row>
      <xdr:rowOff>75971</xdr:rowOff>
    </xdr:from>
    <xdr:to>
      <xdr:col>10</xdr:col>
      <xdr:colOff>328521</xdr:colOff>
      <xdr:row>41</xdr:row>
      <xdr:rowOff>58744</xdr:rowOff>
    </xdr:to>
    <xdr:sp macro="" textlink="">
      <xdr:nvSpPr>
        <xdr:cNvPr id="351235" name="Text Box 5">
          <a:extLst>
            <a:ext uri="{FF2B5EF4-FFF2-40B4-BE49-F238E27FC236}">
              <a16:creationId xmlns:a16="http://schemas.microsoft.com/office/drawing/2014/main" id="{00000000-0008-0000-1900-0000035C0500}"/>
            </a:ext>
          </a:extLst>
        </xdr:cNvPr>
        <xdr:cNvSpPr txBox="1">
          <a:spLocks noChangeArrowheads="1"/>
        </xdr:cNvSpPr>
      </xdr:nvSpPr>
      <xdr:spPr bwMode="auto">
        <a:xfrm>
          <a:off x="5679920" y="6974792"/>
          <a:ext cx="1016744" cy="30934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EJECUTADO ACU. </a:t>
          </a:r>
        </a:p>
        <a:p>
          <a:pPr algn="ctr" rtl="0">
            <a:defRPr sz="1000"/>
          </a:pP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44.23 %</a:t>
          </a:r>
        </a:p>
      </xdr:txBody>
    </xdr:sp>
    <xdr:clientData/>
  </xdr:twoCellAnchor>
  <xdr:twoCellAnchor>
    <xdr:from>
      <xdr:col>5</xdr:col>
      <xdr:colOff>467242</xdr:colOff>
      <xdr:row>30</xdr:row>
      <xdr:rowOff>107253</xdr:rowOff>
    </xdr:from>
    <xdr:to>
      <xdr:col>8</xdr:col>
      <xdr:colOff>910879</xdr:colOff>
      <xdr:row>32</xdr:row>
      <xdr:rowOff>115261</xdr:rowOff>
    </xdr:to>
    <xdr:sp macro="" textlink="">
      <xdr:nvSpPr>
        <xdr:cNvPr id="351236" name="Text Box 6">
          <a:extLst>
            <a:ext uri="{FF2B5EF4-FFF2-40B4-BE49-F238E27FC236}">
              <a16:creationId xmlns:a16="http://schemas.microsoft.com/office/drawing/2014/main" id="{00000000-0008-0000-1900-0000045C0500}"/>
            </a:ext>
          </a:extLst>
        </xdr:cNvPr>
        <xdr:cNvSpPr txBox="1">
          <a:spLocks noChangeArrowheads="1"/>
        </xdr:cNvSpPr>
      </xdr:nvSpPr>
      <xdr:spPr bwMode="auto">
        <a:xfrm>
          <a:off x="4141171" y="5536503"/>
          <a:ext cx="1232851" cy="33457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PROGRAMADO ACU. </a:t>
          </a:r>
        </a:p>
        <a:p>
          <a:pPr algn="ctr" rtl="0">
            <a:defRPr sz="1000"/>
          </a:pP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59.88 %</a:t>
          </a:r>
        </a:p>
      </xdr:txBody>
    </xdr:sp>
    <xdr:clientData/>
  </xdr:twoCellAnchor>
  <xdr:twoCellAnchor>
    <xdr:from>
      <xdr:col>8</xdr:col>
      <xdr:colOff>739735</xdr:colOff>
      <xdr:row>32</xdr:row>
      <xdr:rowOff>125302</xdr:rowOff>
    </xdr:from>
    <xdr:to>
      <xdr:col>8</xdr:col>
      <xdr:colOff>933290</xdr:colOff>
      <xdr:row>34</xdr:row>
      <xdr:rowOff>78441</xdr:rowOff>
    </xdr:to>
    <xdr:sp macro="" textlink="">
      <xdr:nvSpPr>
        <xdr:cNvPr id="2681075" name="Line 7">
          <a:extLst>
            <a:ext uri="{FF2B5EF4-FFF2-40B4-BE49-F238E27FC236}">
              <a16:creationId xmlns:a16="http://schemas.microsoft.com/office/drawing/2014/main" id="{00000000-0008-0000-1900-0000F3E82800}"/>
            </a:ext>
          </a:extLst>
        </xdr:cNvPr>
        <xdr:cNvSpPr>
          <a:spLocks noChangeShapeType="1"/>
        </xdr:cNvSpPr>
      </xdr:nvSpPr>
      <xdr:spPr bwMode="auto">
        <a:xfrm>
          <a:off x="5202878" y="5881123"/>
          <a:ext cx="193555" cy="279711"/>
        </a:xfrm>
        <a:prstGeom prst="line">
          <a:avLst/>
        </a:prstGeom>
        <a:noFill/>
        <a:ln w="9525">
          <a:solidFill>
            <a:srgbClr val="33666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1006927</xdr:colOff>
      <xdr:row>38</xdr:row>
      <xdr:rowOff>40821</xdr:rowOff>
    </xdr:from>
    <xdr:to>
      <xdr:col>9</xdr:col>
      <xdr:colOff>217714</xdr:colOff>
      <xdr:row>39</xdr:row>
      <xdr:rowOff>54429</xdr:rowOff>
    </xdr:to>
    <xdr:sp macro="" textlink="">
      <xdr:nvSpPr>
        <xdr:cNvPr id="2681079" name="Line 7">
          <a:extLst>
            <a:ext uri="{FF2B5EF4-FFF2-40B4-BE49-F238E27FC236}">
              <a16:creationId xmlns:a16="http://schemas.microsoft.com/office/drawing/2014/main" id="{00000000-0008-0000-1900-0000F7E82800}"/>
            </a:ext>
          </a:extLst>
        </xdr:cNvPr>
        <xdr:cNvSpPr>
          <a:spLocks noChangeShapeType="1"/>
        </xdr:cNvSpPr>
      </xdr:nvSpPr>
      <xdr:spPr bwMode="auto">
        <a:xfrm flipH="1" flipV="1">
          <a:off x="5470070" y="6776357"/>
          <a:ext cx="244930" cy="176893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21</xdr:col>
      <xdr:colOff>560294</xdr:colOff>
      <xdr:row>1</xdr:row>
      <xdr:rowOff>56030</xdr:rowOff>
    </xdr:from>
    <xdr:to>
      <xdr:col>23</xdr:col>
      <xdr:colOff>650534</xdr:colOff>
      <xdr:row>1</xdr:row>
      <xdr:rowOff>492682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900-00000C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7706" y="201706"/>
          <a:ext cx="1737505" cy="4366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630589</xdr:colOff>
      <xdr:row>1</xdr:row>
      <xdr:rowOff>638466</xdr:rowOff>
    </xdr:to>
    <xdr:pic>
      <xdr:nvPicPr>
        <xdr:cNvPr id="13" name="Imagen 12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1900-00000D00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18" y="0"/>
          <a:ext cx="1695147" cy="78414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641794</xdr:colOff>
      <xdr:row>1</xdr:row>
      <xdr:rowOff>627260</xdr:rowOff>
    </xdr:to>
    <xdr:pic>
      <xdr:nvPicPr>
        <xdr:cNvPr id="4" name="Imagen 3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82" y="0"/>
          <a:ext cx="1695147" cy="78414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358587</xdr:colOff>
      <xdr:row>0</xdr:row>
      <xdr:rowOff>56029</xdr:rowOff>
    </xdr:from>
    <xdr:to>
      <xdr:col>9</xdr:col>
      <xdr:colOff>572092</xdr:colOff>
      <xdr:row>1</xdr:row>
      <xdr:rowOff>335799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1852" y="56029"/>
          <a:ext cx="1737505" cy="43665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</xdr:colOff>
      <xdr:row>0</xdr:row>
      <xdr:rowOff>107157</xdr:rowOff>
    </xdr:from>
    <xdr:to>
      <xdr:col>0</xdr:col>
      <xdr:colOff>1803082</xdr:colOff>
      <xdr:row>5</xdr:row>
      <xdr:rowOff>34449</xdr:rowOff>
    </xdr:to>
    <xdr:pic>
      <xdr:nvPicPr>
        <xdr:cNvPr id="4" name="Imagen 3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" y="107157"/>
          <a:ext cx="1731645" cy="7607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1415257</xdr:colOff>
      <xdr:row>0</xdr:row>
      <xdr:rowOff>119063</xdr:rowOff>
    </xdr:from>
    <xdr:to>
      <xdr:col>4</xdr:col>
      <xdr:colOff>523082</xdr:colOff>
      <xdr:row>3</xdr:row>
      <xdr:rowOff>41910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9101" y="119063"/>
          <a:ext cx="1703387" cy="4229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3810</xdr:colOff>
      <xdr:row>4</xdr:row>
      <xdr:rowOff>78740</xdr:rowOff>
    </xdr:to>
    <xdr:pic>
      <xdr:nvPicPr>
        <xdr:cNvPr id="4" name="Imagen 3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1689735" cy="726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995680</xdr:colOff>
      <xdr:row>0</xdr:row>
      <xdr:rowOff>13335</xdr:rowOff>
    </xdr:from>
    <xdr:to>
      <xdr:col>5</xdr:col>
      <xdr:colOff>1059815</xdr:colOff>
      <xdr:row>2</xdr:row>
      <xdr:rowOff>95250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1830" y="13335"/>
          <a:ext cx="1711960" cy="4057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0</xdr:colOff>
          <xdr:row>250</xdr:row>
          <xdr:rowOff>0</xdr:rowOff>
        </xdr:from>
        <xdr:to>
          <xdr:col>23</xdr:col>
          <xdr:colOff>0</xdr:colOff>
          <xdr:row>250</xdr:row>
          <xdr:rowOff>0</xdr:rowOff>
        </xdr:to>
        <xdr:sp macro="" textlink="">
          <xdr:nvSpPr>
            <xdr:cNvPr id="17409" name="Butto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3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PE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Fin de Metrar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682774</xdr:colOff>
      <xdr:row>2</xdr:row>
      <xdr:rowOff>89498</xdr:rowOff>
    </xdr:to>
    <xdr:pic>
      <xdr:nvPicPr>
        <xdr:cNvPr id="5" name="Imagen 4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31645" cy="7797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1047068</xdr:colOff>
      <xdr:row>0</xdr:row>
      <xdr:rowOff>136072</xdr:rowOff>
    </xdr:from>
    <xdr:to>
      <xdr:col>15</xdr:col>
      <xdr:colOff>414549</xdr:colOff>
      <xdr:row>1</xdr:row>
      <xdr:rowOff>392429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3175" y="136072"/>
          <a:ext cx="1735124" cy="433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38</xdr:row>
          <xdr:rowOff>95250</xdr:rowOff>
        </xdr:from>
        <xdr:to>
          <xdr:col>1</xdr:col>
          <xdr:colOff>228600</xdr:colOff>
          <xdr:row>39</xdr:row>
          <xdr:rowOff>133350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4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PE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Grabar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40</xdr:row>
          <xdr:rowOff>123825</xdr:rowOff>
        </xdr:from>
        <xdr:to>
          <xdr:col>1</xdr:col>
          <xdr:colOff>228600</xdr:colOff>
          <xdr:row>42</xdr:row>
          <xdr:rowOff>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4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PE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Ir Menu P.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437846</xdr:colOff>
      <xdr:row>1</xdr:row>
      <xdr:rowOff>531730</xdr:rowOff>
    </xdr:to>
    <xdr:pic>
      <xdr:nvPicPr>
        <xdr:cNvPr id="9" name="Imagen 8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03310" cy="7834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231322</xdr:colOff>
      <xdr:row>0</xdr:row>
      <xdr:rowOff>81643</xdr:rowOff>
    </xdr:from>
    <xdr:to>
      <xdr:col>15</xdr:col>
      <xdr:colOff>918696</xdr:colOff>
      <xdr:row>1</xdr:row>
      <xdr:rowOff>268264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6143" y="81643"/>
          <a:ext cx="1735124" cy="433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123029</xdr:colOff>
      <xdr:row>0</xdr:row>
      <xdr:rowOff>0</xdr:rowOff>
    </xdr:from>
    <xdr:to>
      <xdr:col>3</xdr:col>
      <xdr:colOff>460863</xdr:colOff>
      <xdr:row>2</xdr:row>
      <xdr:rowOff>89611</xdr:rowOff>
    </xdr:to>
    <xdr:pic>
      <xdr:nvPicPr>
        <xdr:cNvPr id="4" name="Imagen 3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029" y="0"/>
          <a:ext cx="1703084" cy="75636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601928</xdr:colOff>
      <xdr:row>0</xdr:row>
      <xdr:rowOff>63501</xdr:rowOff>
    </xdr:from>
    <xdr:to>
      <xdr:col>16</xdr:col>
      <xdr:colOff>475443</xdr:colOff>
      <xdr:row>1</xdr:row>
      <xdr:rowOff>320236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9011" y="63501"/>
          <a:ext cx="1736182" cy="4154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666447</xdr:colOff>
      <xdr:row>1</xdr:row>
      <xdr:rowOff>612692</xdr:rowOff>
    </xdr:to>
    <xdr:pic>
      <xdr:nvPicPr>
        <xdr:cNvPr id="4" name="Imagen 3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5147" cy="78414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628650</xdr:colOff>
      <xdr:row>0</xdr:row>
      <xdr:rowOff>66675</xdr:rowOff>
    </xdr:from>
    <xdr:to>
      <xdr:col>9</xdr:col>
      <xdr:colOff>794530</xdr:colOff>
      <xdr:row>1</xdr:row>
      <xdr:rowOff>331877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66675"/>
          <a:ext cx="1737505" cy="43665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86480</xdr:colOff>
      <xdr:row>1</xdr:row>
      <xdr:rowOff>614809</xdr:rowOff>
    </xdr:to>
    <xdr:pic>
      <xdr:nvPicPr>
        <xdr:cNvPr id="4" name="Imagen 3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5147" cy="78414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837142</xdr:colOff>
      <xdr:row>0</xdr:row>
      <xdr:rowOff>77258</xdr:rowOff>
    </xdr:from>
    <xdr:to>
      <xdr:col>14</xdr:col>
      <xdr:colOff>680230</xdr:colOff>
      <xdr:row>1</xdr:row>
      <xdr:rowOff>344577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8975" y="77258"/>
          <a:ext cx="1737505" cy="43665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0</xdr:rowOff>
    </xdr:from>
    <xdr:to>
      <xdr:col>2</xdr:col>
      <xdr:colOff>856947</xdr:colOff>
      <xdr:row>2</xdr:row>
      <xdr:rowOff>136442</xdr:rowOff>
    </xdr:to>
    <xdr:pic>
      <xdr:nvPicPr>
        <xdr:cNvPr id="2" name="Imagen 1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1695147" cy="78414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361950</xdr:colOff>
      <xdr:row>0</xdr:row>
      <xdr:rowOff>57150</xdr:rowOff>
    </xdr:from>
    <xdr:to>
      <xdr:col>14</xdr:col>
      <xdr:colOff>661180</xdr:colOff>
      <xdr:row>1</xdr:row>
      <xdr:rowOff>350927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49050" y="57150"/>
          <a:ext cx="1737505" cy="43665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stos\N&#176;%2008%20Ago%2009\Carretera%20Cu&#241;umb.-%20Sisa\Valorizaciones\01%20Ene09\Ilo%20-%20Desaguadero\Etapa%20Supervision%20T-VII\Valorizaciones\LIQUIDACI&#211;N\Costos%20y%20Presupuestos\Cuadros%20de%20Liquidaci&#243;n%20Costo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rretera%20Cu&#241;umb.-%20Sisa\Valorizaciones\01%20Ene09\Ilo%20-%20Desaguadero\Etapa%20Supervision%20T-VII\Informes\Mensual\VALORIZACION11%20incluye%20new%20amort.%20TR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_AYACUCHO\Data%20Obra\Carretera%20Cu&#241;umb.-%20Sisa\Valorizaciones\01%20Ene09\Ilo%20-%20Desaguadero\Etapa%20Supervision%20T-VII\Informes\Mensual\VALORIZACION11%20incluye%20new%20amort.%20TR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eiva\d\ALTAMINA\COSINDCA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_victor\TINGO%20MARIA\Informe%20Mensual\5%20Agosto-04\01-Informe%20Mensual\Informe%20Mensual%20%20N&#186;%2003-Juni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stos\N&#176;%2008%20Ago%2009\Carretera%20Cu&#241;umb.-%20Sisa\Valorizaciones\01%20Ene09\Ollantaytambo%20-%20Abra%20Malaga\Informe%20Mensual\Enero%202004\Informe%20Mensual%20N&#186;%200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_AYACUCHO\Data%20Obra\Ollantaytambo%20-%20Abra%20Malaga\Informe%20Mensual\Enero%202004\Informe%20Mensual%20N&#186;%20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_AYACUCHO\Data%20Obra\Ayacucho%20Andahuaylas%20T1\4%20Valoriz\N&#186;%2006%20Set%2010\CP\1%20Val\Ollantaytambo%20-%20Abra%20Malaga\Informe%20Mensual\Enero%202004\Informe%20Mensual%20N&#186;%200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llantaytambo%20-%20Abra%20Malaga\Informe%20Mensual\Enero%202004\Informe%20Mensual%20N&#186;%200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stos\N&#176;%2008%20Ago%2009\Carretera%20Cu&#241;umb.-%20Sisa\Valorizaciones\01%20Ene09\Tramo%20VII\Liquidaci&#243;n%20de%20Contrato%20-%20Final%20(1)\JZN\VAL03%20ADIC02%20TR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_AYACUCHO\Data%20Obra\Carretera%20Cu&#241;umb.-%20Sisa\Valorizaciones\01%20Ene09\Tramo%20VII\Liquidaci&#243;n%20de%20Contrato%20-%20Final%20(1)\JZN\VAL03%20ADIC02%20TR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_AYACUCHO\Data%20Obra\Carretera%20Cu&#241;umb.-%20Sisa\Valorizaciones\01%20Ene09\Ilo%20-%20Desaguadero\Etapa%20Supervision%20T-VII\Valorizaciones\LIQUIDACI&#211;N\Costos%20y%20Presupuestos\Cuadros%20de%20Liquidaci&#243;n%20Costo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rretera%20Cu&#241;umb.-%20Sisa\Valorizaciones\01%20Ene09\Tramo%20VII\Liquidaci&#243;n%20de%20Contrato%20-%20Final%20(1)\JZN\VAL03%20ADIC02%20TR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stos\N&#176;%2008%20Ago%2009\Carretera%20Cu&#241;umb.-%20Sisa\Valorizaciones\01%20Ene09\Tramo%20VII\Liquidaci&#243;n%20de%20Contrato%20-%20Final%20(1)\JZN\VAL02%20ADIC03%20TR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rretera%20Cu&#241;umb.-%20Sisa\Valorizaciones\01%20Ene09\Tramo%20VII\Liquidaci&#243;n%20de%20Contrato%20-%20Final%20(1)\JZN\VAL02%20ADIC03%20TR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_AYACUCHO\Data%20Obra\Carretera%20Cu&#241;umb.-%20Sisa\Valorizaciones\01%20Ene09\Tramo%20VII\Liquidaci&#243;n%20de%20Contrato%20-%20Final%20(1)\JZN\VAL02%20ADIC03%20TR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stos\N&#176;%2008%20Ago%2009\Carretera%20Cu&#241;umb.-%20Sisa\Valorizaciones\01%20Ene09\Tramo%20VII\Liquidaci&#243;n%20de%20Contrato%20-%20Final%20(1)\JZN\VALORIZACION13%20TR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_AYACUCHO\Data%20Obra\Carretera%20Cu&#241;umb.-%20Sisa\Valorizaciones\01%20Ene09\Tramo%20VII\Liquidaci&#243;n%20de%20Contrato%20-%20Final%20(1)\JZN\VALORIZACION13%20TR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rretera%20Cu&#241;umb.-%20Sisa\Valorizaciones\01%20Ene09\Tramo%20VII\Liquidaci&#243;n%20de%20Contrato%20-%20Final%20(1)\JZN\VALORIZACION13%20TR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stos\CAO%20N&#176;%2002\Documents%20and%20Settings\HCM\My%20Documents\Mis%20archivos%20recibidos\Comparativo%20tuberias%2001Mar213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stos\N&#176;%2008%20Ago%2009\Carretera%20Cu&#241;umb.-%20Sisa\Valorizaciones\01%20Ene09\Ilo%20-%20Desaguadero\Etapa%20Supervision%20T-VII\Valorizaciones\Val-13\ILO-DESAGUADERO\TRAMO%20VII\COSTOS%20UNIT.ADI1-TVII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rretera%20Cu&#241;umb.-%20Sisa\Valorizaciones\01%20Ene09\Ilo%20-%20Desaguadero\Etapa%20Supervision%20T-VII\Valorizaciones\Val-13\ILO-DESAGUADERO\TRAMO%20VII\COSTOS%20UNIT.ADI1-TVI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rretera%20Cu&#241;umb.-%20Sisa\Valorizaciones\01%20Ene09\Ilo%20-%20Desaguadero\Etapa%20Supervision%20T-VII\Valorizaciones\LIQUIDACI&#211;N\Costos%20y%20Presupuestos\Cuadros%20de%20Liquidaci&#243;n%20Costo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_AYACUCHO\Data%20Obra\Carretera%20Cu&#241;umb.-%20Sisa\Valorizaciones\01%20Ene09\Ilo%20-%20Desaguadero\Etapa%20Supervision%20T-VII\Valorizaciones\Val-13\ILO-DESAGUADERO\TRAMO%20VII\COSTOS%20UNIT.ADI1-TVII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stos\N&#176;%2008%20Ago%2009\Carretera%20Cu&#241;umb.-%20Sisa\Valorizaciones\01%20Ene09\Ilo%20-%20Desaguadero\Etapa%20Supervision%20T-VII\Valorizaciones\Val-13\PRESUP.ADICIONAL01-TVII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rretera%20Cu&#241;umb.-%20Sisa\Valorizaciones\01%20Ene09\Ilo%20-%20Desaguadero\Etapa%20Supervision%20T-VII\Valorizaciones\Val-13\PRESUP.ADICIONAL01-TVII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_AYACUCHO\Data%20Obra\Carretera%20Cu&#241;umb.-%20Sisa\Valorizaciones\01%20Ene09\Ilo%20-%20Desaguadero\Etapa%20Supervision%20T-VII\Valorizaciones\Val-13\PRESUP.ADICIONAL01-TVI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stos\N&#176;%2008%20Ago%2009\Carretera%20Cu&#241;umb.-%20Sisa\Valorizaciones\01%20Ene09\La%20Quinua\Valorizaciones\Principal\Copia%20de%20Val%2008-CP%20(Modelo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xapampa\Valorizacion\Modelos\Copia%20de%20Val%2008-CP%20(Modelo)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_AYACUCHO\Data%20Obra\Oxapampa\Valorizacion\Modelos\Copia%20de%20Val%2008-CP%20(Modelo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_AYACUCHO\Data%20Obra\Ayacucho%20Andahuaylas%20T1\4%20Valoriz\N&#186;%2006%20Set%2010\CP\1%20Val\OBRA%20AYACUCHO\JCP\Copia%20de%20Val%2008-CP%20(Modelo)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_AYACUCHO\Data%20Obra\Ayacucho%20Andahuaylas%20T1\4%20Valoriz\N&#186;%2006%20Set%2010\CP\1%20Val\Valorizaciones\Val%20N&#186;%2007%20Oct%202004\Contrato%20Principal\Val%2007-CP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ucana7\C\CARRETERA\PUQUIO\Valorizacion\Valorizacion%2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stos\N&#176;%2008%20Ago%2009\Carretera%20Cu&#241;umb.-%20Sisa\Valorizaciones\01%20Ene09\Ilo%20-%20Desaguadero\Etapa%20Supervision%20T-VII\Valorizaciones\Val-13\ADICIONAL%20N&#176;0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VALORIZACION12%20TR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rretera%20Cu&#241;umb.-%20Sisa\Valorizaciones\01%20Ene09\Ilo%20-%20Desaguadero\Etapa%20Supervision%20T-VII\Valorizaciones\Val-13\ADICIONAL%20N&#176;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_AYACUCHO\Data%20Obra\Carretera%20Cu&#241;umb.-%20Sisa\Valorizaciones\01%20Ene09\Ilo%20-%20Desaguadero\Etapa%20Supervision%20T-VII\Valorizaciones\Val-13\ADICIONAL%20N&#176;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berto\metrados%20ilo\ADICIONALES\TRAMO%2008-%202\OARTE\Mis%20documentos\JZN\VALORIZACION7%20TR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stos\CAO%20N&#176;%2002\manuel%20reategui\Liquidacion\Contractual\Obra%20principal%20T2\Obra%20principal%20T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stos\N&#176;%2008%20Ago%2009\Carretera%20Cu&#241;umb.-%20Sisa\Valorizaciones\01%20Ene09\Ilo%20-%20Desaguadero\Etapa%20Supervision%20T-VII\Informes\Mensual\VALORIZACION11%20incluye%20new%20amort.%20TR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o Final de Obra"/>
      <sheetName val="Liquidación Final de Obra"/>
      <sheetName val="Pagos por Adel.Otorgados"/>
      <sheetName val="Metrados CP"/>
      <sheetName val="Valorización CP"/>
      <sheetName val="Reajuste del Principal"/>
      <sheetName val="Deduccion del Reaj.Adelanto"/>
      <sheetName val="Deduccion del Reaj.Adelanto (2)"/>
      <sheetName val="Retención del Reajuste"/>
      <sheetName val="Coef. Reaj. &quot;K&quot;"/>
    </sheetNames>
    <sheetDataSet>
      <sheetData sheetId="0" refreshError="1"/>
      <sheetData sheetId="1" refreshError="1"/>
      <sheetData sheetId="2" refreshError="1"/>
      <sheetData sheetId="3" refreshError="1">
        <row r="15">
          <cell r="E15">
            <v>36161</v>
          </cell>
          <cell r="F15">
            <v>36192</v>
          </cell>
          <cell r="G15">
            <v>36220</v>
          </cell>
          <cell r="H15">
            <v>36251</v>
          </cell>
          <cell r="I15">
            <v>36281</v>
          </cell>
          <cell r="J15">
            <v>36312</v>
          </cell>
          <cell r="K15">
            <v>36342</v>
          </cell>
          <cell r="L15">
            <v>36373</v>
          </cell>
          <cell r="M15">
            <v>36404</v>
          </cell>
          <cell r="N15">
            <v>36434</v>
          </cell>
          <cell r="O15">
            <v>36465</v>
          </cell>
          <cell r="P15">
            <v>36495</v>
          </cell>
          <cell r="Q15">
            <v>36526</v>
          </cell>
          <cell r="R15">
            <v>36557</v>
          </cell>
          <cell r="S15">
            <v>36586</v>
          </cell>
          <cell r="T15">
            <v>36617</v>
          </cell>
        </row>
        <row r="20">
          <cell r="E20">
            <v>0.2</v>
          </cell>
          <cell r="F20">
            <v>0.25</v>
          </cell>
          <cell r="G20">
            <v>0</v>
          </cell>
          <cell r="H20">
            <v>4.9999999999999989E-2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0.30000000000000004</v>
          </cell>
          <cell r="P20">
            <v>0.14999999999999991</v>
          </cell>
          <cell r="Q20">
            <v>5.0000000000000044E-2</v>
          </cell>
        </row>
        <row r="21">
          <cell r="E21">
            <v>0</v>
          </cell>
          <cell r="F21">
            <v>0.08</v>
          </cell>
          <cell r="G21">
            <v>0.37</v>
          </cell>
          <cell r="H21">
            <v>1.34</v>
          </cell>
          <cell r="I21">
            <v>0.39000000000000012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4">
          <cell r="E24">
            <v>0</v>
          </cell>
          <cell r="F24">
            <v>4523.8999999999996</v>
          </cell>
          <cell r="G24">
            <v>15059.250000000002</v>
          </cell>
          <cell r="H24">
            <v>19715.169999999998</v>
          </cell>
          <cell r="I24">
            <v>18079.849999999999</v>
          </cell>
          <cell r="J24">
            <v>31046.740000000005</v>
          </cell>
          <cell r="K24">
            <v>41590.660000000003</v>
          </cell>
          <cell r="L24">
            <v>50755.399999999994</v>
          </cell>
          <cell r="M24">
            <v>21453.429999999993</v>
          </cell>
          <cell r="N24">
            <v>862.85000000000582</v>
          </cell>
          <cell r="O24">
            <v>0</v>
          </cell>
          <cell r="P24">
            <v>0</v>
          </cell>
          <cell r="Q24">
            <v>0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21576.76</v>
          </cell>
          <cell r="I25">
            <v>27344.49</v>
          </cell>
          <cell r="J25">
            <v>53291.7</v>
          </cell>
          <cell r="K25">
            <v>26192.020000000004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E26">
            <v>0</v>
          </cell>
          <cell r="F26">
            <v>8099.98</v>
          </cell>
          <cell r="G26">
            <v>3257.5400000000009</v>
          </cell>
          <cell r="H26">
            <v>5956.369999999999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E27">
            <v>0</v>
          </cell>
          <cell r="F27">
            <v>0</v>
          </cell>
          <cell r="G27">
            <v>7606.16</v>
          </cell>
          <cell r="H27">
            <v>0</v>
          </cell>
          <cell r="I27">
            <v>4909.6399999999994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4798.1000000000022</v>
          </cell>
          <cell r="O27">
            <v>0</v>
          </cell>
          <cell r="P27">
            <v>0</v>
          </cell>
          <cell r="Q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4652.03</v>
          </cell>
          <cell r="I28">
            <v>0</v>
          </cell>
          <cell r="J28">
            <v>3634.37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5092.5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7536</v>
          </cell>
          <cell r="J32">
            <v>17293.2</v>
          </cell>
          <cell r="K32">
            <v>13243.439999999999</v>
          </cell>
          <cell r="L32">
            <v>15075.82</v>
          </cell>
          <cell r="M32">
            <v>48007.439999999995</v>
          </cell>
          <cell r="N32">
            <v>4536.9900000000052</v>
          </cell>
          <cell r="O32">
            <v>234.16999999999825</v>
          </cell>
          <cell r="P32">
            <v>347.47999999999593</v>
          </cell>
          <cell r="Q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18433.919999999998</v>
          </cell>
          <cell r="K33">
            <v>0</v>
          </cell>
          <cell r="L33">
            <v>17514.590000000004</v>
          </cell>
          <cell r="M33">
            <v>29949.54</v>
          </cell>
          <cell r="N33">
            <v>32172.770000000004</v>
          </cell>
          <cell r="O33">
            <v>1722.1899999999878</v>
          </cell>
          <cell r="P33">
            <v>0</v>
          </cell>
          <cell r="Q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50400</v>
          </cell>
          <cell r="L34">
            <v>71636</v>
          </cell>
          <cell r="M34">
            <v>66119.239999999991</v>
          </cell>
          <cell r="N34">
            <v>156820.22000000003</v>
          </cell>
          <cell r="O34">
            <v>71179.609999999986</v>
          </cell>
          <cell r="P34">
            <v>0</v>
          </cell>
          <cell r="Q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51127.12</v>
          </cell>
          <cell r="M35">
            <v>49150.98</v>
          </cell>
          <cell r="N35">
            <v>133846.47999999998</v>
          </cell>
          <cell r="O35">
            <v>61994.790000000008</v>
          </cell>
          <cell r="P35">
            <v>40.020000000018626</v>
          </cell>
          <cell r="Q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3893.55</v>
          </cell>
          <cell r="M36">
            <v>3631.54</v>
          </cell>
          <cell r="N36">
            <v>9802.1899999999987</v>
          </cell>
          <cell r="O36">
            <v>4830.1100000000006</v>
          </cell>
          <cell r="P36">
            <v>0</v>
          </cell>
          <cell r="Q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19947.54</v>
          </cell>
          <cell r="O37">
            <v>41855.56</v>
          </cell>
          <cell r="P37">
            <v>50218.77</v>
          </cell>
          <cell r="Q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51127.12</v>
          </cell>
          <cell r="M38">
            <v>49150.98</v>
          </cell>
          <cell r="N38">
            <v>130546.47999999998</v>
          </cell>
          <cell r="O38">
            <v>65334.810000000027</v>
          </cell>
          <cell r="P38">
            <v>0</v>
          </cell>
          <cell r="Q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17310.439999999999</v>
          </cell>
          <cell r="L40">
            <v>22991.970000000005</v>
          </cell>
          <cell r="M40">
            <v>21850.92</v>
          </cell>
          <cell r="N40">
            <v>51789.440000000002</v>
          </cell>
          <cell r="O40">
            <v>26297.409999999989</v>
          </cell>
          <cell r="P40">
            <v>70540.540000000008</v>
          </cell>
          <cell r="Q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190068.36</v>
          </cell>
          <cell r="M41">
            <v>171028.27000000002</v>
          </cell>
          <cell r="N41">
            <v>479462.5</v>
          </cell>
          <cell r="O41">
            <v>263042.29999999993</v>
          </cell>
          <cell r="P41">
            <v>3490.5800000000745</v>
          </cell>
          <cell r="Q41">
            <v>0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4711.2</v>
          </cell>
          <cell r="M42">
            <v>3520.87</v>
          </cell>
          <cell r="N42">
            <v>10773.8</v>
          </cell>
          <cell r="O42">
            <v>6220.7100000000028</v>
          </cell>
          <cell r="P42">
            <v>56.539999999997235</v>
          </cell>
          <cell r="Q42">
            <v>0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349017.82</v>
          </cell>
          <cell r="M43">
            <v>120931.58000000002</v>
          </cell>
          <cell r="N43">
            <v>275134.93999999994</v>
          </cell>
          <cell r="O43">
            <v>0</v>
          </cell>
          <cell r="P43">
            <v>0</v>
          </cell>
          <cell r="Q43">
            <v>0</v>
          </cell>
        </row>
        <row r="46">
          <cell r="E46">
            <v>0</v>
          </cell>
          <cell r="F46">
            <v>81.27</v>
          </cell>
          <cell r="G46">
            <v>5230.4699999999993</v>
          </cell>
          <cell r="H46">
            <v>198.46000000000004</v>
          </cell>
          <cell r="I46">
            <v>2961.2</v>
          </cell>
          <cell r="J46">
            <v>5911.82</v>
          </cell>
          <cell r="K46">
            <v>1048.08</v>
          </cell>
          <cell r="L46">
            <v>1930.4400000000023</v>
          </cell>
          <cell r="M46">
            <v>2299.2799999999988</v>
          </cell>
          <cell r="N46">
            <v>7817.9199999999983</v>
          </cell>
          <cell r="O46">
            <v>0</v>
          </cell>
          <cell r="P46">
            <v>0</v>
          </cell>
          <cell r="Q46">
            <v>0</v>
          </cell>
        </row>
        <row r="47">
          <cell r="E47">
            <v>0</v>
          </cell>
          <cell r="F47">
            <v>40.68</v>
          </cell>
          <cell r="G47">
            <v>4319.6099999999997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E48">
            <v>0</v>
          </cell>
          <cell r="F48">
            <v>0</v>
          </cell>
          <cell r="G48">
            <v>59.13</v>
          </cell>
          <cell r="H48">
            <v>39.689999999999991</v>
          </cell>
          <cell r="I48">
            <v>53.680000000000007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E49">
            <v>0</v>
          </cell>
          <cell r="F49">
            <v>42.07</v>
          </cell>
          <cell r="G49">
            <v>259.2</v>
          </cell>
          <cell r="H49">
            <v>442.35</v>
          </cell>
          <cell r="I49">
            <v>443.53000000000009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6.55</v>
          </cell>
          <cell r="I50">
            <v>3.2299999999999995</v>
          </cell>
          <cell r="J50">
            <v>10.42</v>
          </cell>
          <cell r="K50">
            <v>10.96</v>
          </cell>
          <cell r="L50">
            <v>1.7200000000000024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53</v>
          </cell>
          <cell r="Q51">
            <v>30.980000000000004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190.84</v>
          </cell>
          <cell r="I52">
            <v>579.88</v>
          </cell>
          <cell r="J52">
            <v>423.81999999999994</v>
          </cell>
          <cell r="K52">
            <v>166.96000000000004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100.53</v>
          </cell>
          <cell r="I53">
            <v>3.289999999999992</v>
          </cell>
          <cell r="J53">
            <v>206.36</v>
          </cell>
          <cell r="K53">
            <v>174.62</v>
          </cell>
          <cell r="L53">
            <v>2.7199999999999704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850.64</v>
          </cell>
          <cell r="I54">
            <v>1218.21</v>
          </cell>
          <cell r="J54">
            <v>1360.33</v>
          </cell>
          <cell r="K54">
            <v>994.87000000000035</v>
          </cell>
          <cell r="L54">
            <v>954.02999999999975</v>
          </cell>
          <cell r="M54">
            <v>2143.96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96.22</v>
          </cell>
          <cell r="J55">
            <v>147.01</v>
          </cell>
          <cell r="K55">
            <v>87.000000000000028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E56">
            <v>0</v>
          </cell>
          <cell r="F56">
            <v>0</v>
          </cell>
          <cell r="G56">
            <v>0</v>
          </cell>
          <cell r="H56">
            <v>13105.84</v>
          </cell>
          <cell r="I56">
            <v>2922.0300000000007</v>
          </cell>
          <cell r="J56">
            <v>19045.689999999995</v>
          </cell>
          <cell r="K56">
            <v>14025.440000000002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185.9</v>
          </cell>
          <cell r="L57">
            <v>3846.1</v>
          </cell>
          <cell r="M57">
            <v>5452.0499999999993</v>
          </cell>
          <cell r="N57">
            <v>7938.0499999999993</v>
          </cell>
          <cell r="O57">
            <v>0</v>
          </cell>
          <cell r="P57">
            <v>0</v>
          </cell>
          <cell r="Q57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409.95</v>
          </cell>
          <cell r="N58">
            <v>1419.25</v>
          </cell>
          <cell r="O58">
            <v>3252.8900000000003</v>
          </cell>
          <cell r="P58">
            <v>1246</v>
          </cell>
          <cell r="Q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1199.6500000000001</v>
          </cell>
          <cell r="N59">
            <v>14567.57</v>
          </cell>
          <cell r="O59">
            <v>0</v>
          </cell>
          <cell r="P59">
            <v>6666.1900000000005</v>
          </cell>
          <cell r="Q59">
            <v>0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127.21</v>
          </cell>
          <cell r="I60">
            <v>30.120000000000019</v>
          </cell>
          <cell r="J60">
            <v>0</v>
          </cell>
          <cell r="K60">
            <v>0</v>
          </cell>
          <cell r="L60">
            <v>239.68999999999997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187.4</v>
          </cell>
          <cell r="Q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1780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</row>
        <row r="65">
          <cell r="E65">
            <v>0</v>
          </cell>
          <cell r="F65">
            <v>6</v>
          </cell>
          <cell r="G65">
            <v>12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8281.68</v>
          </cell>
          <cell r="Q69">
            <v>2070.42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40</v>
          </cell>
          <cell r="Q70">
            <v>0</v>
          </cell>
        </row>
        <row r="71"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44</v>
          </cell>
          <cell r="Q71">
            <v>34</v>
          </cell>
        </row>
        <row r="72"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13</v>
          </cell>
          <cell r="Q72">
            <v>8</v>
          </cell>
        </row>
        <row r="73"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6</v>
          </cell>
          <cell r="Q73">
            <v>0</v>
          </cell>
        </row>
        <row r="74"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689.4</v>
          </cell>
          <cell r="P74">
            <v>1378.7999999999997</v>
          </cell>
          <cell r="Q74">
            <v>1350.08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84</v>
          </cell>
          <cell r="Q75">
            <v>0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544.79999999999995</v>
          </cell>
          <cell r="Q76">
            <v>0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817</v>
          </cell>
          <cell r="Q77">
            <v>545</v>
          </cell>
        </row>
        <row r="80">
          <cell r="E80">
            <v>0</v>
          </cell>
          <cell r="F80">
            <v>0</v>
          </cell>
          <cell r="G80">
            <v>0</v>
          </cell>
          <cell r="H80">
            <v>16212.94</v>
          </cell>
          <cell r="I80">
            <v>7536.0000000000018</v>
          </cell>
          <cell r="J80">
            <v>25537.37</v>
          </cell>
          <cell r="K80">
            <v>4358.8600000000006</v>
          </cell>
          <cell r="L80">
            <v>31421.229999999996</v>
          </cell>
          <cell r="M80">
            <v>88119.670000000013</v>
          </cell>
          <cell r="N80">
            <v>20068.239999999991</v>
          </cell>
          <cell r="O80">
            <v>3550.4200000000128</v>
          </cell>
          <cell r="P80">
            <v>603.9199999999837</v>
          </cell>
          <cell r="Q80">
            <v>0</v>
          </cell>
        </row>
        <row r="81">
          <cell r="E81">
            <v>0</v>
          </cell>
          <cell r="F81">
            <v>0</v>
          </cell>
          <cell r="G81">
            <v>0</v>
          </cell>
          <cell r="H81">
            <v>97877.84</v>
          </cell>
          <cell r="I81">
            <v>24454.320000000007</v>
          </cell>
          <cell r="J81">
            <v>189091.24000000002</v>
          </cell>
          <cell r="K81">
            <v>6720.5599999999977</v>
          </cell>
          <cell r="L81">
            <v>170023.16999999998</v>
          </cell>
          <cell r="M81">
            <v>219742.71999999997</v>
          </cell>
          <cell r="N81">
            <v>75805.320000000065</v>
          </cell>
          <cell r="O81">
            <v>9908.390000000014</v>
          </cell>
          <cell r="P81">
            <v>2356.5</v>
          </cell>
          <cell r="Q81">
            <v>0</v>
          </cell>
        </row>
        <row r="82"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3893.55</v>
          </cell>
          <cell r="M82">
            <v>3631.54</v>
          </cell>
          <cell r="N82">
            <v>9348.5999999999985</v>
          </cell>
          <cell r="O82">
            <v>5283.7000000000007</v>
          </cell>
          <cell r="P82">
            <v>0</v>
          </cell>
          <cell r="Q82">
            <v>0</v>
          </cell>
        </row>
        <row r="83"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13312.18</v>
          </cell>
          <cell r="M83">
            <v>37853.68</v>
          </cell>
          <cell r="N83">
            <v>70260.86</v>
          </cell>
          <cell r="O83">
            <v>81409.899999999994</v>
          </cell>
          <cell r="P83">
            <v>0</v>
          </cell>
          <cell r="Q83">
            <v>0</v>
          </cell>
        </row>
        <row r="84">
          <cell r="E84">
            <v>0</v>
          </cell>
          <cell r="F84">
            <v>40.68</v>
          </cell>
          <cell r="G84">
            <v>16214.5</v>
          </cell>
          <cell r="H84">
            <v>15508.560000000001</v>
          </cell>
          <cell r="I84">
            <v>11228.310000000001</v>
          </cell>
          <cell r="J84">
            <v>63945.89</v>
          </cell>
          <cell r="K84">
            <v>64072.469999999972</v>
          </cell>
          <cell r="L84">
            <v>72181.250000000029</v>
          </cell>
          <cell r="M84">
            <v>7843.5400000000081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E85">
            <v>0</v>
          </cell>
          <cell r="F85">
            <v>61.02</v>
          </cell>
          <cell r="G85">
            <v>652.98</v>
          </cell>
          <cell r="H85">
            <v>13967.26</v>
          </cell>
          <cell r="I85">
            <v>23553.259999999995</v>
          </cell>
          <cell r="J85">
            <v>4347.9000000000015</v>
          </cell>
          <cell r="K85">
            <v>35099.710000000006</v>
          </cell>
          <cell r="L85">
            <v>162441.79999999999</v>
          </cell>
          <cell r="M85">
            <v>153671.34000000003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E86">
            <v>0</v>
          </cell>
          <cell r="F86">
            <v>1547.08</v>
          </cell>
          <cell r="G86">
            <v>11756.51</v>
          </cell>
          <cell r="H86">
            <v>70107.350000000006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-8321.2299999999959</v>
          </cell>
          <cell r="N86">
            <v>44209.31</v>
          </cell>
          <cell r="O86">
            <v>6993.6100000000006</v>
          </cell>
          <cell r="P86">
            <v>7576.8099999999977</v>
          </cell>
          <cell r="Q86">
            <v>7576.7999999999884</v>
          </cell>
        </row>
        <row r="87">
          <cell r="E87">
            <v>0</v>
          </cell>
          <cell r="F87">
            <v>0</v>
          </cell>
          <cell r="G87">
            <v>1356.21</v>
          </cell>
          <cell r="H87">
            <v>3518.3900000000003</v>
          </cell>
          <cell r="I87">
            <v>0</v>
          </cell>
          <cell r="J87">
            <v>0</v>
          </cell>
          <cell r="K87">
            <v>0</v>
          </cell>
          <cell r="L87">
            <v>7005.49</v>
          </cell>
          <cell r="M87">
            <v>4786.619999999999</v>
          </cell>
          <cell r="N87">
            <v>29235.68</v>
          </cell>
          <cell r="O87">
            <v>26078.789999999994</v>
          </cell>
          <cell r="P87">
            <v>276756.11</v>
          </cell>
          <cell r="Q87">
            <v>276756.11000000004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9.6180000000000002E-2</v>
          </cell>
          <cell r="J90">
            <v>0.65221999999999991</v>
          </cell>
          <cell r="K90">
            <v>0</v>
          </cell>
          <cell r="L90">
            <v>0</v>
          </cell>
          <cell r="M90">
            <v>0.19024135003480958</v>
          </cell>
          <cell r="N90">
            <v>0</v>
          </cell>
          <cell r="O90">
            <v>6.135864996519047E-2</v>
          </cell>
          <cell r="P90">
            <v>0</v>
          </cell>
          <cell r="Q90">
            <v>0</v>
          </cell>
        </row>
        <row r="91"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134.96</v>
          </cell>
          <cell r="Q91">
            <v>72.829999999999984</v>
          </cell>
        </row>
      </sheetData>
      <sheetData sheetId="4" refreshError="1">
        <row r="19">
          <cell r="F19">
            <v>822764.91999999993</v>
          </cell>
        </row>
        <row r="20">
          <cell r="F20">
            <v>754973.07</v>
          </cell>
        </row>
        <row r="21">
          <cell r="F21">
            <v>67791.850000000006</v>
          </cell>
        </row>
        <row r="23">
          <cell r="F23">
            <v>3225614.2700000005</v>
          </cell>
        </row>
        <row r="24">
          <cell r="F24">
            <v>2664504.7100000004</v>
          </cell>
        </row>
        <row r="25">
          <cell r="F25">
            <v>385214.91</v>
          </cell>
        </row>
        <row r="26">
          <cell r="F26">
            <v>25451.42</v>
          </cell>
        </row>
        <row r="27">
          <cell r="F27">
            <v>91244.25</v>
          </cell>
        </row>
        <row r="28">
          <cell r="F28">
            <v>22787.599999999999</v>
          </cell>
        </row>
        <row r="29">
          <cell r="F29">
            <v>36411.379999999997</v>
          </cell>
        </row>
        <row r="31">
          <cell r="F31">
            <v>12475214.869999999</v>
          </cell>
        </row>
        <row r="32">
          <cell r="F32">
            <v>1739714.22</v>
          </cell>
        </row>
        <row r="33">
          <cell r="F33">
            <v>3246266.62</v>
          </cell>
        </row>
        <row r="34">
          <cell r="F34">
            <v>145654.26999999999</v>
          </cell>
        </row>
        <row r="35">
          <cell r="F35">
            <v>82924.63</v>
          </cell>
        </row>
        <row r="36">
          <cell r="F36">
            <v>1708556.34</v>
          </cell>
        </row>
        <row r="37">
          <cell r="F37">
            <v>311854.37</v>
          </cell>
        </row>
        <row r="38">
          <cell r="F38">
            <v>1045442.65</v>
          </cell>
        </row>
        <row r="39">
          <cell r="F39">
            <v>0</v>
          </cell>
        </row>
        <row r="40">
          <cell r="F40">
            <v>627706.11</v>
          </cell>
        </row>
        <row r="41">
          <cell r="F41">
            <v>2799216.5</v>
          </cell>
        </row>
        <row r="42">
          <cell r="F42">
            <v>522001.33</v>
          </cell>
        </row>
        <row r="43">
          <cell r="F43">
            <v>245877.83</v>
          </cell>
        </row>
        <row r="45">
          <cell r="F45">
            <v>4744774.2299999995</v>
          </cell>
        </row>
        <row r="46">
          <cell r="F46">
            <v>248959.2</v>
          </cell>
        </row>
        <row r="47">
          <cell r="F47">
            <v>64881.120000000003</v>
          </cell>
        </row>
        <row r="48">
          <cell r="F48">
            <v>35979.33</v>
          </cell>
        </row>
        <row r="49">
          <cell r="F49">
            <v>442189.63</v>
          </cell>
        </row>
        <row r="50">
          <cell r="F50">
            <v>6467.17</v>
          </cell>
        </row>
        <row r="51">
          <cell r="F51">
            <v>20065.34</v>
          </cell>
        </row>
        <row r="52">
          <cell r="F52">
            <v>253606.61</v>
          </cell>
        </row>
        <row r="53">
          <cell r="F53">
            <v>131903.41</v>
          </cell>
        </row>
        <row r="54">
          <cell r="F54">
            <v>397608.79</v>
          </cell>
        </row>
        <row r="55">
          <cell r="F55">
            <v>14173.47</v>
          </cell>
        </row>
        <row r="56">
          <cell r="F56">
            <v>120783.54</v>
          </cell>
        </row>
        <row r="57">
          <cell r="F57">
            <v>1952314.98</v>
          </cell>
        </row>
        <row r="58">
          <cell r="F58">
            <v>361270.66</v>
          </cell>
        </row>
        <row r="59">
          <cell r="F59">
            <v>306889.05</v>
          </cell>
        </row>
        <row r="60">
          <cell r="F60">
            <v>30835.67</v>
          </cell>
        </row>
        <row r="61">
          <cell r="F61">
            <v>0</v>
          </cell>
        </row>
        <row r="62">
          <cell r="F62">
            <v>41558.400000000001</v>
          </cell>
        </row>
        <row r="63">
          <cell r="F63">
            <v>314276.8</v>
          </cell>
        </row>
        <row r="64">
          <cell r="F64">
            <v>0</v>
          </cell>
        </row>
        <row r="65">
          <cell r="F65">
            <v>1011.06</v>
          </cell>
        </row>
        <row r="66">
          <cell r="F66">
            <v>0</v>
          </cell>
        </row>
        <row r="68">
          <cell r="F68">
            <v>668657.91</v>
          </cell>
        </row>
        <row r="69">
          <cell r="F69">
            <v>109214.66</v>
          </cell>
        </row>
        <row r="70">
          <cell r="F70">
            <v>3544.4</v>
          </cell>
        </row>
        <row r="71">
          <cell r="F71">
            <v>33076.53</v>
          </cell>
        </row>
        <row r="72">
          <cell r="F72">
            <v>8087.72</v>
          </cell>
        </row>
        <row r="73">
          <cell r="F73">
            <v>4182.09</v>
          </cell>
        </row>
        <row r="74">
          <cell r="F74">
            <v>376757.1</v>
          </cell>
        </row>
        <row r="75">
          <cell r="F75">
            <v>1511.16</v>
          </cell>
        </row>
        <row r="76">
          <cell r="F76">
            <v>7647.63</v>
          </cell>
        </row>
        <row r="77">
          <cell r="F77">
            <v>124636.62</v>
          </cell>
        </row>
        <row r="79">
          <cell r="F79">
            <v>5081754.01</v>
          </cell>
        </row>
        <row r="80">
          <cell r="F80">
            <v>924561.88</v>
          </cell>
        </row>
        <row r="81">
          <cell r="F81">
            <v>878634.16</v>
          </cell>
        </row>
        <row r="82">
          <cell r="F82">
            <v>133387.49</v>
          </cell>
        </row>
        <row r="83">
          <cell r="F83">
            <v>233262.11</v>
          </cell>
        </row>
        <row r="84">
          <cell r="F84">
            <v>1232582.83</v>
          </cell>
        </row>
        <row r="85">
          <cell r="F85">
            <v>429236.84</v>
          </cell>
        </row>
        <row r="86">
          <cell r="F86">
            <v>630850.23</v>
          </cell>
        </row>
        <row r="87">
          <cell r="F87">
            <v>619238.47</v>
          </cell>
        </row>
        <row r="89">
          <cell r="F89">
            <v>783049.67</v>
          </cell>
        </row>
        <row r="90">
          <cell r="F90">
            <v>656285.30000000005</v>
          </cell>
        </row>
        <row r="91">
          <cell r="F91">
            <v>126764.37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iquidación"/>
      <sheetName val="Valorización"/>
      <sheetName val="Coef. Reaj. &quot;K&quot;"/>
      <sheetName val="Cálculo de Reintegro"/>
      <sheetName val="Amort. Adel. en Efectivo"/>
      <sheetName val="Amort. Adel. en Efectivo (2)"/>
      <sheetName val="Deducc. que no Corresp."/>
      <sheetName val="Deducc. que no Corresp. (2)"/>
      <sheetName val="Amort.Adel.Mat.01"/>
      <sheetName val="Amort.Adel.Mat.02"/>
      <sheetName val="Amort.Adel.Mat.03 "/>
      <sheetName val="Amort.Adel.Mat.04  "/>
      <sheetName val="Mat. en Cancha Nº 01"/>
      <sheetName val="Mat.en Cancha02"/>
      <sheetName val="Mat.en Cancha03"/>
      <sheetName val="Mat. en Cancha Nº 04 "/>
      <sheetName val="Mat. en Cancha Nº 05"/>
      <sheetName val="Mat. en Cancha Nº 06 "/>
      <sheetName val="Mat. en Cancha Nº 07 "/>
      <sheetName val="Mat. en Cancha Nº 08 "/>
      <sheetName val="Resumen de Valorizaciones"/>
      <sheetName val="DATOS1"/>
      <sheetName val="Gráfico1"/>
      <sheetName val="DATOS2"/>
      <sheetName val="Gráfico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iquidación"/>
      <sheetName val="Valorización"/>
      <sheetName val="Coef. Reaj. &quot;K&quot;"/>
      <sheetName val="Cálculo de Reintegro"/>
      <sheetName val="Amort. Adel. en Efectivo"/>
      <sheetName val="Amort. Adel. en Efectivo (2)"/>
      <sheetName val="Deducc. que no Corresp."/>
      <sheetName val="Deducc. que no Corresp. (2)"/>
      <sheetName val="Amort.Adel.Mat.01"/>
      <sheetName val="Amort.Adel.Mat.02"/>
      <sheetName val="Amort.Adel.Mat.03 "/>
      <sheetName val="Amort.Adel.Mat.04  "/>
      <sheetName val="Mat. en Cancha Nº 01"/>
      <sheetName val="Mat.en Cancha02"/>
      <sheetName val="Mat.en Cancha03"/>
      <sheetName val="Mat. en Cancha Nº 04 "/>
      <sheetName val="Mat. en Cancha Nº 05"/>
      <sheetName val="Mat. en Cancha Nº 06 "/>
      <sheetName val="Mat. en Cancha Nº 07 "/>
      <sheetName val="Mat. en Cancha Nº 08 "/>
      <sheetName val="Resumen de Valorizaciones"/>
      <sheetName val="DATOS1"/>
      <sheetName val="Gráfico1"/>
      <sheetName val="DATOS2"/>
      <sheetName val="Gráfico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.I."/>
      <sheetName val="RESUMEN-C.I."/>
    </sheetNames>
    <sheetDataSet>
      <sheetData sheetId="0" refreshError="1">
        <row r="16">
          <cell r="O16">
            <v>1</v>
          </cell>
          <cell r="P16">
            <v>1</v>
          </cell>
          <cell r="Q16">
            <v>1</v>
          </cell>
        </row>
        <row r="17">
          <cell r="O17">
            <v>3</v>
          </cell>
          <cell r="P17">
            <v>3</v>
          </cell>
          <cell r="Q17">
            <v>3</v>
          </cell>
        </row>
        <row r="18">
          <cell r="O18">
            <v>1</v>
          </cell>
          <cell r="P18">
            <v>1</v>
          </cell>
          <cell r="Q18">
            <v>1</v>
          </cell>
        </row>
        <row r="19">
          <cell r="O19">
            <v>1</v>
          </cell>
          <cell r="P19">
            <v>1</v>
          </cell>
          <cell r="Q19">
            <v>1</v>
          </cell>
        </row>
        <row r="28">
          <cell r="O28">
            <v>1</v>
          </cell>
          <cell r="P28">
            <v>1</v>
          </cell>
          <cell r="Q28">
            <v>1</v>
          </cell>
        </row>
        <row r="29">
          <cell r="O29">
            <v>1</v>
          </cell>
          <cell r="P29">
            <v>1</v>
          </cell>
          <cell r="Q29">
            <v>1</v>
          </cell>
        </row>
        <row r="37">
          <cell r="O37">
            <v>1</v>
          </cell>
          <cell r="P37">
            <v>1</v>
          </cell>
          <cell r="Q37">
            <v>1</v>
          </cell>
        </row>
        <row r="38">
          <cell r="O38">
            <v>3</v>
          </cell>
          <cell r="P38">
            <v>3</v>
          </cell>
          <cell r="Q38">
            <v>3</v>
          </cell>
        </row>
        <row r="39">
          <cell r="O39">
            <v>2</v>
          </cell>
          <cell r="P39">
            <v>2</v>
          </cell>
          <cell r="Q39">
            <v>2</v>
          </cell>
        </row>
        <row r="40">
          <cell r="O40">
            <v>1</v>
          </cell>
          <cell r="P40">
            <v>1</v>
          </cell>
          <cell r="Q40">
            <v>1</v>
          </cell>
        </row>
        <row r="46">
          <cell r="O46">
            <v>1</v>
          </cell>
          <cell r="P46">
            <v>1</v>
          </cell>
          <cell r="Q46">
            <v>1</v>
          </cell>
        </row>
        <row r="47">
          <cell r="O47">
            <v>1</v>
          </cell>
          <cell r="P47">
            <v>1</v>
          </cell>
          <cell r="Q47">
            <v>1</v>
          </cell>
        </row>
        <row r="49">
          <cell r="O49">
            <v>200</v>
          </cell>
          <cell r="P49">
            <v>200</v>
          </cell>
          <cell r="Q49">
            <v>200</v>
          </cell>
        </row>
        <row r="50">
          <cell r="O50">
            <v>1</v>
          </cell>
          <cell r="P50">
            <v>1</v>
          </cell>
          <cell r="Q50">
            <v>1</v>
          </cell>
        </row>
        <row r="57">
          <cell r="O57">
            <v>3</v>
          </cell>
          <cell r="P57">
            <v>3</v>
          </cell>
          <cell r="Q57">
            <v>3</v>
          </cell>
        </row>
        <row r="58">
          <cell r="O58">
            <v>40</v>
          </cell>
          <cell r="P58">
            <v>40</v>
          </cell>
          <cell r="Q58">
            <v>40</v>
          </cell>
        </row>
        <row r="63">
          <cell r="O63">
            <v>1</v>
          </cell>
          <cell r="P63">
            <v>1</v>
          </cell>
          <cell r="Q63">
            <v>1</v>
          </cell>
        </row>
        <row r="64">
          <cell r="O64">
            <v>1</v>
          </cell>
          <cell r="P64">
            <v>1</v>
          </cell>
          <cell r="Q64">
            <v>1</v>
          </cell>
        </row>
        <row r="69">
          <cell r="O69">
            <v>1</v>
          </cell>
          <cell r="P69">
            <v>1</v>
          </cell>
          <cell r="Q69">
            <v>1</v>
          </cell>
        </row>
        <row r="70">
          <cell r="O70">
            <v>1</v>
          </cell>
          <cell r="P70">
            <v>1</v>
          </cell>
          <cell r="Q70">
            <v>1</v>
          </cell>
        </row>
        <row r="76">
          <cell r="O76">
            <v>240</v>
          </cell>
          <cell r="P76">
            <v>240</v>
          </cell>
          <cell r="Q76">
            <v>240</v>
          </cell>
        </row>
        <row r="77">
          <cell r="O77">
            <v>1</v>
          </cell>
        </row>
        <row r="78">
          <cell r="O78">
            <v>3</v>
          </cell>
        </row>
        <row r="79">
          <cell r="O79">
            <v>1</v>
          </cell>
        </row>
        <row r="84">
          <cell r="O84">
            <v>0.5</v>
          </cell>
          <cell r="P84">
            <v>0.5</v>
          </cell>
          <cell r="Q84">
            <v>0.5</v>
          </cell>
        </row>
        <row r="85">
          <cell r="O85">
            <v>0.5</v>
          </cell>
          <cell r="P85">
            <v>0.5</v>
          </cell>
          <cell r="Q85">
            <v>0.5</v>
          </cell>
        </row>
        <row r="86">
          <cell r="O86">
            <v>1</v>
          </cell>
        </row>
        <row r="92">
          <cell r="O92">
            <v>0.5</v>
          </cell>
          <cell r="P92">
            <v>0.5</v>
          </cell>
          <cell r="Q92">
            <v>0.5</v>
          </cell>
        </row>
        <row r="93">
          <cell r="O93">
            <v>1000</v>
          </cell>
          <cell r="P93">
            <v>1000</v>
          </cell>
          <cell r="Q93">
            <v>1000</v>
          </cell>
        </row>
        <row r="98">
          <cell r="O98">
            <v>0.5</v>
          </cell>
          <cell r="P98">
            <v>0.5</v>
          </cell>
          <cell r="Q98">
            <v>0.5</v>
          </cell>
        </row>
        <row r="99">
          <cell r="O99">
            <v>0.5</v>
          </cell>
          <cell r="P99">
            <v>0.5</v>
          </cell>
          <cell r="Q99">
            <v>0.5</v>
          </cell>
        </row>
        <row r="104">
          <cell r="O104">
            <v>43</v>
          </cell>
        </row>
        <row r="106">
          <cell r="O106">
            <v>43</v>
          </cell>
        </row>
        <row r="110">
          <cell r="O110">
            <v>43</v>
          </cell>
        </row>
        <row r="112">
          <cell r="O112">
            <v>20</v>
          </cell>
        </row>
        <row r="114">
          <cell r="O114">
            <v>22</v>
          </cell>
        </row>
        <row r="115">
          <cell r="O115">
            <v>43</v>
          </cell>
        </row>
        <row r="116">
          <cell r="O116">
            <v>43</v>
          </cell>
        </row>
        <row r="117">
          <cell r="O117">
            <v>43</v>
          </cell>
        </row>
        <row r="122">
          <cell r="O122">
            <v>1</v>
          </cell>
          <cell r="P122">
            <v>1</v>
          </cell>
          <cell r="Q122">
            <v>1</v>
          </cell>
        </row>
        <row r="123">
          <cell r="O123">
            <v>2</v>
          </cell>
          <cell r="P123">
            <v>2</v>
          </cell>
          <cell r="Q123">
            <v>2</v>
          </cell>
        </row>
        <row r="124">
          <cell r="O124">
            <v>1</v>
          </cell>
          <cell r="P124">
            <v>1</v>
          </cell>
          <cell r="Q124">
            <v>1</v>
          </cell>
        </row>
        <row r="125">
          <cell r="O125">
            <v>1</v>
          </cell>
          <cell r="P125">
            <v>1</v>
          </cell>
          <cell r="Q125">
            <v>1</v>
          </cell>
        </row>
        <row r="126">
          <cell r="O126">
            <v>1</v>
          </cell>
          <cell r="P126">
            <v>1</v>
          </cell>
          <cell r="Q126">
            <v>1</v>
          </cell>
        </row>
        <row r="132">
          <cell r="O132">
            <v>0.1</v>
          </cell>
          <cell r="P132">
            <v>0.1</v>
          </cell>
          <cell r="Q132">
            <v>0.1</v>
          </cell>
        </row>
        <row r="136">
          <cell r="M13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.GEN"/>
      <sheetName val="C.T"/>
      <sheetName val="Avanc.Obra"/>
      <sheetName val="cron.ejec"/>
      <sheetName val="cao"/>
      <sheetName val="res.val"/>
      <sheetName val="Planilla Met."/>
      <sheetName val="Reaj."/>
      <sheetName val="Proc. ret."/>
      <sheetName val="Reg.Reaj."/>
      <sheetName val="Amort.Adel."/>
      <sheetName val="Deduc. Reaj."/>
      <sheetName val="R.D.R.Adel."/>
      <sheetName val="Av. Ob. CAO"/>
      <sheetName val="Comp."/>
      <sheetName val="Av. AcumCAO"/>
      <sheetName val="PERSONAL"/>
      <sheetName val="EQUIPO"/>
      <sheetName val="REL. EQUIP"/>
      <sheetName val="res-met"/>
      <sheetName val="Av. Fisico"/>
      <sheetName val="Res. Adel"/>
      <sheetName val="Pag Cuent"/>
      <sheetName val="Valoriz"/>
      <sheetName val="Res Tram"/>
      <sheetName val="C.F y Pol."/>
      <sheetName val="CANT. F. AGUA"/>
      <sheetName val="DAT. GEN"/>
      <sheetName val="DATOS"/>
      <sheetName val="PRESUPUESTO ADICIONAL LC Y SR"/>
      <sheetName val="DEDUCTIVO LC Y SIST"/>
      <sheetName val="TMC 292+426 AA"/>
      <sheetName val="RESTRICCIONES"/>
      <sheetName val="D_GEN"/>
      <sheetName val="C_T"/>
      <sheetName val="Avanc_Obra"/>
      <sheetName val="cron_ejec"/>
      <sheetName val="res_val"/>
      <sheetName val="Planilla_Met_"/>
      <sheetName val="Reaj_"/>
      <sheetName val="Proc__ret_"/>
      <sheetName val="Reg_Reaj_"/>
      <sheetName val="Amort_Adel_"/>
      <sheetName val="Deduc__Reaj_"/>
      <sheetName val="R_D_R_Adel_"/>
      <sheetName val="Av__Ob__CAO"/>
      <sheetName val="Comp_"/>
      <sheetName val="Av__AcumCAO"/>
      <sheetName val="REL__EQUIP"/>
      <sheetName val="Av__Fisico"/>
      <sheetName val="Res__Adel"/>
      <sheetName val="Pag_Cuent"/>
      <sheetName val="Res_Tram"/>
      <sheetName val="C_F_y_Pol_"/>
      <sheetName val="CANT__F__AGUA"/>
      <sheetName val="DAT__GEN"/>
      <sheetName val="Inroads"/>
      <sheetName val="Estr_01"/>
      <sheetName val="D_GEN1"/>
      <sheetName val="C_T1"/>
      <sheetName val="Avanc_Obra1"/>
      <sheetName val="cron_ejec1"/>
      <sheetName val="res_val1"/>
      <sheetName val="Planilla_Met_1"/>
      <sheetName val="Reaj_1"/>
      <sheetName val="Proc__ret_1"/>
      <sheetName val="Reg_Reaj_1"/>
      <sheetName val="Amort_Adel_1"/>
      <sheetName val="Deduc__Reaj_2"/>
      <sheetName val="R_D_R_Adel_1"/>
      <sheetName val="Av__Ob__CAO1"/>
      <sheetName val="Comp_1"/>
      <sheetName val="Av__AcumCAO1"/>
      <sheetName val="REL__EQUIP1"/>
      <sheetName val="Av__Fisico1"/>
      <sheetName val="Res__Adel1"/>
      <sheetName val="Pag_Cuent1"/>
      <sheetName val="Res_Tram1"/>
      <sheetName val="C_F_y_Pol_1"/>
      <sheetName val="CANT__F__AGUA1"/>
      <sheetName val="DAT__GEN1"/>
      <sheetName val="PRESUPUESTO_ADICIONAL_LC_Y_SR1"/>
      <sheetName val="DEDUCTIVO_LC_Y_SIST1"/>
      <sheetName val="Deduc__Reaj_1"/>
      <sheetName val="PRESUPUESTO_ADICIONAL_LC_Y_SR"/>
      <sheetName val="DEDUCTIVO_LC_Y_SIST"/>
      <sheetName val="Resumen 901.6"/>
      <sheetName val="901.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3">
          <cell r="B3" t="str">
            <v xml:space="preserve">    TINGO MARIA - AGUAYTIA</v>
          </cell>
        </row>
        <row r="4">
          <cell r="A4" t="str">
            <v>TRAMO 1.1</v>
          </cell>
          <cell r="B4" t="str">
            <v>:   TINGO MARIA - PUENTE PUMAHUASI (Km 0+000 - Km 15+200)</v>
          </cell>
        </row>
        <row r="5">
          <cell r="A5" t="str">
            <v>CONTRATISTA</v>
          </cell>
          <cell r="B5" t="str">
            <v>:   CONSORCIO PUMAHUASI</v>
          </cell>
        </row>
        <row r="6">
          <cell r="A6" t="str">
            <v>SUPERVISOR</v>
          </cell>
          <cell r="B6" t="str">
            <v>:   CONSORCIO CPS DE INGENIERIA S.A.C. - HOB CONSULTORES Y  EJECUTORES S.A.</v>
          </cell>
        </row>
        <row r="9">
          <cell r="A9" t="str">
            <v>DEDUCCION DEL REAJUSTE GENERADO</v>
          </cell>
        </row>
        <row r="10">
          <cell r="G10" t="str">
            <v>POR EL ADELANTO EN EFECTIVO</v>
          </cell>
        </row>
        <row r="14">
          <cell r="A14" t="str">
            <v>DEDUCCION DEL REAJUSTE GENERADO POR EL ADELANTO EN EFECTIVO :</v>
          </cell>
        </row>
        <row r="16">
          <cell r="B16" t="str">
            <v xml:space="preserve">           A * V          K</v>
          </cell>
        </row>
        <row r="17">
          <cell r="A17" t="str">
            <v xml:space="preserve">FORMULA: </v>
          </cell>
          <cell r="B17" t="str">
            <v xml:space="preserve">  D = --------- * ( -----  -  1 )  </v>
          </cell>
        </row>
        <row r="18">
          <cell r="B18" t="str">
            <v xml:space="preserve">              C             Ka</v>
          </cell>
        </row>
        <row r="21">
          <cell r="A21" t="str">
            <v>DESCRPCION</v>
          </cell>
          <cell r="L21" t="str">
            <v>VAL. Nº 02
ABR. 04</v>
          </cell>
        </row>
        <row r="22">
          <cell r="A22" t="str">
            <v xml:space="preserve"> D : DEDUCCION DEL REAJUSTE POR EL ADELANTO EN EFECTIVO</v>
          </cell>
          <cell r="M22">
            <v>-1541.5</v>
          </cell>
        </row>
        <row r="23">
          <cell r="A23" t="str">
            <v>A : MONTO DEL ADELANTO EN EFECTIVO EN S./ CONCEDIDO AL CONTRATISTA (S/. 2 767,422.86 sin IGV)</v>
          </cell>
        </row>
        <row r="24">
          <cell r="A24" t="str">
            <v>V  :  MONTO EN S/. DE LA VALORIZACION MENSUAL.</v>
          </cell>
        </row>
        <row r="25">
          <cell r="A25" t="str">
            <v>C  :  SALDO DEL CONTRATO POR VALORIZAR A LA FECHA DE PAGO DEL ADELANTO (S./ 13 873,114.32 sin IGV)</v>
          </cell>
        </row>
        <row r="26">
          <cell r="A26" t="str">
            <v>K  :  COEFICIENTE DE REAJUSTE OBTENIDO MEDIANTE FORMULA POLINOMICA.</v>
          </cell>
        </row>
        <row r="27">
          <cell r="A27" t="str">
            <v>K a :  COEFICIENTE DE REAJUSTE  QUE CORRESPONDE AL MES QUE SE CANCELO EL ADELANTO EN EFECTIVO (DICIEMBRE 2002) K=1.022</v>
          </cell>
        </row>
        <row r="29">
          <cell r="B29">
            <v>2767422.86</v>
          </cell>
          <cell r="C29" t="str">
            <v>*</v>
          </cell>
          <cell r="D29">
            <v>175045.98</v>
          </cell>
          <cell r="F29">
            <v>1.0669999999999999</v>
          </cell>
        </row>
        <row r="30">
          <cell r="A30" t="str">
            <v>D =</v>
          </cell>
          <cell r="B30" t="str">
            <v>-</v>
          </cell>
          <cell r="E30" t="str">
            <v>* (</v>
          </cell>
          <cell r="F30" t="str">
            <v>-</v>
          </cell>
          <cell r="G30" t="str">
            <v>-</v>
          </cell>
          <cell r="H30">
            <v>1</v>
          </cell>
          <cell r="I30" t="str">
            <v>)                 =</v>
          </cell>
          <cell r="J30">
            <v>1541.5</v>
          </cell>
        </row>
        <row r="31">
          <cell r="B31">
            <v>13837114.32</v>
          </cell>
          <cell r="F31">
            <v>1.022</v>
          </cell>
        </row>
        <row r="34">
          <cell r="A34" t="str">
            <v>D  =</v>
          </cell>
          <cell r="B34">
            <v>-1541.5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Mensual - Acumulado"/>
      <sheetName val="I.2"/>
      <sheetName val="1.4"/>
      <sheetName val="I.5"/>
      <sheetName val="I.6"/>
      <sheetName val="II.3"/>
      <sheetName val="III.1"/>
      <sheetName val="III.3"/>
      <sheetName val="IV.1_f"/>
      <sheetName val="IV.2"/>
      <sheetName val="IV.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Mensual - Acumulado"/>
      <sheetName val="I.2"/>
      <sheetName val="1.4"/>
      <sheetName val="I.5"/>
      <sheetName val="I.6"/>
      <sheetName val="II.3"/>
      <sheetName val="III.1"/>
      <sheetName val="III.3"/>
      <sheetName val="IV.1_f"/>
      <sheetName val="IV.2"/>
      <sheetName val="IV.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Mensual - Acumulado"/>
      <sheetName val="I.2"/>
      <sheetName val="1.4"/>
      <sheetName val="I.5"/>
      <sheetName val="I.6"/>
      <sheetName val="II.3"/>
      <sheetName val="III.1"/>
      <sheetName val="III.3"/>
      <sheetName val="IV.1_f"/>
      <sheetName val="IV.2"/>
      <sheetName val="IV.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Mensual - Acumulado"/>
      <sheetName val="I.2"/>
      <sheetName val="1.4"/>
      <sheetName val="I.5"/>
      <sheetName val="I.6"/>
      <sheetName val="II.3"/>
      <sheetName val="III.1"/>
      <sheetName val="III.3"/>
      <sheetName val="IV.1_f"/>
      <sheetName val="IV.2"/>
      <sheetName val="IV.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iquidación"/>
      <sheetName val="Valorización"/>
      <sheetName val="Coef. Reaj. &quot;K&quot;"/>
      <sheetName val="Cálculo de Reintegro"/>
      <sheetName val="Resumen de Valorizaciones"/>
    </sheetNames>
    <sheetDataSet>
      <sheetData sheetId="0" refreshError="1">
        <row r="20">
          <cell r="AW20">
            <v>258.94</v>
          </cell>
          <cell r="AX20">
            <v>258.94</v>
          </cell>
          <cell r="AY20">
            <v>258.94</v>
          </cell>
        </row>
        <row r="21">
          <cell r="AW21">
            <v>0.16700000000000001</v>
          </cell>
          <cell r="AX21">
            <v>0.16700000000000001</v>
          </cell>
          <cell r="AY21">
            <v>0.16700000000000001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</row>
        <row r="22">
          <cell r="AW22">
            <v>277.97000000000003</v>
          </cell>
          <cell r="AX22">
            <v>282.27999999999997</v>
          </cell>
          <cell r="AY22">
            <v>283.32</v>
          </cell>
        </row>
        <row r="23">
          <cell r="AW23">
            <v>311.58999999999997</v>
          </cell>
          <cell r="AX23">
            <v>316.51</v>
          </cell>
          <cell r="AY23">
            <v>317.68</v>
          </cell>
        </row>
        <row r="24">
          <cell r="AW24">
            <v>205.48</v>
          </cell>
          <cell r="AX24">
            <v>208.66</v>
          </cell>
          <cell r="AY24">
            <v>209.26</v>
          </cell>
        </row>
        <row r="25">
          <cell r="AW25">
            <v>0.54500000000000004</v>
          </cell>
          <cell r="AX25">
            <v>0.55300000000000005</v>
          </cell>
          <cell r="AY25">
            <v>0.55500000000000005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</row>
        <row r="26">
          <cell r="AW26">
            <v>330.06</v>
          </cell>
          <cell r="AX26">
            <v>335.17</v>
          </cell>
          <cell r="AY26">
            <v>336.14</v>
          </cell>
        </row>
        <row r="27">
          <cell r="AW27">
            <v>0.217</v>
          </cell>
          <cell r="AX27">
            <v>0.22</v>
          </cell>
          <cell r="AY27">
            <v>0.221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</row>
        <row r="28">
          <cell r="AW28">
            <v>271.51</v>
          </cell>
          <cell r="AX28">
            <v>271.19</v>
          </cell>
          <cell r="AY28">
            <v>271.95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iquidación"/>
      <sheetName val="Valorización"/>
      <sheetName val="Coef. Reaj. &quot;K&quot;"/>
      <sheetName val="Cálculo de Reintegro"/>
      <sheetName val="Resumen de Valorizaciones"/>
    </sheetNames>
    <sheetDataSet>
      <sheetData sheetId="0" refreshError="1">
        <row r="20">
          <cell r="AW20">
            <v>258.94</v>
          </cell>
          <cell r="AX20">
            <v>258.94</v>
          </cell>
          <cell r="AY20">
            <v>258.94</v>
          </cell>
        </row>
        <row r="21">
          <cell r="AW21">
            <v>0.16700000000000001</v>
          </cell>
          <cell r="AX21">
            <v>0.16700000000000001</v>
          </cell>
          <cell r="AY21">
            <v>0.16700000000000001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</row>
        <row r="22">
          <cell r="AW22">
            <v>277.97000000000003</v>
          </cell>
          <cell r="AX22">
            <v>282.27999999999997</v>
          </cell>
          <cell r="AY22">
            <v>283.32</v>
          </cell>
        </row>
        <row r="23">
          <cell r="AW23">
            <v>311.58999999999997</v>
          </cell>
          <cell r="AX23">
            <v>316.51</v>
          </cell>
          <cell r="AY23">
            <v>317.68</v>
          </cell>
        </row>
        <row r="24">
          <cell r="AW24">
            <v>205.48</v>
          </cell>
          <cell r="AX24">
            <v>208.66</v>
          </cell>
          <cell r="AY24">
            <v>209.26</v>
          </cell>
        </row>
        <row r="25">
          <cell r="AW25">
            <v>0.54500000000000004</v>
          </cell>
          <cell r="AX25">
            <v>0.55300000000000005</v>
          </cell>
          <cell r="AY25">
            <v>0.55500000000000005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</row>
        <row r="26">
          <cell r="AW26">
            <v>330.06</v>
          </cell>
          <cell r="AX26">
            <v>335.17</v>
          </cell>
          <cell r="AY26">
            <v>336.14</v>
          </cell>
        </row>
        <row r="27">
          <cell r="AW27">
            <v>0.217</v>
          </cell>
          <cell r="AX27">
            <v>0.22</v>
          </cell>
          <cell r="AY27">
            <v>0.221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</row>
        <row r="28">
          <cell r="AW28">
            <v>271.51</v>
          </cell>
          <cell r="AX28">
            <v>271.19</v>
          </cell>
          <cell r="AY28">
            <v>271.95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o Final de Obra"/>
      <sheetName val="Liquidación Final de Obra"/>
      <sheetName val="Pagos por Adel.Otorgados"/>
      <sheetName val="Metrados CP"/>
      <sheetName val="Valorización CP"/>
      <sheetName val="Reajuste del Principal"/>
      <sheetName val="Deduccion del Reaj.Adelanto"/>
      <sheetName val="Deduccion del Reaj.Adelanto (2)"/>
      <sheetName val="Retención del Reajuste"/>
      <sheetName val="Coef. Reaj. &quot;K&quot;"/>
    </sheetNames>
    <sheetDataSet>
      <sheetData sheetId="0" refreshError="1"/>
      <sheetData sheetId="1" refreshError="1"/>
      <sheetData sheetId="2" refreshError="1"/>
      <sheetData sheetId="3" refreshError="1">
        <row r="15">
          <cell r="E15">
            <v>36161</v>
          </cell>
          <cell r="F15">
            <v>36192</v>
          </cell>
          <cell r="G15">
            <v>36220</v>
          </cell>
          <cell r="H15">
            <v>36251</v>
          </cell>
          <cell r="I15">
            <v>36281</v>
          </cell>
          <cell r="J15">
            <v>36312</v>
          </cell>
          <cell r="K15">
            <v>36342</v>
          </cell>
          <cell r="L15">
            <v>36373</v>
          </cell>
          <cell r="M15">
            <v>36404</v>
          </cell>
          <cell r="N15">
            <v>36434</v>
          </cell>
          <cell r="O15">
            <v>36465</v>
          </cell>
          <cell r="P15">
            <v>36495</v>
          </cell>
          <cell r="Q15">
            <v>36526</v>
          </cell>
          <cell r="R15">
            <v>36557</v>
          </cell>
          <cell r="S15">
            <v>36586</v>
          </cell>
          <cell r="T15">
            <v>36617</v>
          </cell>
        </row>
        <row r="20">
          <cell r="E20">
            <v>0.2</v>
          </cell>
          <cell r="F20">
            <v>0.25</v>
          </cell>
          <cell r="G20">
            <v>0</v>
          </cell>
          <cell r="H20">
            <v>4.9999999999999989E-2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0.30000000000000004</v>
          </cell>
          <cell r="P20">
            <v>0.14999999999999991</v>
          </cell>
          <cell r="Q20">
            <v>5.0000000000000044E-2</v>
          </cell>
        </row>
        <row r="21">
          <cell r="E21">
            <v>0</v>
          </cell>
          <cell r="F21">
            <v>0.08</v>
          </cell>
          <cell r="G21">
            <v>0.37</v>
          </cell>
          <cell r="H21">
            <v>1.34</v>
          </cell>
          <cell r="I21">
            <v>0.39000000000000012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4">
          <cell r="E24">
            <v>0</v>
          </cell>
          <cell r="F24">
            <v>4523.8999999999996</v>
          </cell>
          <cell r="G24">
            <v>15059.250000000002</v>
          </cell>
          <cell r="H24">
            <v>19715.169999999998</v>
          </cell>
          <cell r="I24">
            <v>18079.849999999999</v>
          </cell>
          <cell r="J24">
            <v>31046.740000000005</v>
          </cell>
          <cell r="K24">
            <v>41590.660000000003</v>
          </cell>
          <cell r="L24">
            <v>50755.399999999994</v>
          </cell>
          <cell r="M24">
            <v>21453.429999999993</v>
          </cell>
          <cell r="N24">
            <v>862.85000000000582</v>
          </cell>
          <cell r="O24">
            <v>0</v>
          </cell>
          <cell r="P24">
            <v>0</v>
          </cell>
          <cell r="Q24">
            <v>0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21576.76</v>
          </cell>
          <cell r="I25">
            <v>27344.49</v>
          </cell>
          <cell r="J25">
            <v>53291.7</v>
          </cell>
          <cell r="K25">
            <v>26192.020000000004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E26">
            <v>0</v>
          </cell>
          <cell r="F26">
            <v>8099.98</v>
          </cell>
          <cell r="G26">
            <v>3257.5400000000009</v>
          </cell>
          <cell r="H26">
            <v>5956.369999999999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E27">
            <v>0</v>
          </cell>
          <cell r="F27">
            <v>0</v>
          </cell>
          <cell r="G27">
            <v>7606.16</v>
          </cell>
          <cell r="H27">
            <v>0</v>
          </cell>
          <cell r="I27">
            <v>4909.6399999999994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4798.1000000000022</v>
          </cell>
          <cell r="O27">
            <v>0</v>
          </cell>
          <cell r="P27">
            <v>0</v>
          </cell>
          <cell r="Q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4652.03</v>
          </cell>
          <cell r="I28">
            <v>0</v>
          </cell>
          <cell r="J28">
            <v>3634.37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5092.5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7536</v>
          </cell>
          <cell r="J32">
            <v>17293.2</v>
          </cell>
          <cell r="K32">
            <v>13243.439999999999</v>
          </cell>
          <cell r="L32">
            <v>15075.82</v>
          </cell>
          <cell r="M32">
            <v>48007.439999999995</v>
          </cell>
          <cell r="N32">
            <v>4536.9900000000052</v>
          </cell>
          <cell r="O32">
            <v>234.16999999999825</v>
          </cell>
          <cell r="P32">
            <v>347.47999999999593</v>
          </cell>
          <cell r="Q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18433.919999999998</v>
          </cell>
          <cell r="K33">
            <v>0</v>
          </cell>
          <cell r="L33">
            <v>17514.590000000004</v>
          </cell>
          <cell r="M33">
            <v>29949.54</v>
          </cell>
          <cell r="N33">
            <v>32172.770000000004</v>
          </cell>
          <cell r="O33">
            <v>1722.1899999999878</v>
          </cell>
          <cell r="P33">
            <v>0</v>
          </cell>
          <cell r="Q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50400</v>
          </cell>
          <cell r="L34">
            <v>71636</v>
          </cell>
          <cell r="M34">
            <v>66119.239999999991</v>
          </cell>
          <cell r="N34">
            <v>156820.22000000003</v>
          </cell>
          <cell r="O34">
            <v>71179.609999999986</v>
          </cell>
          <cell r="P34">
            <v>0</v>
          </cell>
          <cell r="Q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51127.12</v>
          </cell>
          <cell r="M35">
            <v>49150.98</v>
          </cell>
          <cell r="N35">
            <v>133846.47999999998</v>
          </cell>
          <cell r="O35">
            <v>61994.790000000008</v>
          </cell>
          <cell r="P35">
            <v>40.020000000018626</v>
          </cell>
          <cell r="Q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3893.55</v>
          </cell>
          <cell r="M36">
            <v>3631.54</v>
          </cell>
          <cell r="N36">
            <v>9802.1899999999987</v>
          </cell>
          <cell r="O36">
            <v>4830.1100000000006</v>
          </cell>
          <cell r="P36">
            <v>0</v>
          </cell>
          <cell r="Q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19947.54</v>
          </cell>
          <cell r="O37">
            <v>41855.56</v>
          </cell>
          <cell r="P37">
            <v>50218.77</v>
          </cell>
          <cell r="Q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51127.12</v>
          </cell>
          <cell r="M38">
            <v>49150.98</v>
          </cell>
          <cell r="N38">
            <v>130546.47999999998</v>
          </cell>
          <cell r="O38">
            <v>65334.810000000027</v>
          </cell>
          <cell r="P38">
            <v>0</v>
          </cell>
          <cell r="Q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17310.439999999999</v>
          </cell>
          <cell r="L40">
            <v>22991.970000000005</v>
          </cell>
          <cell r="M40">
            <v>21850.92</v>
          </cell>
          <cell r="N40">
            <v>51789.440000000002</v>
          </cell>
          <cell r="O40">
            <v>26297.409999999989</v>
          </cell>
          <cell r="P40">
            <v>70540.540000000008</v>
          </cell>
          <cell r="Q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190068.36</v>
          </cell>
          <cell r="M41">
            <v>171028.27000000002</v>
          </cell>
          <cell r="N41">
            <v>479462.5</v>
          </cell>
          <cell r="O41">
            <v>263042.29999999993</v>
          </cell>
          <cell r="P41">
            <v>3490.5800000000745</v>
          </cell>
          <cell r="Q41">
            <v>0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4711.2</v>
          </cell>
          <cell r="M42">
            <v>3520.87</v>
          </cell>
          <cell r="N42">
            <v>10773.8</v>
          </cell>
          <cell r="O42">
            <v>6220.7100000000028</v>
          </cell>
          <cell r="P42">
            <v>56.539999999997235</v>
          </cell>
          <cell r="Q42">
            <v>0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349017.82</v>
          </cell>
          <cell r="M43">
            <v>120931.58000000002</v>
          </cell>
          <cell r="N43">
            <v>275134.93999999994</v>
          </cell>
          <cell r="O43">
            <v>0</v>
          </cell>
          <cell r="P43">
            <v>0</v>
          </cell>
          <cell r="Q43">
            <v>0</v>
          </cell>
        </row>
        <row r="46">
          <cell r="E46">
            <v>0</v>
          </cell>
          <cell r="F46">
            <v>81.27</v>
          </cell>
          <cell r="G46">
            <v>5230.4699999999993</v>
          </cell>
          <cell r="H46">
            <v>198.46000000000004</v>
          </cell>
          <cell r="I46">
            <v>2961.2</v>
          </cell>
          <cell r="J46">
            <v>5911.82</v>
          </cell>
          <cell r="K46">
            <v>1048.08</v>
          </cell>
          <cell r="L46">
            <v>1930.4400000000023</v>
          </cell>
          <cell r="M46">
            <v>2299.2799999999988</v>
          </cell>
          <cell r="N46">
            <v>7817.9199999999983</v>
          </cell>
          <cell r="O46">
            <v>0</v>
          </cell>
          <cell r="P46">
            <v>0</v>
          </cell>
          <cell r="Q46">
            <v>0</v>
          </cell>
        </row>
        <row r="47">
          <cell r="E47">
            <v>0</v>
          </cell>
          <cell r="F47">
            <v>40.68</v>
          </cell>
          <cell r="G47">
            <v>4319.6099999999997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E48">
            <v>0</v>
          </cell>
          <cell r="F48">
            <v>0</v>
          </cell>
          <cell r="G48">
            <v>59.13</v>
          </cell>
          <cell r="H48">
            <v>39.689999999999991</v>
          </cell>
          <cell r="I48">
            <v>53.680000000000007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E49">
            <v>0</v>
          </cell>
          <cell r="F49">
            <v>42.07</v>
          </cell>
          <cell r="G49">
            <v>259.2</v>
          </cell>
          <cell r="H49">
            <v>442.35</v>
          </cell>
          <cell r="I49">
            <v>443.53000000000009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6.55</v>
          </cell>
          <cell r="I50">
            <v>3.2299999999999995</v>
          </cell>
          <cell r="J50">
            <v>10.42</v>
          </cell>
          <cell r="K50">
            <v>10.96</v>
          </cell>
          <cell r="L50">
            <v>1.7200000000000024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53</v>
          </cell>
          <cell r="Q51">
            <v>30.980000000000004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190.84</v>
          </cell>
          <cell r="I52">
            <v>579.88</v>
          </cell>
          <cell r="J52">
            <v>423.81999999999994</v>
          </cell>
          <cell r="K52">
            <v>166.96000000000004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100.53</v>
          </cell>
          <cell r="I53">
            <v>3.289999999999992</v>
          </cell>
          <cell r="J53">
            <v>206.36</v>
          </cell>
          <cell r="K53">
            <v>174.62</v>
          </cell>
          <cell r="L53">
            <v>2.7199999999999704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850.64</v>
          </cell>
          <cell r="I54">
            <v>1218.21</v>
          </cell>
          <cell r="J54">
            <v>1360.33</v>
          </cell>
          <cell r="K54">
            <v>994.87000000000035</v>
          </cell>
          <cell r="L54">
            <v>954.02999999999975</v>
          </cell>
          <cell r="M54">
            <v>2143.96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96.22</v>
          </cell>
          <cell r="J55">
            <v>147.01</v>
          </cell>
          <cell r="K55">
            <v>87.000000000000028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E56">
            <v>0</v>
          </cell>
          <cell r="F56">
            <v>0</v>
          </cell>
          <cell r="G56">
            <v>0</v>
          </cell>
          <cell r="H56">
            <v>13105.84</v>
          </cell>
          <cell r="I56">
            <v>2922.0300000000007</v>
          </cell>
          <cell r="J56">
            <v>19045.689999999995</v>
          </cell>
          <cell r="K56">
            <v>14025.440000000002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185.9</v>
          </cell>
          <cell r="L57">
            <v>3846.1</v>
          </cell>
          <cell r="M57">
            <v>5452.0499999999993</v>
          </cell>
          <cell r="N57">
            <v>7938.0499999999993</v>
          </cell>
          <cell r="O57">
            <v>0</v>
          </cell>
          <cell r="P57">
            <v>0</v>
          </cell>
          <cell r="Q57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409.95</v>
          </cell>
          <cell r="N58">
            <v>1419.25</v>
          </cell>
          <cell r="O58">
            <v>3252.8900000000003</v>
          </cell>
          <cell r="P58">
            <v>1246</v>
          </cell>
          <cell r="Q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1199.6500000000001</v>
          </cell>
          <cell r="N59">
            <v>14567.57</v>
          </cell>
          <cell r="O59">
            <v>0</v>
          </cell>
          <cell r="P59">
            <v>6666.1900000000005</v>
          </cell>
          <cell r="Q59">
            <v>0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127.21</v>
          </cell>
          <cell r="I60">
            <v>30.120000000000019</v>
          </cell>
          <cell r="J60">
            <v>0</v>
          </cell>
          <cell r="K60">
            <v>0</v>
          </cell>
          <cell r="L60">
            <v>239.68999999999997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187.4</v>
          </cell>
          <cell r="Q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1780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</row>
        <row r="65">
          <cell r="E65">
            <v>0</v>
          </cell>
          <cell r="F65">
            <v>6</v>
          </cell>
          <cell r="G65">
            <v>12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8281.68</v>
          </cell>
          <cell r="Q69">
            <v>2070.42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40</v>
          </cell>
          <cell r="Q70">
            <v>0</v>
          </cell>
        </row>
        <row r="71"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44</v>
          </cell>
          <cell r="Q71">
            <v>34</v>
          </cell>
        </row>
        <row r="72"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13</v>
          </cell>
          <cell r="Q72">
            <v>8</v>
          </cell>
        </row>
        <row r="73"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6</v>
          </cell>
          <cell r="Q73">
            <v>0</v>
          </cell>
        </row>
        <row r="74"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689.4</v>
          </cell>
          <cell r="P74">
            <v>1378.7999999999997</v>
          </cell>
          <cell r="Q74">
            <v>1350.08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84</v>
          </cell>
          <cell r="Q75">
            <v>0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544.79999999999995</v>
          </cell>
          <cell r="Q76">
            <v>0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817</v>
          </cell>
          <cell r="Q77">
            <v>545</v>
          </cell>
        </row>
        <row r="80">
          <cell r="E80">
            <v>0</v>
          </cell>
          <cell r="F80">
            <v>0</v>
          </cell>
          <cell r="G80">
            <v>0</v>
          </cell>
          <cell r="H80">
            <v>16212.94</v>
          </cell>
          <cell r="I80">
            <v>7536.0000000000018</v>
          </cell>
          <cell r="J80">
            <v>25537.37</v>
          </cell>
          <cell r="K80">
            <v>4358.8600000000006</v>
          </cell>
          <cell r="L80">
            <v>31421.229999999996</v>
          </cell>
          <cell r="M80">
            <v>88119.670000000013</v>
          </cell>
          <cell r="N80">
            <v>20068.239999999991</v>
          </cell>
          <cell r="O80">
            <v>3550.4200000000128</v>
          </cell>
          <cell r="P80">
            <v>603.9199999999837</v>
          </cell>
          <cell r="Q80">
            <v>0</v>
          </cell>
        </row>
        <row r="81">
          <cell r="E81">
            <v>0</v>
          </cell>
          <cell r="F81">
            <v>0</v>
          </cell>
          <cell r="G81">
            <v>0</v>
          </cell>
          <cell r="H81">
            <v>97877.84</v>
          </cell>
          <cell r="I81">
            <v>24454.320000000007</v>
          </cell>
          <cell r="J81">
            <v>189091.24000000002</v>
          </cell>
          <cell r="K81">
            <v>6720.5599999999977</v>
          </cell>
          <cell r="L81">
            <v>170023.16999999998</v>
          </cell>
          <cell r="M81">
            <v>219742.71999999997</v>
          </cell>
          <cell r="N81">
            <v>75805.320000000065</v>
          </cell>
          <cell r="O81">
            <v>9908.390000000014</v>
          </cell>
          <cell r="P81">
            <v>2356.5</v>
          </cell>
          <cell r="Q81">
            <v>0</v>
          </cell>
        </row>
        <row r="82"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3893.55</v>
          </cell>
          <cell r="M82">
            <v>3631.54</v>
          </cell>
          <cell r="N82">
            <v>9348.5999999999985</v>
          </cell>
          <cell r="O82">
            <v>5283.7000000000007</v>
          </cell>
          <cell r="P82">
            <v>0</v>
          </cell>
          <cell r="Q82">
            <v>0</v>
          </cell>
        </row>
        <row r="83"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13312.18</v>
          </cell>
          <cell r="M83">
            <v>37853.68</v>
          </cell>
          <cell r="N83">
            <v>70260.86</v>
          </cell>
          <cell r="O83">
            <v>81409.899999999994</v>
          </cell>
          <cell r="P83">
            <v>0</v>
          </cell>
          <cell r="Q83">
            <v>0</v>
          </cell>
        </row>
        <row r="84">
          <cell r="E84">
            <v>0</v>
          </cell>
          <cell r="F84">
            <v>40.68</v>
          </cell>
          <cell r="G84">
            <v>16214.5</v>
          </cell>
          <cell r="H84">
            <v>15508.560000000001</v>
          </cell>
          <cell r="I84">
            <v>11228.310000000001</v>
          </cell>
          <cell r="J84">
            <v>63945.89</v>
          </cell>
          <cell r="K84">
            <v>64072.469999999972</v>
          </cell>
          <cell r="L84">
            <v>72181.250000000029</v>
          </cell>
          <cell r="M84">
            <v>7843.5400000000081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E85">
            <v>0</v>
          </cell>
          <cell r="F85">
            <v>61.02</v>
          </cell>
          <cell r="G85">
            <v>652.98</v>
          </cell>
          <cell r="H85">
            <v>13967.26</v>
          </cell>
          <cell r="I85">
            <v>23553.259999999995</v>
          </cell>
          <cell r="J85">
            <v>4347.9000000000015</v>
          </cell>
          <cell r="K85">
            <v>35099.710000000006</v>
          </cell>
          <cell r="L85">
            <v>162441.79999999999</v>
          </cell>
          <cell r="M85">
            <v>153671.34000000003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E86">
            <v>0</v>
          </cell>
          <cell r="F86">
            <v>1547.08</v>
          </cell>
          <cell r="G86">
            <v>11756.51</v>
          </cell>
          <cell r="H86">
            <v>70107.350000000006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-8321.2299999999959</v>
          </cell>
          <cell r="N86">
            <v>44209.31</v>
          </cell>
          <cell r="O86">
            <v>6993.6100000000006</v>
          </cell>
          <cell r="P86">
            <v>7576.8099999999977</v>
          </cell>
          <cell r="Q86">
            <v>7576.7999999999884</v>
          </cell>
        </row>
        <row r="87">
          <cell r="E87">
            <v>0</v>
          </cell>
          <cell r="F87">
            <v>0</v>
          </cell>
          <cell r="G87">
            <v>1356.21</v>
          </cell>
          <cell r="H87">
            <v>3518.3900000000003</v>
          </cell>
          <cell r="I87">
            <v>0</v>
          </cell>
          <cell r="J87">
            <v>0</v>
          </cell>
          <cell r="K87">
            <v>0</v>
          </cell>
          <cell r="L87">
            <v>7005.49</v>
          </cell>
          <cell r="M87">
            <v>4786.619999999999</v>
          </cell>
          <cell r="N87">
            <v>29235.68</v>
          </cell>
          <cell r="O87">
            <v>26078.789999999994</v>
          </cell>
          <cell r="P87">
            <v>276756.11</v>
          </cell>
          <cell r="Q87">
            <v>276756.11000000004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9.6180000000000002E-2</v>
          </cell>
          <cell r="J90">
            <v>0.65221999999999991</v>
          </cell>
          <cell r="K90">
            <v>0</v>
          </cell>
          <cell r="L90">
            <v>0</v>
          </cell>
          <cell r="M90">
            <v>0.19024135003480958</v>
          </cell>
          <cell r="N90">
            <v>0</v>
          </cell>
          <cell r="O90">
            <v>6.135864996519047E-2</v>
          </cell>
          <cell r="P90">
            <v>0</v>
          </cell>
          <cell r="Q90">
            <v>0</v>
          </cell>
        </row>
        <row r="91"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134.96</v>
          </cell>
          <cell r="Q91">
            <v>72.829999999999984</v>
          </cell>
        </row>
      </sheetData>
      <sheetData sheetId="4" refreshError="1">
        <row r="19">
          <cell r="F19">
            <v>822764.91999999993</v>
          </cell>
        </row>
        <row r="20">
          <cell r="F20">
            <v>754973.07</v>
          </cell>
        </row>
        <row r="21">
          <cell r="F21">
            <v>67791.850000000006</v>
          </cell>
        </row>
        <row r="23">
          <cell r="F23">
            <v>3225614.2700000005</v>
          </cell>
        </row>
        <row r="24">
          <cell r="F24">
            <v>2664504.7100000004</v>
          </cell>
        </row>
        <row r="25">
          <cell r="F25">
            <v>385214.91</v>
          </cell>
        </row>
        <row r="26">
          <cell r="F26">
            <v>25451.42</v>
          </cell>
        </row>
        <row r="27">
          <cell r="F27">
            <v>91244.25</v>
          </cell>
        </row>
        <row r="28">
          <cell r="F28">
            <v>22787.599999999999</v>
          </cell>
        </row>
        <row r="29">
          <cell r="F29">
            <v>36411.379999999997</v>
          </cell>
        </row>
        <row r="31">
          <cell r="F31">
            <v>12475214.869999999</v>
          </cell>
        </row>
        <row r="32">
          <cell r="F32">
            <v>1739714.22</v>
          </cell>
        </row>
        <row r="33">
          <cell r="F33">
            <v>3246266.62</v>
          </cell>
        </row>
        <row r="34">
          <cell r="F34">
            <v>145654.26999999999</v>
          </cell>
        </row>
        <row r="35">
          <cell r="F35">
            <v>82924.63</v>
          </cell>
        </row>
        <row r="36">
          <cell r="F36">
            <v>1708556.34</v>
          </cell>
        </row>
        <row r="37">
          <cell r="F37">
            <v>311854.37</v>
          </cell>
        </row>
        <row r="38">
          <cell r="F38">
            <v>1045442.65</v>
          </cell>
        </row>
        <row r="39">
          <cell r="F39">
            <v>0</v>
          </cell>
        </row>
        <row r="40">
          <cell r="F40">
            <v>627706.11</v>
          </cell>
        </row>
        <row r="41">
          <cell r="F41">
            <v>2799216.5</v>
          </cell>
        </row>
        <row r="42">
          <cell r="F42">
            <v>522001.33</v>
          </cell>
        </row>
        <row r="43">
          <cell r="F43">
            <v>245877.83</v>
          </cell>
        </row>
        <row r="45">
          <cell r="F45">
            <v>4744774.2299999995</v>
          </cell>
        </row>
        <row r="46">
          <cell r="F46">
            <v>248959.2</v>
          </cell>
        </row>
        <row r="47">
          <cell r="F47">
            <v>64881.120000000003</v>
          </cell>
        </row>
        <row r="48">
          <cell r="F48">
            <v>35979.33</v>
          </cell>
        </row>
        <row r="49">
          <cell r="F49">
            <v>442189.63</v>
          </cell>
        </row>
        <row r="50">
          <cell r="F50">
            <v>6467.17</v>
          </cell>
        </row>
        <row r="51">
          <cell r="F51">
            <v>20065.34</v>
          </cell>
        </row>
        <row r="52">
          <cell r="F52">
            <v>253606.61</v>
          </cell>
        </row>
        <row r="53">
          <cell r="F53">
            <v>131903.41</v>
          </cell>
        </row>
        <row r="54">
          <cell r="F54">
            <v>397608.79</v>
          </cell>
        </row>
        <row r="55">
          <cell r="F55">
            <v>14173.47</v>
          </cell>
        </row>
        <row r="56">
          <cell r="F56">
            <v>120783.54</v>
          </cell>
        </row>
        <row r="57">
          <cell r="F57">
            <v>1952314.98</v>
          </cell>
        </row>
        <row r="58">
          <cell r="F58">
            <v>361270.66</v>
          </cell>
        </row>
        <row r="59">
          <cell r="F59">
            <v>306889.05</v>
          </cell>
        </row>
        <row r="60">
          <cell r="F60">
            <v>30835.67</v>
          </cell>
        </row>
        <row r="61">
          <cell r="F61">
            <v>0</v>
          </cell>
        </row>
        <row r="62">
          <cell r="F62">
            <v>41558.400000000001</v>
          </cell>
        </row>
        <row r="63">
          <cell r="F63">
            <v>314276.8</v>
          </cell>
        </row>
        <row r="64">
          <cell r="F64">
            <v>0</v>
          </cell>
        </row>
        <row r="65">
          <cell r="F65">
            <v>1011.06</v>
          </cell>
        </row>
        <row r="66">
          <cell r="F66">
            <v>0</v>
          </cell>
        </row>
        <row r="68">
          <cell r="F68">
            <v>668657.91</v>
          </cell>
        </row>
        <row r="69">
          <cell r="F69">
            <v>109214.66</v>
          </cell>
        </row>
        <row r="70">
          <cell r="F70">
            <v>3544.4</v>
          </cell>
        </row>
        <row r="71">
          <cell r="F71">
            <v>33076.53</v>
          </cell>
        </row>
        <row r="72">
          <cell r="F72">
            <v>8087.72</v>
          </cell>
        </row>
        <row r="73">
          <cell r="F73">
            <v>4182.09</v>
          </cell>
        </row>
        <row r="74">
          <cell r="F74">
            <v>376757.1</v>
          </cell>
        </row>
        <row r="75">
          <cell r="F75">
            <v>1511.16</v>
          </cell>
        </row>
        <row r="76">
          <cell r="F76">
            <v>7647.63</v>
          </cell>
        </row>
        <row r="77">
          <cell r="F77">
            <v>124636.62</v>
          </cell>
        </row>
        <row r="79">
          <cell r="F79">
            <v>5081754.01</v>
          </cell>
        </row>
        <row r="80">
          <cell r="F80">
            <v>924561.88</v>
          </cell>
        </row>
        <row r="81">
          <cell r="F81">
            <v>878634.16</v>
          </cell>
        </row>
        <row r="82">
          <cell r="F82">
            <v>133387.49</v>
          </cell>
        </row>
        <row r="83">
          <cell r="F83">
            <v>233262.11</v>
          </cell>
        </row>
        <row r="84">
          <cell r="F84">
            <v>1232582.83</v>
          </cell>
        </row>
        <row r="85">
          <cell r="F85">
            <v>429236.84</v>
          </cell>
        </row>
        <row r="86">
          <cell r="F86">
            <v>630850.23</v>
          </cell>
        </row>
        <row r="87">
          <cell r="F87">
            <v>619238.47</v>
          </cell>
        </row>
        <row r="89">
          <cell r="F89">
            <v>783049.67</v>
          </cell>
        </row>
        <row r="90">
          <cell r="F90">
            <v>656285.30000000005</v>
          </cell>
        </row>
        <row r="91">
          <cell r="F91">
            <v>126764.37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iquidación"/>
      <sheetName val="Valorización"/>
      <sheetName val="Coef. Reaj. &quot;K&quot;"/>
      <sheetName val="Cálculo de Reintegro"/>
      <sheetName val="Resumen de Valorizaciones"/>
    </sheetNames>
    <sheetDataSet>
      <sheetData sheetId="0" refreshError="1">
        <row r="20">
          <cell r="AW20">
            <v>258.94</v>
          </cell>
          <cell r="AX20">
            <v>258.94</v>
          </cell>
          <cell r="AY20">
            <v>258.94</v>
          </cell>
        </row>
        <row r="21">
          <cell r="AW21">
            <v>0.16700000000000001</v>
          </cell>
          <cell r="AX21">
            <v>0.16700000000000001</v>
          </cell>
          <cell r="AY21">
            <v>0.16700000000000001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</row>
        <row r="22">
          <cell r="AW22">
            <v>277.97000000000003</v>
          </cell>
          <cell r="AX22">
            <v>282.27999999999997</v>
          </cell>
          <cell r="AY22">
            <v>283.32</v>
          </cell>
        </row>
        <row r="23">
          <cell r="AW23">
            <v>311.58999999999997</v>
          </cell>
          <cell r="AX23">
            <v>316.51</v>
          </cell>
          <cell r="AY23">
            <v>317.68</v>
          </cell>
        </row>
        <row r="24">
          <cell r="AW24">
            <v>205.48</v>
          </cell>
          <cell r="AX24">
            <v>208.66</v>
          </cell>
          <cell r="AY24">
            <v>209.26</v>
          </cell>
        </row>
        <row r="25">
          <cell r="AW25">
            <v>0.54500000000000004</v>
          </cell>
          <cell r="AX25">
            <v>0.55300000000000005</v>
          </cell>
          <cell r="AY25">
            <v>0.55500000000000005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</row>
        <row r="26">
          <cell r="AW26">
            <v>330.06</v>
          </cell>
          <cell r="AX26">
            <v>335.17</v>
          </cell>
          <cell r="AY26">
            <v>336.14</v>
          </cell>
        </row>
        <row r="27">
          <cell r="AW27">
            <v>0.217</v>
          </cell>
          <cell r="AX27">
            <v>0.22</v>
          </cell>
          <cell r="AY27">
            <v>0.221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</row>
        <row r="28">
          <cell r="AW28">
            <v>271.51</v>
          </cell>
          <cell r="AX28">
            <v>271.19</v>
          </cell>
          <cell r="AY28">
            <v>271.95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iquidación"/>
      <sheetName val="Valorización"/>
      <sheetName val="Coef. Reaj. &quot;K&quot;"/>
      <sheetName val="Cálculo de Reintegro"/>
      <sheetName val="Resumen de Valorizacione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iquidación"/>
      <sheetName val="Valorización"/>
      <sheetName val="Coef. Reaj. &quot;K&quot;"/>
      <sheetName val="Cálculo de Reintegro"/>
      <sheetName val="Resumen de Valorizacione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iquidación"/>
      <sheetName val="Valorización"/>
      <sheetName val="Coef. Reaj. &quot;K&quot;"/>
      <sheetName val="Cálculo de Reintegro"/>
      <sheetName val="Resumen de Valorizacion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iquidación"/>
      <sheetName val="Valorización"/>
      <sheetName val="Avances"/>
      <sheetName val="Datos para Gráficos"/>
      <sheetName val="Coef. Reaj. &quot;K&quot;"/>
      <sheetName val="Cálculo de Reintegro"/>
      <sheetName val="Amort. Adel. en Efectivo"/>
      <sheetName val="Amort. Adel. en Efectivo (2)"/>
      <sheetName val="Deducc. que no Corresp."/>
      <sheetName val="Deducc. que no Corresp. (2)"/>
      <sheetName val="ADELANTOS"/>
      <sheetName val="AMORT"/>
      <sheetName val="REG AMORT 1"/>
      <sheetName val="REG AMORT 2"/>
      <sheetName val="REG AMORT 3"/>
      <sheetName val="Adel Mat 02"/>
      <sheetName val="Mat en Cancha Nº 03"/>
      <sheetName val="Mat en Cancha Nº 04"/>
      <sheetName val="Adel Mat 03"/>
      <sheetName val="Mat en Cancha Nº 05"/>
      <sheetName val="Mat en Cancha Nº 06"/>
      <sheetName val="Mat en Cancha Nº 07"/>
      <sheetName val="Adel Mat 04"/>
      <sheetName val="Mat en Cancha Nº 08"/>
      <sheetName val="Resumen de Valorizaciones"/>
    </sheetNames>
    <sheetDataSet>
      <sheetData sheetId="0" refreshError="1">
        <row r="20">
          <cell r="AV20">
            <v>214.34</v>
          </cell>
          <cell r="AW20">
            <v>198.13</v>
          </cell>
          <cell r="AX20">
            <v>187.08</v>
          </cell>
          <cell r="AY20">
            <v>195.33</v>
          </cell>
          <cell r="AZ20">
            <v>194.41</v>
          </cell>
          <cell r="BA20">
            <v>191.42</v>
          </cell>
          <cell r="BB20">
            <v>188.3</v>
          </cell>
          <cell r="BC20">
            <v>188.63</v>
          </cell>
          <cell r="BD20">
            <v>187.79</v>
          </cell>
          <cell r="BE20">
            <v>189.99</v>
          </cell>
          <cell r="BF20">
            <v>194.79</v>
          </cell>
          <cell r="BG20">
            <v>203.87</v>
          </cell>
          <cell r="BH20">
            <v>213.58</v>
          </cell>
        </row>
        <row r="21">
          <cell r="AV21">
            <v>327.33</v>
          </cell>
          <cell r="AW21">
            <v>336.14</v>
          </cell>
          <cell r="AX21">
            <v>336.14</v>
          </cell>
          <cell r="AY21">
            <v>336.14</v>
          </cell>
          <cell r="AZ21">
            <v>338.14</v>
          </cell>
          <cell r="BA21">
            <v>336.14</v>
          </cell>
          <cell r="BB21">
            <v>336.14</v>
          </cell>
          <cell r="BC21">
            <v>339.22</v>
          </cell>
          <cell r="BD21">
            <v>340.24</v>
          </cell>
          <cell r="BE21">
            <v>342.7</v>
          </cell>
          <cell r="BF21">
            <v>345.37</v>
          </cell>
          <cell r="BG21">
            <v>345.37</v>
          </cell>
          <cell r="BH21">
            <v>345.37</v>
          </cell>
        </row>
        <row r="22">
          <cell r="AV22">
            <v>257.61</v>
          </cell>
          <cell r="AW22">
            <v>297.45</v>
          </cell>
          <cell r="AX22">
            <v>309.08</v>
          </cell>
          <cell r="AY22">
            <v>323.62</v>
          </cell>
          <cell r="AZ22">
            <v>322.08999999999997</v>
          </cell>
          <cell r="BA22">
            <v>319.14</v>
          </cell>
          <cell r="BB22">
            <v>317.43</v>
          </cell>
          <cell r="BC22">
            <v>318.95</v>
          </cell>
          <cell r="BD22">
            <v>317.51</v>
          </cell>
          <cell r="BE22">
            <v>321.24</v>
          </cell>
          <cell r="BF22">
            <v>330.06</v>
          </cell>
          <cell r="BG22">
            <v>335.17</v>
          </cell>
          <cell r="BH22">
            <v>336.14</v>
          </cell>
        </row>
        <row r="23">
          <cell r="AW23">
            <v>0.161</v>
          </cell>
          <cell r="AX23">
            <v>0.16500000000000001</v>
          </cell>
          <cell r="AY23">
            <v>0.17100000000000001</v>
          </cell>
          <cell r="AZ23">
            <v>0.17100000000000001</v>
          </cell>
          <cell r="BA23">
            <v>0.16900000000000001</v>
          </cell>
          <cell r="BB23">
            <v>0.16800000000000001</v>
          </cell>
          <cell r="BC23">
            <v>0.16900000000000001</v>
          </cell>
          <cell r="BD23">
            <v>0.16900000000000001</v>
          </cell>
          <cell r="BE23">
            <v>0.17100000000000001</v>
          </cell>
          <cell r="BF23">
            <v>0.17499999999999999</v>
          </cell>
          <cell r="BG23">
            <v>0.17699999999999999</v>
          </cell>
          <cell r="BH23">
            <v>0.17699999999999999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</row>
        <row r="24">
          <cell r="AV24">
            <v>286.11</v>
          </cell>
          <cell r="AW24">
            <v>268.89</v>
          </cell>
          <cell r="AX24">
            <v>262.27</v>
          </cell>
          <cell r="AY24">
            <v>267.57</v>
          </cell>
          <cell r="AZ24">
            <v>261.60000000000002</v>
          </cell>
          <cell r="BA24">
            <v>273.52999999999997</v>
          </cell>
          <cell r="BB24">
            <v>278.82</v>
          </cell>
          <cell r="BC24">
            <v>278.16000000000003</v>
          </cell>
          <cell r="BD24">
            <v>290.08</v>
          </cell>
          <cell r="BE24">
            <v>308.27999999999997</v>
          </cell>
          <cell r="BF24">
            <v>327.83</v>
          </cell>
          <cell r="BG24">
            <v>344.39</v>
          </cell>
          <cell r="BH24">
            <v>355.65</v>
          </cell>
        </row>
        <row r="25">
          <cell r="AV25">
            <v>385.09</v>
          </cell>
          <cell r="AW25">
            <v>385.09</v>
          </cell>
          <cell r="AX25">
            <v>385.09</v>
          </cell>
          <cell r="AY25">
            <v>385.09</v>
          </cell>
          <cell r="AZ25">
            <v>385.09</v>
          </cell>
          <cell r="BA25">
            <v>385.09</v>
          </cell>
          <cell r="BB25">
            <v>385.09</v>
          </cell>
          <cell r="BC25">
            <v>385.09</v>
          </cell>
          <cell r="BD25">
            <v>385.09</v>
          </cell>
          <cell r="BE25">
            <v>385.09</v>
          </cell>
          <cell r="BF25">
            <v>402.11</v>
          </cell>
          <cell r="BG25">
            <v>512.75</v>
          </cell>
          <cell r="BH25">
            <v>536.15</v>
          </cell>
        </row>
        <row r="26">
          <cell r="AW26">
            <v>0.14299999999999999</v>
          </cell>
          <cell r="AX26">
            <v>0.14099999999999999</v>
          </cell>
          <cell r="AY26">
            <v>0.14299999999999999</v>
          </cell>
          <cell r="AZ26">
            <v>0.14099999999999999</v>
          </cell>
          <cell r="BA26">
            <v>0.14399999999999999</v>
          </cell>
          <cell r="BB26">
            <v>0.14499999999999999</v>
          </cell>
          <cell r="BC26">
            <v>0.14499999999999999</v>
          </cell>
          <cell r="BD26">
            <v>0.14799999999999999</v>
          </cell>
          <cell r="BE26">
            <v>0.152</v>
          </cell>
          <cell r="BF26">
            <v>0.161</v>
          </cell>
          <cell r="BG26">
            <v>0.187</v>
          </cell>
          <cell r="BH26">
            <v>0.19400000000000001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</row>
        <row r="27">
          <cell r="AV27">
            <v>258.94</v>
          </cell>
          <cell r="AW27">
            <v>258.94</v>
          </cell>
          <cell r="AX27">
            <v>258.94</v>
          </cell>
          <cell r="AY27">
            <v>258.94</v>
          </cell>
          <cell r="AZ27">
            <v>258.94</v>
          </cell>
          <cell r="BA27">
            <v>258.94</v>
          </cell>
          <cell r="BB27">
            <v>258.94</v>
          </cell>
          <cell r="BC27">
            <v>258.94</v>
          </cell>
          <cell r="BD27">
            <v>258.94</v>
          </cell>
          <cell r="BE27">
            <v>258.94</v>
          </cell>
          <cell r="BF27">
            <v>258.94</v>
          </cell>
          <cell r="BG27">
            <v>258.94</v>
          </cell>
          <cell r="BH27">
            <v>258.94</v>
          </cell>
        </row>
        <row r="28">
          <cell r="AW28">
            <v>0.19</v>
          </cell>
          <cell r="AX28">
            <v>0.19</v>
          </cell>
          <cell r="AY28">
            <v>0.19</v>
          </cell>
          <cell r="AZ28">
            <v>0.19</v>
          </cell>
          <cell r="BA28">
            <v>0.19</v>
          </cell>
          <cell r="BB28">
            <v>0.19</v>
          </cell>
          <cell r="BC28">
            <v>0.19</v>
          </cell>
          <cell r="BD28">
            <v>0.19</v>
          </cell>
          <cell r="BE28">
            <v>0.19</v>
          </cell>
          <cell r="BF28">
            <v>0.19</v>
          </cell>
          <cell r="BG28">
            <v>0.19</v>
          </cell>
          <cell r="BH28">
            <v>0.19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</row>
        <row r="29">
          <cell r="AV29">
            <v>225.36</v>
          </cell>
          <cell r="AW29">
            <v>256.08999999999997</v>
          </cell>
          <cell r="AX29">
            <v>265.04000000000002</v>
          </cell>
          <cell r="AY29">
            <v>277.07</v>
          </cell>
          <cell r="AZ29">
            <v>275.99</v>
          </cell>
          <cell r="BA29">
            <v>273.45999999999998</v>
          </cell>
          <cell r="BB29">
            <v>271.77999999999997</v>
          </cell>
          <cell r="BC29">
            <v>272.27</v>
          </cell>
          <cell r="BD29">
            <v>270.39</v>
          </cell>
          <cell r="BE29">
            <v>273.56</v>
          </cell>
          <cell r="BF29">
            <v>277.97000000000003</v>
          </cell>
          <cell r="BG29">
            <v>282.27999999999997</v>
          </cell>
          <cell r="BH29">
            <v>283.32</v>
          </cell>
        </row>
        <row r="30">
          <cell r="AV30">
            <v>253.91</v>
          </cell>
          <cell r="AW30">
            <v>289.69</v>
          </cell>
          <cell r="AX30">
            <v>298.92</v>
          </cell>
          <cell r="AY30">
            <v>313.56</v>
          </cell>
          <cell r="AZ30">
            <v>312.43</v>
          </cell>
          <cell r="BA30">
            <v>305.93</v>
          </cell>
          <cell r="BB30">
            <v>304.39</v>
          </cell>
          <cell r="BC30">
            <v>304.48</v>
          </cell>
          <cell r="BD30">
            <v>303.32</v>
          </cell>
          <cell r="BE30">
            <v>306.37</v>
          </cell>
          <cell r="BF30">
            <v>311.58999999999997</v>
          </cell>
          <cell r="BG30">
            <v>316.51</v>
          </cell>
          <cell r="BH30">
            <v>317.68</v>
          </cell>
        </row>
        <row r="31">
          <cell r="AW31">
            <v>0.28499999999999998</v>
          </cell>
          <cell r="AX31">
            <v>0.29499999999999998</v>
          </cell>
          <cell r="AY31">
            <v>0.309</v>
          </cell>
          <cell r="AZ31">
            <v>0.307</v>
          </cell>
          <cell r="BA31">
            <v>0.30499999999999999</v>
          </cell>
          <cell r="BB31">
            <v>0.30299999999999999</v>
          </cell>
          <cell r="BC31">
            <v>0.30299999999999999</v>
          </cell>
          <cell r="BD31">
            <v>0.30099999999999999</v>
          </cell>
          <cell r="BE31">
            <v>0.30499999999999999</v>
          </cell>
          <cell r="BF31">
            <v>0.31</v>
          </cell>
          <cell r="BG31">
            <v>0.314</v>
          </cell>
          <cell r="BH31">
            <v>0.316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</row>
        <row r="32">
          <cell r="AV32">
            <v>250.64</v>
          </cell>
          <cell r="AW32">
            <v>263.31</v>
          </cell>
          <cell r="AX32">
            <v>263.35000000000002</v>
          </cell>
          <cell r="AY32">
            <v>264.18</v>
          </cell>
          <cell r="AZ32">
            <v>265.79000000000002</v>
          </cell>
          <cell r="BA32">
            <v>267.36</v>
          </cell>
          <cell r="BB32">
            <v>268.62</v>
          </cell>
          <cell r="BC32">
            <v>269.10000000000002</v>
          </cell>
          <cell r="BD32">
            <v>269.81</v>
          </cell>
          <cell r="BE32">
            <v>270.27999999999997</v>
          </cell>
          <cell r="BF32">
            <v>271.51</v>
          </cell>
          <cell r="BG32">
            <v>271.19</v>
          </cell>
          <cell r="BH32">
            <v>271.95</v>
          </cell>
        </row>
        <row r="35">
          <cell r="AW35">
            <v>0</v>
          </cell>
          <cell r="AX35">
            <v>1</v>
          </cell>
          <cell r="AY35">
            <v>2</v>
          </cell>
          <cell r="AZ35">
            <v>3</v>
          </cell>
          <cell r="BA35">
            <v>4</v>
          </cell>
          <cell r="BB35">
            <v>5</v>
          </cell>
          <cell r="BC35">
            <v>6</v>
          </cell>
          <cell r="BD35">
            <v>7</v>
          </cell>
          <cell r="BE35">
            <v>8</v>
          </cell>
          <cell r="BF35">
            <v>9</v>
          </cell>
          <cell r="BG35">
            <v>10</v>
          </cell>
          <cell r="BH35">
            <v>11</v>
          </cell>
          <cell r="BI35">
            <v>12</v>
          </cell>
          <cell r="BJ35">
            <v>13</v>
          </cell>
          <cell r="BK35">
            <v>14</v>
          </cell>
          <cell r="BL35">
            <v>15</v>
          </cell>
          <cell r="BM35">
            <v>16</v>
          </cell>
          <cell r="BN35">
            <v>17</v>
          </cell>
        </row>
        <row r="36">
          <cell r="AV36" t="str">
            <v>Kr =</v>
          </cell>
          <cell r="AW36">
            <v>1.0609999999999999</v>
          </cell>
          <cell r="AX36">
            <v>1.073</v>
          </cell>
          <cell r="AY36">
            <v>1.095</v>
          </cell>
          <cell r="AZ36">
            <v>1.093</v>
          </cell>
          <cell r="BA36">
            <v>1.0940000000000001</v>
          </cell>
          <cell r="BB36">
            <v>1.093</v>
          </cell>
          <cell r="BC36">
            <v>1.095</v>
          </cell>
          <cell r="BD36">
            <v>1.0960000000000001</v>
          </cell>
          <cell r="BE36">
            <v>1.107</v>
          </cell>
          <cell r="BF36">
            <v>1.1260000000000001</v>
          </cell>
          <cell r="BG36">
            <v>1.1580000000000001</v>
          </cell>
          <cell r="BH36">
            <v>1.1679999999999999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iquidación"/>
      <sheetName val="Valorización"/>
      <sheetName val="Avances"/>
      <sheetName val="Datos para Gráficos"/>
      <sheetName val="Coef. Reaj. &quot;K&quot;"/>
      <sheetName val="Cálculo de Reintegro"/>
      <sheetName val="Amort. Adel. en Efectivo"/>
      <sheetName val="Amort. Adel. en Efectivo (2)"/>
      <sheetName val="Deducc. que no Corresp."/>
      <sheetName val="Deducc. que no Corresp. (2)"/>
      <sheetName val="ADELANTOS"/>
      <sheetName val="AMORT"/>
      <sheetName val="REG AMORT 1"/>
      <sheetName val="REG AMORT 2"/>
      <sheetName val="REG AMORT 3"/>
      <sheetName val="Adel Mat 02"/>
      <sheetName val="Mat en Cancha Nº 03"/>
      <sheetName val="Mat en Cancha Nº 04"/>
      <sheetName val="Adel Mat 03"/>
      <sheetName val="Mat en Cancha Nº 05"/>
      <sheetName val="Mat en Cancha Nº 06"/>
      <sheetName val="Mat en Cancha Nº 07"/>
      <sheetName val="Adel Mat 04"/>
      <sheetName val="Mat en Cancha Nº 08"/>
      <sheetName val="Resumen de Valorizaciones"/>
    </sheetNames>
    <sheetDataSet>
      <sheetData sheetId="0" refreshError="1">
        <row r="20">
          <cell r="AV20">
            <v>214.34</v>
          </cell>
          <cell r="AW20">
            <v>198.13</v>
          </cell>
          <cell r="AX20">
            <v>187.08</v>
          </cell>
          <cell r="AY20">
            <v>195.33</v>
          </cell>
          <cell r="AZ20">
            <v>194.41</v>
          </cell>
          <cell r="BA20">
            <v>191.42</v>
          </cell>
          <cell r="BB20">
            <v>188.3</v>
          </cell>
          <cell r="BC20">
            <v>188.63</v>
          </cell>
          <cell r="BD20">
            <v>187.79</v>
          </cell>
          <cell r="BE20">
            <v>189.99</v>
          </cell>
          <cell r="BF20">
            <v>194.79</v>
          </cell>
          <cell r="BG20">
            <v>203.87</v>
          </cell>
          <cell r="BH20">
            <v>213.58</v>
          </cell>
        </row>
        <row r="21">
          <cell r="AV21">
            <v>327.33</v>
          </cell>
          <cell r="AW21">
            <v>336.14</v>
          </cell>
          <cell r="AX21">
            <v>336.14</v>
          </cell>
          <cell r="AY21">
            <v>336.14</v>
          </cell>
          <cell r="AZ21">
            <v>338.14</v>
          </cell>
          <cell r="BA21">
            <v>336.14</v>
          </cell>
          <cell r="BB21">
            <v>336.14</v>
          </cell>
          <cell r="BC21">
            <v>339.22</v>
          </cell>
          <cell r="BD21">
            <v>340.24</v>
          </cell>
          <cell r="BE21">
            <v>342.7</v>
          </cell>
          <cell r="BF21">
            <v>345.37</v>
          </cell>
          <cell r="BG21">
            <v>345.37</v>
          </cell>
          <cell r="BH21">
            <v>345.37</v>
          </cell>
        </row>
        <row r="22">
          <cell r="AV22">
            <v>257.61</v>
          </cell>
          <cell r="AW22">
            <v>297.45</v>
          </cell>
          <cell r="AX22">
            <v>309.08</v>
          </cell>
          <cell r="AY22">
            <v>323.62</v>
          </cell>
          <cell r="AZ22">
            <v>322.08999999999997</v>
          </cell>
          <cell r="BA22">
            <v>319.14</v>
          </cell>
          <cell r="BB22">
            <v>317.43</v>
          </cell>
          <cell r="BC22">
            <v>318.95</v>
          </cell>
          <cell r="BD22">
            <v>317.51</v>
          </cell>
          <cell r="BE22">
            <v>321.24</v>
          </cell>
          <cell r="BF22">
            <v>330.06</v>
          </cell>
          <cell r="BG22">
            <v>335.17</v>
          </cell>
          <cell r="BH22">
            <v>336.14</v>
          </cell>
        </row>
        <row r="23">
          <cell r="AW23">
            <v>0.161</v>
          </cell>
          <cell r="AX23">
            <v>0.16500000000000001</v>
          </cell>
          <cell r="AY23">
            <v>0.17100000000000001</v>
          </cell>
          <cell r="AZ23">
            <v>0.17100000000000001</v>
          </cell>
          <cell r="BA23">
            <v>0.16900000000000001</v>
          </cell>
          <cell r="BB23">
            <v>0.16800000000000001</v>
          </cell>
          <cell r="BC23">
            <v>0.16900000000000001</v>
          </cell>
          <cell r="BD23">
            <v>0.16900000000000001</v>
          </cell>
          <cell r="BE23">
            <v>0.17100000000000001</v>
          </cell>
          <cell r="BF23">
            <v>0.17499999999999999</v>
          </cell>
          <cell r="BG23">
            <v>0.17699999999999999</v>
          </cell>
          <cell r="BH23">
            <v>0.17699999999999999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</row>
        <row r="24">
          <cell r="AV24">
            <v>286.11</v>
          </cell>
          <cell r="AW24">
            <v>268.89</v>
          </cell>
          <cell r="AX24">
            <v>262.27</v>
          </cell>
          <cell r="AY24">
            <v>267.57</v>
          </cell>
          <cell r="AZ24">
            <v>261.60000000000002</v>
          </cell>
          <cell r="BA24">
            <v>273.52999999999997</v>
          </cell>
          <cell r="BB24">
            <v>278.82</v>
          </cell>
          <cell r="BC24">
            <v>278.16000000000003</v>
          </cell>
          <cell r="BD24">
            <v>290.08</v>
          </cell>
          <cell r="BE24">
            <v>308.27999999999997</v>
          </cell>
          <cell r="BF24">
            <v>327.83</v>
          </cell>
          <cell r="BG24">
            <v>344.39</v>
          </cell>
          <cell r="BH24">
            <v>355.65</v>
          </cell>
        </row>
        <row r="25">
          <cell r="AV25">
            <v>385.09</v>
          </cell>
          <cell r="AW25">
            <v>385.09</v>
          </cell>
          <cell r="AX25">
            <v>385.09</v>
          </cell>
          <cell r="AY25">
            <v>385.09</v>
          </cell>
          <cell r="AZ25">
            <v>385.09</v>
          </cell>
          <cell r="BA25">
            <v>385.09</v>
          </cell>
          <cell r="BB25">
            <v>385.09</v>
          </cell>
          <cell r="BC25">
            <v>385.09</v>
          </cell>
          <cell r="BD25">
            <v>385.09</v>
          </cell>
          <cell r="BE25">
            <v>385.09</v>
          </cell>
          <cell r="BF25">
            <v>402.11</v>
          </cell>
          <cell r="BG25">
            <v>512.75</v>
          </cell>
          <cell r="BH25">
            <v>536.15</v>
          </cell>
        </row>
        <row r="26">
          <cell r="AW26">
            <v>0.14299999999999999</v>
          </cell>
          <cell r="AX26">
            <v>0.14099999999999999</v>
          </cell>
          <cell r="AY26">
            <v>0.14299999999999999</v>
          </cell>
          <cell r="AZ26">
            <v>0.14099999999999999</v>
          </cell>
          <cell r="BA26">
            <v>0.14399999999999999</v>
          </cell>
          <cell r="BB26">
            <v>0.14499999999999999</v>
          </cell>
          <cell r="BC26">
            <v>0.14499999999999999</v>
          </cell>
          <cell r="BD26">
            <v>0.14799999999999999</v>
          </cell>
          <cell r="BE26">
            <v>0.152</v>
          </cell>
          <cell r="BF26">
            <v>0.161</v>
          </cell>
          <cell r="BG26">
            <v>0.187</v>
          </cell>
          <cell r="BH26">
            <v>0.19400000000000001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</row>
        <row r="27">
          <cell r="AV27">
            <v>258.94</v>
          </cell>
          <cell r="AW27">
            <v>258.94</v>
          </cell>
          <cell r="AX27">
            <v>258.94</v>
          </cell>
          <cell r="AY27">
            <v>258.94</v>
          </cell>
          <cell r="AZ27">
            <v>258.94</v>
          </cell>
          <cell r="BA27">
            <v>258.94</v>
          </cell>
          <cell r="BB27">
            <v>258.94</v>
          </cell>
          <cell r="BC27">
            <v>258.94</v>
          </cell>
          <cell r="BD27">
            <v>258.94</v>
          </cell>
          <cell r="BE27">
            <v>258.94</v>
          </cell>
          <cell r="BF27">
            <v>258.94</v>
          </cell>
          <cell r="BG27">
            <v>258.94</v>
          </cell>
          <cell r="BH27">
            <v>258.94</v>
          </cell>
        </row>
        <row r="28">
          <cell r="AW28">
            <v>0.19</v>
          </cell>
          <cell r="AX28">
            <v>0.19</v>
          </cell>
          <cell r="AY28">
            <v>0.19</v>
          </cell>
          <cell r="AZ28">
            <v>0.19</v>
          </cell>
          <cell r="BA28">
            <v>0.19</v>
          </cell>
          <cell r="BB28">
            <v>0.19</v>
          </cell>
          <cell r="BC28">
            <v>0.19</v>
          </cell>
          <cell r="BD28">
            <v>0.19</v>
          </cell>
          <cell r="BE28">
            <v>0.19</v>
          </cell>
          <cell r="BF28">
            <v>0.19</v>
          </cell>
          <cell r="BG28">
            <v>0.19</v>
          </cell>
          <cell r="BH28">
            <v>0.19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</row>
        <row r="29">
          <cell r="AV29">
            <v>225.36</v>
          </cell>
          <cell r="AW29">
            <v>256.08999999999997</v>
          </cell>
          <cell r="AX29">
            <v>265.04000000000002</v>
          </cell>
          <cell r="AY29">
            <v>277.07</v>
          </cell>
          <cell r="AZ29">
            <v>275.99</v>
          </cell>
          <cell r="BA29">
            <v>273.45999999999998</v>
          </cell>
          <cell r="BB29">
            <v>271.77999999999997</v>
          </cell>
          <cell r="BC29">
            <v>272.27</v>
          </cell>
          <cell r="BD29">
            <v>270.39</v>
          </cell>
          <cell r="BE29">
            <v>273.56</v>
          </cell>
          <cell r="BF29">
            <v>277.97000000000003</v>
          </cell>
          <cell r="BG29">
            <v>282.27999999999997</v>
          </cell>
          <cell r="BH29">
            <v>283.32</v>
          </cell>
        </row>
        <row r="30">
          <cell r="AV30">
            <v>253.91</v>
          </cell>
          <cell r="AW30">
            <v>289.69</v>
          </cell>
          <cell r="AX30">
            <v>298.92</v>
          </cell>
          <cell r="AY30">
            <v>313.56</v>
          </cell>
          <cell r="AZ30">
            <v>312.43</v>
          </cell>
          <cell r="BA30">
            <v>305.93</v>
          </cell>
          <cell r="BB30">
            <v>304.39</v>
          </cell>
          <cell r="BC30">
            <v>304.48</v>
          </cell>
          <cell r="BD30">
            <v>303.32</v>
          </cell>
          <cell r="BE30">
            <v>306.37</v>
          </cell>
          <cell r="BF30">
            <v>311.58999999999997</v>
          </cell>
          <cell r="BG30">
            <v>316.51</v>
          </cell>
          <cell r="BH30">
            <v>317.68</v>
          </cell>
        </row>
        <row r="31">
          <cell r="AW31">
            <v>0.28499999999999998</v>
          </cell>
          <cell r="AX31">
            <v>0.29499999999999998</v>
          </cell>
          <cell r="AY31">
            <v>0.309</v>
          </cell>
          <cell r="AZ31">
            <v>0.307</v>
          </cell>
          <cell r="BA31">
            <v>0.30499999999999999</v>
          </cell>
          <cell r="BB31">
            <v>0.30299999999999999</v>
          </cell>
          <cell r="BC31">
            <v>0.30299999999999999</v>
          </cell>
          <cell r="BD31">
            <v>0.30099999999999999</v>
          </cell>
          <cell r="BE31">
            <v>0.30499999999999999</v>
          </cell>
          <cell r="BF31">
            <v>0.31</v>
          </cell>
          <cell r="BG31">
            <v>0.314</v>
          </cell>
          <cell r="BH31">
            <v>0.316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</row>
        <row r="32">
          <cell r="AV32">
            <v>250.64</v>
          </cell>
          <cell r="AW32">
            <v>263.31</v>
          </cell>
          <cell r="AX32">
            <v>263.35000000000002</v>
          </cell>
          <cell r="AY32">
            <v>264.18</v>
          </cell>
          <cell r="AZ32">
            <v>265.79000000000002</v>
          </cell>
          <cell r="BA32">
            <v>267.36</v>
          </cell>
          <cell r="BB32">
            <v>268.62</v>
          </cell>
          <cell r="BC32">
            <v>269.10000000000002</v>
          </cell>
          <cell r="BD32">
            <v>269.81</v>
          </cell>
          <cell r="BE32">
            <v>270.27999999999997</v>
          </cell>
          <cell r="BF32">
            <v>271.51</v>
          </cell>
          <cell r="BG32">
            <v>271.19</v>
          </cell>
          <cell r="BH32">
            <v>271.95</v>
          </cell>
        </row>
        <row r="35">
          <cell r="AW35">
            <v>0</v>
          </cell>
          <cell r="AX35">
            <v>1</v>
          </cell>
          <cell r="AY35">
            <v>2</v>
          </cell>
          <cell r="AZ35">
            <v>3</v>
          </cell>
          <cell r="BA35">
            <v>4</v>
          </cell>
          <cell r="BB35">
            <v>5</v>
          </cell>
          <cell r="BC35">
            <v>6</v>
          </cell>
          <cell r="BD35">
            <v>7</v>
          </cell>
          <cell r="BE35">
            <v>8</v>
          </cell>
          <cell r="BF35">
            <v>9</v>
          </cell>
          <cell r="BG35">
            <v>10</v>
          </cell>
          <cell r="BH35">
            <v>11</v>
          </cell>
          <cell r="BI35">
            <v>12</v>
          </cell>
          <cell r="BJ35">
            <v>13</v>
          </cell>
          <cell r="BK35">
            <v>14</v>
          </cell>
          <cell r="BL35">
            <v>15</v>
          </cell>
          <cell r="BM35">
            <v>16</v>
          </cell>
          <cell r="BN35">
            <v>17</v>
          </cell>
        </row>
        <row r="36">
          <cell r="AV36" t="str">
            <v>Kr =</v>
          </cell>
          <cell r="AW36">
            <v>1.0609999999999999</v>
          </cell>
          <cell r="AX36">
            <v>1.073</v>
          </cell>
          <cell r="AY36">
            <v>1.095</v>
          </cell>
          <cell r="AZ36">
            <v>1.093</v>
          </cell>
          <cell r="BA36">
            <v>1.0940000000000001</v>
          </cell>
          <cell r="BB36">
            <v>1.093</v>
          </cell>
          <cell r="BC36">
            <v>1.095</v>
          </cell>
          <cell r="BD36">
            <v>1.0960000000000001</v>
          </cell>
          <cell r="BE36">
            <v>1.107</v>
          </cell>
          <cell r="BF36">
            <v>1.1260000000000001</v>
          </cell>
          <cell r="BG36">
            <v>1.1580000000000001</v>
          </cell>
          <cell r="BH36">
            <v>1.1679999999999999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iquidación"/>
      <sheetName val="Valorización"/>
      <sheetName val="Avances"/>
      <sheetName val="Datos para Gráficos"/>
      <sheetName val="Coef. Reaj. &quot;K&quot;"/>
      <sheetName val="Cálculo de Reintegro"/>
      <sheetName val="Amort. Adel. en Efectivo"/>
      <sheetName val="Amort. Adel. en Efectivo (2)"/>
      <sheetName val="Deducc. que no Corresp."/>
      <sheetName val="Deducc. que no Corresp. (2)"/>
      <sheetName val="ADELANTOS"/>
      <sheetName val="AMORT"/>
      <sheetName val="REG AMORT 1"/>
      <sheetName val="REG AMORT 2"/>
      <sheetName val="REG AMORT 3"/>
      <sheetName val="Adel Mat 02"/>
      <sheetName val="Mat en Cancha Nº 03"/>
      <sheetName val="Mat en Cancha Nº 04"/>
      <sheetName val="Adel Mat 03"/>
      <sheetName val="Mat en Cancha Nº 05"/>
      <sheetName val="Mat en Cancha Nº 06"/>
      <sheetName val="Mat en Cancha Nº 07"/>
      <sheetName val="Adel Mat 04"/>
      <sheetName val="Mat en Cancha Nº 08"/>
      <sheetName val="Resumen de Valorizaciones"/>
    </sheetNames>
    <sheetDataSet>
      <sheetData sheetId="0" refreshError="1">
        <row r="20">
          <cell r="AV20">
            <v>214.34</v>
          </cell>
          <cell r="AW20">
            <v>198.13</v>
          </cell>
          <cell r="AX20">
            <v>187.08</v>
          </cell>
          <cell r="AY20">
            <v>195.33</v>
          </cell>
          <cell r="AZ20">
            <v>194.41</v>
          </cell>
          <cell r="BA20">
            <v>191.42</v>
          </cell>
          <cell r="BB20">
            <v>188.3</v>
          </cell>
          <cell r="BC20">
            <v>188.63</v>
          </cell>
          <cell r="BD20">
            <v>187.79</v>
          </cell>
          <cell r="BE20">
            <v>189.99</v>
          </cell>
          <cell r="BF20">
            <v>194.79</v>
          </cell>
          <cell r="BG20">
            <v>203.87</v>
          </cell>
          <cell r="BH20">
            <v>213.58</v>
          </cell>
        </row>
        <row r="21">
          <cell r="AV21">
            <v>327.33</v>
          </cell>
          <cell r="AW21">
            <v>336.14</v>
          </cell>
          <cell r="AX21">
            <v>336.14</v>
          </cell>
          <cell r="AY21">
            <v>336.14</v>
          </cell>
          <cell r="AZ21">
            <v>338.14</v>
          </cell>
          <cell r="BA21">
            <v>336.14</v>
          </cell>
          <cell r="BB21">
            <v>336.14</v>
          </cell>
          <cell r="BC21">
            <v>339.22</v>
          </cell>
          <cell r="BD21">
            <v>340.24</v>
          </cell>
          <cell r="BE21">
            <v>342.7</v>
          </cell>
          <cell r="BF21">
            <v>345.37</v>
          </cell>
          <cell r="BG21">
            <v>345.37</v>
          </cell>
          <cell r="BH21">
            <v>345.37</v>
          </cell>
        </row>
        <row r="22">
          <cell r="AV22">
            <v>257.61</v>
          </cell>
          <cell r="AW22">
            <v>297.45</v>
          </cell>
          <cell r="AX22">
            <v>309.08</v>
          </cell>
          <cell r="AY22">
            <v>323.62</v>
          </cell>
          <cell r="AZ22">
            <v>322.08999999999997</v>
          </cell>
          <cell r="BA22">
            <v>319.14</v>
          </cell>
          <cell r="BB22">
            <v>317.43</v>
          </cell>
          <cell r="BC22">
            <v>318.95</v>
          </cell>
          <cell r="BD22">
            <v>317.51</v>
          </cell>
          <cell r="BE22">
            <v>321.24</v>
          </cell>
          <cell r="BF22">
            <v>330.06</v>
          </cell>
          <cell r="BG22">
            <v>335.17</v>
          </cell>
          <cell r="BH22">
            <v>336.14</v>
          </cell>
        </row>
        <row r="23">
          <cell r="AW23">
            <v>0.161</v>
          </cell>
          <cell r="AX23">
            <v>0.16500000000000001</v>
          </cell>
          <cell r="AY23">
            <v>0.17100000000000001</v>
          </cell>
          <cell r="AZ23">
            <v>0.17100000000000001</v>
          </cell>
          <cell r="BA23">
            <v>0.16900000000000001</v>
          </cell>
          <cell r="BB23">
            <v>0.16800000000000001</v>
          </cell>
          <cell r="BC23">
            <v>0.16900000000000001</v>
          </cell>
          <cell r="BD23">
            <v>0.16900000000000001</v>
          </cell>
          <cell r="BE23">
            <v>0.17100000000000001</v>
          </cell>
          <cell r="BF23">
            <v>0.17499999999999999</v>
          </cell>
          <cell r="BG23">
            <v>0.17699999999999999</v>
          </cell>
          <cell r="BH23">
            <v>0.17699999999999999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</row>
        <row r="24">
          <cell r="AV24">
            <v>286.11</v>
          </cell>
          <cell r="AW24">
            <v>268.89</v>
          </cell>
          <cell r="AX24">
            <v>262.27</v>
          </cell>
          <cell r="AY24">
            <v>267.57</v>
          </cell>
          <cell r="AZ24">
            <v>261.60000000000002</v>
          </cell>
          <cell r="BA24">
            <v>273.52999999999997</v>
          </cell>
          <cell r="BB24">
            <v>278.82</v>
          </cell>
          <cell r="BC24">
            <v>278.16000000000003</v>
          </cell>
          <cell r="BD24">
            <v>290.08</v>
          </cell>
          <cell r="BE24">
            <v>308.27999999999997</v>
          </cell>
          <cell r="BF24">
            <v>327.83</v>
          </cell>
          <cell r="BG24">
            <v>344.39</v>
          </cell>
          <cell r="BH24">
            <v>355.65</v>
          </cell>
        </row>
        <row r="25">
          <cell r="AV25">
            <v>385.09</v>
          </cell>
          <cell r="AW25">
            <v>385.09</v>
          </cell>
          <cell r="AX25">
            <v>385.09</v>
          </cell>
          <cell r="AY25">
            <v>385.09</v>
          </cell>
          <cell r="AZ25">
            <v>385.09</v>
          </cell>
          <cell r="BA25">
            <v>385.09</v>
          </cell>
          <cell r="BB25">
            <v>385.09</v>
          </cell>
          <cell r="BC25">
            <v>385.09</v>
          </cell>
          <cell r="BD25">
            <v>385.09</v>
          </cell>
          <cell r="BE25">
            <v>385.09</v>
          </cell>
          <cell r="BF25">
            <v>402.11</v>
          </cell>
          <cell r="BG25">
            <v>512.75</v>
          </cell>
          <cell r="BH25">
            <v>536.15</v>
          </cell>
        </row>
        <row r="26">
          <cell r="AW26">
            <v>0.14299999999999999</v>
          </cell>
          <cell r="AX26">
            <v>0.14099999999999999</v>
          </cell>
          <cell r="AY26">
            <v>0.14299999999999999</v>
          </cell>
          <cell r="AZ26">
            <v>0.14099999999999999</v>
          </cell>
          <cell r="BA26">
            <v>0.14399999999999999</v>
          </cell>
          <cell r="BB26">
            <v>0.14499999999999999</v>
          </cell>
          <cell r="BC26">
            <v>0.14499999999999999</v>
          </cell>
          <cell r="BD26">
            <v>0.14799999999999999</v>
          </cell>
          <cell r="BE26">
            <v>0.152</v>
          </cell>
          <cell r="BF26">
            <v>0.161</v>
          </cell>
          <cell r="BG26">
            <v>0.187</v>
          </cell>
          <cell r="BH26">
            <v>0.19400000000000001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</row>
        <row r="27">
          <cell r="AV27">
            <v>258.94</v>
          </cell>
          <cell r="AW27">
            <v>258.94</v>
          </cell>
          <cell r="AX27">
            <v>258.94</v>
          </cell>
          <cell r="AY27">
            <v>258.94</v>
          </cell>
          <cell r="AZ27">
            <v>258.94</v>
          </cell>
          <cell r="BA27">
            <v>258.94</v>
          </cell>
          <cell r="BB27">
            <v>258.94</v>
          </cell>
          <cell r="BC27">
            <v>258.94</v>
          </cell>
          <cell r="BD27">
            <v>258.94</v>
          </cell>
          <cell r="BE27">
            <v>258.94</v>
          </cell>
          <cell r="BF27">
            <v>258.94</v>
          </cell>
          <cell r="BG27">
            <v>258.94</v>
          </cell>
          <cell r="BH27">
            <v>258.94</v>
          </cell>
        </row>
        <row r="28">
          <cell r="AW28">
            <v>0.19</v>
          </cell>
          <cell r="AX28">
            <v>0.19</v>
          </cell>
          <cell r="AY28">
            <v>0.19</v>
          </cell>
          <cell r="AZ28">
            <v>0.19</v>
          </cell>
          <cell r="BA28">
            <v>0.19</v>
          </cell>
          <cell r="BB28">
            <v>0.19</v>
          </cell>
          <cell r="BC28">
            <v>0.19</v>
          </cell>
          <cell r="BD28">
            <v>0.19</v>
          </cell>
          <cell r="BE28">
            <v>0.19</v>
          </cell>
          <cell r="BF28">
            <v>0.19</v>
          </cell>
          <cell r="BG28">
            <v>0.19</v>
          </cell>
          <cell r="BH28">
            <v>0.19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</row>
        <row r="29">
          <cell r="AV29">
            <v>225.36</v>
          </cell>
          <cell r="AW29">
            <v>256.08999999999997</v>
          </cell>
          <cell r="AX29">
            <v>265.04000000000002</v>
          </cell>
          <cell r="AY29">
            <v>277.07</v>
          </cell>
          <cell r="AZ29">
            <v>275.99</v>
          </cell>
          <cell r="BA29">
            <v>273.45999999999998</v>
          </cell>
          <cell r="BB29">
            <v>271.77999999999997</v>
          </cell>
          <cell r="BC29">
            <v>272.27</v>
          </cell>
          <cell r="BD29">
            <v>270.39</v>
          </cell>
          <cell r="BE29">
            <v>273.56</v>
          </cell>
          <cell r="BF29">
            <v>277.97000000000003</v>
          </cell>
          <cell r="BG29">
            <v>282.27999999999997</v>
          </cell>
          <cell r="BH29">
            <v>283.32</v>
          </cell>
        </row>
        <row r="30">
          <cell r="AV30">
            <v>253.91</v>
          </cell>
          <cell r="AW30">
            <v>289.69</v>
          </cell>
          <cell r="AX30">
            <v>298.92</v>
          </cell>
          <cell r="AY30">
            <v>313.56</v>
          </cell>
          <cell r="AZ30">
            <v>312.43</v>
          </cell>
          <cell r="BA30">
            <v>305.93</v>
          </cell>
          <cell r="BB30">
            <v>304.39</v>
          </cell>
          <cell r="BC30">
            <v>304.48</v>
          </cell>
          <cell r="BD30">
            <v>303.32</v>
          </cell>
          <cell r="BE30">
            <v>306.37</v>
          </cell>
          <cell r="BF30">
            <v>311.58999999999997</v>
          </cell>
          <cell r="BG30">
            <v>316.51</v>
          </cell>
          <cell r="BH30">
            <v>317.68</v>
          </cell>
        </row>
        <row r="31">
          <cell r="AW31">
            <v>0.28499999999999998</v>
          </cell>
          <cell r="AX31">
            <v>0.29499999999999998</v>
          </cell>
          <cell r="AY31">
            <v>0.309</v>
          </cell>
          <cell r="AZ31">
            <v>0.307</v>
          </cell>
          <cell r="BA31">
            <v>0.30499999999999999</v>
          </cell>
          <cell r="BB31">
            <v>0.30299999999999999</v>
          </cell>
          <cell r="BC31">
            <v>0.30299999999999999</v>
          </cell>
          <cell r="BD31">
            <v>0.30099999999999999</v>
          </cell>
          <cell r="BE31">
            <v>0.30499999999999999</v>
          </cell>
          <cell r="BF31">
            <v>0.31</v>
          </cell>
          <cell r="BG31">
            <v>0.314</v>
          </cell>
          <cell r="BH31">
            <v>0.316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</row>
        <row r="32">
          <cell r="AV32">
            <v>250.64</v>
          </cell>
          <cell r="AW32">
            <v>263.31</v>
          </cell>
          <cell r="AX32">
            <v>263.35000000000002</v>
          </cell>
          <cell r="AY32">
            <v>264.18</v>
          </cell>
          <cell r="AZ32">
            <v>265.79000000000002</v>
          </cell>
          <cell r="BA32">
            <v>267.36</v>
          </cell>
          <cell r="BB32">
            <v>268.62</v>
          </cell>
          <cell r="BC32">
            <v>269.10000000000002</v>
          </cell>
          <cell r="BD32">
            <v>269.81</v>
          </cell>
          <cell r="BE32">
            <v>270.27999999999997</v>
          </cell>
          <cell r="BF32">
            <v>271.51</v>
          </cell>
          <cell r="BG32">
            <v>271.19</v>
          </cell>
          <cell r="BH32">
            <v>271.95</v>
          </cell>
        </row>
        <row r="35">
          <cell r="AW35">
            <v>0</v>
          </cell>
          <cell r="AX35">
            <v>1</v>
          </cell>
          <cell r="AY35">
            <v>2</v>
          </cell>
          <cell r="AZ35">
            <v>3</v>
          </cell>
          <cell r="BA35">
            <v>4</v>
          </cell>
          <cell r="BB35">
            <v>5</v>
          </cell>
          <cell r="BC35">
            <v>6</v>
          </cell>
          <cell r="BD35">
            <v>7</v>
          </cell>
          <cell r="BE35">
            <v>8</v>
          </cell>
          <cell r="BF35">
            <v>9</v>
          </cell>
          <cell r="BG35">
            <v>10</v>
          </cell>
          <cell r="BH35">
            <v>11</v>
          </cell>
          <cell r="BI35">
            <v>12</v>
          </cell>
          <cell r="BJ35">
            <v>13</v>
          </cell>
          <cell r="BK35">
            <v>14</v>
          </cell>
          <cell r="BL35">
            <v>15</v>
          </cell>
          <cell r="BM35">
            <v>16</v>
          </cell>
          <cell r="BN35">
            <v>17</v>
          </cell>
        </row>
        <row r="36">
          <cell r="AV36" t="str">
            <v>Kr =</v>
          </cell>
          <cell r="AW36">
            <v>1.0609999999999999</v>
          </cell>
          <cell r="AX36">
            <v>1.073</v>
          </cell>
          <cell r="AY36">
            <v>1.095</v>
          </cell>
          <cell r="AZ36">
            <v>1.093</v>
          </cell>
          <cell r="BA36">
            <v>1.0940000000000001</v>
          </cell>
          <cell r="BB36">
            <v>1.093</v>
          </cell>
          <cell r="BC36">
            <v>1.095</v>
          </cell>
          <cell r="BD36">
            <v>1.0960000000000001</v>
          </cell>
          <cell r="BE36">
            <v>1.107</v>
          </cell>
          <cell r="BF36">
            <v>1.1260000000000001</v>
          </cell>
          <cell r="BG36">
            <v>1.1580000000000001</v>
          </cell>
          <cell r="BH36">
            <v>1.1679999999999999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 costo inst prfv"/>
      <sheetName val="COMP FFD"/>
      <sheetName val="COMPARATIVO HDPE CORR."/>
      <sheetName val="COMPARATIVO PVC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>
            <v>1.1554000000000002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UP.ADI1.TVII"/>
      <sheetName val="RES,MET,ADI1"/>
      <sheetName val="MET. ADICIONAL1"/>
      <sheetName val="RES.EXPLA."/>
      <sheetName val="transporte general"/>
      <sheetName val="TRANSPORTE BOTADERO"/>
      <sheetName val="TRANS.GEN.PRO"/>
      <sheetName val="TRANS.BOT.PROADI1-TVII"/>
      <sheetName val="MET.BAN.PRO.ADI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UP.ADI1.TVII"/>
      <sheetName val="RES,MET,ADI1"/>
      <sheetName val="MET. ADICIONAL1"/>
      <sheetName val="RES.EXPLA."/>
      <sheetName val="transporte general"/>
      <sheetName val="TRANSPORTE BOTADERO"/>
      <sheetName val="TRANS.GEN.PRO"/>
      <sheetName val="TRANS.BOT.PROADI1-TVII"/>
      <sheetName val="MET.BAN.PRO.ADI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o Final de Obra"/>
      <sheetName val="Liquidación Final de Obra"/>
      <sheetName val="Pagos por Adel.Otorgados"/>
      <sheetName val="Metrados CP"/>
      <sheetName val="Valorización CP"/>
      <sheetName val="Reajuste del Principal"/>
      <sheetName val="Deduccion del Reaj.Adelanto"/>
      <sheetName val="Deduccion del Reaj.Adelanto (2)"/>
      <sheetName val="Retención del Reajuste"/>
      <sheetName val="Coef. Reaj. &quot;K&quot;"/>
    </sheetNames>
    <sheetDataSet>
      <sheetData sheetId="0" refreshError="1"/>
      <sheetData sheetId="1" refreshError="1"/>
      <sheetData sheetId="2" refreshError="1"/>
      <sheetData sheetId="3" refreshError="1">
        <row r="15">
          <cell r="E15">
            <v>36161</v>
          </cell>
          <cell r="F15">
            <v>36192</v>
          </cell>
          <cell r="G15">
            <v>36220</v>
          </cell>
          <cell r="H15">
            <v>36251</v>
          </cell>
          <cell r="I15">
            <v>36281</v>
          </cell>
          <cell r="J15">
            <v>36312</v>
          </cell>
          <cell r="K15">
            <v>36342</v>
          </cell>
          <cell r="L15">
            <v>36373</v>
          </cell>
          <cell r="M15">
            <v>36404</v>
          </cell>
          <cell r="N15">
            <v>36434</v>
          </cell>
          <cell r="O15">
            <v>36465</v>
          </cell>
          <cell r="P15">
            <v>36495</v>
          </cell>
          <cell r="Q15">
            <v>36526</v>
          </cell>
          <cell r="R15">
            <v>36557</v>
          </cell>
          <cell r="S15">
            <v>36586</v>
          </cell>
          <cell r="T15">
            <v>36617</v>
          </cell>
        </row>
        <row r="20">
          <cell r="E20">
            <v>0.2</v>
          </cell>
          <cell r="F20">
            <v>0.25</v>
          </cell>
          <cell r="G20">
            <v>0</v>
          </cell>
          <cell r="H20">
            <v>4.9999999999999989E-2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0.30000000000000004</v>
          </cell>
          <cell r="P20">
            <v>0.14999999999999991</v>
          </cell>
          <cell r="Q20">
            <v>5.0000000000000044E-2</v>
          </cell>
        </row>
        <row r="21">
          <cell r="E21">
            <v>0</v>
          </cell>
          <cell r="F21">
            <v>0.08</v>
          </cell>
          <cell r="G21">
            <v>0.37</v>
          </cell>
          <cell r="H21">
            <v>1.34</v>
          </cell>
          <cell r="I21">
            <v>0.39000000000000012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4">
          <cell r="E24">
            <v>0</v>
          </cell>
          <cell r="F24">
            <v>4523.8999999999996</v>
          </cell>
          <cell r="G24">
            <v>15059.250000000002</v>
          </cell>
          <cell r="H24">
            <v>19715.169999999998</v>
          </cell>
          <cell r="I24">
            <v>18079.849999999999</v>
          </cell>
          <cell r="J24">
            <v>31046.740000000005</v>
          </cell>
          <cell r="K24">
            <v>41590.660000000003</v>
          </cell>
          <cell r="L24">
            <v>50755.399999999994</v>
          </cell>
          <cell r="M24">
            <v>21453.429999999993</v>
          </cell>
          <cell r="N24">
            <v>862.85000000000582</v>
          </cell>
          <cell r="O24">
            <v>0</v>
          </cell>
          <cell r="P24">
            <v>0</v>
          </cell>
          <cell r="Q24">
            <v>0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21576.76</v>
          </cell>
          <cell r="I25">
            <v>27344.49</v>
          </cell>
          <cell r="J25">
            <v>53291.7</v>
          </cell>
          <cell r="K25">
            <v>26192.020000000004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E26">
            <v>0</v>
          </cell>
          <cell r="F26">
            <v>8099.98</v>
          </cell>
          <cell r="G26">
            <v>3257.5400000000009</v>
          </cell>
          <cell r="H26">
            <v>5956.369999999999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E27">
            <v>0</v>
          </cell>
          <cell r="F27">
            <v>0</v>
          </cell>
          <cell r="G27">
            <v>7606.16</v>
          </cell>
          <cell r="H27">
            <v>0</v>
          </cell>
          <cell r="I27">
            <v>4909.6399999999994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4798.1000000000022</v>
          </cell>
          <cell r="O27">
            <v>0</v>
          </cell>
          <cell r="P27">
            <v>0</v>
          </cell>
          <cell r="Q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4652.03</v>
          </cell>
          <cell r="I28">
            <v>0</v>
          </cell>
          <cell r="J28">
            <v>3634.37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5092.5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7536</v>
          </cell>
          <cell r="J32">
            <v>17293.2</v>
          </cell>
          <cell r="K32">
            <v>13243.439999999999</v>
          </cell>
          <cell r="L32">
            <v>15075.82</v>
          </cell>
          <cell r="M32">
            <v>48007.439999999995</v>
          </cell>
          <cell r="N32">
            <v>4536.9900000000052</v>
          </cell>
          <cell r="O32">
            <v>234.16999999999825</v>
          </cell>
          <cell r="P32">
            <v>347.47999999999593</v>
          </cell>
          <cell r="Q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18433.919999999998</v>
          </cell>
          <cell r="K33">
            <v>0</v>
          </cell>
          <cell r="L33">
            <v>17514.590000000004</v>
          </cell>
          <cell r="M33">
            <v>29949.54</v>
          </cell>
          <cell r="N33">
            <v>32172.770000000004</v>
          </cell>
          <cell r="O33">
            <v>1722.1899999999878</v>
          </cell>
          <cell r="P33">
            <v>0</v>
          </cell>
          <cell r="Q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50400</v>
          </cell>
          <cell r="L34">
            <v>71636</v>
          </cell>
          <cell r="M34">
            <v>66119.239999999991</v>
          </cell>
          <cell r="N34">
            <v>156820.22000000003</v>
          </cell>
          <cell r="O34">
            <v>71179.609999999986</v>
          </cell>
          <cell r="P34">
            <v>0</v>
          </cell>
          <cell r="Q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51127.12</v>
          </cell>
          <cell r="M35">
            <v>49150.98</v>
          </cell>
          <cell r="N35">
            <v>133846.47999999998</v>
          </cell>
          <cell r="O35">
            <v>61994.790000000008</v>
          </cell>
          <cell r="P35">
            <v>40.020000000018626</v>
          </cell>
          <cell r="Q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3893.55</v>
          </cell>
          <cell r="M36">
            <v>3631.54</v>
          </cell>
          <cell r="N36">
            <v>9802.1899999999987</v>
          </cell>
          <cell r="O36">
            <v>4830.1100000000006</v>
          </cell>
          <cell r="P36">
            <v>0</v>
          </cell>
          <cell r="Q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19947.54</v>
          </cell>
          <cell r="O37">
            <v>41855.56</v>
          </cell>
          <cell r="P37">
            <v>50218.77</v>
          </cell>
          <cell r="Q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51127.12</v>
          </cell>
          <cell r="M38">
            <v>49150.98</v>
          </cell>
          <cell r="N38">
            <v>130546.47999999998</v>
          </cell>
          <cell r="O38">
            <v>65334.810000000027</v>
          </cell>
          <cell r="P38">
            <v>0</v>
          </cell>
          <cell r="Q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17310.439999999999</v>
          </cell>
          <cell r="L40">
            <v>22991.970000000005</v>
          </cell>
          <cell r="M40">
            <v>21850.92</v>
          </cell>
          <cell r="N40">
            <v>51789.440000000002</v>
          </cell>
          <cell r="O40">
            <v>26297.409999999989</v>
          </cell>
          <cell r="P40">
            <v>70540.540000000008</v>
          </cell>
          <cell r="Q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190068.36</v>
          </cell>
          <cell r="M41">
            <v>171028.27000000002</v>
          </cell>
          <cell r="N41">
            <v>479462.5</v>
          </cell>
          <cell r="O41">
            <v>263042.29999999993</v>
          </cell>
          <cell r="P41">
            <v>3490.5800000000745</v>
          </cell>
          <cell r="Q41">
            <v>0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4711.2</v>
          </cell>
          <cell r="M42">
            <v>3520.87</v>
          </cell>
          <cell r="N42">
            <v>10773.8</v>
          </cell>
          <cell r="O42">
            <v>6220.7100000000028</v>
          </cell>
          <cell r="P42">
            <v>56.539999999997235</v>
          </cell>
          <cell r="Q42">
            <v>0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349017.82</v>
          </cell>
          <cell r="M43">
            <v>120931.58000000002</v>
          </cell>
          <cell r="N43">
            <v>275134.93999999994</v>
          </cell>
          <cell r="O43">
            <v>0</v>
          </cell>
          <cell r="P43">
            <v>0</v>
          </cell>
          <cell r="Q43">
            <v>0</v>
          </cell>
        </row>
        <row r="46">
          <cell r="E46">
            <v>0</v>
          </cell>
          <cell r="F46">
            <v>81.27</v>
          </cell>
          <cell r="G46">
            <v>5230.4699999999993</v>
          </cell>
          <cell r="H46">
            <v>198.46000000000004</v>
          </cell>
          <cell r="I46">
            <v>2961.2</v>
          </cell>
          <cell r="J46">
            <v>5911.82</v>
          </cell>
          <cell r="K46">
            <v>1048.08</v>
          </cell>
          <cell r="L46">
            <v>1930.4400000000023</v>
          </cell>
          <cell r="M46">
            <v>2299.2799999999988</v>
          </cell>
          <cell r="N46">
            <v>7817.9199999999983</v>
          </cell>
          <cell r="O46">
            <v>0</v>
          </cell>
          <cell r="P46">
            <v>0</v>
          </cell>
          <cell r="Q46">
            <v>0</v>
          </cell>
        </row>
        <row r="47">
          <cell r="E47">
            <v>0</v>
          </cell>
          <cell r="F47">
            <v>40.68</v>
          </cell>
          <cell r="G47">
            <v>4319.6099999999997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E48">
            <v>0</v>
          </cell>
          <cell r="F48">
            <v>0</v>
          </cell>
          <cell r="G48">
            <v>59.13</v>
          </cell>
          <cell r="H48">
            <v>39.689999999999991</v>
          </cell>
          <cell r="I48">
            <v>53.680000000000007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E49">
            <v>0</v>
          </cell>
          <cell r="F49">
            <v>42.07</v>
          </cell>
          <cell r="G49">
            <v>259.2</v>
          </cell>
          <cell r="H49">
            <v>442.35</v>
          </cell>
          <cell r="I49">
            <v>443.53000000000009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6.55</v>
          </cell>
          <cell r="I50">
            <v>3.2299999999999995</v>
          </cell>
          <cell r="J50">
            <v>10.42</v>
          </cell>
          <cell r="K50">
            <v>10.96</v>
          </cell>
          <cell r="L50">
            <v>1.7200000000000024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53</v>
          </cell>
          <cell r="Q51">
            <v>30.980000000000004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190.84</v>
          </cell>
          <cell r="I52">
            <v>579.88</v>
          </cell>
          <cell r="J52">
            <v>423.81999999999994</v>
          </cell>
          <cell r="K52">
            <v>166.96000000000004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100.53</v>
          </cell>
          <cell r="I53">
            <v>3.289999999999992</v>
          </cell>
          <cell r="J53">
            <v>206.36</v>
          </cell>
          <cell r="K53">
            <v>174.62</v>
          </cell>
          <cell r="L53">
            <v>2.7199999999999704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850.64</v>
          </cell>
          <cell r="I54">
            <v>1218.21</v>
          </cell>
          <cell r="J54">
            <v>1360.33</v>
          </cell>
          <cell r="K54">
            <v>994.87000000000035</v>
          </cell>
          <cell r="L54">
            <v>954.02999999999975</v>
          </cell>
          <cell r="M54">
            <v>2143.96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96.22</v>
          </cell>
          <cell r="J55">
            <v>147.01</v>
          </cell>
          <cell r="K55">
            <v>87.000000000000028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E56">
            <v>0</v>
          </cell>
          <cell r="F56">
            <v>0</v>
          </cell>
          <cell r="G56">
            <v>0</v>
          </cell>
          <cell r="H56">
            <v>13105.84</v>
          </cell>
          <cell r="I56">
            <v>2922.0300000000007</v>
          </cell>
          <cell r="J56">
            <v>19045.689999999995</v>
          </cell>
          <cell r="K56">
            <v>14025.440000000002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185.9</v>
          </cell>
          <cell r="L57">
            <v>3846.1</v>
          </cell>
          <cell r="M57">
            <v>5452.0499999999993</v>
          </cell>
          <cell r="N57">
            <v>7938.0499999999993</v>
          </cell>
          <cell r="O57">
            <v>0</v>
          </cell>
          <cell r="P57">
            <v>0</v>
          </cell>
          <cell r="Q57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409.95</v>
          </cell>
          <cell r="N58">
            <v>1419.25</v>
          </cell>
          <cell r="O58">
            <v>3252.8900000000003</v>
          </cell>
          <cell r="P58">
            <v>1246</v>
          </cell>
          <cell r="Q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1199.6500000000001</v>
          </cell>
          <cell r="N59">
            <v>14567.57</v>
          </cell>
          <cell r="O59">
            <v>0</v>
          </cell>
          <cell r="P59">
            <v>6666.1900000000005</v>
          </cell>
          <cell r="Q59">
            <v>0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127.21</v>
          </cell>
          <cell r="I60">
            <v>30.120000000000019</v>
          </cell>
          <cell r="J60">
            <v>0</v>
          </cell>
          <cell r="K60">
            <v>0</v>
          </cell>
          <cell r="L60">
            <v>239.68999999999997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187.4</v>
          </cell>
          <cell r="Q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1780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</row>
        <row r="65">
          <cell r="E65">
            <v>0</v>
          </cell>
          <cell r="F65">
            <v>6</v>
          </cell>
          <cell r="G65">
            <v>12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8281.68</v>
          </cell>
          <cell r="Q69">
            <v>2070.42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40</v>
          </cell>
          <cell r="Q70">
            <v>0</v>
          </cell>
        </row>
        <row r="71"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44</v>
          </cell>
          <cell r="Q71">
            <v>34</v>
          </cell>
        </row>
        <row r="72"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13</v>
          </cell>
          <cell r="Q72">
            <v>8</v>
          </cell>
        </row>
        <row r="73"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6</v>
          </cell>
          <cell r="Q73">
            <v>0</v>
          </cell>
        </row>
        <row r="74"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689.4</v>
          </cell>
          <cell r="P74">
            <v>1378.7999999999997</v>
          </cell>
          <cell r="Q74">
            <v>1350.08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84</v>
          </cell>
          <cell r="Q75">
            <v>0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544.79999999999995</v>
          </cell>
          <cell r="Q76">
            <v>0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817</v>
          </cell>
          <cell r="Q77">
            <v>545</v>
          </cell>
        </row>
        <row r="80">
          <cell r="E80">
            <v>0</v>
          </cell>
          <cell r="F80">
            <v>0</v>
          </cell>
          <cell r="G80">
            <v>0</v>
          </cell>
          <cell r="H80">
            <v>16212.94</v>
          </cell>
          <cell r="I80">
            <v>7536.0000000000018</v>
          </cell>
          <cell r="J80">
            <v>25537.37</v>
          </cell>
          <cell r="K80">
            <v>4358.8600000000006</v>
          </cell>
          <cell r="L80">
            <v>31421.229999999996</v>
          </cell>
          <cell r="M80">
            <v>88119.670000000013</v>
          </cell>
          <cell r="N80">
            <v>20068.239999999991</v>
          </cell>
          <cell r="O80">
            <v>3550.4200000000128</v>
          </cell>
          <cell r="P80">
            <v>603.9199999999837</v>
          </cell>
          <cell r="Q80">
            <v>0</v>
          </cell>
        </row>
        <row r="81">
          <cell r="E81">
            <v>0</v>
          </cell>
          <cell r="F81">
            <v>0</v>
          </cell>
          <cell r="G81">
            <v>0</v>
          </cell>
          <cell r="H81">
            <v>97877.84</v>
          </cell>
          <cell r="I81">
            <v>24454.320000000007</v>
          </cell>
          <cell r="J81">
            <v>189091.24000000002</v>
          </cell>
          <cell r="K81">
            <v>6720.5599999999977</v>
          </cell>
          <cell r="L81">
            <v>170023.16999999998</v>
          </cell>
          <cell r="M81">
            <v>219742.71999999997</v>
          </cell>
          <cell r="N81">
            <v>75805.320000000065</v>
          </cell>
          <cell r="O81">
            <v>9908.390000000014</v>
          </cell>
          <cell r="P81">
            <v>2356.5</v>
          </cell>
          <cell r="Q81">
            <v>0</v>
          </cell>
        </row>
        <row r="82"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3893.55</v>
          </cell>
          <cell r="M82">
            <v>3631.54</v>
          </cell>
          <cell r="N82">
            <v>9348.5999999999985</v>
          </cell>
          <cell r="O82">
            <v>5283.7000000000007</v>
          </cell>
          <cell r="P82">
            <v>0</v>
          </cell>
          <cell r="Q82">
            <v>0</v>
          </cell>
        </row>
        <row r="83"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13312.18</v>
          </cell>
          <cell r="M83">
            <v>37853.68</v>
          </cell>
          <cell r="N83">
            <v>70260.86</v>
          </cell>
          <cell r="O83">
            <v>81409.899999999994</v>
          </cell>
          <cell r="P83">
            <v>0</v>
          </cell>
          <cell r="Q83">
            <v>0</v>
          </cell>
        </row>
        <row r="84">
          <cell r="E84">
            <v>0</v>
          </cell>
          <cell r="F84">
            <v>40.68</v>
          </cell>
          <cell r="G84">
            <v>16214.5</v>
          </cell>
          <cell r="H84">
            <v>15508.560000000001</v>
          </cell>
          <cell r="I84">
            <v>11228.310000000001</v>
          </cell>
          <cell r="J84">
            <v>63945.89</v>
          </cell>
          <cell r="K84">
            <v>64072.469999999972</v>
          </cell>
          <cell r="L84">
            <v>72181.250000000029</v>
          </cell>
          <cell r="M84">
            <v>7843.5400000000081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E85">
            <v>0</v>
          </cell>
          <cell r="F85">
            <v>61.02</v>
          </cell>
          <cell r="G85">
            <v>652.98</v>
          </cell>
          <cell r="H85">
            <v>13967.26</v>
          </cell>
          <cell r="I85">
            <v>23553.259999999995</v>
          </cell>
          <cell r="J85">
            <v>4347.9000000000015</v>
          </cell>
          <cell r="K85">
            <v>35099.710000000006</v>
          </cell>
          <cell r="L85">
            <v>162441.79999999999</v>
          </cell>
          <cell r="M85">
            <v>153671.34000000003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E86">
            <v>0</v>
          </cell>
          <cell r="F86">
            <v>1547.08</v>
          </cell>
          <cell r="G86">
            <v>11756.51</v>
          </cell>
          <cell r="H86">
            <v>70107.350000000006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-8321.2299999999959</v>
          </cell>
          <cell r="N86">
            <v>44209.31</v>
          </cell>
          <cell r="O86">
            <v>6993.6100000000006</v>
          </cell>
          <cell r="P86">
            <v>7576.8099999999977</v>
          </cell>
          <cell r="Q86">
            <v>7576.7999999999884</v>
          </cell>
        </row>
        <row r="87">
          <cell r="E87">
            <v>0</v>
          </cell>
          <cell r="F87">
            <v>0</v>
          </cell>
          <cell r="G87">
            <v>1356.21</v>
          </cell>
          <cell r="H87">
            <v>3518.3900000000003</v>
          </cell>
          <cell r="I87">
            <v>0</v>
          </cell>
          <cell r="J87">
            <v>0</v>
          </cell>
          <cell r="K87">
            <v>0</v>
          </cell>
          <cell r="L87">
            <v>7005.49</v>
          </cell>
          <cell r="M87">
            <v>4786.619999999999</v>
          </cell>
          <cell r="N87">
            <v>29235.68</v>
          </cell>
          <cell r="O87">
            <v>26078.789999999994</v>
          </cell>
          <cell r="P87">
            <v>276756.11</v>
          </cell>
          <cell r="Q87">
            <v>276756.11000000004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9.6180000000000002E-2</v>
          </cell>
          <cell r="J90">
            <v>0.65221999999999991</v>
          </cell>
          <cell r="K90">
            <v>0</v>
          </cell>
          <cell r="L90">
            <v>0</v>
          </cell>
          <cell r="M90">
            <v>0.19024135003480958</v>
          </cell>
          <cell r="N90">
            <v>0</v>
          </cell>
          <cell r="O90">
            <v>6.135864996519047E-2</v>
          </cell>
          <cell r="P90">
            <v>0</v>
          </cell>
          <cell r="Q90">
            <v>0</v>
          </cell>
        </row>
        <row r="91"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134.96</v>
          </cell>
          <cell r="Q91">
            <v>72.829999999999984</v>
          </cell>
        </row>
      </sheetData>
      <sheetData sheetId="4" refreshError="1">
        <row r="19">
          <cell r="F19">
            <v>822764.91999999993</v>
          </cell>
        </row>
        <row r="20">
          <cell r="F20">
            <v>754973.07</v>
          </cell>
        </row>
        <row r="21">
          <cell r="F21">
            <v>67791.850000000006</v>
          </cell>
        </row>
        <row r="23">
          <cell r="F23">
            <v>3225614.2700000005</v>
          </cell>
        </row>
        <row r="24">
          <cell r="F24">
            <v>2664504.7100000004</v>
          </cell>
        </row>
        <row r="25">
          <cell r="F25">
            <v>385214.91</v>
          </cell>
        </row>
        <row r="26">
          <cell r="F26">
            <v>25451.42</v>
          </cell>
        </row>
        <row r="27">
          <cell r="F27">
            <v>91244.25</v>
          </cell>
        </row>
        <row r="28">
          <cell r="F28">
            <v>22787.599999999999</v>
          </cell>
        </row>
        <row r="29">
          <cell r="F29">
            <v>36411.379999999997</v>
          </cell>
        </row>
        <row r="31">
          <cell r="F31">
            <v>12475214.869999999</v>
          </cell>
        </row>
        <row r="32">
          <cell r="F32">
            <v>1739714.22</v>
          </cell>
        </row>
        <row r="33">
          <cell r="F33">
            <v>3246266.62</v>
          </cell>
        </row>
        <row r="34">
          <cell r="F34">
            <v>145654.26999999999</v>
          </cell>
        </row>
        <row r="35">
          <cell r="F35">
            <v>82924.63</v>
          </cell>
        </row>
        <row r="36">
          <cell r="F36">
            <v>1708556.34</v>
          </cell>
        </row>
        <row r="37">
          <cell r="F37">
            <v>311854.37</v>
          </cell>
        </row>
        <row r="38">
          <cell r="F38">
            <v>1045442.65</v>
          </cell>
        </row>
        <row r="39">
          <cell r="F39">
            <v>0</v>
          </cell>
        </row>
        <row r="40">
          <cell r="F40">
            <v>627706.11</v>
          </cell>
        </row>
        <row r="41">
          <cell r="F41">
            <v>2799216.5</v>
          </cell>
        </row>
        <row r="42">
          <cell r="F42">
            <v>522001.33</v>
          </cell>
        </row>
        <row r="43">
          <cell r="F43">
            <v>245877.83</v>
          </cell>
        </row>
        <row r="45">
          <cell r="F45">
            <v>4744774.2299999995</v>
          </cell>
        </row>
        <row r="46">
          <cell r="F46">
            <v>248959.2</v>
          </cell>
        </row>
        <row r="47">
          <cell r="F47">
            <v>64881.120000000003</v>
          </cell>
        </row>
        <row r="48">
          <cell r="F48">
            <v>35979.33</v>
          </cell>
        </row>
        <row r="49">
          <cell r="F49">
            <v>442189.63</v>
          </cell>
        </row>
        <row r="50">
          <cell r="F50">
            <v>6467.17</v>
          </cell>
        </row>
        <row r="51">
          <cell r="F51">
            <v>20065.34</v>
          </cell>
        </row>
        <row r="52">
          <cell r="F52">
            <v>253606.61</v>
          </cell>
        </row>
        <row r="53">
          <cell r="F53">
            <v>131903.41</v>
          </cell>
        </row>
        <row r="54">
          <cell r="F54">
            <v>397608.79</v>
          </cell>
        </row>
        <row r="55">
          <cell r="F55">
            <v>14173.47</v>
          </cell>
        </row>
        <row r="56">
          <cell r="F56">
            <v>120783.54</v>
          </cell>
        </row>
        <row r="57">
          <cell r="F57">
            <v>1952314.98</v>
          </cell>
        </row>
        <row r="58">
          <cell r="F58">
            <v>361270.66</v>
          </cell>
        </row>
        <row r="59">
          <cell r="F59">
            <v>306889.05</v>
          </cell>
        </row>
        <row r="60">
          <cell r="F60">
            <v>30835.67</v>
          </cell>
        </row>
        <row r="61">
          <cell r="F61">
            <v>0</v>
          </cell>
        </row>
        <row r="62">
          <cell r="F62">
            <v>41558.400000000001</v>
          </cell>
        </row>
        <row r="63">
          <cell r="F63">
            <v>314276.8</v>
          </cell>
        </row>
        <row r="64">
          <cell r="F64">
            <v>0</v>
          </cell>
        </row>
        <row r="65">
          <cell r="F65">
            <v>1011.06</v>
          </cell>
        </row>
        <row r="66">
          <cell r="F66">
            <v>0</v>
          </cell>
        </row>
        <row r="68">
          <cell r="F68">
            <v>668657.91</v>
          </cell>
        </row>
        <row r="69">
          <cell r="F69">
            <v>109214.66</v>
          </cell>
        </row>
        <row r="70">
          <cell r="F70">
            <v>3544.4</v>
          </cell>
        </row>
        <row r="71">
          <cell r="F71">
            <v>33076.53</v>
          </cell>
        </row>
        <row r="72">
          <cell r="F72">
            <v>8087.72</v>
          </cell>
        </row>
        <row r="73">
          <cell r="F73">
            <v>4182.09</v>
          </cell>
        </row>
        <row r="74">
          <cell r="F74">
            <v>376757.1</v>
          </cell>
        </row>
        <row r="75">
          <cell r="F75">
            <v>1511.16</v>
          </cell>
        </row>
        <row r="76">
          <cell r="F76">
            <v>7647.63</v>
          </cell>
        </row>
        <row r="77">
          <cell r="F77">
            <v>124636.62</v>
          </cell>
        </row>
        <row r="79">
          <cell r="F79">
            <v>5081754.01</v>
          </cell>
        </row>
        <row r="80">
          <cell r="F80">
            <v>924561.88</v>
          </cell>
        </row>
        <row r="81">
          <cell r="F81">
            <v>878634.16</v>
          </cell>
        </row>
        <row r="82">
          <cell r="F82">
            <v>133387.49</v>
          </cell>
        </row>
        <row r="83">
          <cell r="F83">
            <v>233262.11</v>
          </cell>
        </row>
        <row r="84">
          <cell r="F84">
            <v>1232582.83</v>
          </cell>
        </row>
        <row r="85">
          <cell r="F85">
            <v>429236.84</v>
          </cell>
        </row>
        <row r="86">
          <cell r="F86">
            <v>630850.23</v>
          </cell>
        </row>
        <row r="87">
          <cell r="F87">
            <v>619238.47</v>
          </cell>
        </row>
        <row r="89">
          <cell r="F89">
            <v>783049.67</v>
          </cell>
        </row>
        <row r="90">
          <cell r="F90">
            <v>656285.30000000005</v>
          </cell>
        </row>
        <row r="91">
          <cell r="F91">
            <v>126764.37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UP.ADI1.TVII"/>
      <sheetName val="RES,MET,ADI1"/>
      <sheetName val="MET. ADICIONAL1"/>
      <sheetName val="RES.EXPLA."/>
      <sheetName val="transporte general"/>
      <sheetName val="TRANSPORTE BOTADERO"/>
      <sheetName val="TRANS.GEN.PRO"/>
      <sheetName val="TRANS.BOT.PROADI1-TVII"/>
      <sheetName val="MET.BAN.PRO.ADI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UP.ADI1.TVII"/>
      <sheetName val="transporte general"/>
      <sheetName val="MET. ADICIONAL1"/>
      <sheetName val="RES.EXPLA."/>
      <sheetName val="TRANSPORTE BOTADERO"/>
      <sheetName val="TRANS.SEN.PRO"/>
      <sheetName val="MEJ.SUB.PROADI1"/>
      <sheetName val="PER,COM.PRO.ADI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UP.ADI1.TVII"/>
      <sheetName val="transporte general"/>
      <sheetName val="MET. ADICIONAL1"/>
      <sheetName val="RES.EXPLA."/>
      <sheetName val="TRANSPORTE BOTADERO"/>
      <sheetName val="TRANS.SEN.PRO"/>
      <sheetName val="MEJ.SUB.PROADI1"/>
      <sheetName val="PER,COM.PRO.ADI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UP.ADI1.TVII"/>
      <sheetName val="transporte general"/>
      <sheetName val="MET. ADICIONAL1"/>
      <sheetName val="RES.EXPLA."/>
      <sheetName val="TRANSPORTE BOTADERO"/>
      <sheetName val="TRANS.SEN.PRO"/>
      <sheetName val="MEJ.SUB.PROADI1"/>
      <sheetName val="PER,COM.PRO.ADI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ago a cuenta"/>
      <sheetName val="Resumen Valoriz."/>
      <sheetName val="Valoriz"/>
      <sheetName val="Reajuste"/>
      <sheetName val="Retencion"/>
      <sheetName val="Reg.Reajuste"/>
      <sheetName val="Amort.Adelanto"/>
      <sheetName val="Deduccion Reajuste"/>
      <sheetName val="Reg.Deduc.Reaj.Adel."/>
      <sheetName val="Amort.Adel.materiales"/>
      <sheetName val="Deduc_Amort_Adel.mat"/>
      <sheetName val="Mat Util"/>
      <sheetName val="Resumen Tramitado"/>
      <sheetName val="AVANCE OBRA CAO"/>
      <sheetName val="Comparati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ago a cuenta"/>
      <sheetName val="Resumen Valoriz."/>
      <sheetName val="Valoriz"/>
      <sheetName val="Reajuste"/>
      <sheetName val="Retencion"/>
      <sheetName val="Reg.Reajuste"/>
      <sheetName val="Amort.Adelanto"/>
      <sheetName val="Deduccion Reajuste"/>
      <sheetName val="Reg.Deduc.Reaj.Adel."/>
      <sheetName val="Amort.Adel.materiales"/>
      <sheetName val="Deduc_Amort_Adel.mat"/>
      <sheetName val="Mat Util"/>
      <sheetName val="Resumen Tramitado"/>
      <sheetName val="AVANCE OBRA CAO"/>
      <sheetName val="Comparati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ago a cuenta"/>
      <sheetName val="Resumen Valoriz."/>
      <sheetName val="Valoriz"/>
      <sheetName val="Reajuste"/>
      <sheetName val="Retencion"/>
      <sheetName val="Reg.Reajuste"/>
      <sheetName val="Amort.Adelanto"/>
      <sheetName val="Deduccion Reajuste"/>
      <sheetName val="Reg.Deduc.Reaj.Adel."/>
      <sheetName val="Amort.Adel.materiales"/>
      <sheetName val="Deduc_Amort_Adel.mat"/>
      <sheetName val="Mat Util"/>
      <sheetName val="Resumen Tramitado"/>
      <sheetName val="AVANCE OBRA CAO"/>
      <sheetName val="Comparativ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ago a cuenta"/>
      <sheetName val="Resumen Valoriz."/>
      <sheetName val="Valoriz"/>
      <sheetName val="Reajuste"/>
      <sheetName val="Retencion"/>
      <sheetName val="Reg.Reajuste"/>
      <sheetName val="Amort.Adelanto"/>
      <sheetName val="Deduccion Reajuste"/>
      <sheetName val="Reg.Deduc.Reaj.Adel."/>
      <sheetName val="Amort.Adel.materiales"/>
      <sheetName val="Deduc_Amort_Adel.mat"/>
      <sheetName val="Mat Util"/>
      <sheetName val="Resumen Tramitado"/>
      <sheetName val="AVANCE OBRA CAO"/>
      <sheetName val="Comparati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ago a cuenta"/>
      <sheetName val="Resumen Valoriz."/>
      <sheetName val="Valoriz"/>
      <sheetName val="Reajuste"/>
      <sheetName val="Retencion"/>
      <sheetName val="Reg.Reajuste"/>
      <sheetName val="Amort.Adelanto"/>
      <sheetName val="Deduccion Reajuste"/>
      <sheetName val="Reg.Deduc.Reaj.Adel."/>
      <sheetName val="Amort.Adel.materiales"/>
      <sheetName val="Deduc_Amort_Adel.mat"/>
      <sheetName val="Mat Util"/>
      <sheetName val="Resumen Tramitado"/>
      <sheetName val="AVANCE OBRA CAO"/>
      <sheetName val="Comparativ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ORIZACION 10"/>
      <sheetName val="Presupuestos"/>
      <sheetName val="Metrados"/>
      <sheetName val="2.01"/>
      <sheetName val="REAJUSTE"/>
      <sheetName val="deducc mat. val 10"/>
      <sheetName val="reg deduc mat. val 09"/>
      <sheetName val="REGULAR. REAJUSTE"/>
      <sheetName val="REGULAR DEDUC"/>
      <sheetName val="DEDUCCION"/>
      <sheetName val="AMORTIZACION"/>
      <sheetName val="RESUMEN"/>
      <sheetName val="Hoja5"/>
      <sheetName val="Hoja6"/>
      <sheetName val="Hoja7"/>
      <sheetName val="Hoja8"/>
      <sheetName val="Hoja9"/>
      <sheetName val="Hoja10"/>
      <sheetName val="RES-TRAM"/>
      <sheetName val="PRESUPUESTO INICIAL"/>
      <sheetName val="RESUM CAO"/>
      <sheetName val="metr-avance"/>
      <sheetName val="VAL-MENSUALES"/>
      <sheetName val="VAL-MES"/>
      <sheetName val="RES-TRAMIT"/>
      <sheetName val="3 01 PAGOS A CUENTA"/>
      <sheetName val="IND-UNIF"/>
      <sheetName val="FACT-K"/>
      <sheetName val="REAJUST V"/>
      <sheetName val="DRNC-AE"/>
      <sheetName val="retencion por atraso"/>
      <sheetName val="AMORT-AE"/>
      <sheetName val="AM-ADELANTOS"/>
      <sheetName val="RESUM ADELANT"/>
      <sheetName val="Hoja1"/>
      <sheetName val="NO IMPRIMIR"/>
      <sheetName val="andrade"/>
      <sheetName val="Acero VC-1"/>
      <sheetName val=" Acero Cabezal VC-V-1A"/>
      <sheetName val="MOI-Histograma"/>
      <sheetName val="Tablas"/>
      <sheetName val="time"/>
      <sheetName val="Macro1"/>
      <sheetName val="05"/>
      <sheetName val=""/>
      <sheetName val="PER,COM.PRO.ADI1"/>
      <sheetName val="VALORIZACION"/>
      <sheetName val="COSTO DIARIO"/>
      <sheetName val="Valorizacion-01"/>
      <sheetName val="datos base"/>
      <sheetName val="PL"/>
      <sheetName val="REC"/>
      <sheetName val="STN"/>
      <sheetName val="ST"/>
      <sheetName val="IP_MANO_DE_OBRA_STEP_04B"/>
      <sheetName val="VALORIZACION_10"/>
      <sheetName val="Relacion de Recursos"/>
      <sheetName val="RES,MET,ADI1"/>
      <sheetName val="A2"/>
      <sheetName val="A3"/>
      <sheetName val="precio"/>
      <sheetName val="resumen valoriz"/>
      <sheetName val="pagoscontratista"/>
      <sheetName val="adelantos"/>
      <sheetName val="reajustes"/>
      <sheetName val="proyecc obra-informe"/>
      <sheetName val="Cuadro ProgVsReal"/>
      <sheetName val="Amort AE"/>
      <sheetName val="Ded AE"/>
      <sheetName val="Amort AM1_01"/>
      <sheetName val="Amort AM3_01"/>
      <sheetName val="Amort AM2_01"/>
      <sheetName val="DRQNC AM_01"/>
      <sheetName val="DRQNC AM3_01"/>
      <sheetName val="DRQNC AM2_01"/>
      <sheetName val="Hoja2"/>
      <sheetName val="Amort y Ded AE"/>
      <sheetName val="Control adel dir"/>
      <sheetName val="Adel otorg-informe"/>
      <sheetName val="Amort AM 21,28,43"/>
      <sheetName val="Amort Adel Mat 53,49"/>
      <sheetName val="Amort AM 03,53"/>
      <sheetName val="Ded AM"/>
      <sheetName val="RES DED-M V-03"/>
      <sheetName val="Resum metr-avance"/>
      <sheetName val="2_01"/>
      <sheetName val="deducc_mat__val_10"/>
      <sheetName val="reg_deduc_mat__val_09"/>
      <sheetName val="REGULAR__REAJUSTE"/>
      <sheetName val="REGULAR_DEDUC"/>
      <sheetName val="PRESUPUESTO_INICIAL"/>
      <sheetName val="RESUM_CAO"/>
      <sheetName val="3_01_PAGOS_A_CUENTA"/>
      <sheetName val="REAJUST_V"/>
      <sheetName val="retencion_por_atraso"/>
      <sheetName val="RESUM_ADELANT"/>
      <sheetName val="NO_IMPRIMIR"/>
      <sheetName val="Acero_VC-1"/>
      <sheetName val="_Acero_Cabezal_VC-V-1A"/>
    </sheetNames>
    <sheetDataSet>
      <sheetData sheetId="0" refreshError="1">
        <row r="90">
          <cell r="J90">
            <v>1109209.17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UP.ADI1.TVI"/>
      <sheetName val="RES,MET,ADI1"/>
      <sheetName val="RES.MET.2,01.-TVI"/>
      <sheetName val="Resumen"/>
      <sheetName val="RES.MET.EXP.ADI1.TVI"/>
      <sheetName val="PER.YCOM,PRO.ADI1"/>
      <sheetName val="CANT.PRO.ADI1"/>
      <sheetName val="TRANSP.GEN.REP.ADI1"/>
      <sheetName val="TRANSP. BOT.REP.ADI1"/>
      <sheetName val="TRANSP.GEN.PRO.ADI1"/>
      <sheetName val="TRANSP.BOT.PRO.ADI1"/>
      <sheetName val="BAN.REP.ADI1"/>
      <sheetName val="BANQ.PRO.ADI1"/>
      <sheetName val="Km.270"/>
      <sheetName val="Km.271"/>
      <sheetName val="Km.272"/>
      <sheetName val="Km.273"/>
      <sheetName val="Km.27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iquidación"/>
      <sheetName val="Valorización"/>
      <sheetName val="Coef. Reaj. &quot;K&quot;"/>
      <sheetName val="Cálculo de Reintegro"/>
      <sheetName val="Cuadro Resumen Amor. Mat"/>
      <sheetName val="REAJ. Amort.Adel.Mat.01 "/>
      <sheetName val="REAJ. Amort.Adel.Mat.02"/>
      <sheetName val="Resumen de Valorizaciones"/>
      <sheetName val="Resumen Valorización"/>
      <sheetName val="Amort. Adel. en Efectivo"/>
      <sheetName val="Deducc. que no Corresp."/>
      <sheetName val="Avances"/>
      <sheetName val="Datos para Gráficos"/>
      <sheetName val="Amort. Adel. en Efectivo (2)"/>
      <sheetName val="Deducc. que no Corresp. (2)"/>
      <sheetName val="ADELANTOS"/>
      <sheetName val="AMORT"/>
      <sheetName val="REG AMORT 1"/>
      <sheetName val="REG AMORT 2"/>
      <sheetName val="REG AMORT 3"/>
      <sheetName val="Adel Mat 02"/>
      <sheetName val="Mat en Cancha Nº 03"/>
      <sheetName val="Mat en Cancha Nº 04"/>
      <sheetName val="Adel Mat 03"/>
      <sheetName val="Mat en Cancha Nº 05"/>
    </sheetNames>
    <sheetDataSet>
      <sheetData sheetId="0" refreshError="1">
        <row r="20">
          <cell r="J20">
            <v>0</v>
          </cell>
          <cell r="K20">
            <v>754973.07</v>
          </cell>
        </row>
        <row r="21">
          <cell r="J21">
            <v>0.66</v>
          </cell>
          <cell r="K21">
            <v>31097.18</v>
          </cell>
        </row>
        <row r="24">
          <cell r="J24">
            <v>42638.46</v>
          </cell>
          <cell r="K24">
            <v>13.12</v>
          </cell>
        </row>
        <row r="25">
          <cell r="J25">
            <v>37525.11</v>
          </cell>
          <cell r="K25">
            <v>3</v>
          </cell>
        </row>
        <row r="26">
          <cell r="J26">
            <v>63620.98</v>
          </cell>
          <cell r="K26">
            <v>1.47</v>
          </cell>
        </row>
        <row r="27">
          <cell r="J27">
            <v>142431.06</v>
          </cell>
          <cell r="K27">
            <v>5.27</v>
          </cell>
        </row>
        <row r="28">
          <cell r="J28">
            <v>12269.31</v>
          </cell>
          <cell r="K28">
            <v>2.75</v>
          </cell>
        </row>
        <row r="29">
          <cell r="J29">
            <v>9534.07</v>
          </cell>
          <cell r="K29">
            <v>7.15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16.37</v>
          </cell>
        </row>
        <row r="33">
          <cell r="J33">
            <v>144.61000000000001</v>
          </cell>
          <cell r="K33">
            <v>32.53</v>
          </cell>
        </row>
        <row r="34">
          <cell r="J34">
            <v>303.47000000000003</v>
          </cell>
          <cell r="K34">
            <v>0.35</v>
          </cell>
        </row>
        <row r="35">
          <cell r="J35">
            <v>30.67</v>
          </cell>
          <cell r="K35">
            <v>0.28000000000000003</v>
          </cell>
        </row>
        <row r="36">
          <cell r="J36">
            <v>0</v>
          </cell>
          <cell r="K36">
            <v>77.11</v>
          </cell>
        </row>
        <row r="37">
          <cell r="J37">
            <v>0</v>
          </cell>
          <cell r="K37">
            <v>2.78</v>
          </cell>
        </row>
        <row r="38">
          <cell r="J38">
            <v>30.67</v>
          </cell>
          <cell r="K38">
            <v>3.53</v>
          </cell>
        </row>
        <row r="39">
          <cell r="J39">
            <v>0</v>
          </cell>
          <cell r="K39">
            <v>10.59</v>
          </cell>
        </row>
        <row r="40">
          <cell r="J40">
            <v>0</v>
          </cell>
          <cell r="K40">
            <v>2.42</v>
          </cell>
        </row>
        <row r="41">
          <cell r="J41">
            <v>0</v>
          </cell>
          <cell r="K41">
            <v>2.5</v>
          </cell>
        </row>
        <row r="42">
          <cell r="J42">
            <v>0</v>
          </cell>
          <cell r="K42">
            <v>17.53</v>
          </cell>
        </row>
        <row r="43">
          <cell r="J43">
            <v>721071.73</v>
          </cell>
          <cell r="K43">
            <v>0.33</v>
          </cell>
        </row>
        <row r="45">
          <cell r="J45">
            <v>0</v>
          </cell>
          <cell r="K45">
            <v>0</v>
          </cell>
        </row>
        <row r="46">
          <cell r="J46">
            <v>1508.26</v>
          </cell>
          <cell r="K46">
            <v>9.06</v>
          </cell>
        </row>
        <row r="47">
          <cell r="J47">
            <v>10175</v>
          </cell>
          <cell r="K47">
            <v>14.88</v>
          </cell>
        </row>
        <row r="48">
          <cell r="J48">
            <v>165.19</v>
          </cell>
          <cell r="K48">
            <v>235.93</v>
          </cell>
        </row>
        <row r="49">
          <cell r="J49">
            <v>163.95</v>
          </cell>
          <cell r="K49">
            <v>372.48</v>
          </cell>
        </row>
        <row r="50">
          <cell r="J50">
            <v>1.61</v>
          </cell>
          <cell r="K50">
            <v>196.69</v>
          </cell>
        </row>
        <row r="51">
          <cell r="J51">
            <v>0</v>
          </cell>
          <cell r="K51">
            <v>238.93</v>
          </cell>
        </row>
        <row r="52">
          <cell r="J52">
            <v>139.54</v>
          </cell>
          <cell r="K52">
            <v>186.27</v>
          </cell>
        </row>
        <row r="53">
          <cell r="J53">
            <v>19.8</v>
          </cell>
          <cell r="K53">
            <v>270.56</v>
          </cell>
        </row>
        <row r="54">
          <cell r="J54">
            <v>1703.39</v>
          </cell>
          <cell r="K54">
            <v>46.93</v>
          </cell>
        </row>
        <row r="55">
          <cell r="J55">
            <v>13.14</v>
          </cell>
          <cell r="K55">
            <v>42.92</v>
          </cell>
        </row>
        <row r="56">
          <cell r="J56">
            <v>22171.67</v>
          </cell>
          <cell r="K56">
            <v>2.46</v>
          </cell>
        </row>
        <row r="57">
          <cell r="J57">
            <v>0</v>
          </cell>
          <cell r="K57">
            <v>106.37</v>
          </cell>
        </row>
        <row r="58">
          <cell r="J58">
            <v>0</v>
          </cell>
          <cell r="K58">
            <v>57.09</v>
          </cell>
        </row>
        <row r="59">
          <cell r="J59">
            <v>0</v>
          </cell>
          <cell r="K59">
            <v>13.68</v>
          </cell>
        </row>
        <row r="60">
          <cell r="J60">
            <v>0</v>
          </cell>
          <cell r="K60">
            <v>79.91</v>
          </cell>
        </row>
        <row r="61">
          <cell r="J61">
            <v>0</v>
          </cell>
          <cell r="K61">
            <v>25.6</v>
          </cell>
        </row>
        <row r="62">
          <cell r="J62">
            <v>0</v>
          </cell>
          <cell r="K62">
            <v>129.87</v>
          </cell>
        </row>
        <row r="63">
          <cell r="J63">
            <v>0</v>
          </cell>
          <cell r="K63">
            <v>176.56</v>
          </cell>
        </row>
        <row r="64">
          <cell r="J64">
            <v>0</v>
          </cell>
          <cell r="K64">
            <v>41.33</v>
          </cell>
        </row>
        <row r="65">
          <cell r="J65">
            <v>0</v>
          </cell>
          <cell r="K65">
            <v>56.17</v>
          </cell>
        </row>
        <row r="66">
          <cell r="J66">
            <v>0</v>
          </cell>
          <cell r="K66">
            <v>18.88</v>
          </cell>
        </row>
        <row r="67">
          <cell r="J67">
            <v>12.7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10.55</v>
          </cell>
        </row>
        <row r="70">
          <cell r="J70">
            <v>0</v>
          </cell>
          <cell r="K70">
            <v>88.61</v>
          </cell>
        </row>
        <row r="71">
          <cell r="J71">
            <v>0</v>
          </cell>
          <cell r="K71">
            <v>380.19</v>
          </cell>
        </row>
        <row r="72">
          <cell r="J72">
            <v>0</v>
          </cell>
          <cell r="K72">
            <v>351.64</v>
          </cell>
        </row>
        <row r="73">
          <cell r="J73">
            <v>0</v>
          </cell>
          <cell r="K73">
            <v>380.19</v>
          </cell>
        </row>
        <row r="74">
          <cell r="J74">
            <v>0</v>
          </cell>
          <cell r="K74">
            <v>109.3</v>
          </cell>
        </row>
        <row r="75">
          <cell r="J75">
            <v>0</v>
          </cell>
          <cell r="K75">
            <v>17.989999999999998</v>
          </cell>
        </row>
        <row r="76">
          <cell r="J76">
            <v>0</v>
          </cell>
          <cell r="K76">
            <v>11.23</v>
          </cell>
        </row>
        <row r="77">
          <cell r="J77">
            <v>0</v>
          </cell>
          <cell r="K77">
            <v>91.51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4.46</v>
          </cell>
        </row>
        <row r="81">
          <cell r="J81">
            <v>0</v>
          </cell>
          <cell r="K81">
            <v>0.99</v>
          </cell>
        </row>
        <row r="82">
          <cell r="J82">
            <v>16891.97</v>
          </cell>
          <cell r="K82">
            <v>6.02</v>
          </cell>
        </row>
        <row r="83">
          <cell r="J83">
            <v>0</v>
          </cell>
          <cell r="K83">
            <v>1.1499999999999999</v>
          </cell>
        </row>
        <row r="84">
          <cell r="J84">
            <v>0</v>
          </cell>
          <cell r="K84">
            <v>4.91</v>
          </cell>
        </row>
        <row r="85">
          <cell r="J85">
            <v>0</v>
          </cell>
          <cell r="K85">
            <v>1.0900000000000001</v>
          </cell>
        </row>
        <row r="86">
          <cell r="J86">
            <v>0</v>
          </cell>
          <cell r="K86">
            <v>4.46</v>
          </cell>
        </row>
        <row r="87">
          <cell r="J87">
            <v>0</v>
          </cell>
          <cell r="K87">
            <v>0.99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656285.30000000005</v>
          </cell>
        </row>
        <row r="91">
          <cell r="J91">
            <v>0.03</v>
          </cell>
          <cell r="K91">
            <v>610.05999999999995</v>
          </cell>
        </row>
        <row r="92">
          <cell r="J92">
            <v>0</v>
          </cell>
        </row>
        <row r="93">
          <cell r="J93">
            <v>0</v>
          </cell>
          <cell r="K9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UP.ADI1.TVI"/>
      <sheetName val="RES,MET,ADI1"/>
      <sheetName val="RES.MET.2,01.-TVI"/>
      <sheetName val="Resumen"/>
      <sheetName val="RES.MET.EXP.ADI1.TVI"/>
      <sheetName val="PER.YCOM,PRO.ADI1"/>
      <sheetName val="CANT.PRO.ADI1"/>
      <sheetName val="TRANSP.GEN.REP.ADI1"/>
      <sheetName val="TRANSP. BOT.REP.ADI1"/>
      <sheetName val="TRANSP.GEN.PRO.ADI1"/>
      <sheetName val="TRANSP.BOT.PRO.ADI1"/>
      <sheetName val="BAN.REP.ADI1"/>
      <sheetName val="BANQ.PRO.ADI1"/>
      <sheetName val="Km.270"/>
      <sheetName val="Km.271"/>
      <sheetName val="Km.272"/>
      <sheetName val="Km.273"/>
      <sheetName val="Km.27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UP.ADI1.TVI"/>
      <sheetName val="RES,MET,ADI1"/>
      <sheetName val="RES.MET.2,01.-TVI"/>
      <sheetName val="Resumen"/>
      <sheetName val="RES.MET.EXP.ADI1.TVI"/>
      <sheetName val="PER.YCOM,PRO.ADI1"/>
      <sheetName val="CANT.PRO.ADI1"/>
      <sheetName val="TRANSP.GEN.REP.ADI1"/>
      <sheetName val="TRANSP. BOT.REP.ADI1"/>
      <sheetName val="TRANSP.GEN.PRO.ADI1"/>
      <sheetName val="TRANSP.BOT.PRO.ADI1"/>
      <sheetName val="BAN.REP.ADI1"/>
      <sheetName val="BANQ.PRO.ADI1"/>
      <sheetName val="Km.270"/>
      <sheetName val="Km.271"/>
      <sheetName val="Km.272"/>
      <sheetName val="Km.273"/>
      <sheetName val="Km.27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iquidación"/>
      <sheetName val="Valorización"/>
      <sheetName val="Coef. Reaj. &quot;K&quot;"/>
      <sheetName val="Cálculo de Reintegro"/>
      <sheetName val="Amort. Adel. en Efectivo"/>
      <sheetName val="Amort. Adel. en Efectivo (2)"/>
      <sheetName val="Deducc. que no Corresp."/>
      <sheetName val="Deducc. que no Corresp. (2)"/>
      <sheetName val="Amort.Adel.Mat.01"/>
      <sheetName val="Mat. en Cancha Nº 01"/>
      <sheetName val="Mat. en Cancha Nº 02"/>
      <sheetName val="Amort.Adel.Mat.02"/>
      <sheetName val="Mat. en Cancha Nº 03"/>
      <sheetName val="Resumen de Valorizaciones"/>
    </sheetNames>
    <sheetDataSet>
      <sheetData sheetId="0" refreshError="1">
        <row r="20">
          <cell r="J20">
            <v>1</v>
          </cell>
          <cell r="K20">
            <v>762358.89</v>
          </cell>
          <cell r="AM20">
            <v>0.49159999999999998</v>
          </cell>
          <cell r="AN20">
            <v>8.4000000000000186E-3</v>
          </cell>
          <cell r="AO20">
            <v>0.5</v>
          </cell>
        </row>
        <row r="21">
          <cell r="J21">
            <v>0.4</v>
          </cell>
          <cell r="K21">
            <v>31097.18</v>
          </cell>
          <cell r="AM21">
            <v>0.4</v>
          </cell>
          <cell r="AN21">
            <v>0</v>
          </cell>
          <cell r="AO21">
            <v>0.4</v>
          </cell>
        </row>
        <row r="24">
          <cell r="J24">
            <v>66202.149999999994</v>
          </cell>
          <cell r="K24">
            <v>31.31</v>
          </cell>
          <cell r="AM24">
            <v>66202.149999999994</v>
          </cell>
          <cell r="AN24">
            <v>0</v>
          </cell>
          <cell r="AO24">
            <v>66202.149999999994</v>
          </cell>
        </row>
        <row r="25">
          <cell r="J25">
            <v>122490.79</v>
          </cell>
          <cell r="K25">
            <v>3</v>
          </cell>
          <cell r="AM25">
            <v>122490.79</v>
          </cell>
          <cell r="AN25">
            <v>0</v>
          </cell>
          <cell r="AO25">
            <v>122490.79</v>
          </cell>
        </row>
        <row r="26">
          <cell r="J26">
            <v>28079.85</v>
          </cell>
          <cell r="K26">
            <v>1.47</v>
          </cell>
          <cell r="AM26">
            <v>28079.85</v>
          </cell>
          <cell r="AN26">
            <v>0</v>
          </cell>
          <cell r="AO26">
            <v>28079.85</v>
          </cell>
        </row>
        <row r="27">
          <cell r="J27">
            <v>28079.85</v>
          </cell>
          <cell r="K27">
            <v>5.27</v>
          </cell>
          <cell r="AM27">
            <v>28079.85</v>
          </cell>
          <cell r="AN27">
            <v>0</v>
          </cell>
          <cell r="AO27">
            <v>28079.85</v>
          </cell>
        </row>
        <row r="28">
          <cell r="J28">
            <v>22049.4</v>
          </cell>
          <cell r="K28">
            <v>3.55</v>
          </cell>
          <cell r="AM28">
            <v>0</v>
          </cell>
          <cell r="AN28">
            <v>0</v>
          </cell>
          <cell r="AO28">
            <v>0</v>
          </cell>
        </row>
        <row r="31">
          <cell r="J31">
            <v>111387.24</v>
          </cell>
          <cell r="K31">
            <v>16.37</v>
          </cell>
          <cell r="AM31">
            <v>39371.1</v>
          </cell>
          <cell r="AN31">
            <v>19041.010000000002</v>
          </cell>
          <cell r="AO31">
            <v>58412.11</v>
          </cell>
        </row>
        <row r="32">
          <cell r="J32">
            <v>89352.86</v>
          </cell>
          <cell r="K32">
            <v>32.53</v>
          </cell>
          <cell r="AM32">
            <v>25914.639999999999</v>
          </cell>
          <cell r="AN32">
            <v>9652.5</v>
          </cell>
          <cell r="AO32">
            <v>35567.14</v>
          </cell>
        </row>
        <row r="33">
          <cell r="J33">
            <v>420992.56</v>
          </cell>
          <cell r="K33">
            <v>0.35</v>
          </cell>
          <cell r="AM33">
            <v>85944.59</v>
          </cell>
          <cell r="AN33">
            <v>86700</v>
          </cell>
          <cell r="AO33">
            <v>172644.59</v>
          </cell>
        </row>
        <row r="34">
          <cell r="J34">
            <v>301054.63</v>
          </cell>
          <cell r="K34">
            <v>0.28000000000000003</v>
          </cell>
          <cell r="AM34">
            <v>0</v>
          </cell>
          <cell r="AN34">
            <v>49866.77</v>
          </cell>
          <cell r="AO34">
            <v>49866.77</v>
          </cell>
        </row>
        <row r="35">
          <cell r="J35">
            <v>22669.22</v>
          </cell>
          <cell r="K35">
            <v>77.11</v>
          </cell>
          <cell r="AM35">
            <v>0</v>
          </cell>
          <cell r="AN35">
            <v>3740.01</v>
          </cell>
          <cell r="AO35">
            <v>3740.01</v>
          </cell>
        </row>
        <row r="36">
          <cell r="J36">
            <v>123006</v>
          </cell>
          <cell r="K36">
            <v>2.78</v>
          </cell>
          <cell r="AM36">
            <v>0</v>
          </cell>
          <cell r="AN36">
            <v>0</v>
          </cell>
          <cell r="AO36">
            <v>0</v>
          </cell>
        </row>
        <row r="37">
          <cell r="J37">
            <v>301054.63</v>
          </cell>
          <cell r="K37">
            <v>3.53</v>
          </cell>
          <cell r="AM37">
            <v>0</v>
          </cell>
          <cell r="AN37">
            <v>49866.77</v>
          </cell>
          <cell r="AO37">
            <v>49866.77</v>
          </cell>
        </row>
        <row r="38">
          <cell r="J38">
            <v>200836.25</v>
          </cell>
          <cell r="K38">
            <v>10.59</v>
          </cell>
          <cell r="AM38">
            <v>0</v>
          </cell>
          <cell r="AN38">
            <v>0</v>
          </cell>
          <cell r="AO38">
            <v>0</v>
          </cell>
        </row>
        <row r="39">
          <cell r="J39">
            <v>263873.91999999998</v>
          </cell>
          <cell r="K39">
            <v>2.44</v>
          </cell>
          <cell r="AM39">
            <v>29518.62</v>
          </cell>
          <cell r="AN39">
            <v>29778.070000000003</v>
          </cell>
          <cell r="AO39">
            <v>59296.69</v>
          </cell>
        </row>
        <row r="40">
          <cell r="J40">
            <v>1247650.95</v>
          </cell>
          <cell r="K40">
            <v>2.5099999999999998</v>
          </cell>
          <cell r="AM40">
            <v>0</v>
          </cell>
          <cell r="AN40">
            <v>171142.86</v>
          </cell>
          <cell r="AO40">
            <v>171142.86</v>
          </cell>
        </row>
        <row r="41">
          <cell r="J41">
            <v>33435.29</v>
          </cell>
          <cell r="K41">
            <v>17.53</v>
          </cell>
          <cell r="AM41">
            <v>0</v>
          </cell>
          <cell r="AN41">
            <v>4600.21</v>
          </cell>
          <cell r="AO41">
            <v>4600.21</v>
          </cell>
        </row>
        <row r="42">
          <cell r="J42">
            <v>761885.87</v>
          </cell>
          <cell r="K42">
            <v>0.33</v>
          </cell>
          <cell r="AM42">
            <v>0</v>
          </cell>
          <cell r="AN42">
            <v>340939.31</v>
          </cell>
          <cell r="AO42">
            <v>340939.31</v>
          </cell>
        </row>
        <row r="45">
          <cell r="J45">
            <v>33775.69</v>
          </cell>
          <cell r="K45">
            <v>9.06</v>
          </cell>
          <cell r="AM45">
            <v>10768.95</v>
          </cell>
          <cell r="AN45">
            <v>355.90999999999985</v>
          </cell>
          <cell r="AO45">
            <v>11124.86</v>
          </cell>
        </row>
        <row r="46">
          <cell r="J46">
            <v>5031.78</v>
          </cell>
          <cell r="K46">
            <v>14.88</v>
          </cell>
          <cell r="AM46">
            <v>5031.78</v>
          </cell>
          <cell r="AN46">
            <v>0</v>
          </cell>
          <cell r="AO46">
            <v>5031.78</v>
          </cell>
        </row>
        <row r="47">
          <cell r="J47">
            <v>157.30000000000001</v>
          </cell>
          <cell r="K47">
            <v>235.93</v>
          </cell>
          <cell r="AM47">
            <v>157.30000000000001</v>
          </cell>
          <cell r="AN47">
            <v>0</v>
          </cell>
          <cell r="AO47">
            <v>157.30000000000001</v>
          </cell>
        </row>
        <row r="48">
          <cell r="J48">
            <v>390.9</v>
          </cell>
          <cell r="K48">
            <v>372.48</v>
          </cell>
          <cell r="AM48">
            <v>390.9</v>
          </cell>
          <cell r="AN48">
            <v>0</v>
          </cell>
          <cell r="AO48">
            <v>390.9</v>
          </cell>
        </row>
        <row r="49">
          <cell r="J49">
            <v>8</v>
          </cell>
          <cell r="K49">
            <v>553.25</v>
          </cell>
          <cell r="AM49">
            <v>8</v>
          </cell>
          <cell r="AN49">
            <v>0</v>
          </cell>
          <cell r="AO49">
            <v>8</v>
          </cell>
        </row>
        <row r="50">
          <cell r="J50">
            <v>8.4</v>
          </cell>
          <cell r="K50">
            <v>682.13</v>
          </cell>
          <cell r="AM50">
            <v>8.4</v>
          </cell>
          <cell r="AN50">
            <v>0</v>
          </cell>
          <cell r="AO50">
            <v>8.4</v>
          </cell>
        </row>
        <row r="51">
          <cell r="J51">
            <v>57.74</v>
          </cell>
          <cell r="K51">
            <v>196.69</v>
          </cell>
          <cell r="AM51">
            <v>56.44</v>
          </cell>
          <cell r="AN51">
            <v>1.3000000000000043</v>
          </cell>
          <cell r="AO51">
            <v>57.74</v>
          </cell>
        </row>
        <row r="52">
          <cell r="J52">
            <v>145.53</v>
          </cell>
          <cell r="K52">
            <v>238.93</v>
          </cell>
          <cell r="AM52">
            <v>0</v>
          </cell>
          <cell r="AN52">
            <v>0</v>
          </cell>
          <cell r="AO52">
            <v>0</v>
          </cell>
        </row>
        <row r="53">
          <cell r="J53">
            <v>828.66</v>
          </cell>
          <cell r="K53">
            <v>186.27</v>
          </cell>
          <cell r="AM53">
            <v>492.18</v>
          </cell>
          <cell r="AN53">
            <v>336.47999999999996</v>
          </cell>
          <cell r="AO53">
            <v>828.66</v>
          </cell>
        </row>
        <row r="54">
          <cell r="J54">
            <v>796.76</v>
          </cell>
          <cell r="K54">
            <v>270.56</v>
          </cell>
          <cell r="AM54">
            <v>792.8</v>
          </cell>
          <cell r="AN54">
            <v>3.9600000000000364</v>
          </cell>
          <cell r="AO54">
            <v>796.76</v>
          </cell>
        </row>
        <row r="55">
          <cell r="J55">
            <v>102.18</v>
          </cell>
          <cell r="K55">
            <v>42.92</v>
          </cell>
          <cell r="AM55">
            <v>0</v>
          </cell>
          <cell r="AN55">
            <v>0</v>
          </cell>
          <cell r="AO55">
            <v>0</v>
          </cell>
        </row>
        <row r="56">
          <cell r="J56">
            <v>10440.73</v>
          </cell>
          <cell r="K56">
            <v>46.94</v>
          </cell>
          <cell r="AM56">
            <v>4022.46</v>
          </cell>
          <cell r="AN56">
            <v>1454.1899999999996</v>
          </cell>
          <cell r="AO56">
            <v>5476.65</v>
          </cell>
        </row>
        <row r="57">
          <cell r="J57">
            <v>1419</v>
          </cell>
          <cell r="K57">
            <v>42.92</v>
          </cell>
          <cell r="AM57">
            <v>724.58</v>
          </cell>
          <cell r="AN57">
            <v>0</v>
          </cell>
          <cell r="AO57">
            <v>724.58</v>
          </cell>
        </row>
        <row r="58">
          <cell r="J58">
            <v>131570</v>
          </cell>
          <cell r="K58">
            <v>2.46</v>
          </cell>
          <cell r="AM58">
            <v>79137.710000000006</v>
          </cell>
          <cell r="AN58">
            <v>34144.509999999995</v>
          </cell>
          <cell r="AO58">
            <v>113282.22</v>
          </cell>
        </row>
        <row r="59">
          <cell r="J59">
            <v>35845</v>
          </cell>
          <cell r="K59">
            <v>106.37</v>
          </cell>
          <cell r="AM59">
            <v>0</v>
          </cell>
          <cell r="AN59">
            <v>2161</v>
          </cell>
          <cell r="AO59">
            <v>2161</v>
          </cell>
        </row>
        <row r="60">
          <cell r="J60">
            <v>7525.58</v>
          </cell>
          <cell r="K60">
            <v>57.09</v>
          </cell>
          <cell r="AM60">
            <v>0</v>
          </cell>
          <cell r="AN60">
            <v>0</v>
          </cell>
          <cell r="AO60">
            <v>0</v>
          </cell>
        </row>
        <row r="61">
          <cell r="J61">
            <v>23894.5</v>
          </cell>
          <cell r="K61">
            <v>13.68</v>
          </cell>
          <cell r="AM61">
            <v>0</v>
          </cell>
          <cell r="AN61">
            <v>0</v>
          </cell>
          <cell r="AO61">
            <v>0</v>
          </cell>
        </row>
        <row r="62">
          <cell r="J62">
            <v>1430.42</v>
          </cell>
          <cell r="K62">
            <v>79.91</v>
          </cell>
          <cell r="AM62">
            <v>406.36</v>
          </cell>
          <cell r="AN62">
            <v>145.02999999999997</v>
          </cell>
          <cell r="AO62">
            <v>551.39</v>
          </cell>
        </row>
        <row r="63">
          <cell r="J63">
            <v>10070.549999999999</v>
          </cell>
          <cell r="K63">
            <v>25.6</v>
          </cell>
          <cell r="AM63">
            <v>0</v>
          </cell>
          <cell r="AN63">
            <v>0</v>
          </cell>
          <cell r="AO63">
            <v>0</v>
          </cell>
        </row>
        <row r="64">
          <cell r="J64">
            <v>12.65</v>
          </cell>
          <cell r="K64">
            <v>41.33</v>
          </cell>
          <cell r="AM64">
            <v>0</v>
          </cell>
          <cell r="AN64">
            <v>0</v>
          </cell>
          <cell r="AO64">
            <v>0</v>
          </cell>
        </row>
        <row r="65">
          <cell r="J65">
            <v>18</v>
          </cell>
          <cell r="K65">
            <v>56.17</v>
          </cell>
          <cell r="AM65">
            <v>9</v>
          </cell>
          <cell r="AN65">
            <v>9</v>
          </cell>
          <cell r="AO65">
            <v>18</v>
          </cell>
        </row>
        <row r="66">
          <cell r="J66">
            <v>268.5</v>
          </cell>
          <cell r="K66">
            <v>56.05</v>
          </cell>
          <cell r="AM66">
            <v>0</v>
          </cell>
          <cell r="AN66">
            <v>0</v>
          </cell>
          <cell r="AO66">
            <v>0</v>
          </cell>
        </row>
        <row r="67">
          <cell r="J67">
            <v>57</v>
          </cell>
          <cell r="K67">
            <v>37.049999999999997</v>
          </cell>
          <cell r="AM67">
            <v>0</v>
          </cell>
          <cell r="AN67">
            <v>0</v>
          </cell>
          <cell r="AO67">
            <v>0</v>
          </cell>
        </row>
        <row r="68">
          <cell r="J68">
            <v>474.5</v>
          </cell>
          <cell r="K68">
            <v>4.5199999999999996</v>
          </cell>
          <cell r="AM68">
            <v>0</v>
          </cell>
          <cell r="AN68">
            <v>0</v>
          </cell>
          <cell r="AO68">
            <v>0</v>
          </cell>
        </row>
        <row r="69">
          <cell r="J69">
            <v>69.5</v>
          </cell>
          <cell r="K69">
            <v>18.88</v>
          </cell>
          <cell r="AM69">
            <v>0</v>
          </cell>
          <cell r="AN69">
            <v>19.7</v>
          </cell>
          <cell r="AO69">
            <v>19.7</v>
          </cell>
        </row>
        <row r="72">
          <cell r="J72">
            <v>10277.219999999999</v>
          </cell>
          <cell r="K72">
            <v>10.55</v>
          </cell>
          <cell r="AM72">
            <v>0</v>
          </cell>
          <cell r="AN72">
            <v>0</v>
          </cell>
          <cell r="AO72">
            <v>0</v>
          </cell>
        </row>
        <row r="73">
          <cell r="J73">
            <v>41</v>
          </cell>
          <cell r="K73">
            <v>88.61</v>
          </cell>
          <cell r="AM73">
            <v>0</v>
          </cell>
          <cell r="AN73">
            <v>0</v>
          </cell>
          <cell r="AO73">
            <v>0</v>
          </cell>
        </row>
        <row r="74">
          <cell r="J74">
            <v>45</v>
          </cell>
          <cell r="K74">
            <v>380.19</v>
          </cell>
          <cell r="AM74">
            <v>0</v>
          </cell>
          <cell r="AN74">
            <v>0</v>
          </cell>
          <cell r="AO74">
            <v>0</v>
          </cell>
        </row>
        <row r="75">
          <cell r="J75">
            <v>47</v>
          </cell>
          <cell r="K75">
            <v>351.64</v>
          </cell>
          <cell r="AM75">
            <v>0</v>
          </cell>
          <cell r="AN75">
            <v>0</v>
          </cell>
          <cell r="AO75">
            <v>0</v>
          </cell>
        </row>
        <row r="76">
          <cell r="J76">
            <v>9</v>
          </cell>
          <cell r="K76">
            <v>380.19</v>
          </cell>
          <cell r="AM76">
            <v>0</v>
          </cell>
          <cell r="AN76">
            <v>0</v>
          </cell>
          <cell r="AO76">
            <v>0</v>
          </cell>
        </row>
        <row r="77">
          <cell r="J77">
            <v>3834</v>
          </cell>
          <cell r="K77">
            <v>109.3</v>
          </cell>
          <cell r="AM77">
            <v>0</v>
          </cell>
          <cell r="AN77">
            <v>0</v>
          </cell>
          <cell r="AO77">
            <v>0</v>
          </cell>
        </row>
        <row r="78">
          <cell r="J78">
            <v>184.8</v>
          </cell>
          <cell r="K78">
            <v>17.989999999999998</v>
          </cell>
          <cell r="AM78">
            <v>0</v>
          </cell>
          <cell r="AN78">
            <v>0</v>
          </cell>
          <cell r="AO78">
            <v>0</v>
          </cell>
        </row>
        <row r="79">
          <cell r="J79">
            <v>1147</v>
          </cell>
          <cell r="K79">
            <v>11.23</v>
          </cell>
          <cell r="AM79">
            <v>0</v>
          </cell>
          <cell r="AN79">
            <v>0</v>
          </cell>
          <cell r="AO79">
            <v>0</v>
          </cell>
        </row>
        <row r="80">
          <cell r="J80">
            <v>799</v>
          </cell>
          <cell r="K80">
            <v>91.51</v>
          </cell>
          <cell r="AM80">
            <v>0</v>
          </cell>
          <cell r="AN80">
            <v>0</v>
          </cell>
          <cell r="AO80">
            <v>0</v>
          </cell>
        </row>
        <row r="83">
          <cell r="J83">
            <v>227889.38</v>
          </cell>
          <cell r="K83">
            <v>4.17</v>
          </cell>
          <cell r="AM83">
            <v>54776.84</v>
          </cell>
          <cell r="AN83">
            <v>39133.040000000008</v>
          </cell>
          <cell r="AO83">
            <v>93909.88</v>
          </cell>
        </row>
        <row r="84">
          <cell r="J84">
            <v>2270148.9500000002</v>
          </cell>
          <cell r="K84">
            <v>0.83</v>
          </cell>
          <cell r="AM84">
            <v>260162.9</v>
          </cell>
          <cell r="AN84">
            <v>125121.99000000002</v>
          </cell>
          <cell r="AO84">
            <v>385284.89</v>
          </cell>
        </row>
        <row r="85">
          <cell r="J85">
            <v>22670.06</v>
          </cell>
          <cell r="K85">
            <v>5.66</v>
          </cell>
          <cell r="AM85">
            <v>0</v>
          </cell>
          <cell r="AN85">
            <v>3651.62</v>
          </cell>
          <cell r="AO85">
            <v>3651.62</v>
          </cell>
        </row>
        <row r="86">
          <cell r="J86">
            <v>298488.77</v>
          </cell>
          <cell r="K86">
            <v>0.91</v>
          </cell>
          <cell r="AM86">
            <v>0</v>
          </cell>
          <cell r="AN86">
            <v>10009.58</v>
          </cell>
          <cell r="AO86">
            <v>10009.58</v>
          </cell>
        </row>
        <row r="87">
          <cell r="J87">
            <v>175942.88</v>
          </cell>
          <cell r="K87">
            <v>4.3600000000000003</v>
          </cell>
          <cell r="AM87">
            <v>175942.88</v>
          </cell>
          <cell r="AN87">
            <v>0</v>
          </cell>
          <cell r="AO87">
            <v>175942.88</v>
          </cell>
        </row>
        <row r="88">
          <cell r="J88">
            <v>2282192.41</v>
          </cell>
          <cell r="K88">
            <v>0.88</v>
          </cell>
          <cell r="AM88">
            <v>2167200.5</v>
          </cell>
          <cell r="AN88">
            <v>114991.91000000015</v>
          </cell>
          <cell r="AO88">
            <v>2282192.41</v>
          </cell>
        </row>
        <row r="89">
          <cell r="J89">
            <v>98431.89</v>
          </cell>
          <cell r="K89">
            <v>4.17</v>
          </cell>
          <cell r="AM89">
            <v>55579.89</v>
          </cell>
          <cell r="AN89">
            <v>42852</v>
          </cell>
          <cell r="AO89">
            <v>98431.89</v>
          </cell>
        </row>
        <row r="90">
          <cell r="J90">
            <v>383881.27</v>
          </cell>
          <cell r="K90">
            <v>0.83</v>
          </cell>
          <cell r="AM90">
            <v>138758.16</v>
          </cell>
          <cell r="AN90">
            <v>57538.06</v>
          </cell>
          <cell r="AO90">
            <v>196296.22</v>
          </cell>
        </row>
        <row r="93">
          <cell r="J93">
            <v>130.56</v>
          </cell>
          <cell r="K93">
            <v>610.05999999999995</v>
          </cell>
          <cell r="AM93">
            <v>0</v>
          </cell>
          <cell r="AN93">
            <v>0</v>
          </cell>
          <cell r="AO9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de saldos"/>
      <sheetName val="res val recalculadas"/>
      <sheetName val="Presup con deductivos"/>
      <sheetName val="VAL-MENSUALES"/>
      <sheetName val="pagos efectuados"/>
      <sheetName val="pagoscontratista"/>
      <sheetName val="adelantos"/>
      <sheetName val="reajustes"/>
      <sheetName val="FACT-K"/>
      <sheetName val="retencion por atraso"/>
      <sheetName val="DRNC-AE"/>
      <sheetName val="AMORT-AE"/>
      <sheetName val="Ded Adel Dir"/>
      <sheetName val="AMORT-materiales"/>
      <sheetName val="Deducc Mater"/>
      <sheetName val="intereses"/>
      <sheetName val="res val pagadas"/>
      <sheetName val="resumen de pag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iquidación"/>
      <sheetName val="Valorización"/>
      <sheetName val="Coef. Reaj. &quot;K&quot;"/>
      <sheetName val="Cálculo de Reintegro"/>
      <sheetName val="Amort. Adel. en Efectivo"/>
      <sheetName val="Amort. Adel. en Efectivo (2)"/>
      <sheetName val="Deducc. que no Corresp."/>
      <sheetName val="Deducc. que no Corresp. (2)"/>
      <sheetName val="Amort.Adel.Mat.01"/>
      <sheetName val="Amort.Adel.Mat.02"/>
      <sheetName val="Amort.Adel.Mat.03 "/>
      <sheetName val="Amort.Adel.Mat.04  "/>
      <sheetName val="Mat. en Cancha Nº 01"/>
      <sheetName val="Mat.en Cancha02"/>
      <sheetName val="Mat.en Cancha03"/>
      <sheetName val="Mat. en Cancha Nº 04 "/>
      <sheetName val="Mat. en Cancha Nº 05"/>
      <sheetName val="Mat. en Cancha Nº 06 "/>
      <sheetName val="Mat. en Cancha Nº 07 "/>
      <sheetName val="Mat. en Cancha Nº 08 "/>
      <sheetName val="Resumen de Valorizaciones"/>
      <sheetName val="DATOS1"/>
      <sheetName val="Gráfico1"/>
      <sheetName val="DATOS2"/>
      <sheetName val="Gráfico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5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1.xml"/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printerSettings" Target="../printerSettings/printerSettings12.bin"/><Relationship Id="rId7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11" Type="http://schemas.openxmlformats.org/officeDocument/2006/relationships/ctrlProp" Target="../ctrlProps/ctrlProp3.xml"/><Relationship Id="rId5" Type="http://schemas.openxmlformats.org/officeDocument/2006/relationships/printerSettings" Target="../printerSettings/printerSettings14.bin"/><Relationship Id="rId10" Type="http://schemas.openxmlformats.org/officeDocument/2006/relationships/ctrlProp" Target="../ctrlProps/ctrlProp2.xml"/><Relationship Id="rId4" Type="http://schemas.openxmlformats.org/officeDocument/2006/relationships/printerSettings" Target="../printerSettings/printerSettings13.bin"/><Relationship Id="rId9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5">
    <tabColor rgb="FFFFFF00"/>
  </sheetPr>
  <dimension ref="A4:F24"/>
  <sheetViews>
    <sheetView zoomScale="80" zoomScaleNormal="80" workbookViewId="0">
      <selection activeCell="E5" sqref="E5"/>
    </sheetView>
  </sheetViews>
  <sheetFormatPr baseColWidth="10" defaultRowHeight="12.75"/>
  <cols>
    <col min="2" max="2" width="15.140625" bestFit="1" customWidth="1"/>
    <col min="3" max="3" width="5.42578125" customWidth="1"/>
  </cols>
  <sheetData>
    <row r="4" spans="1:6" ht="16.5">
      <c r="A4" s="565" t="s">
        <v>124</v>
      </c>
      <c r="B4" s="566"/>
      <c r="C4" s="566"/>
      <c r="D4" s="566"/>
      <c r="E4" s="567">
        <v>4</v>
      </c>
      <c r="F4" s="568" t="str">
        <f>+CONCATENATE(" ",VLOOKUP(E4,A6:B36,2))</f>
        <v xml:space="preserve"> DICIEMBRE 2021</v>
      </c>
    </row>
    <row r="6" spans="1:6">
      <c r="A6" s="569">
        <v>1</v>
      </c>
      <c r="B6" s="570" t="s">
        <v>1154</v>
      </c>
    </row>
    <row r="7" spans="1:6">
      <c r="A7" s="569">
        <f t="shared" ref="A7:A9" si="0">+A6+1</f>
        <v>2</v>
      </c>
      <c r="B7" s="570" t="s">
        <v>1271</v>
      </c>
    </row>
    <row r="8" spans="1:6">
      <c r="A8" s="569">
        <f t="shared" si="0"/>
        <v>3</v>
      </c>
      <c r="B8" s="570" t="s">
        <v>1272</v>
      </c>
    </row>
    <row r="9" spans="1:6">
      <c r="A9" s="569">
        <f t="shared" si="0"/>
        <v>4</v>
      </c>
      <c r="B9" s="570" t="s">
        <v>1272</v>
      </c>
    </row>
    <row r="10" spans="1:6">
      <c r="A10" s="569">
        <v>5</v>
      </c>
      <c r="B10" s="570" t="s">
        <v>1349</v>
      </c>
    </row>
    <row r="11" spans="1:6">
      <c r="A11" s="569">
        <v>6</v>
      </c>
      <c r="B11" s="570" t="s">
        <v>1350</v>
      </c>
    </row>
    <row r="12" spans="1:6">
      <c r="A12" s="569"/>
      <c r="B12" s="570"/>
    </row>
    <row r="13" spans="1:6">
      <c r="A13" s="569"/>
      <c r="B13" s="570"/>
    </row>
    <row r="14" spans="1:6">
      <c r="A14" s="569"/>
      <c r="B14" s="570"/>
    </row>
    <row r="15" spans="1:6">
      <c r="A15" s="569"/>
      <c r="B15" s="570"/>
    </row>
    <row r="16" spans="1:6">
      <c r="A16" s="569"/>
      <c r="B16" s="570"/>
    </row>
    <row r="17" spans="1:2">
      <c r="A17" s="569"/>
      <c r="B17" s="570"/>
    </row>
    <row r="18" spans="1:2">
      <c r="A18" s="569"/>
      <c r="B18" s="570"/>
    </row>
    <row r="19" spans="1:2">
      <c r="A19" s="569"/>
      <c r="B19" s="570"/>
    </row>
    <row r="20" spans="1:2">
      <c r="A20" s="569"/>
      <c r="B20" s="570"/>
    </row>
    <row r="21" spans="1:2">
      <c r="A21" s="569"/>
      <c r="B21" s="570"/>
    </row>
    <row r="22" spans="1:2">
      <c r="A22" s="569"/>
      <c r="B22" s="570"/>
    </row>
    <row r="23" spans="1:2">
      <c r="A23" s="569"/>
      <c r="B23" s="570"/>
    </row>
    <row r="24" spans="1:2">
      <c r="A24" s="569"/>
      <c r="B24" s="570"/>
    </row>
  </sheetData>
  <phoneticPr fontId="7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9">
    <tabColor indexed="10"/>
  </sheetPr>
  <dimension ref="A1:T177"/>
  <sheetViews>
    <sheetView showGridLines="0" showZeros="0" view="pageBreakPreview" zoomScale="80" zoomScaleNormal="75" workbookViewId="0">
      <pane ySplit="11" topLeftCell="A76" activePane="bottomLeft" state="frozen"/>
      <selection pane="bottomLeft"/>
    </sheetView>
  </sheetViews>
  <sheetFormatPr baseColWidth="10" defaultRowHeight="12.75"/>
  <cols>
    <col min="1" max="1" width="6" customWidth="1"/>
    <col min="2" max="2" width="11.7109375" customWidth="1"/>
    <col min="3" max="3" width="6.42578125" customWidth="1"/>
    <col min="4" max="4" width="13.28515625" customWidth="1"/>
    <col min="5" max="5" width="10.7109375" customWidth="1"/>
    <col min="6" max="6" width="10.85546875" customWidth="1"/>
    <col min="7" max="7" width="9.28515625" customWidth="1"/>
    <col min="8" max="8" width="16.85546875" customWidth="1"/>
    <col min="10" max="10" width="11" customWidth="1"/>
    <col min="11" max="11" width="17" customWidth="1"/>
    <col min="12" max="12" width="13" customWidth="1"/>
    <col min="13" max="13" width="12.85546875" customWidth="1"/>
    <col min="14" max="14" width="13.85546875" customWidth="1"/>
    <col min="15" max="15" width="1.140625" customWidth="1"/>
  </cols>
  <sheetData>
    <row r="1" spans="1:20">
      <c r="A1" s="61" t="s">
        <v>438</v>
      </c>
      <c r="B1" s="39"/>
      <c r="C1" s="39"/>
      <c r="D1" s="39"/>
    </row>
    <row r="2" spans="1:20">
      <c r="A2" s="61" t="s">
        <v>365</v>
      </c>
      <c r="B2" s="39"/>
      <c r="C2" s="39"/>
      <c r="D2" s="39"/>
    </row>
    <row r="3" spans="1:20">
      <c r="A3" s="61" t="s">
        <v>362</v>
      </c>
      <c r="B3" s="39"/>
      <c r="C3" s="39"/>
      <c r="D3" s="39"/>
    </row>
    <row r="4" spans="1:20">
      <c r="A4" s="61" t="s">
        <v>366</v>
      </c>
      <c r="B4" s="39"/>
      <c r="C4" s="39"/>
      <c r="D4" s="39"/>
    </row>
    <row r="5" spans="1:20" ht="5.25" customHeight="1">
      <c r="A5" s="61"/>
      <c r="B5" s="39"/>
      <c r="C5" s="39"/>
      <c r="D5" s="39"/>
    </row>
    <row r="6" spans="1:20" ht="18">
      <c r="A6" s="131" t="s">
        <v>367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92"/>
      <c r="P6" s="92"/>
      <c r="Q6" s="92"/>
      <c r="R6" s="92"/>
    </row>
    <row r="7" spans="1:20" ht="6" customHeight="1">
      <c r="A7" s="96"/>
    </row>
    <row r="8" spans="1:20" ht="18">
      <c r="A8" s="168" t="s">
        <v>482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20" ht="5.25" customHeight="1" thickBot="1"/>
    <row r="10" spans="1:20" ht="39.75" customHeight="1">
      <c r="A10" s="133" t="s">
        <v>465</v>
      </c>
      <c r="B10" s="134"/>
      <c r="C10" s="135" t="s">
        <v>588</v>
      </c>
      <c r="D10" s="136"/>
      <c r="E10" s="134"/>
      <c r="F10" s="135" t="s">
        <v>466</v>
      </c>
      <c r="G10" s="136"/>
      <c r="H10" s="134"/>
      <c r="I10" s="137" t="s">
        <v>467</v>
      </c>
      <c r="J10" s="137" t="s">
        <v>468</v>
      </c>
      <c r="K10" s="124" t="s">
        <v>469</v>
      </c>
      <c r="L10" s="124" t="s">
        <v>571</v>
      </c>
      <c r="M10" s="124" t="s">
        <v>470</v>
      </c>
      <c r="N10" s="138" t="s">
        <v>471</v>
      </c>
      <c r="Q10" s="1676" t="s">
        <v>488</v>
      </c>
      <c r="R10" s="1677"/>
    </row>
    <row r="11" spans="1:20" ht="43.5" customHeight="1" thickBot="1">
      <c r="A11" s="139" t="s">
        <v>395</v>
      </c>
      <c r="B11" s="140" t="s">
        <v>472</v>
      </c>
      <c r="C11" s="140" t="s">
        <v>395</v>
      </c>
      <c r="D11" s="276" t="s">
        <v>473</v>
      </c>
      <c r="E11" s="140" t="s">
        <v>474</v>
      </c>
      <c r="F11" s="140" t="s">
        <v>460</v>
      </c>
      <c r="G11" s="141" t="s">
        <v>461</v>
      </c>
      <c r="H11" s="141" t="s">
        <v>462</v>
      </c>
      <c r="I11" s="142"/>
      <c r="J11" s="142" t="s">
        <v>1059</v>
      </c>
      <c r="K11" s="143" t="s">
        <v>476</v>
      </c>
      <c r="L11" s="143" t="s">
        <v>476</v>
      </c>
      <c r="M11" s="143" t="s">
        <v>476</v>
      </c>
      <c r="N11" s="144" t="s">
        <v>476</v>
      </c>
      <c r="Q11" s="132" t="s">
        <v>483</v>
      </c>
      <c r="R11" s="132" t="s">
        <v>484</v>
      </c>
    </row>
    <row r="12" spans="1:20">
      <c r="A12" s="145"/>
      <c r="B12" s="68"/>
      <c r="C12" s="68"/>
      <c r="D12" s="146"/>
      <c r="E12" s="68"/>
      <c r="F12" s="68"/>
      <c r="G12" s="146"/>
      <c r="H12" s="147"/>
      <c r="I12" s="147"/>
      <c r="J12" s="147"/>
      <c r="K12" s="147"/>
      <c r="L12" s="147"/>
      <c r="M12" s="68"/>
      <c r="N12" s="66"/>
      <c r="Q12" s="6" t="s">
        <v>485</v>
      </c>
      <c r="R12" s="6"/>
      <c r="S12" s="6"/>
      <c r="T12" s="6"/>
    </row>
    <row r="13" spans="1:20">
      <c r="A13" s="148" t="s">
        <v>477</v>
      </c>
      <c r="B13" s="43"/>
      <c r="C13" s="43"/>
      <c r="D13" s="149"/>
      <c r="E13" s="149" t="s">
        <v>463</v>
      </c>
      <c r="F13" s="43"/>
      <c r="G13" s="150"/>
      <c r="H13" s="151"/>
      <c r="I13" s="151"/>
      <c r="J13" s="151"/>
      <c r="K13" s="151"/>
      <c r="L13" s="151"/>
      <c r="M13" s="43"/>
      <c r="N13" s="69"/>
      <c r="Q13" s="6"/>
      <c r="R13" s="6"/>
      <c r="S13" s="6"/>
      <c r="T13" s="6"/>
    </row>
    <row r="14" spans="1:20">
      <c r="A14" s="152"/>
      <c r="B14" s="153"/>
      <c r="C14" s="154" t="s">
        <v>527</v>
      </c>
      <c r="D14" s="24">
        <v>3250239.84</v>
      </c>
      <c r="E14" s="23" t="s">
        <v>361</v>
      </c>
      <c r="F14" s="71"/>
      <c r="G14" s="24"/>
      <c r="H14" s="155"/>
      <c r="I14" s="155"/>
      <c r="J14" s="155"/>
      <c r="K14" s="155"/>
      <c r="L14" s="155"/>
      <c r="M14" s="71">
        <f>+L14</f>
        <v>0</v>
      </c>
      <c r="N14" s="97">
        <f>+$D$14-M14</f>
        <v>3250239.84</v>
      </c>
      <c r="Q14" s="6"/>
      <c r="R14" s="6"/>
      <c r="S14" s="6"/>
      <c r="T14" s="6"/>
    </row>
    <row r="15" spans="1:20">
      <c r="A15" s="152" t="s">
        <v>480</v>
      </c>
      <c r="B15" s="153">
        <v>38749</v>
      </c>
      <c r="C15" s="154" t="s">
        <v>527</v>
      </c>
      <c r="D15" s="24"/>
      <c r="E15" s="154"/>
      <c r="F15" s="71">
        <f>+'Mat Utiliza'!J178</f>
        <v>3028.77</v>
      </c>
      <c r="G15" s="24">
        <v>19.079999999999998</v>
      </c>
      <c r="H15" s="155">
        <f>+ROUND(F15*G15,2)</f>
        <v>57788.93</v>
      </c>
      <c r="I15" s="155">
        <v>350.43</v>
      </c>
      <c r="J15" s="155">
        <v>350.43</v>
      </c>
      <c r="K15" s="155">
        <f>ROUND(+H15*I15/J15,2)</f>
        <v>57788.93</v>
      </c>
      <c r="L15" s="155">
        <f>+IF(K15&lt;N14,K15,N14)</f>
        <v>57788.93</v>
      </c>
      <c r="M15" s="71">
        <f>+L15+M14</f>
        <v>57788.93</v>
      </c>
      <c r="N15" s="97">
        <f>+$D$14-M15</f>
        <v>3192450.9099999997</v>
      </c>
      <c r="Q15" s="6">
        <v>20212.28</v>
      </c>
      <c r="R15" s="6">
        <f>+Q15-K15</f>
        <v>-37576.65</v>
      </c>
      <c r="S15" s="6"/>
      <c r="T15" s="6"/>
    </row>
    <row r="16" spans="1:20">
      <c r="A16" s="152"/>
      <c r="B16" s="153"/>
      <c r="C16" s="154"/>
      <c r="D16" s="24"/>
      <c r="E16" s="154"/>
      <c r="F16" s="71"/>
      <c r="G16" s="24"/>
      <c r="H16" s="155"/>
      <c r="I16" s="155"/>
      <c r="J16" s="155"/>
      <c r="K16" s="155"/>
      <c r="L16" s="155"/>
      <c r="M16" s="71"/>
      <c r="N16" s="97"/>
      <c r="Q16" s="6"/>
      <c r="R16" s="6"/>
      <c r="S16" s="6"/>
      <c r="T16" s="6"/>
    </row>
    <row r="17" spans="1:20">
      <c r="A17" s="152"/>
      <c r="B17" s="153"/>
      <c r="C17" s="154"/>
      <c r="D17" s="24"/>
      <c r="E17" s="154"/>
      <c r="F17" s="71"/>
      <c r="G17" s="24"/>
      <c r="H17" s="155"/>
      <c r="I17" s="155"/>
      <c r="J17" s="155"/>
      <c r="K17" s="155"/>
      <c r="L17" s="155"/>
      <c r="M17" s="71"/>
      <c r="N17" s="156"/>
      <c r="Q17" s="6"/>
      <c r="R17" s="6"/>
      <c r="S17" s="6"/>
      <c r="T17" s="6"/>
    </row>
    <row r="18" spans="1:20">
      <c r="A18" s="152"/>
      <c r="B18" s="153"/>
      <c r="C18" s="154"/>
      <c r="D18" s="24"/>
      <c r="E18" s="154"/>
      <c r="F18" s="71"/>
      <c r="G18" s="24"/>
      <c r="H18" s="155"/>
      <c r="I18" s="155"/>
      <c r="J18" s="155"/>
      <c r="K18" s="155"/>
      <c r="L18" s="155"/>
      <c r="M18" s="71"/>
      <c r="N18" s="156"/>
      <c r="Q18" s="6"/>
      <c r="R18" s="6"/>
      <c r="S18" s="6"/>
      <c r="T18" s="6"/>
    </row>
    <row r="19" spans="1:20">
      <c r="A19" s="157"/>
      <c r="B19" s="4"/>
      <c r="C19" s="4"/>
      <c r="D19" s="23"/>
      <c r="E19" s="23"/>
      <c r="F19" s="4"/>
      <c r="G19" s="23"/>
      <c r="H19" s="158"/>
      <c r="I19" s="158"/>
      <c r="J19" s="158"/>
      <c r="K19" s="158"/>
      <c r="L19" s="158"/>
      <c r="M19" s="4"/>
      <c r="N19" s="62"/>
      <c r="Q19" s="6"/>
      <c r="R19" s="6"/>
      <c r="S19" s="6"/>
      <c r="T19" s="6"/>
    </row>
    <row r="20" spans="1:20">
      <c r="A20" s="159"/>
      <c r="B20" s="43"/>
      <c r="C20" s="43"/>
      <c r="D20" s="150"/>
      <c r="E20" s="150"/>
      <c r="F20" s="43"/>
      <c r="G20" s="150"/>
      <c r="H20" s="151"/>
      <c r="I20" s="151"/>
      <c r="J20" s="245" t="s">
        <v>408</v>
      </c>
      <c r="K20" s="246"/>
      <c r="L20" s="246">
        <f>SUM(L14:L19)</f>
        <v>57788.93</v>
      </c>
      <c r="M20" s="43"/>
      <c r="N20" s="69"/>
      <c r="Q20" s="6"/>
      <c r="R20" s="6"/>
      <c r="S20" s="6"/>
      <c r="T20" s="6"/>
    </row>
    <row r="21" spans="1:20">
      <c r="A21" s="159"/>
      <c r="B21" s="43"/>
      <c r="C21" s="43"/>
      <c r="D21" s="150"/>
      <c r="E21" s="150"/>
      <c r="F21" s="43"/>
      <c r="G21" s="150"/>
      <c r="H21" s="151"/>
      <c r="I21" s="151"/>
      <c r="J21" s="151"/>
      <c r="K21" s="151"/>
      <c r="L21" s="151"/>
      <c r="M21" s="43"/>
      <c r="N21" s="69"/>
      <c r="Q21" s="6"/>
      <c r="R21" s="6"/>
      <c r="S21" s="6"/>
      <c r="T21" s="6"/>
    </row>
    <row r="22" spans="1:20">
      <c r="A22" s="148" t="s">
        <v>371</v>
      </c>
      <c r="B22" s="43"/>
      <c r="C22" s="43"/>
      <c r="D22" s="149"/>
      <c r="E22" s="149" t="s">
        <v>372</v>
      </c>
      <c r="F22" s="43"/>
      <c r="G22" s="150"/>
      <c r="H22" s="151"/>
      <c r="I22" s="151"/>
      <c r="J22" s="151"/>
      <c r="K22" s="151"/>
      <c r="L22" s="151"/>
      <c r="M22" s="43"/>
      <c r="N22" s="69"/>
      <c r="Q22" s="6"/>
      <c r="R22" s="6"/>
      <c r="S22" s="6"/>
      <c r="T22" s="6"/>
    </row>
    <row r="23" spans="1:20">
      <c r="A23" s="152"/>
      <c r="B23" s="153"/>
      <c r="C23" s="154" t="s">
        <v>527</v>
      </c>
      <c r="D23" s="24">
        <v>740909.53</v>
      </c>
      <c r="E23" s="23" t="s">
        <v>361</v>
      </c>
      <c r="F23" s="71"/>
      <c r="G23" s="24"/>
      <c r="H23" s="155"/>
      <c r="I23" s="155"/>
      <c r="J23" s="155"/>
      <c r="K23" s="155"/>
      <c r="L23" s="155"/>
      <c r="M23" s="71">
        <f>+L23</f>
        <v>0</v>
      </c>
      <c r="N23" s="97">
        <f>+$D$23-M23</f>
        <v>740909.53</v>
      </c>
      <c r="Q23" s="6"/>
      <c r="R23" s="6"/>
      <c r="S23" s="6"/>
      <c r="T23" s="6"/>
    </row>
    <row r="24" spans="1:20">
      <c r="A24" s="152" t="s">
        <v>480</v>
      </c>
      <c r="B24" s="153">
        <v>38749</v>
      </c>
      <c r="C24" s="154" t="s">
        <v>527</v>
      </c>
      <c r="D24" s="24"/>
      <c r="E24" s="154"/>
      <c r="F24" s="71">
        <f>+'Mat Utiliza'!J128</f>
        <v>0</v>
      </c>
      <c r="G24" s="24">
        <v>2.68</v>
      </c>
      <c r="H24" s="155">
        <f>+ROUND(F24*G24,2)</f>
        <v>0</v>
      </c>
      <c r="I24" s="155">
        <v>412.36</v>
      </c>
      <c r="J24" s="155">
        <v>395.22</v>
      </c>
      <c r="K24" s="155">
        <f>ROUND(+H24*I24/J24,2)</f>
        <v>0</v>
      </c>
      <c r="L24" s="155">
        <f>+IF(K24&lt;N23,K24,N23)</f>
        <v>0</v>
      </c>
      <c r="M24" s="71">
        <f>+L24+M23</f>
        <v>0</v>
      </c>
      <c r="N24" s="97">
        <f>+$D$23-M24</f>
        <v>740909.53</v>
      </c>
      <c r="Q24" s="6">
        <v>17545.169999999998</v>
      </c>
      <c r="R24" s="6">
        <f>+Q24-K24</f>
        <v>17545.169999999998</v>
      </c>
      <c r="S24" s="6"/>
      <c r="T24" s="6"/>
    </row>
    <row r="25" spans="1:20">
      <c r="A25" s="152"/>
      <c r="B25" s="153"/>
      <c r="C25" s="154"/>
      <c r="D25" s="24"/>
      <c r="E25" s="154"/>
      <c r="F25" s="71"/>
      <c r="G25" s="24"/>
      <c r="H25" s="155"/>
      <c r="I25" s="155"/>
      <c r="J25" s="155"/>
      <c r="K25" s="155"/>
      <c r="L25" s="155"/>
      <c r="M25" s="71"/>
      <c r="N25" s="97"/>
      <c r="Q25" s="6"/>
      <c r="R25" s="6"/>
      <c r="S25" s="6"/>
      <c r="T25" s="6"/>
    </row>
    <row r="26" spans="1:20">
      <c r="A26" s="152"/>
      <c r="B26" s="153"/>
      <c r="C26" s="154"/>
      <c r="D26" s="24"/>
      <c r="E26" s="154"/>
      <c r="F26" s="71"/>
      <c r="G26" s="24"/>
      <c r="H26" s="155"/>
      <c r="I26" s="155"/>
      <c r="J26" s="155"/>
      <c r="K26" s="155"/>
      <c r="L26" s="155"/>
      <c r="M26" s="71"/>
      <c r="N26" s="156"/>
      <c r="Q26" s="6"/>
      <c r="R26" s="6"/>
      <c r="S26" s="6"/>
      <c r="T26" s="6"/>
    </row>
    <row r="27" spans="1:20">
      <c r="A27" s="152"/>
      <c r="B27" s="153"/>
      <c r="C27" s="154"/>
      <c r="D27" s="24"/>
      <c r="E27" s="23"/>
      <c r="F27" s="71"/>
      <c r="G27" s="24"/>
      <c r="H27" s="155"/>
      <c r="I27" s="155"/>
      <c r="J27" s="155"/>
      <c r="K27" s="155"/>
      <c r="L27" s="155"/>
      <c r="M27" s="71"/>
      <c r="N27" s="156"/>
      <c r="Q27" s="6"/>
      <c r="R27" s="6"/>
      <c r="S27" s="6"/>
      <c r="T27" s="6"/>
    </row>
    <row r="28" spans="1:20">
      <c r="A28" s="157"/>
      <c r="B28" s="4"/>
      <c r="C28" s="4"/>
      <c r="D28" s="23"/>
      <c r="E28" s="23"/>
      <c r="F28" s="4"/>
      <c r="G28" s="23"/>
      <c r="H28" s="158"/>
      <c r="I28" s="158"/>
      <c r="J28" s="158"/>
      <c r="K28" s="158"/>
      <c r="L28" s="158"/>
      <c r="M28" s="4"/>
      <c r="N28" s="62"/>
      <c r="Q28" s="6"/>
      <c r="R28" s="6"/>
      <c r="S28" s="6"/>
      <c r="T28" s="6"/>
    </row>
    <row r="29" spans="1:20">
      <c r="A29" s="159"/>
      <c r="B29" s="43"/>
      <c r="C29" s="43"/>
      <c r="D29" s="150"/>
      <c r="E29" s="150"/>
      <c r="F29" s="43"/>
      <c r="G29" s="150"/>
      <c r="H29" s="151"/>
      <c r="I29" s="151"/>
      <c r="J29" s="245" t="s">
        <v>408</v>
      </c>
      <c r="K29" s="246"/>
      <c r="L29" s="246">
        <f>SUM(L23:L28)</f>
        <v>0</v>
      </c>
      <c r="M29" s="43"/>
      <c r="N29" s="69"/>
      <c r="Q29" s="6"/>
      <c r="R29" s="6"/>
      <c r="S29" s="6"/>
      <c r="T29" s="6"/>
    </row>
    <row r="30" spans="1:20">
      <c r="A30" s="159"/>
      <c r="B30" s="43"/>
      <c r="C30" s="43"/>
      <c r="D30" s="150"/>
      <c r="E30" s="150"/>
      <c r="F30" s="43"/>
      <c r="G30" s="150"/>
      <c r="H30" s="151"/>
      <c r="I30" s="151"/>
      <c r="J30" s="292"/>
      <c r="K30" s="293"/>
      <c r="L30" s="293"/>
      <c r="M30" s="43"/>
      <c r="N30" s="69"/>
      <c r="Q30" s="6"/>
      <c r="R30" s="6"/>
      <c r="S30" s="6"/>
      <c r="T30" s="6"/>
    </row>
    <row r="31" spans="1:20">
      <c r="A31" s="148" t="s">
        <v>373</v>
      </c>
      <c r="B31" s="43"/>
      <c r="C31" s="43"/>
      <c r="D31" s="149"/>
      <c r="E31" s="149" t="s">
        <v>372</v>
      </c>
      <c r="F31" s="43"/>
      <c r="G31" s="150"/>
      <c r="H31" s="151"/>
      <c r="I31" s="151"/>
      <c r="J31" s="151"/>
      <c r="K31" s="151"/>
      <c r="L31" s="151"/>
      <c r="M31" s="43"/>
      <c r="N31" s="69"/>
      <c r="Q31" s="6"/>
      <c r="R31" s="6"/>
      <c r="S31" s="6"/>
      <c r="T31" s="6"/>
    </row>
    <row r="32" spans="1:20">
      <c r="A32" s="152"/>
      <c r="B32" s="153"/>
      <c r="C32" s="154" t="s">
        <v>527</v>
      </c>
      <c r="D32" s="24">
        <v>34066.69</v>
      </c>
      <c r="E32" s="23" t="s">
        <v>361</v>
      </c>
      <c r="F32" s="71"/>
      <c r="G32" s="24"/>
      <c r="H32" s="155"/>
      <c r="I32" s="155"/>
      <c r="J32" s="155"/>
      <c r="K32" s="155"/>
      <c r="L32" s="155"/>
      <c r="M32" s="71">
        <f>+L32</f>
        <v>0</v>
      </c>
      <c r="N32" s="97">
        <f>+$D$32-M32</f>
        <v>34066.69</v>
      </c>
      <c r="Q32" s="6"/>
      <c r="R32" s="6"/>
      <c r="S32" s="6"/>
      <c r="T32" s="6"/>
    </row>
    <row r="33" spans="1:20">
      <c r="A33" s="152" t="s">
        <v>480</v>
      </c>
      <c r="B33" s="153">
        <v>38749</v>
      </c>
      <c r="C33" s="154" t="s">
        <v>527</v>
      </c>
      <c r="D33" s="24"/>
      <c r="E33" s="154"/>
      <c r="F33" s="71">
        <f>+'Mat Utiliza'!J72</f>
        <v>0.08</v>
      </c>
      <c r="G33" s="24">
        <v>3.27</v>
      </c>
      <c r="H33" s="155">
        <f>+ROUND(F33*G33,2)</f>
        <v>0.26</v>
      </c>
      <c r="I33" s="155">
        <f>+I24</f>
        <v>412.36</v>
      </c>
      <c r="J33" s="155">
        <f>+J24</f>
        <v>395.22</v>
      </c>
      <c r="K33" s="155">
        <f>ROUND(+H33*I33/J33,2)</f>
        <v>0.27</v>
      </c>
      <c r="L33" s="155">
        <f>+IF(K33&lt;N32,K33,N32)</f>
        <v>0.27</v>
      </c>
      <c r="M33" s="71">
        <f>+L33+M32</f>
        <v>0.27</v>
      </c>
      <c r="N33" s="97">
        <f>+$D$32-M33</f>
        <v>34066.420000000006</v>
      </c>
      <c r="Q33" s="6"/>
      <c r="R33" s="6"/>
      <c r="S33" s="6"/>
      <c r="T33" s="6"/>
    </row>
    <row r="34" spans="1:20">
      <c r="A34" s="152"/>
      <c r="B34" s="153"/>
      <c r="C34" s="154"/>
      <c r="D34" s="24"/>
      <c r="E34" s="154"/>
      <c r="F34" s="71"/>
      <c r="G34" s="24"/>
      <c r="H34" s="155"/>
      <c r="I34" s="155"/>
      <c r="J34" s="155"/>
      <c r="K34" s="155"/>
      <c r="L34" s="155"/>
      <c r="M34" s="71"/>
      <c r="N34" s="97"/>
      <c r="Q34" s="6"/>
      <c r="R34" s="6"/>
      <c r="S34" s="6"/>
      <c r="T34" s="6"/>
    </row>
    <row r="35" spans="1:20">
      <c r="A35" s="152"/>
      <c r="B35" s="153"/>
      <c r="C35" s="154"/>
      <c r="D35" s="24"/>
      <c r="E35" s="154"/>
      <c r="F35" s="71"/>
      <c r="G35" s="24"/>
      <c r="H35" s="155"/>
      <c r="I35" s="155"/>
      <c r="J35" s="155"/>
      <c r="K35" s="155"/>
      <c r="L35" s="155"/>
      <c r="M35" s="71"/>
      <c r="N35" s="97"/>
      <c r="Q35" s="6"/>
      <c r="R35" s="6"/>
      <c r="S35" s="6"/>
      <c r="T35" s="6"/>
    </row>
    <row r="36" spans="1:20">
      <c r="A36" s="152"/>
      <c r="B36" s="153"/>
      <c r="C36" s="154"/>
      <c r="D36" s="24"/>
      <c r="E36" s="154"/>
      <c r="F36" s="71"/>
      <c r="G36" s="24"/>
      <c r="H36" s="155"/>
      <c r="I36" s="155"/>
      <c r="J36" s="155"/>
      <c r="K36" s="155"/>
      <c r="L36" s="155"/>
      <c r="M36" s="71"/>
      <c r="N36" s="97"/>
      <c r="Q36" s="6"/>
      <c r="R36" s="6"/>
      <c r="S36" s="6"/>
      <c r="T36" s="6"/>
    </row>
    <row r="37" spans="1:20">
      <c r="A37" s="152"/>
      <c r="B37" s="153"/>
      <c r="C37" s="154"/>
      <c r="D37" s="24"/>
      <c r="E37" s="154"/>
      <c r="F37" s="71"/>
      <c r="G37" s="24"/>
      <c r="H37" s="155"/>
      <c r="I37" s="155"/>
      <c r="J37" s="155"/>
      <c r="K37" s="155"/>
      <c r="L37" s="155"/>
      <c r="M37" s="71"/>
      <c r="N37" s="97"/>
      <c r="Q37" s="6"/>
      <c r="R37" s="6"/>
      <c r="S37" s="6"/>
      <c r="T37" s="6"/>
    </row>
    <row r="38" spans="1:20">
      <c r="A38" s="159"/>
      <c r="B38" s="43"/>
      <c r="C38" s="43"/>
      <c r="D38" s="150"/>
      <c r="E38" s="150"/>
      <c r="F38" s="43"/>
      <c r="G38" s="150"/>
      <c r="H38" s="151"/>
      <c r="I38" s="151"/>
      <c r="J38" s="245" t="s">
        <v>408</v>
      </c>
      <c r="K38" s="246"/>
      <c r="L38" s="246">
        <f>SUM(L32:L37)</f>
        <v>0.27</v>
      </c>
      <c r="M38" s="43"/>
      <c r="N38" s="69"/>
      <c r="Q38" s="6"/>
      <c r="R38" s="6"/>
      <c r="S38" s="6"/>
      <c r="T38" s="6"/>
    </row>
    <row r="39" spans="1:20">
      <c r="A39" s="159"/>
      <c r="B39" s="43"/>
      <c r="C39" s="43"/>
      <c r="D39" s="150"/>
      <c r="E39" s="150"/>
      <c r="F39" s="43"/>
      <c r="G39" s="150"/>
      <c r="H39" s="151"/>
      <c r="I39" s="151"/>
      <c r="J39" s="292"/>
      <c r="K39" s="293"/>
      <c r="L39" s="293"/>
      <c r="M39" s="43"/>
      <c r="N39" s="69"/>
      <c r="Q39" s="6"/>
      <c r="R39" s="6"/>
      <c r="S39" s="6"/>
      <c r="T39" s="6"/>
    </row>
    <row r="40" spans="1:20">
      <c r="A40" s="148" t="s">
        <v>1055</v>
      </c>
      <c r="B40" s="43"/>
      <c r="C40" s="43"/>
      <c r="D40" s="149"/>
      <c r="E40" s="149" t="s">
        <v>372</v>
      </c>
      <c r="F40" s="43"/>
      <c r="G40" s="150"/>
      <c r="H40" s="151"/>
      <c r="I40" s="151"/>
      <c r="J40" s="151"/>
      <c r="K40" s="151"/>
      <c r="L40" s="151"/>
      <c r="M40" s="43"/>
      <c r="N40" s="69"/>
      <c r="Q40" s="6"/>
      <c r="R40" s="6"/>
      <c r="S40" s="6"/>
      <c r="T40" s="6"/>
    </row>
    <row r="41" spans="1:20">
      <c r="A41" s="152"/>
      <c r="B41" s="153"/>
      <c r="C41" s="154" t="s">
        <v>527</v>
      </c>
      <c r="D41" s="24">
        <v>34815.589999999997</v>
      </c>
      <c r="E41" s="23" t="s">
        <v>361</v>
      </c>
      <c r="F41" s="71"/>
      <c r="G41" s="24"/>
      <c r="H41" s="155"/>
      <c r="I41" s="155"/>
      <c r="J41" s="155"/>
      <c r="K41" s="155"/>
      <c r="L41" s="155"/>
      <c r="M41" s="71">
        <f>+L41</f>
        <v>0</v>
      </c>
      <c r="N41" s="97">
        <f>+$D$41-M41</f>
        <v>34815.589999999997</v>
      </c>
      <c r="Q41" s="6"/>
      <c r="R41" s="6"/>
      <c r="S41" s="6"/>
      <c r="T41" s="6"/>
    </row>
    <row r="42" spans="1:20">
      <c r="A42" s="152" t="s">
        <v>480</v>
      </c>
      <c r="B42" s="153">
        <v>38749</v>
      </c>
      <c r="C42" s="154" t="s">
        <v>527</v>
      </c>
      <c r="D42" s="24"/>
      <c r="E42" s="154"/>
      <c r="F42" s="71">
        <f>+'Mat Utiliza'!J11</f>
        <v>0</v>
      </c>
      <c r="G42" s="24">
        <v>3.06</v>
      </c>
      <c r="H42" s="155">
        <f>+ROUND(F42*G42,2)</f>
        <v>0</v>
      </c>
      <c r="I42" s="155">
        <f>+I33</f>
        <v>412.36</v>
      </c>
      <c r="J42" s="155">
        <f>+J33</f>
        <v>395.22</v>
      </c>
      <c r="K42" s="155">
        <f>ROUND(+H42*I42/J42,2)</f>
        <v>0</v>
      </c>
      <c r="L42" s="155">
        <f>+IF(K42&lt;N41,K42,N41)</f>
        <v>0</v>
      </c>
      <c r="M42" s="71">
        <f>+L42+M41</f>
        <v>0</v>
      </c>
      <c r="N42" s="97">
        <f>+$D$41-M42</f>
        <v>34815.589999999997</v>
      </c>
      <c r="Q42" s="6"/>
      <c r="R42" s="6"/>
      <c r="S42" s="6"/>
      <c r="T42" s="6"/>
    </row>
    <row r="43" spans="1:20">
      <c r="A43" s="152"/>
      <c r="B43" s="153"/>
      <c r="C43" s="154"/>
      <c r="D43" s="24"/>
      <c r="E43" s="154"/>
      <c r="F43" s="71"/>
      <c r="G43" s="24"/>
      <c r="H43" s="155"/>
      <c r="I43" s="155"/>
      <c r="J43" s="155"/>
      <c r="K43" s="155"/>
      <c r="L43" s="155"/>
      <c r="M43" s="71"/>
      <c r="N43" s="97"/>
      <c r="Q43" s="6"/>
      <c r="R43" s="6"/>
      <c r="S43" s="6"/>
      <c r="T43" s="6"/>
    </row>
    <row r="44" spans="1:20">
      <c r="A44" s="152"/>
      <c r="B44" s="153"/>
      <c r="C44" s="154"/>
      <c r="D44" s="24"/>
      <c r="E44" s="154"/>
      <c r="F44" s="71"/>
      <c r="G44" s="24"/>
      <c r="H44" s="155"/>
      <c r="I44" s="155"/>
      <c r="J44" s="155"/>
      <c r="K44" s="155"/>
      <c r="L44" s="155"/>
      <c r="M44" s="71"/>
      <c r="N44" s="97"/>
      <c r="Q44" s="6"/>
      <c r="R44" s="6"/>
      <c r="S44" s="6"/>
      <c r="T44" s="6"/>
    </row>
    <row r="45" spans="1:20">
      <c r="A45" s="152"/>
      <c r="B45" s="153"/>
      <c r="C45" s="154"/>
      <c r="D45" s="24"/>
      <c r="E45" s="154"/>
      <c r="F45" s="71"/>
      <c r="G45" s="24"/>
      <c r="H45" s="155"/>
      <c r="I45" s="155"/>
      <c r="J45" s="155"/>
      <c r="K45" s="155"/>
      <c r="L45" s="155"/>
      <c r="M45" s="71"/>
      <c r="N45" s="97"/>
      <c r="Q45" s="6"/>
      <c r="R45" s="6"/>
      <c r="S45" s="6"/>
      <c r="T45" s="6"/>
    </row>
    <row r="46" spans="1:20">
      <c r="A46" s="152"/>
      <c r="B46" s="153"/>
      <c r="C46" s="154"/>
      <c r="D46" s="24"/>
      <c r="E46" s="154"/>
      <c r="F46" s="71"/>
      <c r="G46" s="24"/>
      <c r="H46" s="155"/>
      <c r="I46" s="155"/>
      <c r="J46" s="155"/>
      <c r="K46" s="155"/>
      <c r="L46" s="155"/>
      <c r="M46" s="71"/>
      <c r="N46" s="97"/>
      <c r="Q46" s="6"/>
      <c r="R46" s="6"/>
      <c r="S46" s="6"/>
      <c r="T46" s="6"/>
    </row>
    <row r="47" spans="1:20">
      <c r="A47" s="159"/>
      <c r="B47" s="43"/>
      <c r="C47" s="43"/>
      <c r="D47" s="150"/>
      <c r="E47" s="150"/>
      <c r="F47" s="43"/>
      <c r="G47" s="150"/>
      <c r="H47" s="151"/>
      <c r="I47" s="151"/>
      <c r="J47" s="245" t="s">
        <v>408</v>
      </c>
      <c r="K47" s="246"/>
      <c r="L47" s="246">
        <f>SUM(L41:L46)</f>
        <v>0</v>
      </c>
      <c r="M47" s="43"/>
      <c r="N47" s="69"/>
      <c r="Q47" s="6"/>
      <c r="R47" s="6"/>
      <c r="S47" s="6"/>
      <c r="T47" s="6"/>
    </row>
    <row r="48" spans="1:20">
      <c r="A48" s="159"/>
      <c r="B48" s="43"/>
      <c r="C48" s="43"/>
      <c r="D48" s="150"/>
      <c r="E48" s="150"/>
      <c r="F48" s="43"/>
      <c r="G48" s="150"/>
      <c r="H48" s="151"/>
      <c r="I48" s="151"/>
      <c r="J48" s="292"/>
      <c r="K48" s="293"/>
      <c r="L48" s="293"/>
      <c r="M48" s="43"/>
      <c r="N48" s="69"/>
      <c r="Q48" s="6"/>
      <c r="R48" s="6"/>
      <c r="S48" s="6"/>
      <c r="T48" s="6"/>
    </row>
    <row r="49" spans="1:20">
      <c r="A49" s="148" t="s">
        <v>1056</v>
      </c>
      <c r="B49" s="43"/>
      <c r="C49" s="43"/>
      <c r="D49" s="149"/>
      <c r="E49" s="149" t="s">
        <v>372</v>
      </c>
      <c r="F49" s="43"/>
      <c r="G49" s="150"/>
      <c r="H49" s="151"/>
      <c r="I49" s="151"/>
      <c r="J49" s="151"/>
      <c r="K49" s="151"/>
      <c r="L49" s="151"/>
      <c r="M49" s="43"/>
      <c r="N49" s="69"/>
      <c r="Q49" s="6"/>
      <c r="R49" s="6"/>
      <c r="S49" s="6"/>
      <c r="T49" s="6"/>
    </row>
    <row r="50" spans="1:20">
      <c r="A50" s="152"/>
      <c r="B50" s="153"/>
      <c r="C50" s="154" t="s">
        <v>527</v>
      </c>
      <c r="D50" s="24">
        <v>39896.660000000003</v>
      </c>
      <c r="E50" s="23" t="s">
        <v>361</v>
      </c>
      <c r="F50" s="71"/>
      <c r="G50" s="24"/>
      <c r="H50" s="155"/>
      <c r="I50" s="155"/>
      <c r="J50" s="155"/>
      <c r="K50" s="155"/>
      <c r="L50" s="155"/>
      <c r="M50" s="71">
        <f>+L50</f>
        <v>0</v>
      </c>
      <c r="N50" s="97">
        <f>+$D$50-M50</f>
        <v>39896.660000000003</v>
      </c>
      <c r="Q50" s="6"/>
      <c r="R50" s="6"/>
      <c r="S50" s="6"/>
      <c r="T50" s="6"/>
    </row>
    <row r="51" spans="1:20">
      <c r="A51" s="152" t="s">
        <v>480</v>
      </c>
      <c r="B51" s="153">
        <v>38749</v>
      </c>
      <c r="C51" s="154" t="s">
        <v>527</v>
      </c>
      <c r="D51" s="24"/>
      <c r="E51" s="154"/>
      <c r="F51" s="71">
        <f>+'Mat Utiliza'!J20</f>
        <v>0</v>
      </c>
      <c r="G51" s="24">
        <v>3.06</v>
      </c>
      <c r="H51" s="155">
        <f>+ROUND(F51*G51,2)</f>
        <v>0</v>
      </c>
      <c r="I51" s="155">
        <f>+I42</f>
        <v>412.36</v>
      </c>
      <c r="J51" s="155">
        <f>+J42</f>
        <v>395.22</v>
      </c>
      <c r="K51" s="155">
        <f>ROUND(+H51*I51/J51,2)</f>
        <v>0</v>
      </c>
      <c r="L51" s="155">
        <f>+IF(K51&lt;N50,K51,N50)</f>
        <v>0</v>
      </c>
      <c r="M51" s="71">
        <f>+L51+M50</f>
        <v>0</v>
      </c>
      <c r="N51" s="97">
        <f>+$D$50-M51</f>
        <v>39896.660000000003</v>
      </c>
      <c r="Q51" s="6"/>
      <c r="R51" s="6"/>
      <c r="S51" s="6"/>
      <c r="T51" s="6"/>
    </row>
    <row r="52" spans="1:20">
      <c r="A52" s="152"/>
      <c r="B52" s="153"/>
      <c r="C52" s="154"/>
      <c r="D52" s="24"/>
      <c r="E52" s="154"/>
      <c r="F52" s="71"/>
      <c r="G52" s="24"/>
      <c r="H52" s="155"/>
      <c r="I52" s="155"/>
      <c r="J52" s="155"/>
      <c r="K52" s="155"/>
      <c r="L52" s="155"/>
      <c r="M52" s="71"/>
      <c r="N52" s="97"/>
      <c r="Q52" s="6"/>
      <c r="R52" s="6"/>
      <c r="S52" s="6"/>
      <c r="T52" s="6"/>
    </row>
    <row r="53" spans="1:20">
      <c r="A53" s="152"/>
      <c r="B53" s="153"/>
      <c r="C53" s="154"/>
      <c r="D53" s="24"/>
      <c r="E53" s="154"/>
      <c r="F53" s="71"/>
      <c r="G53" s="24"/>
      <c r="H53" s="155"/>
      <c r="I53" s="155"/>
      <c r="J53" s="155"/>
      <c r="K53" s="155"/>
      <c r="L53" s="155"/>
      <c r="M53" s="71"/>
      <c r="N53" s="97"/>
      <c r="Q53" s="6"/>
      <c r="R53" s="6"/>
      <c r="S53" s="6"/>
      <c r="T53" s="6"/>
    </row>
    <row r="54" spans="1:20">
      <c r="A54" s="152"/>
      <c r="B54" s="153"/>
      <c r="C54" s="154"/>
      <c r="D54" s="24"/>
      <c r="E54" s="154"/>
      <c r="F54" s="71"/>
      <c r="G54" s="24"/>
      <c r="H54" s="155"/>
      <c r="I54" s="155"/>
      <c r="J54" s="155"/>
      <c r="K54" s="155"/>
      <c r="L54" s="155"/>
      <c r="M54" s="71"/>
      <c r="N54" s="97"/>
      <c r="Q54" s="6"/>
      <c r="R54" s="6"/>
      <c r="S54" s="6"/>
      <c r="T54" s="6"/>
    </row>
    <row r="55" spans="1:20">
      <c r="A55" s="152"/>
      <c r="B55" s="153"/>
      <c r="C55" s="154"/>
      <c r="D55" s="24"/>
      <c r="E55" s="154"/>
      <c r="F55" s="71"/>
      <c r="G55" s="24"/>
      <c r="H55" s="155"/>
      <c r="I55" s="155"/>
      <c r="J55" s="155"/>
      <c r="K55" s="155"/>
      <c r="L55" s="155"/>
      <c r="M55" s="71"/>
      <c r="N55" s="97"/>
      <c r="Q55" s="6"/>
      <c r="R55" s="6"/>
      <c r="S55" s="6"/>
      <c r="T55" s="6"/>
    </row>
    <row r="56" spans="1:20">
      <c r="A56" s="159"/>
      <c r="B56" s="43"/>
      <c r="C56" s="43"/>
      <c r="D56" s="150"/>
      <c r="E56" s="150"/>
      <c r="F56" s="43"/>
      <c r="G56" s="150"/>
      <c r="H56" s="151"/>
      <c r="I56" s="151"/>
      <c r="J56" s="245" t="s">
        <v>408</v>
      </c>
      <c r="K56" s="246"/>
      <c r="L56" s="246">
        <f>SUM(L50:L55)</f>
        <v>0</v>
      </c>
      <c r="M56" s="43"/>
      <c r="N56" s="69"/>
      <c r="Q56" s="6"/>
      <c r="R56" s="6"/>
      <c r="S56" s="6"/>
      <c r="T56" s="6"/>
    </row>
    <row r="57" spans="1:20">
      <c r="A57" s="159"/>
      <c r="B57" s="43"/>
      <c r="C57" s="43"/>
      <c r="D57" s="150"/>
      <c r="E57" s="150"/>
      <c r="F57" s="43"/>
      <c r="G57" s="150"/>
      <c r="H57" s="151"/>
      <c r="I57" s="151"/>
      <c r="J57" s="292"/>
      <c r="K57" s="293"/>
      <c r="L57" s="293"/>
      <c r="M57" s="43"/>
      <c r="N57" s="69"/>
      <c r="Q57" s="6"/>
      <c r="R57" s="6"/>
      <c r="S57" s="6"/>
      <c r="T57" s="6"/>
    </row>
    <row r="58" spans="1:20">
      <c r="A58" s="148" t="s">
        <v>1071</v>
      </c>
      <c r="B58" s="43"/>
      <c r="C58" s="43"/>
      <c r="D58" s="149"/>
      <c r="E58" s="149" t="s">
        <v>464</v>
      </c>
      <c r="F58" s="43"/>
      <c r="G58" s="150"/>
      <c r="H58" s="151"/>
      <c r="I58" s="151"/>
      <c r="J58" s="151"/>
      <c r="K58" s="151"/>
      <c r="L58" s="151"/>
      <c r="M58" s="43"/>
      <c r="N58" s="69"/>
      <c r="Q58" s="6"/>
      <c r="R58" s="6"/>
      <c r="S58" s="6"/>
      <c r="T58" s="6"/>
    </row>
    <row r="59" spans="1:20">
      <c r="A59" s="152"/>
      <c r="B59" s="153"/>
      <c r="C59" s="154" t="s">
        <v>527</v>
      </c>
      <c r="D59" s="24">
        <v>25535.45</v>
      </c>
      <c r="E59" s="23" t="s">
        <v>361</v>
      </c>
      <c r="F59" s="71"/>
      <c r="G59" s="24"/>
      <c r="H59" s="155"/>
      <c r="I59" s="155"/>
      <c r="J59" s="155"/>
      <c r="K59" s="155"/>
      <c r="L59" s="155"/>
      <c r="M59" s="71">
        <f>+L59</f>
        <v>0</v>
      </c>
      <c r="N59" s="97">
        <f>+$D$59-M59</f>
        <v>25535.45</v>
      </c>
      <c r="Q59" s="6"/>
      <c r="R59" s="6"/>
      <c r="S59" s="6"/>
      <c r="T59" s="6"/>
    </row>
    <row r="60" spans="1:20">
      <c r="A60" s="152" t="s">
        <v>480</v>
      </c>
      <c r="B60" s="153">
        <v>38749</v>
      </c>
      <c r="C60" s="154" t="s">
        <v>527</v>
      </c>
      <c r="D60" s="24"/>
      <c r="E60" s="154"/>
      <c r="F60" s="71">
        <f>+'Mat Utiliza'!J157</f>
        <v>0</v>
      </c>
      <c r="G60" s="24">
        <v>221.39</v>
      </c>
      <c r="H60" s="155">
        <f>+ROUND(F60*G60,2)</f>
        <v>0</v>
      </c>
      <c r="I60" s="155">
        <v>206.28</v>
      </c>
      <c r="J60" s="155">
        <v>197.04</v>
      </c>
      <c r="K60" s="155">
        <f>ROUND(+H60*I60/J60,2)</f>
        <v>0</v>
      </c>
      <c r="L60" s="155">
        <f>+IF(K60&lt;N59,K60,N59)</f>
        <v>0</v>
      </c>
      <c r="M60" s="71">
        <f>+L60+M59</f>
        <v>0</v>
      </c>
      <c r="N60" s="97">
        <f>+$D$59-M60</f>
        <v>25535.45</v>
      </c>
      <c r="Q60" s="6"/>
      <c r="R60" s="6"/>
      <c r="S60" s="6"/>
      <c r="T60" s="6"/>
    </row>
    <row r="61" spans="1:20">
      <c r="A61" s="152"/>
      <c r="B61" s="153"/>
      <c r="C61" s="154"/>
      <c r="D61" s="24"/>
      <c r="E61" s="154"/>
      <c r="F61" s="71"/>
      <c r="G61" s="24"/>
      <c r="H61" s="155"/>
      <c r="I61" s="155"/>
      <c r="J61" s="155"/>
      <c r="K61" s="155"/>
      <c r="L61" s="155"/>
      <c r="M61" s="71"/>
      <c r="N61" s="97"/>
      <c r="Q61" s="6"/>
      <c r="R61" s="6"/>
      <c r="S61" s="6"/>
      <c r="T61" s="6"/>
    </row>
    <row r="62" spans="1:20">
      <c r="A62" s="152"/>
      <c r="B62" s="153"/>
      <c r="C62" s="154"/>
      <c r="D62" s="24"/>
      <c r="E62" s="154"/>
      <c r="F62" s="71"/>
      <c r="G62" s="24"/>
      <c r="H62" s="155"/>
      <c r="I62" s="155"/>
      <c r="J62" s="155"/>
      <c r="K62" s="155"/>
      <c r="L62" s="155"/>
      <c r="M62" s="71"/>
      <c r="N62" s="97"/>
      <c r="Q62" s="6"/>
      <c r="R62" s="6"/>
      <c r="S62" s="6"/>
      <c r="T62" s="6"/>
    </row>
    <row r="63" spans="1:20">
      <c r="A63" s="152"/>
      <c r="B63" s="153"/>
      <c r="C63" s="154"/>
      <c r="D63" s="24"/>
      <c r="E63" s="154"/>
      <c r="F63" s="71"/>
      <c r="G63" s="24"/>
      <c r="H63" s="155"/>
      <c r="I63" s="155"/>
      <c r="J63" s="155"/>
      <c r="K63" s="155"/>
      <c r="L63" s="155"/>
      <c r="M63" s="71"/>
      <c r="N63" s="97"/>
      <c r="Q63" s="6"/>
      <c r="R63" s="6"/>
      <c r="S63" s="6"/>
      <c r="T63" s="6"/>
    </row>
    <row r="64" spans="1:20">
      <c r="A64" s="152"/>
      <c r="B64" s="153"/>
      <c r="C64" s="154"/>
      <c r="D64" s="24"/>
      <c r="E64" s="154"/>
      <c r="F64" s="71"/>
      <c r="G64" s="24"/>
      <c r="H64" s="155"/>
      <c r="I64" s="155"/>
      <c r="J64" s="155"/>
      <c r="K64" s="155"/>
      <c r="L64" s="155"/>
      <c r="M64" s="71"/>
      <c r="N64" s="97"/>
      <c r="Q64" s="6"/>
      <c r="R64" s="6"/>
      <c r="S64" s="6"/>
      <c r="T64" s="6"/>
    </row>
    <row r="65" spans="1:20">
      <c r="A65" s="159"/>
      <c r="B65" s="43"/>
      <c r="C65" s="43"/>
      <c r="D65" s="150"/>
      <c r="E65" s="150"/>
      <c r="F65" s="43"/>
      <c r="G65" s="150"/>
      <c r="H65" s="151"/>
      <c r="I65" s="151"/>
      <c r="J65" s="245" t="s">
        <v>408</v>
      </c>
      <c r="K65" s="246"/>
      <c r="L65" s="246">
        <f>SUM(L59:L64)</f>
        <v>0</v>
      </c>
      <c r="M65" s="43"/>
      <c r="N65" s="69"/>
      <c r="Q65" s="6"/>
      <c r="R65" s="6"/>
      <c r="S65" s="6"/>
      <c r="T65" s="6"/>
    </row>
    <row r="66" spans="1:20">
      <c r="A66" s="159"/>
      <c r="B66" s="43"/>
      <c r="C66" s="43"/>
      <c r="D66" s="150"/>
      <c r="E66" s="150"/>
      <c r="F66" s="43"/>
      <c r="G66" s="150"/>
      <c r="H66" s="151"/>
      <c r="I66" s="151"/>
      <c r="J66" s="292"/>
      <c r="K66" s="293"/>
      <c r="L66" s="293"/>
      <c r="M66" s="43"/>
      <c r="N66" s="69"/>
      <c r="Q66" s="6"/>
      <c r="R66" s="6"/>
      <c r="S66" s="6"/>
      <c r="T66" s="6"/>
    </row>
    <row r="67" spans="1:20">
      <c r="A67" s="148" t="s">
        <v>1072</v>
      </c>
      <c r="B67" s="43"/>
      <c r="C67" s="43"/>
      <c r="D67" s="149"/>
      <c r="E67" s="149" t="s">
        <v>464</v>
      </c>
      <c r="F67" s="43"/>
      <c r="G67" s="150"/>
      <c r="H67" s="151"/>
      <c r="I67" s="151"/>
      <c r="J67" s="151"/>
      <c r="K67" s="151"/>
      <c r="L67" s="151"/>
      <c r="M67" s="43"/>
      <c r="N67" s="69"/>
      <c r="Q67" s="6"/>
      <c r="R67" s="6"/>
      <c r="S67" s="6"/>
      <c r="T67" s="6"/>
    </row>
    <row r="68" spans="1:20">
      <c r="A68" s="152"/>
      <c r="B68" s="153"/>
      <c r="C68" s="154" t="s">
        <v>527</v>
      </c>
      <c r="D68" s="24">
        <v>111350.77</v>
      </c>
      <c r="E68" s="23" t="s">
        <v>361</v>
      </c>
      <c r="F68" s="71"/>
      <c r="G68" s="24"/>
      <c r="H68" s="155"/>
      <c r="I68" s="155"/>
      <c r="J68" s="155"/>
      <c r="K68" s="155"/>
      <c r="L68" s="155"/>
      <c r="M68" s="71">
        <f>+L68</f>
        <v>0</v>
      </c>
      <c r="N68" s="97">
        <f>+$D$68-M68</f>
        <v>111350.77</v>
      </c>
      <c r="Q68" s="6"/>
      <c r="R68" s="6"/>
      <c r="S68" s="6"/>
      <c r="T68" s="6"/>
    </row>
    <row r="69" spans="1:20">
      <c r="A69" s="152" t="s">
        <v>480</v>
      </c>
      <c r="B69" s="153">
        <v>38749</v>
      </c>
      <c r="C69" s="154" t="s">
        <v>527</v>
      </c>
      <c r="D69" s="24"/>
      <c r="E69" s="154"/>
      <c r="F69" s="71">
        <f>+'Mat Utiliza'!J161</f>
        <v>703.31000000000006</v>
      </c>
      <c r="G69" s="24">
        <v>354.01</v>
      </c>
      <c r="H69" s="155">
        <f>+ROUND(F69*G69,2)</f>
        <v>248978.77</v>
      </c>
      <c r="I69" s="155">
        <f>+I60</f>
        <v>206.28</v>
      </c>
      <c r="J69" s="155">
        <f>+J60</f>
        <v>197.04</v>
      </c>
      <c r="K69" s="155">
        <f>ROUND(+H69*I69/J69,2)</f>
        <v>260654.39</v>
      </c>
      <c r="L69" s="155">
        <f>+IF(K69&lt;N68,K69,N68)</f>
        <v>111350.77</v>
      </c>
      <c r="M69" s="71">
        <f>+L69+M68</f>
        <v>111350.77</v>
      </c>
      <c r="N69" s="97">
        <f>+$D$68-M69</f>
        <v>0</v>
      </c>
      <c r="P69">
        <f>+N69*J69/I69</f>
        <v>0</v>
      </c>
      <c r="Q69" s="6">
        <v>80450.009999999995</v>
      </c>
      <c r="R69" s="6">
        <f>+Q69-K69</f>
        <v>-180204.38</v>
      </c>
      <c r="S69" s="6"/>
      <c r="T69" s="6"/>
    </row>
    <row r="70" spans="1:20">
      <c r="A70" s="152"/>
      <c r="B70" s="153"/>
      <c r="C70" s="154"/>
      <c r="D70" s="24"/>
      <c r="E70" s="154"/>
      <c r="F70" s="71"/>
      <c r="G70" s="24"/>
      <c r="H70" s="155"/>
      <c r="I70" s="155"/>
      <c r="J70" s="155"/>
      <c r="K70" s="155"/>
      <c r="L70" s="155"/>
      <c r="M70" s="71"/>
      <c r="N70" s="97"/>
      <c r="Q70" s="6"/>
      <c r="R70" s="6"/>
      <c r="S70" s="6"/>
      <c r="T70" s="6"/>
    </row>
    <row r="71" spans="1:20">
      <c r="A71" s="152"/>
      <c r="B71" s="153"/>
      <c r="C71" s="154"/>
      <c r="D71" s="24"/>
      <c r="E71" s="154"/>
      <c r="F71" s="71"/>
      <c r="G71" s="24"/>
      <c r="H71" s="155"/>
      <c r="I71" s="155"/>
      <c r="J71" s="155"/>
      <c r="K71" s="155"/>
      <c r="L71" s="155"/>
      <c r="M71" s="71"/>
      <c r="N71" s="156"/>
      <c r="Q71" s="6"/>
      <c r="R71" s="6"/>
      <c r="S71" s="6"/>
      <c r="T71" s="6"/>
    </row>
    <row r="72" spans="1:20">
      <c r="A72" s="157"/>
      <c r="B72" s="4"/>
      <c r="C72" s="4"/>
      <c r="D72" s="23"/>
      <c r="E72" s="23"/>
      <c r="F72" s="4"/>
      <c r="G72" s="23"/>
      <c r="H72" s="158"/>
      <c r="I72" s="158"/>
      <c r="J72" s="158"/>
      <c r="K72" s="158"/>
      <c r="L72" s="158"/>
      <c r="M72" s="4"/>
      <c r="N72" s="62"/>
      <c r="Q72" s="6"/>
      <c r="R72" s="6"/>
      <c r="S72" s="6"/>
      <c r="T72" s="6"/>
    </row>
    <row r="73" spans="1:20">
      <c r="A73" s="159"/>
      <c r="B73" s="43"/>
      <c r="C73" s="43"/>
      <c r="D73" s="150"/>
      <c r="E73" s="150"/>
      <c r="F73" s="43"/>
      <c r="G73" s="150"/>
      <c r="H73" s="151"/>
      <c r="I73" s="151"/>
      <c r="J73" s="245" t="s">
        <v>408</v>
      </c>
      <c r="K73" s="246"/>
      <c r="L73" s="246">
        <f>SUM(L68:L72)</f>
        <v>111350.77</v>
      </c>
      <c r="M73" s="43"/>
      <c r="N73" s="69"/>
      <c r="Q73" s="6"/>
      <c r="R73" s="6"/>
      <c r="S73" s="6"/>
      <c r="T73" s="6"/>
    </row>
    <row r="74" spans="1:20">
      <c r="A74" s="148" t="s">
        <v>1073</v>
      </c>
      <c r="B74" s="43"/>
      <c r="C74" s="43"/>
      <c r="D74" s="149"/>
      <c r="E74" s="149" t="s">
        <v>464</v>
      </c>
      <c r="F74" s="43"/>
      <c r="G74" s="150"/>
      <c r="H74" s="151"/>
      <c r="I74" s="151"/>
      <c r="J74" s="151"/>
      <c r="K74" s="151"/>
      <c r="L74" s="151"/>
      <c r="M74" s="43"/>
      <c r="N74" s="69"/>
      <c r="Q74" s="6"/>
      <c r="R74" s="6"/>
      <c r="S74" s="6"/>
      <c r="T74" s="6"/>
    </row>
    <row r="75" spans="1:20">
      <c r="A75" s="152"/>
      <c r="B75" s="153"/>
      <c r="C75" s="154" t="s">
        <v>527</v>
      </c>
      <c r="D75" s="24">
        <v>419039.96</v>
      </c>
      <c r="E75" s="23" t="s">
        <v>361</v>
      </c>
      <c r="F75" s="71"/>
      <c r="G75" s="24"/>
      <c r="H75" s="155"/>
      <c r="I75" s="155"/>
      <c r="J75" s="155"/>
      <c r="K75" s="155"/>
      <c r="L75" s="155"/>
      <c r="M75" s="71">
        <f>+L75</f>
        <v>0</v>
      </c>
      <c r="N75" s="97">
        <f>+$D$75-M75</f>
        <v>419039.96</v>
      </c>
      <c r="Q75" s="6"/>
      <c r="R75" s="6"/>
      <c r="S75" s="6"/>
      <c r="T75" s="6"/>
    </row>
    <row r="76" spans="1:20">
      <c r="A76" s="152" t="s">
        <v>480</v>
      </c>
      <c r="B76" s="153">
        <v>38749</v>
      </c>
      <c r="C76" s="154" t="s">
        <v>527</v>
      </c>
      <c r="D76" s="24"/>
      <c r="E76" s="154"/>
      <c r="F76" s="71">
        <f>+'Mat Utiliza'!J165</f>
        <v>0</v>
      </c>
      <c r="G76" s="24">
        <v>523.08000000000004</v>
      </c>
      <c r="H76" s="155">
        <f>+ROUND(F76*G76,2)</f>
        <v>0</v>
      </c>
      <c r="I76" s="155">
        <f>+I69</f>
        <v>206.28</v>
      </c>
      <c r="J76" s="155">
        <f>+J69</f>
        <v>197.04</v>
      </c>
      <c r="K76" s="155">
        <f>ROUND(+H76*I76/J76,2)</f>
        <v>0</v>
      </c>
      <c r="L76" s="155">
        <f>+IF(K76&lt;N75,K76,N75)</f>
        <v>0</v>
      </c>
      <c r="M76" s="71">
        <f>+L76+M75</f>
        <v>0</v>
      </c>
      <c r="N76" s="97">
        <f>+$D$75-M76</f>
        <v>419039.96</v>
      </c>
      <c r="Q76" s="6">
        <v>21436.1</v>
      </c>
      <c r="R76" s="6">
        <f>+Q76-K76</f>
        <v>21436.1</v>
      </c>
      <c r="S76" s="6"/>
      <c r="T76" s="6"/>
    </row>
    <row r="77" spans="1:20">
      <c r="A77" s="152"/>
      <c r="B77" s="153"/>
      <c r="C77" s="153"/>
      <c r="D77" s="24"/>
      <c r="E77" s="154"/>
      <c r="F77" s="4"/>
      <c r="G77" s="23"/>
      <c r="H77" s="163"/>
      <c r="I77" s="155"/>
      <c r="J77" s="155"/>
      <c r="K77" s="155"/>
      <c r="L77" s="155"/>
      <c r="M77" s="71"/>
      <c r="N77" s="266"/>
      <c r="Q77" s="6"/>
      <c r="R77" s="6"/>
      <c r="S77" s="6"/>
      <c r="T77" s="6"/>
    </row>
    <row r="78" spans="1:20">
      <c r="A78" s="152"/>
      <c r="B78" s="153"/>
      <c r="C78" s="153"/>
      <c r="D78" s="24"/>
      <c r="E78" s="154"/>
      <c r="F78" s="4"/>
      <c r="G78" s="23"/>
      <c r="H78" s="163"/>
      <c r="I78" s="155"/>
      <c r="J78" s="155"/>
      <c r="K78" s="155"/>
      <c r="L78" s="155"/>
      <c r="M78" s="71"/>
      <c r="N78" s="156"/>
      <c r="Q78" s="6"/>
      <c r="R78" s="6"/>
      <c r="S78" s="6"/>
      <c r="T78" s="6"/>
    </row>
    <row r="79" spans="1:20">
      <c r="A79" s="157"/>
      <c r="B79" s="4"/>
      <c r="C79" s="4"/>
      <c r="D79" s="23"/>
      <c r="E79" s="23"/>
      <c r="F79" s="4"/>
      <c r="G79" s="23"/>
      <c r="H79" s="158"/>
      <c r="I79" s="158"/>
      <c r="J79" s="158"/>
      <c r="K79" s="158"/>
      <c r="L79" s="158"/>
      <c r="M79" s="4"/>
      <c r="N79" s="62"/>
      <c r="Q79" s="6"/>
      <c r="R79" s="6"/>
      <c r="S79" s="6"/>
      <c r="T79" s="6"/>
    </row>
    <row r="80" spans="1:20">
      <c r="A80" s="159"/>
      <c r="B80" s="43"/>
      <c r="C80" s="43"/>
      <c r="D80" s="150"/>
      <c r="E80" s="150"/>
      <c r="F80" s="43"/>
      <c r="G80" s="150"/>
      <c r="H80" s="151"/>
      <c r="I80" s="151"/>
      <c r="J80" s="245" t="s">
        <v>408</v>
      </c>
      <c r="K80" s="246"/>
      <c r="L80" s="246">
        <f>SUM(L75:L79)</f>
        <v>0</v>
      </c>
      <c r="M80" s="43"/>
      <c r="N80" s="69"/>
      <c r="Q80" s="6"/>
      <c r="R80" s="6"/>
      <c r="S80" s="6"/>
      <c r="T80" s="6"/>
    </row>
    <row r="81" spans="1:20">
      <c r="A81" s="159"/>
      <c r="B81" s="43"/>
      <c r="C81" s="43"/>
      <c r="D81" s="150"/>
      <c r="E81" s="150"/>
      <c r="F81" s="43"/>
      <c r="G81" s="150"/>
      <c r="H81" s="151"/>
      <c r="I81" s="151"/>
      <c r="J81" s="151"/>
      <c r="K81" s="151"/>
      <c r="L81" s="151"/>
      <c r="M81" s="43"/>
      <c r="N81" s="69"/>
      <c r="Q81" s="6"/>
      <c r="R81" s="6"/>
      <c r="S81" s="6"/>
      <c r="T81" s="6"/>
    </row>
    <row r="82" spans="1:20">
      <c r="A82" s="148" t="s">
        <v>1074</v>
      </c>
      <c r="B82" s="43"/>
      <c r="C82" s="43"/>
      <c r="D82" s="149"/>
      <c r="E82" s="149" t="s">
        <v>464</v>
      </c>
      <c r="F82" s="43"/>
      <c r="G82" s="150"/>
      <c r="H82" s="151"/>
      <c r="I82" s="151"/>
      <c r="J82" s="151"/>
      <c r="K82" s="151"/>
      <c r="L82" s="151"/>
      <c r="M82" s="43"/>
      <c r="N82" s="69"/>
      <c r="Q82" s="6"/>
      <c r="R82" s="6"/>
      <c r="S82" s="6"/>
      <c r="T82" s="6"/>
    </row>
    <row r="83" spans="1:20">
      <c r="A83" s="152"/>
      <c r="B83" s="153"/>
      <c r="C83" s="154" t="s">
        <v>527</v>
      </c>
      <c r="D83" s="24">
        <v>514927.69</v>
      </c>
      <c r="E83" s="23" t="s">
        <v>361</v>
      </c>
      <c r="F83" s="71"/>
      <c r="G83" s="24"/>
      <c r="H83" s="155"/>
      <c r="I83" s="155"/>
      <c r="J83" s="155"/>
      <c r="K83" s="155"/>
      <c r="L83" s="155"/>
      <c r="M83" s="71">
        <f>+L83</f>
        <v>0</v>
      </c>
      <c r="N83" s="97">
        <f>+$D$83-M83</f>
        <v>514927.69</v>
      </c>
      <c r="Q83" s="6"/>
      <c r="R83" s="6"/>
      <c r="S83" s="6"/>
      <c r="T83" s="6"/>
    </row>
    <row r="84" spans="1:20">
      <c r="A84" s="152" t="s">
        <v>480</v>
      </c>
      <c r="B84" s="153">
        <v>38749</v>
      </c>
      <c r="C84" s="154" t="s">
        <v>527</v>
      </c>
      <c r="D84" s="24"/>
      <c r="E84" s="154"/>
      <c r="F84" s="71">
        <f>+'Mat Utiliza'!J153</f>
        <v>0</v>
      </c>
      <c r="G84" s="24">
        <v>689.59</v>
      </c>
      <c r="H84" s="155">
        <f>+ROUND(F84*G84,2)</f>
        <v>0</v>
      </c>
      <c r="I84" s="155">
        <f>+I76</f>
        <v>206.28</v>
      </c>
      <c r="J84" s="155">
        <f>+J76</f>
        <v>197.04</v>
      </c>
      <c r="K84" s="155">
        <f>ROUND(+H84*I84/J84,2)</f>
        <v>0</v>
      </c>
      <c r="L84" s="155">
        <f>+IF(K84&lt;N83,K84,N83)</f>
        <v>0</v>
      </c>
      <c r="M84" s="71">
        <f>+L84+M83</f>
        <v>0</v>
      </c>
      <c r="N84" s="97">
        <f>+$D$83-M84</f>
        <v>514927.69</v>
      </c>
      <c r="Q84" s="6">
        <v>5859.95</v>
      </c>
      <c r="R84" s="6">
        <f>+Q84-K84</f>
        <v>5859.95</v>
      </c>
      <c r="S84" s="6"/>
      <c r="T84" s="6"/>
    </row>
    <row r="85" spans="1:20">
      <c r="A85" s="152"/>
      <c r="B85" s="153"/>
      <c r="C85" s="154"/>
      <c r="D85" s="24"/>
      <c r="E85" s="154"/>
      <c r="F85" s="71"/>
      <c r="G85" s="24"/>
      <c r="H85" s="155"/>
      <c r="I85" s="155"/>
      <c r="J85" s="155"/>
      <c r="K85" s="155"/>
      <c r="L85" s="155"/>
      <c r="M85" s="71"/>
      <c r="N85" s="97"/>
      <c r="Q85" s="6"/>
      <c r="R85" s="6"/>
      <c r="S85" s="6"/>
      <c r="T85" s="6"/>
    </row>
    <row r="86" spans="1:20">
      <c r="A86" s="152"/>
      <c r="B86" s="153"/>
      <c r="C86" s="154"/>
      <c r="D86" s="24"/>
      <c r="E86" s="23"/>
      <c r="F86" s="71"/>
      <c r="G86" s="24"/>
      <c r="H86" s="155"/>
      <c r="I86" s="155"/>
      <c r="J86" s="155"/>
      <c r="K86" s="155"/>
      <c r="L86" s="155"/>
      <c r="M86" s="71"/>
      <c r="N86" s="156"/>
      <c r="Q86" s="6"/>
      <c r="R86" s="6"/>
      <c r="S86" s="6"/>
      <c r="T86" s="6"/>
    </row>
    <row r="87" spans="1:20">
      <c r="A87" s="157"/>
      <c r="B87" s="4"/>
      <c r="C87" s="4"/>
      <c r="D87" s="23"/>
      <c r="E87" s="23"/>
      <c r="F87" s="4"/>
      <c r="G87" s="23"/>
      <c r="H87" s="158"/>
      <c r="I87" s="158"/>
      <c r="J87" s="158"/>
      <c r="K87" s="158"/>
      <c r="L87" s="158"/>
      <c r="M87" s="4"/>
      <c r="N87" s="62"/>
      <c r="Q87" s="6"/>
      <c r="R87" s="6"/>
      <c r="S87" s="6"/>
      <c r="T87" s="6"/>
    </row>
    <row r="88" spans="1:20">
      <c r="A88" s="159"/>
      <c r="B88" s="43"/>
      <c r="C88" s="43"/>
      <c r="D88" s="150"/>
      <c r="E88" s="150"/>
      <c r="F88" s="43"/>
      <c r="G88" s="150"/>
      <c r="H88" s="151"/>
      <c r="I88" s="151"/>
      <c r="J88" s="245" t="s">
        <v>408</v>
      </c>
      <c r="K88" s="246"/>
      <c r="L88" s="246">
        <f>SUM(L83:L87)</f>
        <v>0</v>
      </c>
      <c r="M88" s="43"/>
      <c r="N88" s="69"/>
      <c r="Q88" s="6"/>
      <c r="R88" s="6"/>
      <c r="S88" s="6"/>
      <c r="T88" s="6"/>
    </row>
    <row r="89" spans="1:20">
      <c r="A89" s="159"/>
      <c r="B89" s="43"/>
      <c r="C89" s="43"/>
      <c r="D89" s="150"/>
      <c r="E89" s="150"/>
      <c r="F89" s="43"/>
      <c r="G89" s="150"/>
      <c r="H89" s="151"/>
      <c r="I89" s="151"/>
      <c r="J89" s="151"/>
      <c r="K89" s="151"/>
      <c r="L89" s="151"/>
      <c r="M89" s="43"/>
      <c r="N89" s="69"/>
      <c r="Q89" s="6"/>
      <c r="R89" s="6"/>
      <c r="S89" s="6"/>
      <c r="T89" s="6"/>
    </row>
    <row r="90" spans="1:20">
      <c r="A90" s="148" t="s">
        <v>1057</v>
      </c>
      <c r="B90" s="43"/>
      <c r="C90" s="43"/>
      <c r="D90" s="149"/>
      <c r="E90" s="149" t="s">
        <v>1058</v>
      </c>
      <c r="F90" s="43"/>
      <c r="G90" s="150"/>
      <c r="H90" s="151"/>
      <c r="I90" s="151"/>
      <c r="J90" s="151"/>
      <c r="K90" s="151"/>
      <c r="L90" s="151"/>
      <c r="M90" s="43"/>
      <c r="N90" s="69"/>
      <c r="Q90" s="6"/>
      <c r="R90" s="6"/>
      <c r="S90" s="6"/>
      <c r="T90" s="6"/>
    </row>
    <row r="91" spans="1:20">
      <c r="A91" s="152"/>
      <c r="B91" s="153"/>
      <c r="C91" s="154" t="s">
        <v>527</v>
      </c>
      <c r="D91" s="24">
        <v>711569.72</v>
      </c>
      <c r="E91" s="23" t="s">
        <v>361</v>
      </c>
      <c r="F91" s="71"/>
      <c r="G91" s="24"/>
      <c r="H91" s="155"/>
      <c r="I91" s="155"/>
      <c r="J91" s="155"/>
      <c r="K91" s="155"/>
      <c r="L91" s="155"/>
      <c r="M91" s="71">
        <f>+L91+M90</f>
        <v>0</v>
      </c>
      <c r="N91" s="97">
        <f>+$D$91-M91</f>
        <v>711569.72</v>
      </c>
      <c r="Q91" s="6"/>
      <c r="R91" s="6"/>
      <c r="S91" s="6"/>
      <c r="T91" s="6"/>
    </row>
    <row r="92" spans="1:20">
      <c r="A92" s="152" t="s">
        <v>480</v>
      </c>
      <c r="B92" s="153">
        <v>38749</v>
      </c>
      <c r="C92" s="154" t="s">
        <v>527</v>
      </c>
      <c r="D92" s="24"/>
      <c r="E92" s="154"/>
      <c r="F92" s="71">
        <f>+'Mat Utiliza'!J462</f>
        <v>6.1</v>
      </c>
      <c r="G92" s="24">
        <v>2.5499999999999998</v>
      </c>
      <c r="H92" s="155">
        <f>+ROUND(F92*G92,2)</f>
        <v>15.56</v>
      </c>
      <c r="I92" s="155">
        <v>479.05</v>
      </c>
      <c r="J92" s="155">
        <v>454.23</v>
      </c>
      <c r="K92" s="155">
        <f>ROUND(+H92*I92/J92,2)</f>
        <v>16.41</v>
      </c>
      <c r="L92" s="155">
        <f>+IF(K92&lt;N91,K92,N91)</f>
        <v>16.41</v>
      </c>
      <c r="M92" s="71">
        <f>+L92+M91</f>
        <v>16.41</v>
      </c>
      <c r="N92" s="97">
        <f>+$D$91-M92</f>
        <v>711553.30999999994</v>
      </c>
      <c r="Q92" s="6">
        <v>804072.71</v>
      </c>
      <c r="R92" s="6">
        <f>+Q92-K92</f>
        <v>804056.29999999993</v>
      </c>
      <c r="S92" s="6"/>
      <c r="T92" s="6"/>
    </row>
    <row r="93" spans="1:20">
      <c r="A93" s="152"/>
      <c r="B93" s="153"/>
      <c r="C93" s="154"/>
      <c r="D93" s="24"/>
      <c r="E93" s="154"/>
      <c r="F93" s="71"/>
      <c r="G93" s="24"/>
      <c r="H93" s="155"/>
      <c r="I93" s="155"/>
      <c r="J93" s="155"/>
      <c r="K93" s="155"/>
      <c r="L93" s="155"/>
      <c r="M93" s="71"/>
      <c r="N93" s="97"/>
      <c r="Q93" s="6"/>
      <c r="R93" s="6"/>
      <c r="S93" s="6"/>
      <c r="T93" s="6"/>
    </row>
    <row r="94" spans="1:20">
      <c r="A94" s="152"/>
      <c r="B94" s="153"/>
      <c r="C94" s="154"/>
      <c r="D94" s="24"/>
      <c r="E94" s="23"/>
      <c r="F94" s="71"/>
      <c r="G94" s="24"/>
      <c r="H94" s="155"/>
      <c r="I94" s="155"/>
      <c r="J94" s="155"/>
      <c r="K94" s="155"/>
      <c r="L94" s="155"/>
      <c r="M94" s="71"/>
      <c r="N94" s="156"/>
      <c r="Q94" s="6"/>
      <c r="R94" s="6"/>
      <c r="S94" s="6"/>
      <c r="T94" s="6"/>
    </row>
    <row r="95" spans="1:20">
      <c r="A95" s="152"/>
      <c r="B95" s="153"/>
      <c r="C95" s="154"/>
      <c r="D95" s="24"/>
      <c r="E95" s="23"/>
      <c r="F95" s="71"/>
      <c r="G95" s="24"/>
      <c r="H95" s="295"/>
      <c r="I95" s="155"/>
      <c r="J95" s="155"/>
      <c r="K95" s="155"/>
      <c r="L95" s="155"/>
      <c r="M95" s="71"/>
      <c r="N95" s="156"/>
      <c r="Q95" s="6"/>
      <c r="R95" s="6"/>
      <c r="S95" s="6"/>
      <c r="T95" s="6"/>
    </row>
    <row r="96" spans="1:20">
      <c r="A96" s="152"/>
      <c r="B96" s="153"/>
      <c r="C96" s="154"/>
      <c r="D96" s="24"/>
      <c r="E96" s="154"/>
      <c r="F96" s="71"/>
      <c r="G96" s="24"/>
      <c r="H96" s="155"/>
      <c r="I96" s="155"/>
      <c r="J96" s="155"/>
      <c r="K96" s="155"/>
      <c r="L96" s="155"/>
      <c r="M96" s="71"/>
      <c r="N96" s="97"/>
      <c r="Q96" s="6"/>
      <c r="R96" s="6"/>
      <c r="S96" s="6"/>
      <c r="T96" s="6"/>
    </row>
    <row r="97" spans="1:20">
      <c r="A97" s="159"/>
      <c r="B97" s="43"/>
      <c r="C97" s="43"/>
      <c r="D97" s="150"/>
      <c r="E97" s="150"/>
      <c r="F97" s="43"/>
      <c r="G97" s="150"/>
      <c r="H97" s="151"/>
      <c r="I97" s="151"/>
      <c r="J97" s="245" t="s">
        <v>408</v>
      </c>
      <c r="K97" s="246"/>
      <c r="L97" s="246">
        <f>SUM(L91:L96)</f>
        <v>16.41</v>
      </c>
      <c r="M97" s="43"/>
      <c r="N97" s="69"/>
      <c r="Q97" s="6"/>
      <c r="R97" s="6"/>
      <c r="S97" s="6"/>
      <c r="T97" s="6"/>
    </row>
    <row r="98" spans="1:20">
      <c r="A98" s="278" t="s">
        <v>590</v>
      </c>
      <c r="B98" s="248"/>
      <c r="C98" s="248"/>
      <c r="D98" s="277">
        <f>SUM(D14:D97)</f>
        <v>5882351.9000000004</v>
      </c>
      <c r="E98" s="250"/>
      <c r="F98" s="249"/>
      <c r="G98" s="250"/>
      <c r="H98" s="251"/>
      <c r="I98" s="251"/>
      <c r="J98" s="245"/>
      <c r="K98" s="246"/>
      <c r="L98" s="279">
        <f>SUM(L14:L97)/2</f>
        <v>169156.37999999998</v>
      </c>
      <c r="M98" s="251"/>
      <c r="N98" s="280">
        <f>+D98-L98</f>
        <v>5713195.5200000005</v>
      </c>
      <c r="Q98" s="6"/>
      <c r="R98" s="6"/>
      <c r="S98" s="6"/>
      <c r="T98" s="6"/>
    </row>
    <row r="99" spans="1:20">
      <c r="A99" s="281"/>
      <c r="B99" s="282"/>
      <c r="C99" s="282"/>
      <c r="D99" s="281"/>
      <c r="E99" s="283"/>
      <c r="F99" s="281"/>
      <c r="G99" s="283"/>
      <c r="H99" s="284"/>
      <c r="I99" s="284"/>
      <c r="J99" s="285"/>
      <c r="K99" s="286"/>
      <c r="L99" s="286"/>
      <c r="M99" s="284"/>
      <c r="N99" s="284"/>
      <c r="Q99" s="6"/>
      <c r="R99" s="6"/>
      <c r="S99" s="6"/>
      <c r="T99" s="6"/>
    </row>
    <row r="100" spans="1:20" ht="18">
      <c r="A100" s="168" t="s">
        <v>591</v>
      </c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</row>
    <row r="101" spans="1:20" ht="13.5" thickBot="1"/>
    <row r="102" spans="1:20" ht="39.75" customHeight="1">
      <c r="A102" s="133" t="s">
        <v>465</v>
      </c>
      <c r="B102" s="134"/>
      <c r="C102" s="135" t="s">
        <v>588</v>
      </c>
      <c r="D102" s="136"/>
      <c r="E102" s="134"/>
      <c r="F102" s="135" t="s">
        <v>466</v>
      </c>
      <c r="G102" s="136"/>
      <c r="H102" s="134"/>
      <c r="I102" s="137" t="s">
        <v>467</v>
      </c>
      <c r="J102" s="137" t="s">
        <v>468</v>
      </c>
      <c r="K102" s="124" t="s">
        <v>469</v>
      </c>
      <c r="L102" s="124" t="s">
        <v>571</v>
      </c>
      <c r="M102" s="124" t="s">
        <v>470</v>
      </c>
      <c r="N102" s="138" t="s">
        <v>471</v>
      </c>
      <c r="Q102" s="1676" t="s">
        <v>488</v>
      </c>
      <c r="R102" s="1677"/>
    </row>
    <row r="103" spans="1:20" ht="25.5" customHeight="1" thickBot="1">
      <c r="A103" s="139" t="s">
        <v>395</v>
      </c>
      <c r="B103" s="140" t="s">
        <v>472</v>
      </c>
      <c r="C103" s="140" t="s">
        <v>395</v>
      </c>
      <c r="D103" s="276" t="s">
        <v>473</v>
      </c>
      <c r="E103" s="140" t="s">
        <v>474</v>
      </c>
      <c r="F103" s="140" t="s">
        <v>460</v>
      </c>
      <c r="G103" s="141" t="s">
        <v>461</v>
      </c>
      <c r="H103" s="141" t="s">
        <v>462</v>
      </c>
      <c r="I103" s="142" t="s">
        <v>581</v>
      </c>
      <c r="J103" s="142" t="s">
        <v>475</v>
      </c>
      <c r="K103" s="143" t="s">
        <v>476</v>
      </c>
      <c r="L103" s="143" t="s">
        <v>476</v>
      </c>
      <c r="M103" s="143" t="s">
        <v>476</v>
      </c>
      <c r="N103" s="144" t="s">
        <v>476</v>
      </c>
      <c r="Q103" s="132" t="s">
        <v>483</v>
      </c>
      <c r="R103" s="132" t="s">
        <v>484</v>
      </c>
    </row>
    <row r="104" spans="1:20">
      <c r="A104" s="145"/>
      <c r="B104" s="68"/>
      <c r="C104" s="68"/>
      <c r="D104" s="146"/>
      <c r="E104" s="68"/>
      <c r="F104" s="68"/>
      <c r="G104" s="146"/>
      <c r="H104" s="147"/>
      <c r="I104" s="147"/>
      <c r="J104" s="147"/>
      <c r="K104" s="147"/>
      <c r="L104" s="147"/>
      <c r="M104" s="68"/>
      <c r="N104" s="66"/>
      <c r="Q104" s="6" t="s">
        <v>485</v>
      </c>
      <c r="R104" s="6"/>
      <c r="S104" s="6"/>
      <c r="T104" s="6"/>
    </row>
    <row r="105" spans="1:20">
      <c r="A105" s="148"/>
      <c r="B105" s="43"/>
      <c r="C105" s="43"/>
      <c r="D105" s="149"/>
      <c r="E105" s="43"/>
      <c r="F105" s="43"/>
      <c r="G105" s="150"/>
      <c r="H105" s="151"/>
      <c r="I105" s="151"/>
      <c r="J105" s="151"/>
      <c r="K105" s="151"/>
      <c r="L105" s="151"/>
      <c r="M105" s="43"/>
      <c r="N105" s="69"/>
      <c r="Q105" s="6"/>
      <c r="R105" s="6"/>
      <c r="S105" s="6"/>
      <c r="T105" s="6"/>
    </row>
    <row r="106" spans="1:20">
      <c r="A106" s="152"/>
      <c r="B106" s="153"/>
      <c r="C106" s="154"/>
      <c r="D106" s="24"/>
      <c r="E106" s="154"/>
      <c r="F106" s="71"/>
      <c r="G106" s="24"/>
      <c r="H106" s="155"/>
      <c r="I106" s="155"/>
      <c r="J106" s="155"/>
      <c r="K106" s="155"/>
      <c r="L106" s="155"/>
      <c r="M106" s="71"/>
      <c r="N106" s="97"/>
      <c r="Q106" s="6">
        <v>20212.28</v>
      </c>
      <c r="R106" s="6">
        <f>+Q106-K106</f>
        <v>20212.28</v>
      </c>
      <c r="S106" s="6"/>
      <c r="T106" s="6"/>
    </row>
    <row r="107" spans="1:20">
      <c r="A107" s="152"/>
      <c r="B107" s="153"/>
      <c r="C107" s="154"/>
      <c r="D107" s="24"/>
      <c r="E107" s="154"/>
      <c r="F107" s="71"/>
      <c r="G107" s="24"/>
      <c r="H107" s="155"/>
      <c r="I107" s="155"/>
      <c r="J107" s="155"/>
      <c r="K107" s="155"/>
      <c r="L107" s="155"/>
      <c r="M107" s="71"/>
      <c r="N107" s="97"/>
      <c r="Q107" s="6"/>
      <c r="R107" s="6"/>
      <c r="S107" s="6"/>
      <c r="T107" s="6"/>
    </row>
    <row r="108" spans="1:20">
      <c r="A108" s="152"/>
      <c r="B108" s="153"/>
      <c r="C108" s="154"/>
      <c r="D108" s="24"/>
      <c r="E108" s="154"/>
      <c r="F108" s="71"/>
      <c r="G108" s="24"/>
      <c r="H108" s="155"/>
      <c r="I108" s="155"/>
      <c r="J108" s="155"/>
      <c r="K108" s="155"/>
      <c r="L108" s="155"/>
      <c r="M108" s="71"/>
      <c r="N108" s="156"/>
      <c r="Q108" s="6"/>
      <c r="R108" s="6"/>
      <c r="S108" s="6"/>
      <c r="T108" s="6"/>
    </row>
    <row r="109" spans="1:20">
      <c r="A109" s="157"/>
      <c r="B109" s="4"/>
      <c r="C109" s="4"/>
      <c r="D109" s="23"/>
      <c r="E109" s="23"/>
      <c r="F109" s="4"/>
      <c r="G109" s="23"/>
      <c r="H109" s="158"/>
      <c r="I109" s="158"/>
      <c r="J109" s="158"/>
      <c r="K109" s="158"/>
      <c r="L109" s="158"/>
      <c r="M109" s="4"/>
      <c r="N109" s="62"/>
      <c r="Q109" s="6"/>
      <c r="R109" s="6"/>
      <c r="S109" s="6"/>
      <c r="T109" s="6"/>
    </row>
    <row r="110" spans="1:20">
      <c r="A110" s="159"/>
      <c r="B110" s="43"/>
      <c r="C110" s="43"/>
      <c r="D110" s="150"/>
      <c r="E110" s="150"/>
      <c r="F110" s="43"/>
      <c r="G110" s="150"/>
      <c r="H110" s="151"/>
      <c r="I110" s="151"/>
      <c r="J110" s="245" t="s">
        <v>408</v>
      </c>
      <c r="K110" s="246"/>
      <c r="L110" s="246">
        <f>SUM(L106:L109)</f>
        <v>0</v>
      </c>
      <c r="M110" s="43"/>
      <c r="N110" s="69"/>
      <c r="Q110" s="6"/>
      <c r="R110" s="6"/>
      <c r="S110" s="6"/>
      <c r="T110" s="6"/>
    </row>
    <row r="111" spans="1:20">
      <c r="A111" s="278" t="s">
        <v>595</v>
      </c>
      <c r="B111" s="253"/>
      <c r="C111" s="253"/>
      <c r="D111" s="166">
        <f>SUM(D106:D110)</f>
        <v>0</v>
      </c>
      <c r="E111" s="251"/>
      <c r="F111" s="254"/>
      <c r="G111" s="255"/>
      <c r="H111" s="251"/>
      <c r="I111" s="251"/>
      <c r="J111" s="245"/>
      <c r="K111" s="251"/>
      <c r="L111" s="166">
        <f>SUM(L106:L110)/2</f>
        <v>0</v>
      </c>
      <c r="M111" s="251"/>
      <c r="N111" s="252"/>
      <c r="Q111" s="6">
        <f>SUM(Q13:Q97)</f>
        <v>949576.22</v>
      </c>
      <c r="R111" s="6">
        <f>SUM(R13:R97)</f>
        <v>631116.49</v>
      </c>
      <c r="S111" s="6" t="s">
        <v>489</v>
      </c>
      <c r="T111" s="6"/>
    </row>
    <row r="112" spans="1:20" ht="21.75" customHeight="1">
      <c r="A112" s="287" t="s">
        <v>592</v>
      </c>
      <c r="B112" s="43"/>
      <c r="C112" s="44"/>
      <c r="D112" s="167">
        <f>+D98+D111</f>
        <v>5882351.9000000004</v>
      </c>
      <c r="E112" s="247"/>
      <c r="F112" s="269" t="s">
        <v>557</v>
      </c>
      <c r="G112" s="270"/>
      <c r="H112" s="270"/>
      <c r="I112" s="270"/>
      <c r="J112" s="270"/>
      <c r="K112" s="271">
        <f>+SUMIF(J$13:J$111,#REF!,K$13:K$111)</f>
        <v>0</v>
      </c>
      <c r="L112" s="271">
        <f>+SUMIF(J$13:J$111,$J$110,L$13:L$111)</f>
        <v>169156.38</v>
      </c>
      <c r="M112" s="6"/>
      <c r="N112" s="6"/>
    </row>
    <row r="113" spans="1:14" ht="21.75" customHeight="1">
      <c r="A113" s="14"/>
      <c r="D113" s="172"/>
      <c r="E113" s="244"/>
      <c r="F113" s="269" t="s">
        <v>558</v>
      </c>
      <c r="G113" s="270"/>
      <c r="H113" s="270"/>
      <c r="I113" s="270"/>
      <c r="J113" s="270"/>
      <c r="K113" s="271"/>
      <c r="L113" s="271"/>
      <c r="M113" s="6"/>
      <c r="N113" s="6"/>
    </row>
    <row r="114" spans="1:14" ht="21.75" customHeight="1">
      <c r="A114" s="14"/>
      <c r="D114" s="172"/>
      <c r="E114" s="244"/>
      <c r="F114" s="269" t="s">
        <v>559</v>
      </c>
      <c r="G114" s="270"/>
      <c r="H114" s="270"/>
      <c r="I114" s="270"/>
      <c r="J114" s="270"/>
      <c r="K114" s="272"/>
      <c r="L114" s="272">
        <f>+L112-L113</f>
        <v>169156.38</v>
      </c>
      <c r="M114" s="6"/>
      <c r="N114" s="6"/>
    </row>
    <row r="115" spans="1:14">
      <c r="A115" t="s">
        <v>580</v>
      </c>
      <c r="F115" s="123"/>
      <c r="G115" s="162"/>
      <c r="H115" s="6"/>
      <c r="I115" s="6"/>
      <c r="J115" s="6"/>
      <c r="K115" s="6"/>
      <c r="L115" s="6"/>
      <c r="M115" s="6"/>
      <c r="N115" s="6"/>
    </row>
    <row r="116" spans="1:14">
      <c r="A116" s="94" t="s">
        <v>1060</v>
      </c>
      <c r="F116" s="123"/>
      <c r="G116" s="162"/>
      <c r="H116" s="6"/>
      <c r="I116" s="6"/>
      <c r="J116" s="6"/>
      <c r="K116" s="6"/>
      <c r="L116" s="6"/>
      <c r="M116" s="6"/>
      <c r="N116" s="6"/>
    </row>
    <row r="117" spans="1:14">
      <c r="A117" s="94" t="s">
        <v>369</v>
      </c>
      <c r="F117" s="123"/>
      <c r="G117" s="162"/>
      <c r="H117" s="6"/>
      <c r="I117" s="6"/>
      <c r="J117" s="6"/>
      <c r="K117" s="6"/>
      <c r="L117" s="6"/>
      <c r="M117" s="6"/>
      <c r="N117" s="6"/>
    </row>
    <row r="118" spans="1:14">
      <c r="A118" t="s">
        <v>370</v>
      </c>
      <c r="F118" s="123"/>
      <c r="G118" s="162"/>
      <c r="H118" s="6"/>
      <c r="I118" s="6"/>
      <c r="J118" s="6"/>
      <c r="K118" s="6"/>
      <c r="L118" s="6"/>
      <c r="M118" s="6"/>
      <c r="N118" s="6"/>
    </row>
    <row r="119" spans="1:14">
      <c r="A119" s="94"/>
      <c r="F119" s="123"/>
      <c r="G119" s="162"/>
      <c r="H119" s="6"/>
      <c r="I119" s="6"/>
      <c r="J119" s="6"/>
      <c r="K119" s="6"/>
      <c r="L119" s="6"/>
      <c r="M119" s="6"/>
      <c r="N119" s="6"/>
    </row>
    <row r="120" spans="1:14">
      <c r="A120" s="94"/>
      <c r="F120" s="123"/>
      <c r="G120" s="162"/>
      <c r="H120" s="6"/>
      <c r="I120" s="6"/>
      <c r="J120" s="6"/>
      <c r="K120" s="6"/>
      <c r="L120" s="6"/>
      <c r="M120" s="6"/>
      <c r="N120" s="6"/>
    </row>
    <row r="121" spans="1:14">
      <c r="F121" s="123"/>
      <c r="G121" s="162"/>
      <c r="H121" s="6"/>
      <c r="I121" s="6"/>
      <c r="J121" s="6"/>
      <c r="K121" s="6"/>
      <c r="L121" s="6"/>
      <c r="M121" s="6"/>
      <c r="N121" s="6"/>
    </row>
    <row r="122" spans="1:14">
      <c r="B122" s="39" t="s">
        <v>570</v>
      </c>
      <c r="F122" s="123"/>
      <c r="G122" s="162"/>
      <c r="H122" s="6"/>
      <c r="I122" s="6"/>
      <c r="J122" s="6"/>
      <c r="K122" s="6"/>
      <c r="L122" s="6"/>
      <c r="M122" s="6"/>
      <c r="N122" s="6"/>
    </row>
    <row r="123" spans="1:14">
      <c r="A123" s="57"/>
      <c r="F123" s="123"/>
      <c r="G123" s="162"/>
      <c r="H123" s="1678" t="s">
        <v>390</v>
      </c>
      <c r="I123" s="1679"/>
      <c r="J123" s="1680"/>
      <c r="K123" s="261" t="s">
        <v>423</v>
      </c>
      <c r="L123" s="117"/>
      <c r="M123" s="122"/>
      <c r="N123" s="122"/>
    </row>
    <row r="124" spans="1:14">
      <c r="F124" s="123"/>
      <c r="G124" s="162"/>
      <c r="H124" s="262" t="s">
        <v>395</v>
      </c>
      <c r="I124" s="256" t="s">
        <v>389</v>
      </c>
      <c r="J124" s="44"/>
      <c r="K124" s="263" t="s">
        <v>569</v>
      </c>
      <c r="L124" s="117"/>
      <c r="M124" s="122"/>
      <c r="N124" s="122"/>
    </row>
    <row r="125" spans="1:14">
      <c r="F125" s="123"/>
      <c r="G125" s="162"/>
      <c r="H125" s="4"/>
      <c r="K125" s="4"/>
      <c r="L125" s="400"/>
    </row>
    <row r="126" spans="1:14" ht="15" customHeight="1">
      <c r="F126" s="123"/>
      <c r="G126" s="162"/>
      <c r="H126" s="154" t="s">
        <v>527</v>
      </c>
      <c r="I126" s="123" t="s">
        <v>1148</v>
      </c>
      <c r="K126" s="71">
        <f>SUMIF(A$13:A$111,H126,K$13:K$111)</f>
        <v>0</v>
      </c>
      <c r="L126" s="401"/>
      <c r="M126" s="6"/>
    </row>
    <row r="127" spans="1:14" ht="15" customHeight="1">
      <c r="F127" s="123"/>
      <c r="G127" s="162"/>
      <c r="H127" s="154" t="s">
        <v>478</v>
      </c>
      <c r="I127" s="123" t="s">
        <v>1149</v>
      </c>
      <c r="K127" s="71">
        <f>SUMIF(A$13:A$111,H127,K$13:K$111)</f>
        <v>0</v>
      </c>
      <c r="L127" s="401"/>
      <c r="M127" s="6"/>
    </row>
    <row r="128" spans="1:14" ht="15" customHeight="1">
      <c r="F128" s="123"/>
      <c r="G128" s="162"/>
      <c r="H128" s="154" t="s">
        <v>479</v>
      </c>
      <c r="I128" s="123" t="s">
        <v>1150</v>
      </c>
      <c r="K128" s="71">
        <f t="shared" ref="K128:K141" si="0">SUMIF(A$13:A$111,H128,L$13:L$111)</f>
        <v>0</v>
      </c>
      <c r="L128" s="401"/>
      <c r="M128" s="6"/>
      <c r="N128" s="6"/>
    </row>
    <row r="129" spans="6:13" ht="15" customHeight="1">
      <c r="F129" s="123"/>
      <c r="G129" s="162"/>
      <c r="H129" s="154" t="s">
        <v>480</v>
      </c>
      <c r="I129" s="123" t="s">
        <v>1151</v>
      </c>
      <c r="K129" s="71">
        <f t="shared" si="0"/>
        <v>169156.38</v>
      </c>
      <c r="L129" s="401"/>
      <c r="M129" s="6"/>
    </row>
    <row r="130" spans="6:13" ht="15" customHeight="1">
      <c r="F130" s="123"/>
      <c r="G130" s="162"/>
      <c r="H130" s="154" t="s">
        <v>550</v>
      </c>
      <c r="I130" s="123" t="s">
        <v>1152</v>
      </c>
      <c r="K130" s="71">
        <f t="shared" si="0"/>
        <v>0</v>
      </c>
      <c r="L130" s="401"/>
      <c r="M130" s="6"/>
    </row>
    <row r="131" spans="6:13" ht="15" customHeight="1">
      <c r="F131" s="123"/>
      <c r="G131" s="162"/>
      <c r="H131" s="154" t="s">
        <v>560</v>
      </c>
      <c r="I131" s="403" t="s">
        <v>1153</v>
      </c>
      <c r="K131" s="71">
        <f t="shared" si="0"/>
        <v>0</v>
      </c>
      <c r="L131" s="401"/>
      <c r="M131" s="6"/>
    </row>
    <row r="132" spans="6:13" ht="15" customHeight="1">
      <c r="F132" s="123"/>
      <c r="G132" s="162"/>
      <c r="H132" s="154" t="s">
        <v>561</v>
      </c>
      <c r="I132" s="403" t="s">
        <v>332</v>
      </c>
      <c r="K132" s="71">
        <f t="shared" si="0"/>
        <v>0</v>
      </c>
      <c r="L132" s="401"/>
      <c r="M132" s="6"/>
    </row>
    <row r="133" spans="6:13" ht="15" customHeight="1">
      <c r="F133" s="123"/>
      <c r="G133" s="162"/>
      <c r="H133" s="154" t="s">
        <v>562</v>
      </c>
      <c r="I133" s="403" t="s">
        <v>333</v>
      </c>
      <c r="K133" s="71">
        <f t="shared" si="0"/>
        <v>0</v>
      </c>
      <c r="L133" s="401"/>
      <c r="M133" s="6"/>
    </row>
    <row r="134" spans="6:13" ht="15" customHeight="1">
      <c r="F134" s="123"/>
      <c r="G134" s="162"/>
      <c r="H134" s="154" t="s">
        <v>563</v>
      </c>
      <c r="I134" s="403" t="s">
        <v>334</v>
      </c>
      <c r="K134" s="71"/>
      <c r="L134" s="401"/>
      <c r="M134" s="6"/>
    </row>
    <row r="135" spans="6:13" ht="15" customHeight="1">
      <c r="F135" s="123"/>
      <c r="G135" s="162"/>
      <c r="H135" s="154" t="s">
        <v>564</v>
      </c>
      <c r="I135" s="403" t="s">
        <v>335</v>
      </c>
      <c r="K135" s="71">
        <f t="shared" si="0"/>
        <v>0</v>
      </c>
      <c r="L135" s="401"/>
      <c r="M135" s="6"/>
    </row>
    <row r="136" spans="6:13" ht="15" customHeight="1">
      <c r="F136" s="123"/>
      <c r="G136" s="162"/>
      <c r="H136" s="154" t="s">
        <v>565</v>
      </c>
      <c r="I136" s="403" t="s">
        <v>336</v>
      </c>
      <c r="K136" s="71"/>
      <c r="L136" s="401"/>
      <c r="M136" s="6"/>
    </row>
    <row r="137" spans="6:13" ht="15" customHeight="1">
      <c r="F137" s="123"/>
      <c r="G137" s="162"/>
      <c r="H137" s="154" t="s">
        <v>566</v>
      </c>
      <c r="I137" s="403" t="s">
        <v>337</v>
      </c>
      <c r="K137" s="71"/>
      <c r="L137" s="401"/>
      <c r="M137" s="6"/>
    </row>
    <row r="138" spans="6:13" ht="15" customHeight="1">
      <c r="F138" s="123"/>
      <c r="G138" s="162"/>
      <c r="H138" s="154" t="s">
        <v>567</v>
      </c>
      <c r="I138" s="123" t="s">
        <v>338</v>
      </c>
      <c r="K138" s="71"/>
      <c r="L138" s="401"/>
      <c r="M138" s="6"/>
    </row>
    <row r="139" spans="6:13" ht="15" customHeight="1">
      <c r="F139" s="123"/>
      <c r="G139" s="162"/>
      <c r="H139" s="154" t="s">
        <v>568</v>
      </c>
      <c r="I139" s="123" t="s">
        <v>339</v>
      </c>
      <c r="K139" s="71">
        <f t="shared" si="0"/>
        <v>0</v>
      </c>
      <c r="L139" s="401"/>
      <c r="M139" s="6"/>
    </row>
    <row r="140" spans="6:13" ht="15" customHeight="1">
      <c r="F140" s="123"/>
      <c r="G140" s="162"/>
      <c r="H140" s="154" t="s">
        <v>1144</v>
      </c>
      <c r="I140" s="123" t="s">
        <v>340</v>
      </c>
      <c r="K140" s="71">
        <f t="shared" si="0"/>
        <v>0</v>
      </c>
      <c r="L140" s="401"/>
      <c r="M140" s="6"/>
    </row>
    <row r="141" spans="6:13" ht="15" customHeight="1">
      <c r="F141" s="123"/>
      <c r="G141" s="162"/>
      <c r="H141" s="154" t="s">
        <v>1145</v>
      </c>
      <c r="I141" s="123" t="s">
        <v>341</v>
      </c>
      <c r="K141" s="71">
        <f t="shared" si="0"/>
        <v>0</v>
      </c>
      <c r="L141" s="401"/>
      <c r="M141" s="6"/>
    </row>
    <row r="142" spans="6:13" ht="15" customHeight="1">
      <c r="F142" s="123"/>
      <c r="G142" s="162"/>
      <c r="H142" s="154" t="s">
        <v>1146</v>
      </c>
      <c r="I142" s="123" t="s">
        <v>342</v>
      </c>
      <c r="K142" s="71"/>
      <c r="L142" s="401"/>
      <c r="M142" s="6"/>
    </row>
    <row r="143" spans="6:13" ht="15" customHeight="1">
      <c r="F143" s="123"/>
      <c r="G143" s="162"/>
      <c r="H143" s="154" t="s">
        <v>1147</v>
      </c>
      <c r="I143" s="403" t="s">
        <v>343</v>
      </c>
      <c r="K143" s="71"/>
      <c r="L143" s="401"/>
      <c r="M143" s="6"/>
    </row>
    <row r="144" spans="6:13" ht="15" customHeight="1">
      <c r="F144" s="123"/>
      <c r="G144" s="162"/>
      <c r="H144" s="154" t="s">
        <v>344</v>
      </c>
      <c r="I144" s="258" t="s">
        <v>345</v>
      </c>
      <c r="J144" s="52"/>
      <c r="K144" s="160">
        <f>SUMIF(A$13:A$111,H144,L$13:L$111)</f>
        <v>0</v>
      </c>
      <c r="L144" s="401"/>
      <c r="M144" s="6"/>
    </row>
    <row r="145" spans="2:13" ht="6" customHeight="1">
      <c r="F145" s="123"/>
      <c r="G145" s="162"/>
      <c r="K145" s="6"/>
      <c r="L145" s="6"/>
      <c r="M145" s="257"/>
    </row>
    <row r="146" spans="2:13" ht="15" customHeight="1">
      <c r="H146" s="259"/>
      <c r="I146" s="51" t="s">
        <v>1067</v>
      </c>
      <c r="J146" s="51"/>
      <c r="K146" s="264">
        <f>SUM(K126:K145)</f>
        <v>169156.38</v>
      </c>
      <c r="L146" s="6"/>
    </row>
    <row r="147" spans="2:13" ht="15" customHeight="1">
      <c r="H147" s="260"/>
      <c r="I147" s="52" t="s">
        <v>1066</v>
      </c>
      <c r="J147" s="52"/>
      <c r="K147" s="265">
        <f>+$D$112-K146</f>
        <v>5713195.5200000005</v>
      </c>
      <c r="L147" s="6"/>
    </row>
    <row r="151" spans="2:13" s="9" customFormat="1" ht="15">
      <c r="B151" s="275" t="s">
        <v>585</v>
      </c>
      <c r="C151" s="275"/>
      <c r="H151" s="93"/>
      <c r="I151" s="93"/>
    </row>
    <row r="152" spans="2:13" s="9" customFormat="1" ht="15">
      <c r="B152" s="275"/>
      <c r="C152" s="275"/>
      <c r="H152" s="93"/>
      <c r="I152" s="93"/>
    </row>
    <row r="153" spans="2:13" s="9" customFormat="1">
      <c r="D153" s="474" t="s">
        <v>586</v>
      </c>
      <c r="E153" s="90"/>
      <c r="F153" s="87"/>
      <c r="G153" s="483" t="s">
        <v>395</v>
      </c>
      <c r="H153" s="483" t="s">
        <v>459</v>
      </c>
      <c r="I153" s="486" t="s">
        <v>589</v>
      </c>
      <c r="J153" s="487"/>
      <c r="K153" s="483" t="s">
        <v>451</v>
      </c>
      <c r="L153" s="475" t="s">
        <v>1061</v>
      </c>
      <c r="M153" s="492"/>
    </row>
    <row r="154" spans="2:13" s="9" customFormat="1">
      <c r="D154" s="476" t="s">
        <v>1062</v>
      </c>
      <c r="E154" s="477"/>
      <c r="F154" s="478"/>
      <c r="G154" s="506" t="s">
        <v>527</v>
      </c>
      <c r="H154" s="484">
        <f>SUMIF(C$13:C$97,G154,D$13:D$97)</f>
        <v>5882351.9000000004</v>
      </c>
      <c r="I154" s="488">
        <f>SUMIF(C$13:C$97,G154,L$13:L$97)</f>
        <v>169156.38</v>
      </c>
      <c r="J154" s="489"/>
      <c r="K154" s="484">
        <f>+H154-I154</f>
        <v>5713195.5200000005</v>
      </c>
      <c r="L154" s="477" t="s">
        <v>599</v>
      </c>
      <c r="M154" s="478"/>
    </row>
    <row r="155" spans="2:13" s="9" customFormat="1">
      <c r="D155" s="479"/>
      <c r="F155" s="480"/>
      <c r="G155" s="507" t="s">
        <v>478</v>
      </c>
      <c r="H155" s="485">
        <f>SUMIF(C$13:C$97,G155,D$13:D$97)</f>
        <v>0</v>
      </c>
      <c r="I155" s="490">
        <f>SUMIF(C$13:C$97,G155,L$13:L$97)</f>
        <v>0</v>
      </c>
      <c r="J155" s="491"/>
      <c r="K155" s="485">
        <f>+I155-J155</f>
        <v>0</v>
      </c>
      <c r="M155" s="480"/>
    </row>
    <row r="156" spans="2:13" s="9" customFormat="1">
      <c r="D156" s="501" t="s">
        <v>1063</v>
      </c>
      <c r="E156" s="90"/>
      <c r="F156" s="87"/>
      <c r="G156" s="504"/>
      <c r="H156" s="498">
        <f>SUM(H154:H155)</f>
        <v>5882351.9000000004</v>
      </c>
      <c r="I156" s="508">
        <f>SUM(I154:I155)</f>
        <v>169156.38</v>
      </c>
      <c r="J156" s="500"/>
      <c r="K156" s="498">
        <f>SUM(K154:K155)</f>
        <v>5713195.5200000005</v>
      </c>
      <c r="L156" s="481"/>
      <c r="M156" s="482"/>
    </row>
    <row r="157" spans="2:13" s="9" customFormat="1">
      <c r="D157" s="493" t="s">
        <v>587</v>
      </c>
      <c r="E157" s="477"/>
      <c r="F157" s="478"/>
      <c r="G157" s="494"/>
      <c r="H157" s="484"/>
      <c r="I157" s="496">
        <f>SUMIF(D$98:D$252,G157,J$98:J$252)</f>
        <v>0</v>
      </c>
      <c r="J157" s="497"/>
      <c r="K157" s="484">
        <f>+I157-J157</f>
        <v>0</v>
      </c>
      <c r="L157" s="477"/>
      <c r="M157" s="478"/>
    </row>
    <row r="158" spans="2:13" s="9" customFormat="1">
      <c r="D158" s="509"/>
      <c r="F158" s="480"/>
      <c r="G158" s="495"/>
      <c r="H158" s="485"/>
      <c r="I158" s="490"/>
      <c r="J158" s="491"/>
      <c r="K158" s="485"/>
      <c r="M158" s="480"/>
    </row>
    <row r="159" spans="2:13" s="9" customFormat="1">
      <c r="D159" s="479"/>
      <c r="F159" s="480"/>
      <c r="G159" s="495"/>
      <c r="H159" s="485">
        <f>SUMIF(C$104:C$110,G159,D$104:D$110)</f>
        <v>0</v>
      </c>
      <c r="I159" s="490">
        <f>SUMIF(C$104:C$110,G159,L$104:L$110)</f>
        <v>0</v>
      </c>
      <c r="J159" s="491"/>
      <c r="K159" s="485">
        <f>+I159-J159</f>
        <v>0</v>
      </c>
      <c r="M159" s="480"/>
    </row>
    <row r="160" spans="2:13" s="9" customFormat="1">
      <c r="D160" s="501" t="s">
        <v>1064</v>
      </c>
      <c r="E160" s="90"/>
      <c r="F160" s="87"/>
      <c r="G160" s="505"/>
      <c r="H160" s="498">
        <f>SUM(H157:H159)</f>
        <v>0</v>
      </c>
      <c r="I160" s="499">
        <f>SUM(I157:I159)</f>
        <v>0</v>
      </c>
      <c r="J160" s="500"/>
      <c r="K160" s="498">
        <f>SUM(K157:K159)</f>
        <v>0</v>
      </c>
      <c r="L160" s="481"/>
      <c r="M160" s="482"/>
    </row>
    <row r="161" spans="1:11" s="9" customFormat="1" ht="21" customHeight="1">
      <c r="D161" s="501" t="s">
        <v>1065</v>
      </c>
      <c r="E161" s="502"/>
      <c r="F161" s="503"/>
      <c r="H161" s="498">
        <f>+H156+H160</f>
        <v>5882351.9000000004</v>
      </c>
      <c r="I161" s="499">
        <f>+I156+I160</f>
        <v>169156.38</v>
      </c>
      <c r="J161" s="500"/>
      <c r="K161" s="498">
        <f>+K156+K160</f>
        <v>5713195.5200000005</v>
      </c>
    </row>
    <row r="162" spans="1:11" s="9" customFormat="1"/>
    <row r="163" spans="1:11" s="9" customFormat="1">
      <c r="A163" s="9" t="s">
        <v>481</v>
      </c>
    </row>
    <row r="164" spans="1:11" s="9" customFormat="1"/>
    <row r="165" spans="1:11" s="9" customFormat="1"/>
    <row r="166" spans="1:11" s="9" customFormat="1"/>
    <row r="167" spans="1:11" s="9" customFormat="1"/>
    <row r="168" spans="1:11" s="9" customFormat="1"/>
    <row r="169" spans="1:11" s="9" customFormat="1"/>
    <row r="170" spans="1:11" s="9" customFormat="1"/>
    <row r="171" spans="1:11" s="9" customFormat="1"/>
    <row r="172" spans="1:11" s="9" customFormat="1"/>
    <row r="173" spans="1:11" s="9" customFormat="1"/>
    <row r="174" spans="1:11" s="9" customFormat="1"/>
    <row r="175" spans="1:11" s="9" customFormat="1"/>
    <row r="176" spans="1:11" s="9" customFormat="1"/>
    <row r="177" s="9" customFormat="1"/>
  </sheetData>
  <mergeCells count="3">
    <mergeCell ref="Q10:R10"/>
    <mergeCell ref="H123:J123"/>
    <mergeCell ref="Q102:R102"/>
  </mergeCells>
  <phoneticPr fontId="0" type="noConversion"/>
  <printOptions horizontalCentered="1"/>
  <pageMargins left="0.42" right="0.2" top="0.39370078740157483" bottom="0.19685039370078741" header="0.19685039370078741" footer="0.19685039370078741"/>
  <pageSetup paperSize="9" scale="57" fitToHeight="2" orientation="portrait" horizontalDpi="4294967295" verticalDpi="300" r:id="rId1"/>
  <headerFooter alignWithMargins="0">
    <oddFooter>&amp;L&amp;"Arial,Cursiva"&amp;8&amp;F/&amp;A</oddFooter>
  </headerFooter>
  <rowBreaks count="1" manualBreakCount="1">
    <brk id="99" max="1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20">
    <tabColor indexed="10"/>
  </sheetPr>
  <dimension ref="A1:Q214"/>
  <sheetViews>
    <sheetView showGridLines="0" showZeros="0" view="pageBreakPreview" zoomScale="75" zoomScaleNormal="75" zoomScaleSheetLayoutView="75" workbookViewId="0"/>
  </sheetViews>
  <sheetFormatPr baseColWidth="10" defaultRowHeight="12.75"/>
  <cols>
    <col min="1" max="1" width="6.42578125" customWidth="1"/>
    <col min="2" max="2" width="9.5703125" customWidth="1"/>
    <col min="3" max="3" width="15.5703125" customWidth="1"/>
    <col min="4" max="4" width="8.42578125" customWidth="1"/>
    <col min="5" max="5" width="9.140625" customWidth="1"/>
    <col min="6" max="6" width="14.5703125" customWidth="1"/>
    <col min="7" max="7" width="15.42578125" customWidth="1"/>
    <col min="9" max="10" width="9.42578125" customWidth="1"/>
    <col min="11" max="12" width="15.85546875" customWidth="1"/>
    <col min="13" max="13" width="18" customWidth="1"/>
    <col min="14" max="14" width="14.140625" customWidth="1"/>
    <col min="15" max="15" width="2.85546875" customWidth="1"/>
  </cols>
  <sheetData>
    <row r="1" spans="1:15">
      <c r="A1" s="61" t="s">
        <v>438</v>
      </c>
      <c r="C1" s="3"/>
      <c r="L1" s="30" t="s">
        <v>516</v>
      </c>
      <c r="M1" s="402" t="s">
        <v>368</v>
      </c>
    </row>
    <row r="2" spans="1:15">
      <c r="A2" s="61" t="s">
        <v>365</v>
      </c>
      <c r="C2" s="3"/>
      <c r="K2" s="3" t="s">
        <v>449</v>
      </c>
      <c r="L2" s="33"/>
      <c r="M2" s="130"/>
    </row>
    <row r="3" spans="1:15">
      <c r="A3" s="61" t="s">
        <v>362</v>
      </c>
      <c r="C3" s="3"/>
      <c r="K3" s="3"/>
      <c r="L3" s="33"/>
      <c r="M3" s="130"/>
    </row>
    <row r="4" spans="1:15">
      <c r="A4" s="61" t="s">
        <v>363</v>
      </c>
      <c r="C4" s="3"/>
    </row>
    <row r="5" spans="1:15">
      <c r="A5" s="61"/>
      <c r="C5" s="3"/>
    </row>
    <row r="6" spans="1:15" ht="30" customHeight="1">
      <c r="A6" s="291" t="s">
        <v>555</v>
      </c>
      <c r="B6" s="291"/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291"/>
    </row>
    <row r="7" spans="1:15" ht="9" customHeight="1">
      <c r="A7" s="174"/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</row>
    <row r="8" spans="1:15" ht="21" customHeight="1">
      <c r="A8" s="176" t="s">
        <v>514</v>
      </c>
      <c r="B8" s="175"/>
      <c r="C8" s="96" t="s">
        <v>517</v>
      </c>
      <c r="D8" s="175"/>
      <c r="E8" s="175"/>
      <c r="F8" s="3"/>
      <c r="G8" s="3"/>
      <c r="H8" s="96"/>
    </row>
    <row r="9" spans="1:15" ht="16.5" customHeight="1">
      <c r="A9" s="175"/>
      <c r="B9" s="175"/>
      <c r="C9" s="175"/>
      <c r="D9" s="175"/>
      <c r="E9" s="175"/>
      <c r="F9" s="3"/>
      <c r="G9" s="3"/>
      <c r="H9" s="96"/>
    </row>
    <row r="10" spans="1:15" ht="15.75">
      <c r="A10" s="35"/>
      <c r="B10" s="35" t="s">
        <v>518</v>
      </c>
      <c r="C10" s="176"/>
      <c r="D10" s="35" t="s">
        <v>596</v>
      </c>
      <c r="E10" s="176"/>
    </row>
    <row r="11" spans="1:15">
      <c r="D11" s="14" t="s">
        <v>519</v>
      </c>
      <c r="E11" s="14" t="s">
        <v>520</v>
      </c>
      <c r="I11" s="14" t="s">
        <v>521</v>
      </c>
      <c r="K11" s="14" t="s">
        <v>522</v>
      </c>
      <c r="L11" s="3" t="s">
        <v>523</v>
      </c>
    </row>
    <row r="12" spans="1:15">
      <c r="H12" s="14" t="s">
        <v>395</v>
      </c>
      <c r="I12" s="14" t="s">
        <v>524</v>
      </c>
      <c r="K12" s="14" t="s">
        <v>525</v>
      </c>
      <c r="L12" s="14" t="s">
        <v>521</v>
      </c>
      <c r="M12" s="14" t="s">
        <v>394</v>
      </c>
    </row>
    <row r="13" spans="1:15" ht="15">
      <c r="A13" s="130" t="s">
        <v>526</v>
      </c>
      <c r="H13" s="177">
        <v>1</v>
      </c>
      <c r="I13" s="178" t="s">
        <v>1068</v>
      </c>
      <c r="J13" s="179" t="s">
        <v>381</v>
      </c>
      <c r="K13" s="180">
        <v>3250239.84</v>
      </c>
      <c r="L13" s="180">
        <f>+ROUND(K13*H20/I20,2)</f>
        <v>3250239.84</v>
      </c>
      <c r="M13" s="180">
        <f>L13</f>
        <v>3250239.84</v>
      </c>
    </row>
    <row r="14" spans="1:15" ht="15">
      <c r="A14" s="130"/>
      <c r="H14" s="294">
        <v>2</v>
      </c>
      <c r="I14" s="199"/>
      <c r="J14" s="183" t="s">
        <v>381</v>
      </c>
      <c r="K14" s="184"/>
      <c r="L14" s="184"/>
      <c r="M14" s="184">
        <f>+M13+L14</f>
        <v>3250239.84</v>
      </c>
    </row>
    <row r="15" spans="1:15" ht="15.75" thickBot="1">
      <c r="A15" s="130"/>
      <c r="H15" s="181"/>
      <c r="I15" s="182"/>
      <c r="J15" s="183"/>
      <c r="K15" s="184"/>
      <c r="L15" s="184"/>
      <c r="M15" s="184"/>
    </row>
    <row r="16" spans="1:15" ht="15.75" thickTop="1">
      <c r="A16" s="222"/>
      <c r="B16" s="223"/>
      <c r="C16" s="224" t="s">
        <v>528</v>
      </c>
      <c r="D16" s="225" t="s">
        <v>529</v>
      </c>
      <c r="E16" s="226"/>
      <c r="F16" s="224" t="s">
        <v>530</v>
      </c>
      <c r="G16" s="224" t="s">
        <v>530</v>
      </c>
      <c r="H16" s="225" t="s">
        <v>531</v>
      </c>
      <c r="I16" s="226"/>
      <c r="J16" s="226"/>
      <c r="K16" s="224" t="s">
        <v>528</v>
      </c>
      <c r="L16" s="224" t="s">
        <v>521</v>
      </c>
      <c r="M16" s="224" t="s">
        <v>451</v>
      </c>
      <c r="N16" s="224"/>
      <c r="O16" s="185"/>
    </row>
    <row r="17" spans="1:15" ht="15">
      <c r="A17" s="227" t="s">
        <v>390</v>
      </c>
      <c r="B17" s="228"/>
      <c r="C17" s="229" t="s">
        <v>450</v>
      </c>
      <c r="D17" s="230"/>
      <c r="E17" s="231"/>
      <c r="F17" s="229" t="s">
        <v>532</v>
      </c>
      <c r="G17" s="229" t="s">
        <v>589</v>
      </c>
      <c r="H17" s="229"/>
      <c r="I17" s="232"/>
      <c r="J17" s="232"/>
      <c r="K17" s="229" t="s">
        <v>533</v>
      </c>
      <c r="L17" s="229" t="s">
        <v>456</v>
      </c>
      <c r="M17" s="229" t="s">
        <v>455</v>
      </c>
      <c r="N17" s="229" t="s">
        <v>534</v>
      </c>
      <c r="O17" s="185"/>
    </row>
    <row r="18" spans="1:15" ht="15">
      <c r="A18" s="233"/>
      <c r="B18" s="234"/>
      <c r="C18" s="229" t="s">
        <v>453</v>
      </c>
      <c r="D18" s="235" t="s">
        <v>535</v>
      </c>
      <c r="E18" s="232" t="s">
        <v>490</v>
      </c>
      <c r="F18" s="229" t="s">
        <v>536</v>
      </c>
      <c r="G18" s="229" t="s">
        <v>593</v>
      </c>
      <c r="H18" s="236" t="s">
        <v>537</v>
      </c>
      <c r="I18" s="237" t="s">
        <v>442</v>
      </c>
      <c r="J18" s="238" t="s">
        <v>538</v>
      </c>
      <c r="K18" s="229" t="s">
        <v>539</v>
      </c>
      <c r="L18" s="229"/>
      <c r="M18" s="229" t="s">
        <v>457</v>
      </c>
      <c r="N18" s="229" t="s">
        <v>540</v>
      </c>
      <c r="O18" s="185"/>
    </row>
    <row r="19" spans="1:15" ht="15">
      <c r="A19" s="239" t="s">
        <v>541</v>
      </c>
      <c r="B19" s="238" t="s">
        <v>389</v>
      </c>
      <c r="C19" s="229" t="s">
        <v>458</v>
      </c>
      <c r="D19" s="235" t="s">
        <v>542</v>
      </c>
      <c r="E19" s="231" t="s">
        <v>543</v>
      </c>
      <c r="F19" s="229" t="s">
        <v>544</v>
      </c>
      <c r="G19" s="229"/>
      <c r="H19" s="235" t="s">
        <v>545</v>
      </c>
      <c r="I19" s="240" t="s">
        <v>546</v>
      </c>
      <c r="J19" s="232" t="s">
        <v>547</v>
      </c>
      <c r="K19" s="229" t="s">
        <v>548</v>
      </c>
      <c r="L19" s="229" t="s">
        <v>549</v>
      </c>
      <c r="M19" s="229"/>
      <c r="N19" s="229" t="s">
        <v>594</v>
      </c>
      <c r="O19" s="185"/>
    </row>
    <row r="20" spans="1:15" ht="15">
      <c r="A20" s="186" t="s">
        <v>480</v>
      </c>
      <c r="B20" s="178">
        <v>38749</v>
      </c>
      <c r="C20" s="187">
        <f>+Retencion!E17</f>
        <v>1388847.16</v>
      </c>
      <c r="D20" s="188">
        <v>7.5999999999999998E-2</v>
      </c>
      <c r="E20" s="510">
        <v>100</v>
      </c>
      <c r="F20" s="187">
        <f>ROUND(C20*D20*E20/100,2)</f>
        <v>105552.38</v>
      </c>
      <c r="G20" s="187"/>
      <c r="H20" s="190">
        <v>350.43</v>
      </c>
      <c r="I20" s="191">
        <v>350.43</v>
      </c>
      <c r="J20" s="192">
        <v>350.43</v>
      </c>
      <c r="K20" s="187">
        <f>L13</f>
        <v>3250239.84</v>
      </c>
      <c r="L20" s="187">
        <f>+IF(G20&lt;F20,G20,F20)</f>
        <v>0</v>
      </c>
      <c r="M20" s="187">
        <f>+K20-L20</f>
        <v>3250239.84</v>
      </c>
      <c r="N20" s="193">
        <f>ROUND(L20*(J20-I20)/H20,2)</f>
        <v>0</v>
      </c>
      <c r="O20" s="185"/>
    </row>
    <row r="21" spans="1:15" ht="15">
      <c r="A21" s="186"/>
      <c r="B21" s="194"/>
      <c r="C21" s="195"/>
      <c r="D21" s="196"/>
      <c r="E21" s="189"/>
      <c r="F21" s="195">
        <f>ROUND(C21*D21*E21/100,2)</f>
        <v>0</v>
      </c>
      <c r="G21" s="290"/>
      <c r="H21" s="197"/>
      <c r="I21" s="197"/>
      <c r="J21" s="197"/>
      <c r="K21" s="198"/>
      <c r="L21" s="198">
        <f>+IF(G21&lt;F21,G21,F21)</f>
        <v>0</v>
      </c>
      <c r="M21" s="198"/>
      <c r="N21" s="127"/>
      <c r="O21" s="185"/>
    </row>
    <row r="22" spans="1:15" ht="15">
      <c r="A22" s="186"/>
      <c r="B22" s="194"/>
      <c r="C22" s="195"/>
      <c r="D22" s="196"/>
      <c r="E22" s="189"/>
      <c r="F22" s="195">
        <f>ROUND(C22*D22*E22/100,2)</f>
        <v>0</v>
      </c>
      <c r="G22" s="290"/>
      <c r="H22" s="197"/>
      <c r="I22" s="197"/>
      <c r="J22" s="197"/>
      <c r="K22" s="198"/>
      <c r="L22" s="198">
        <f>+IF(G22&lt;F22,G22,F22)</f>
        <v>0</v>
      </c>
      <c r="M22" s="198"/>
      <c r="N22" s="127"/>
      <c r="O22" s="185"/>
    </row>
    <row r="23" spans="1:15" ht="15">
      <c r="A23" s="186"/>
      <c r="B23" s="199"/>
      <c r="C23" s="198"/>
      <c r="D23" s="218"/>
      <c r="E23" s="189"/>
      <c r="F23" s="198"/>
      <c r="G23" s="195"/>
      <c r="H23" s="197"/>
      <c r="I23" s="197"/>
      <c r="J23" s="197"/>
      <c r="K23" s="198"/>
      <c r="L23" s="198"/>
      <c r="M23" s="198"/>
      <c r="N23" s="127"/>
      <c r="O23" s="185"/>
    </row>
    <row r="24" spans="1:15" ht="15">
      <c r="A24" s="200"/>
      <c r="B24" s="175"/>
      <c r="C24" s="201"/>
      <c r="D24" s="200"/>
      <c r="E24" s="175"/>
      <c r="F24" s="201"/>
      <c r="G24" s="201"/>
      <c r="H24" s="200"/>
      <c r="I24" s="202"/>
      <c r="J24" s="203"/>
      <c r="K24" s="201"/>
      <c r="L24" s="198"/>
      <c r="M24" s="198"/>
      <c r="N24" s="127"/>
      <c r="O24" s="185"/>
    </row>
    <row r="25" spans="1:15" ht="15">
      <c r="A25" s="204"/>
      <c r="B25" s="192"/>
      <c r="C25" s="192"/>
      <c r="D25" s="192"/>
      <c r="E25" s="192"/>
      <c r="F25" s="205"/>
      <c r="G25" s="205">
        <f>SUM(G20:G24)</f>
        <v>0</v>
      </c>
      <c r="H25" s="192"/>
      <c r="I25" s="192"/>
      <c r="J25" s="192"/>
      <c r="K25" s="192"/>
      <c r="L25" s="205"/>
      <c r="M25" s="205" t="s">
        <v>551</v>
      </c>
      <c r="N25" s="128">
        <f>SUM(N20:N24)</f>
        <v>0</v>
      </c>
      <c r="O25" s="185"/>
    </row>
    <row r="26" spans="1:15" ht="15">
      <c r="A26" s="201"/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206"/>
      <c r="M26" s="207" t="s">
        <v>552</v>
      </c>
      <c r="N26" s="208">
        <v>0</v>
      </c>
      <c r="O26" s="185"/>
    </row>
    <row r="27" spans="1:15" ht="15">
      <c r="A27" s="201"/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207"/>
      <c r="M27" s="242" t="s">
        <v>556</v>
      </c>
      <c r="N27" s="128">
        <f>N25-N26</f>
        <v>0</v>
      </c>
      <c r="O27" s="185"/>
    </row>
    <row r="28" spans="1:15" ht="15">
      <c r="A28" s="209"/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</row>
    <row r="29" spans="1:15" ht="15.75">
      <c r="A29" s="35"/>
      <c r="B29" s="35" t="s">
        <v>518</v>
      </c>
      <c r="C29" s="176"/>
      <c r="D29" s="35" t="s">
        <v>631</v>
      </c>
      <c r="E29" s="176"/>
    </row>
    <row r="30" spans="1:15">
      <c r="D30" s="14" t="s">
        <v>519</v>
      </c>
      <c r="E30" s="14">
        <v>3</v>
      </c>
      <c r="I30" s="14" t="s">
        <v>521</v>
      </c>
      <c r="K30" s="14" t="s">
        <v>522</v>
      </c>
      <c r="L30" s="3" t="s">
        <v>523</v>
      </c>
    </row>
    <row r="31" spans="1:15">
      <c r="H31" s="14" t="s">
        <v>395</v>
      </c>
      <c r="I31" s="14" t="s">
        <v>524</v>
      </c>
      <c r="K31" s="14" t="s">
        <v>525</v>
      </c>
      <c r="L31" s="14" t="s">
        <v>521</v>
      </c>
      <c r="M31" s="14" t="s">
        <v>394</v>
      </c>
    </row>
    <row r="32" spans="1:15" ht="15">
      <c r="A32" s="130" t="s">
        <v>526</v>
      </c>
      <c r="H32" s="177">
        <v>1</v>
      </c>
      <c r="I32" s="178" t="s">
        <v>1068</v>
      </c>
      <c r="J32" s="179" t="s">
        <v>381</v>
      </c>
      <c r="K32" s="180">
        <v>740909.53</v>
      </c>
      <c r="L32" s="180">
        <f>+ROUND(K32*H39/I39,2)</f>
        <v>710113.16</v>
      </c>
      <c r="M32" s="180">
        <f>L32</f>
        <v>710113.16</v>
      </c>
    </row>
    <row r="33" spans="1:15" ht="15">
      <c r="A33" s="130"/>
      <c r="H33" s="294">
        <v>2</v>
      </c>
      <c r="I33" s="199"/>
      <c r="J33" s="183" t="s">
        <v>381</v>
      </c>
      <c r="K33" s="184"/>
      <c r="L33" s="184"/>
      <c r="M33" s="184">
        <f>+M32+L33</f>
        <v>710113.16</v>
      </c>
    </row>
    <row r="34" spans="1:15" ht="15.75" thickBot="1">
      <c r="A34" s="130"/>
      <c r="H34" s="181"/>
      <c r="I34" s="182"/>
      <c r="J34" s="183"/>
      <c r="K34" s="184"/>
      <c r="L34" s="184"/>
      <c r="M34" s="184"/>
    </row>
    <row r="35" spans="1:15" ht="15.75" thickTop="1">
      <c r="A35" s="222"/>
      <c r="B35" s="223"/>
      <c r="C35" s="224" t="s">
        <v>528</v>
      </c>
      <c r="D35" s="225" t="s">
        <v>529</v>
      </c>
      <c r="E35" s="226"/>
      <c r="F35" s="224" t="s">
        <v>530</v>
      </c>
      <c r="G35" s="224" t="s">
        <v>530</v>
      </c>
      <c r="H35" s="225" t="s">
        <v>531</v>
      </c>
      <c r="I35" s="226"/>
      <c r="J35" s="226"/>
      <c r="K35" s="224" t="s">
        <v>528</v>
      </c>
      <c r="L35" s="224" t="s">
        <v>521</v>
      </c>
      <c r="M35" s="224" t="s">
        <v>451</v>
      </c>
      <c r="N35" s="224"/>
      <c r="O35" s="185"/>
    </row>
    <row r="36" spans="1:15" ht="15">
      <c r="A36" s="227" t="s">
        <v>390</v>
      </c>
      <c r="B36" s="228"/>
      <c r="C36" s="229" t="s">
        <v>450</v>
      </c>
      <c r="D36" s="230"/>
      <c r="E36" s="231"/>
      <c r="F36" s="229" t="s">
        <v>532</v>
      </c>
      <c r="G36" s="229" t="s">
        <v>589</v>
      </c>
      <c r="H36" s="229"/>
      <c r="I36" s="232"/>
      <c r="J36" s="232"/>
      <c r="K36" s="229" t="s">
        <v>533</v>
      </c>
      <c r="L36" s="229" t="s">
        <v>456</v>
      </c>
      <c r="M36" s="229" t="s">
        <v>455</v>
      </c>
      <c r="N36" s="229" t="s">
        <v>534</v>
      </c>
      <c r="O36" s="185"/>
    </row>
    <row r="37" spans="1:15" ht="15">
      <c r="A37" s="233"/>
      <c r="B37" s="234"/>
      <c r="C37" s="229" t="s">
        <v>453</v>
      </c>
      <c r="D37" s="235" t="s">
        <v>535</v>
      </c>
      <c r="E37" s="232" t="s">
        <v>490</v>
      </c>
      <c r="F37" s="229" t="s">
        <v>536</v>
      </c>
      <c r="G37" s="229" t="s">
        <v>593</v>
      </c>
      <c r="H37" s="236" t="s">
        <v>537</v>
      </c>
      <c r="I37" s="237" t="s">
        <v>442</v>
      </c>
      <c r="J37" s="238" t="s">
        <v>538</v>
      </c>
      <c r="K37" s="229" t="s">
        <v>539</v>
      </c>
      <c r="L37" s="229"/>
      <c r="M37" s="229" t="s">
        <v>457</v>
      </c>
      <c r="N37" s="229" t="s">
        <v>540</v>
      </c>
      <c r="O37" s="185"/>
    </row>
    <row r="38" spans="1:15" ht="15">
      <c r="A38" s="239" t="s">
        <v>541</v>
      </c>
      <c r="B38" s="238" t="s">
        <v>389</v>
      </c>
      <c r="C38" s="229" t="s">
        <v>458</v>
      </c>
      <c r="D38" s="235" t="s">
        <v>542</v>
      </c>
      <c r="E38" s="231" t="s">
        <v>543</v>
      </c>
      <c r="F38" s="241" t="s">
        <v>544</v>
      </c>
      <c r="G38" s="229"/>
      <c r="H38" s="235" t="s">
        <v>545</v>
      </c>
      <c r="I38" s="240" t="s">
        <v>546</v>
      </c>
      <c r="J38" s="232" t="s">
        <v>547</v>
      </c>
      <c r="K38" s="229" t="s">
        <v>548</v>
      </c>
      <c r="L38" s="229" t="s">
        <v>549</v>
      </c>
      <c r="M38" s="229"/>
      <c r="N38" s="229" t="s">
        <v>594</v>
      </c>
      <c r="O38" s="185"/>
    </row>
    <row r="39" spans="1:15" ht="15">
      <c r="A39" s="186" t="s">
        <v>480</v>
      </c>
      <c r="B39" s="178">
        <f>+B20</f>
        <v>38749</v>
      </c>
      <c r="C39" s="187">
        <f>+Retencion!E17</f>
        <v>1388847.16</v>
      </c>
      <c r="D39" s="188">
        <v>7.5999999999999998E-2</v>
      </c>
      <c r="E39" s="510">
        <v>16.2</v>
      </c>
      <c r="F39" s="187">
        <f>ROUND(C39*D39*E39/100,2)</f>
        <v>17099.490000000002</v>
      </c>
      <c r="G39" s="187"/>
      <c r="H39" s="211">
        <v>395.22</v>
      </c>
      <c r="I39" s="191">
        <v>412.36</v>
      </c>
      <c r="J39" s="191">
        <v>412.36</v>
      </c>
      <c r="K39" s="187">
        <f>+L32</f>
        <v>710113.16</v>
      </c>
      <c r="L39" s="187">
        <f>+IF(G39&lt;F39,G39,F39)</f>
        <v>0</v>
      </c>
      <c r="M39" s="187">
        <f>+K39-L39</f>
        <v>710113.16</v>
      </c>
      <c r="N39" s="193">
        <f>ROUND(L39*(J39-I39)/H39,2)</f>
        <v>0</v>
      </c>
      <c r="O39" s="185"/>
    </row>
    <row r="40" spans="1:15" ht="15">
      <c r="A40" s="186"/>
      <c r="B40" s="194"/>
      <c r="C40" s="195"/>
      <c r="D40" s="196"/>
      <c r="E40" s="510"/>
      <c r="F40" s="195"/>
      <c r="G40" s="195"/>
      <c r="H40" s="220"/>
      <c r="I40" s="197"/>
      <c r="J40" s="197"/>
      <c r="K40" s="198"/>
      <c r="L40" s="198"/>
      <c r="M40" s="198"/>
      <c r="N40" s="127"/>
      <c r="O40" s="185"/>
    </row>
    <row r="41" spans="1:15" ht="15">
      <c r="A41" s="186"/>
      <c r="B41" s="194"/>
      <c r="C41" s="195"/>
      <c r="D41" s="196"/>
      <c r="E41" s="510"/>
      <c r="F41" s="195"/>
      <c r="G41" s="195"/>
      <c r="H41" s="220"/>
      <c r="I41" s="197"/>
      <c r="J41" s="197"/>
      <c r="K41" s="198"/>
      <c r="L41" s="198"/>
      <c r="M41" s="198"/>
      <c r="N41" s="127"/>
      <c r="O41" s="185"/>
    </row>
    <row r="42" spans="1:15" ht="15">
      <c r="A42" s="186"/>
      <c r="B42" s="199"/>
      <c r="C42" s="195"/>
      <c r="D42" s="196"/>
      <c r="E42" s="189"/>
      <c r="F42" s="195"/>
      <c r="G42" s="195"/>
      <c r="H42" s="220"/>
      <c r="I42" s="197"/>
      <c r="J42" s="197"/>
      <c r="K42" s="198"/>
      <c r="L42" s="198"/>
      <c r="M42" s="198"/>
      <c r="N42" s="127"/>
      <c r="O42" s="185"/>
    </row>
    <row r="43" spans="1:15" ht="15">
      <c r="A43" s="200"/>
      <c r="B43" s="175"/>
      <c r="C43" s="201"/>
      <c r="D43" s="200"/>
      <c r="E43" s="175"/>
      <c r="F43" s="201"/>
      <c r="G43" s="201"/>
      <c r="H43" s="200"/>
      <c r="I43" s="202"/>
      <c r="J43" s="203"/>
      <c r="K43" s="201"/>
      <c r="L43" s="198"/>
      <c r="M43" s="198"/>
      <c r="N43" s="127"/>
      <c r="O43" s="185"/>
    </row>
    <row r="44" spans="1:15" ht="15">
      <c r="A44" s="204"/>
      <c r="B44" s="192"/>
      <c r="C44" s="192"/>
      <c r="D44" s="192"/>
      <c r="E44" s="192"/>
      <c r="F44" s="205"/>
      <c r="G44" s="205">
        <f>SUM(G39:G43)</f>
        <v>0</v>
      </c>
      <c r="H44" s="192"/>
      <c r="I44" s="192"/>
      <c r="J44" s="192"/>
      <c r="K44" s="192"/>
      <c r="L44" s="205"/>
      <c r="M44" s="205" t="s">
        <v>551</v>
      </c>
      <c r="N44" s="128">
        <f>SUM(N39:N43)</f>
        <v>0</v>
      </c>
      <c r="O44" s="185"/>
    </row>
    <row r="45" spans="1:15" ht="15">
      <c r="A45" s="201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206"/>
      <c r="M45" s="207" t="s">
        <v>552</v>
      </c>
      <c r="N45" s="208">
        <v>0</v>
      </c>
      <c r="O45" s="185"/>
    </row>
    <row r="46" spans="1:15" ht="15">
      <c r="A46" s="201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207"/>
      <c r="M46" s="242" t="s">
        <v>556</v>
      </c>
      <c r="N46" s="128">
        <f>N44-N45</f>
        <v>0</v>
      </c>
      <c r="O46" s="185"/>
    </row>
    <row r="47" spans="1:15" ht="15">
      <c r="A47" s="209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09"/>
      <c r="M47" s="209"/>
      <c r="N47" s="209"/>
    </row>
    <row r="48" spans="1:15" ht="15.75">
      <c r="A48" s="35"/>
      <c r="B48" s="35" t="s">
        <v>518</v>
      </c>
      <c r="C48" s="176"/>
      <c r="D48" s="35" t="s">
        <v>1069</v>
      </c>
      <c r="E48" s="176"/>
    </row>
    <row r="49" spans="1:15">
      <c r="D49" s="14" t="s">
        <v>519</v>
      </c>
      <c r="E49" s="14">
        <v>3</v>
      </c>
      <c r="I49" s="14" t="s">
        <v>521</v>
      </c>
      <c r="K49" s="14" t="s">
        <v>522</v>
      </c>
      <c r="L49" s="3" t="s">
        <v>523</v>
      </c>
    </row>
    <row r="50" spans="1:15">
      <c r="H50" s="14" t="s">
        <v>395</v>
      </c>
      <c r="I50" s="14" t="s">
        <v>524</v>
      </c>
      <c r="K50" s="14" t="s">
        <v>525</v>
      </c>
      <c r="L50" s="14" t="s">
        <v>521</v>
      </c>
      <c r="M50" s="14" t="s">
        <v>394</v>
      </c>
    </row>
    <row r="51" spans="1:15" ht="15">
      <c r="A51" s="130" t="s">
        <v>526</v>
      </c>
      <c r="H51" s="177">
        <v>1</v>
      </c>
      <c r="I51" s="178" t="s">
        <v>597</v>
      </c>
      <c r="J51" s="179" t="s">
        <v>381</v>
      </c>
      <c r="K51" s="180">
        <v>34066.69</v>
      </c>
      <c r="L51" s="180">
        <f>+ROUND(K51*H58/I58,2)</f>
        <v>32650.69</v>
      </c>
      <c r="M51" s="180">
        <f>L51</f>
        <v>32650.69</v>
      </c>
    </row>
    <row r="52" spans="1:15" ht="15">
      <c r="A52" s="130"/>
      <c r="H52" s="294"/>
      <c r="I52" s="199"/>
      <c r="J52" s="183"/>
      <c r="K52" s="184"/>
      <c r="L52" s="184"/>
      <c r="M52" s="184"/>
    </row>
    <row r="53" spans="1:15" ht="15.75" thickBot="1">
      <c r="A53" s="130"/>
      <c r="H53" s="181"/>
      <c r="I53" s="182"/>
      <c r="J53" s="183"/>
      <c r="K53" s="184"/>
      <c r="L53" s="184"/>
      <c r="M53" s="184"/>
    </row>
    <row r="54" spans="1:15" ht="15.75" thickTop="1">
      <c r="A54" s="222"/>
      <c r="B54" s="223"/>
      <c r="C54" s="224" t="s">
        <v>528</v>
      </c>
      <c r="D54" s="225" t="s">
        <v>529</v>
      </c>
      <c r="E54" s="226"/>
      <c r="F54" s="224" t="s">
        <v>530</v>
      </c>
      <c r="G54" s="224" t="s">
        <v>530</v>
      </c>
      <c r="H54" s="225" t="s">
        <v>531</v>
      </c>
      <c r="I54" s="226"/>
      <c r="J54" s="226"/>
      <c r="K54" s="224" t="s">
        <v>528</v>
      </c>
      <c r="L54" s="224" t="s">
        <v>521</v>
      </c>
      <c r="M54" s="224" t="s">
        <v>451</v>
      </c>
      <c r="N54" s="224"/>
      <c r="O54" s="185"/>
    </row>
    <row r="55" spans="1:15" ht="15">
      <c r="A55" s="227" t="s">
        <v>390</v>
      </c>
      <c r="B55" s="228"/>
      <c r="C55" s="229" t="s">
        <v>450</v>
      </c>
      <c r="D55" s="230"/>
      <c r="E55" s="231"/>
      <c r="F55" s="229" t="s">
        <v>532</v>
      </c>
      <c r="G55" s="229" t="s">
        <v>589</v>
      </c>
      <c r="H55" s="229"/>
      <c r="I55" s="232"/>
      <c r="J55" s="232"/>
      <c r="K55" s="229" t="s">
        <v>533</v>
      </c>
      <c r="L55" s="229" t="s">
        <v>456</v>
      </c>
      <c r="M55" s="229" t="s">
        <v>455</v>
      </c>
      <c r="N55" s="229" t="s">
        <v>534</v>
      </c>
      <c r="O55" s="185"/>
    </row>
    <row r="56" spans="1:15" ht="15">
      <c r="A56" s="233"/>
      <c r="B56" s="234"/>
      <c r="C56" s="229" t="s">
        <v>453</v>
      </c>
      <c r="D56" s="235" t="s">
        <v>535</v>
      </c>
      <c r="E56" s="232" t="s">
        <v>490</v>
      </c>
      <c r="F56" s="229" t="s">
        <v>536</v>
      </c>
      <c r="G56" s="229" t="s">
        <v>593</v>
      </c>
      <c r="H56" s="236" t="s">
        <v>537</v>
      </c>
      <c r="I56" s="237" t="s">
        <v>442</v>
      </c>
      <c r="J56" s="238" t="s">
        <v>538</v>
      </c>
      <c r="K56" s="229" t="s">
        <v>539</v>
      </c>
      <c r="L56" s="229"/>
      <c r="M56" s="229" t="s">
        <v>457</v>
      </c>
      <c r="N56" s="229" t="s">
        <v>540</v>
      </c>
      <c r="O56" s="185"/>
    </row>
    <row r="57" spans="1:15" ht="15">
      <c r="A57" s="239" t="s">
        <v>541</v>
      </c>
      <c r="B57" s="238" t="s">
        <v>389</v>
      </c>
      <c r="C57" s="229" t="s">
        <v>458</v>
      </c>
      <c r="D57" s="235" t="s">
        <v>542</v>
      </c>
      <c r="E57" s="231" t="s">
        <v>543</v>
      </c>
      <c r="F57" s="241" t="s">
        <v>544</v>
      </c>
      <c r="G57" s="229"/>
      <c r="H57" s="235" t="s">
        <v>545</v>
      </c>
      <c r="I57" s="240" t="s">
        <v>546</v>
      </c>
      <c r="J57" s="232" t="s">
        <v>547</v>
      </c>
      <c r="K57" s="229" t="s">
        <v>548</v>
      </c>
      <c r="L57" s="229" t="s">
        <v>549</v>
      </c>
      <c r="M57" s="229"/>
      <c r="N57" s="229" t="s">
        <v>594</v>
      </c>
      <c r="O57" s="185"/>
    </row>
    <row r="58" spans="1:15" ht="15">
      <c r="A58" s="186" t="s">
        <v>480</v>
      </c>
      <c r="B58" s="178">
        <f>+B39</f>
        <v>38749</v>
      </c>
      <c r="C58" s="187">
        <f>+Retencion!E17</f>
        <v>1388847.16</v>
      </c>
      <c r="D58" s="188">
        <v>7.5999999999999998E-2</v>
      </c>
      <c r="E58" s="510">
        <v>16.2</v>
      </c>
      <c r="F58" s="187">
        <f>ROUND(C58*D58*E58/100,2)</f>
        <v>17099.490000000002</v>
      </c>
      <c r="G58" s="187"/>
      <c r="H58" s="211">
        <f>+H39</f>
        <v>395.22</v>
      </c>
      <c r="I58" s="191">
        <f>+I39</f>
        <v>412.36</v>
      </c>
      <c r="J58" s="192">
        <f>+J39</f>
        <v>412.36</v>
      </c>
      <c r="K58" s="187">
        <f>+L51</f>
        <v>32650.69</v>
      </c>
      <c r="L58" s="187">
        <f>+IF(G58&lt;F58,G58,F58)</f>
        <v>0</v>
      </c>
      <c r="M58" s="187">
        <f>+K58-L58</f>
        <v>32650.69</v>
      </c>
      <c r="N58" s="193">
        <f>ROUND(L58*(J58-I58)/H58,2)</f>
        <v>0</v>
      </c>
      <c r="O58" s="185"/>
    </row>
    <row r="59" spans="1:15" ht="15">
      <c r="A59" s="186"/>
      <c r="B59" s="194"/>
      <c r="C59" s="195"/>
      <c r="D59" s="196"/>
      <c r="E59" s="189"/>
      <c r="F59" s="198"/>
      <c r="G59" s="195"/>
      <c r="H59" s="220"/>
      <c r="I59" s="197"/>
      <c r="J59" s="197"/>
      <c r="K59" s="198"/>
      <c r="L59" s="198"/>
      <c r="M59" s="198"/>
      <c r="N59" s="127"/>
      <c r="O59" s="185"/>
    </row>
    <row r="60" spans="1:15" ht="15">
      <c r="A60" s="186"/>
      <c r="B60" s="194"/>
      <c r="C60" s="195"/>
      <c r="D60" s="196"/>
      <c r="E60" s="189"/>
      <c r="F60" s="198"/>
      <c r="G60" s="195"/>
      <c r="H60" s="220"/>
      <c r="I60" s="197"/>
      <c r="J60" s="197"/>
      <c r="K60" s="198"/>
      <c r="L60" s="198"/>
      <c r="M60" s="198"/>
      <c r="N60" s="127"/>
      <c r="O60" s="185"/>
    </row>
    <row r="61" spans="1:15" ht="15">
      <c r="A61" s="186"/>
      <c r="B61" s="199"/>
      <c r="C61" s="195"/>
      <c r="D61" s="196"/>
      <c r="E61" s="189"/>
      <c r="F61" s="198"/>
      <c r="G61" s="195"/>
      <c r="H61" s="220"/>
      <c r="I61" s="197"/>
      <c r="J61" s="197"/>
      <c r="K61" s="198"/>
      <c r="L61" s="198"/>
      <c r="M61" s="198"/>
      <c r="N61" s="127"/>
      <c r="O61" s="185"/>
    </row>
    <row r="62" spans="1:15" ht="15">
      <c r="A62" s="200"/>
      <c r="B62" s="175"/>
      <c r="C62" s="201"/>
      <c r="D62" s="200"/>
      <c r="E62" s="175"/>
      <c r="F62" s="201"/>
      <c r="G62" s="201"/>
      <c r="H62" s="200"/>
      <c r="I62" s="202"/>
      <c r="J62" s="203"/>
      <c r="K62" s="201"/>
      <c r="L62" s="198"/>
      <c r="M62" s="198"/>
      <c r="N62" s="127"/>
      <c r="O62" s="185"/>
    </row>
    <row r="63" spans="1:15" ht="15">
      <c r="A63" s="204"/>
      <c r="B63" s="192"/>
      <c r="C63" s="192"/>
      <c r="D63" s="192"/>
      <c r="E63" s="192"/>
      <c r="F63" s="205"/>
      <c r="G63" s="205">
        <f>SUM(G58:G62)</f>
        <v>0</v>
      </c>
      <c r="H63" s="192"/>
      <c r="I63" s="192"/>
      <c r="J63" s="192"/>
      <c r="K63" s="192"/>
      <c r="L63" s="205"/>
      <c r="M63" s="205" t="s">
        <v>551</v>
      </c>
      <c r="N63" s="128">
        <f>SUM(N58:N62)</f>
        <v>0</v>
      </c>
      <c r="O63" s="185"/>
    </row>
    <row r="64" spans="1:15" ht="15">
      <c r="A64" s="201"/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206"/>
      <c r="M64" s="207" t="s">
        <v>552</v>
      </c>
      <c r="N64" s="208">
        <v>0</v>
      </c>
      <c r="O64" s="185"/>
    </row>
    <row r="65" spans="1:15" ht="15">
      <c r="A65" s="201"/>
      <c r="B65" s="175"/>
      <c r="C65" s="175"/>
      <c r="D65" s="175"/>
      <c r="E65" s="175"/>
      <c r="F65" s="175"/>
      <c r="G65" s="175"/>
      <c r="H65" s="175"/>
      <c r="I65" s="175"/>
      <c r="J65" s="175"/>
      <c r="K65" s="175"/>
      <c r="L65" s="207"/>
      <c r="M65" s="242" t="s">
        <v>556</v>
      </c>
      <c r="N65" s="128">
        <f>N63-N64</f>
        <v>0</v>
      </c>
      <c r="O65" s="185"/>
    </row>
    <row r="66" spans="1:15" ht="15">
      <c r="A66" s="209"/>
      <c r="B66" s="209"/>
      <c r="C66" s="209"/>
      <c r="D66" s="209"/>
      <c r="E66" s="209"/>
      <c r="F66" s="209"/>
      <c r="G66" s="209"/>
      <c r="H66" s="209"/>
      <c r="I66" s="209"/>
      <c r="J66" s="209"/>
      <c r="K66" s="209"/>
      <c r="L66" s="209"/>
      <c r="M66" s="209"/>
      <c r="N66" s="209"/>
    </row>
    <row r="67" spans="1:15" ht="15.75">
      <c r="A67" s="35"/>
      <c r="B67" s="35" t="s">
        <v>518</v>
      </c>
      <c r="C67" s="176"/>
      <c r="D67" s="35" t="s">
        <v>803</v>
      </c>
      <c r="E67" s="176"/>
    </row>
    <row r="68" spans="1:15">
      <c r="D68" s="14" t="s">
        <v>519</v>
      </c>
      <c r="E68" s="14">
        <v>3</v>
      </c>
      <c r="I68" s="14" t="s">
        <v>521</v>
      </c>
      <c r="K68" s="14" t="s">
        <v>522</v>
      </c>
      <c r="L68" s="3" t="s">
        <v>523</v>
      </c>
    </row>
    <row r="69" spans="1:15">
      <c r="H69" s="14" t="s">
        <v>395</v>
      </c>
      <c r="I69" s="14" t="s">
        <v>524</v>
      </c>
      <c r="K69" s="14" t="s">
        <v>525</v>
      </c>
      <c r="L69" s="14" t="s">
        <v>521</v>
      </c>
      <c r="M69" s="14" t="s">
        <v>394</v>
      </c>
    </row>
    <row r="70" spans="1:15" ht="15">
      <c r="A70" s="130" t="s">
        <v>526</v>
      </c>
      <c r="H70" s="177">
        <v>1</v>
      </c>
      <c r="I70" s="178" t="s">
        <v>597</v>
      </c>
      <c r="J70" s="179" t="s">
        <v>381</v>
      </c>
      <c r="K70" s="180">
        <v>34815.589999999997</v>
      </c>
      <c r="L70" s="180">
        <f>+ROUND(K70*H77/I77,2)</f>
        <v>33368.46</v>
      </c>
      <c r="M70" s="180">
        <f>L70</f>
        <v>33368.46</v>
      </c>
    </row>
    <row r="71" spans="1:15" ht="15">
      <c r="A71" s="130"/>
      <c r="H71" s="294"/>
      <c r="I71" s="199"/>
      <c r="J71" s="183"/>
      <c r="K71" s="184"/>
      <c r="L71" s="184"/>
      <c r="M71" s="184"/>
    </row>
    <row r="72" spans="1:15" ht="15.75" thickBot="1">
      <c r="A72" s="130"/>
      <c r="H72" s="181"/>
      <c r="I72" s="182"/>
      <c r="J72" s="183"/>
      <c r="K72" s="184"/>
      <c r="L72" s="184"/>
      <c r="M72" s="184"/>
    </row>
    <row r="73" spans="1:15" ht="15.75" thickTop="1">
      <c r="A73" s="222"/>
      <c r="B73" s="223"/>
      <c r="C73" s="224" t="s">
        <v>528</v>
      </c>
      <c r="D73" s="225" t="s">
        <v>529</v>
      </c>
      <c r="E73" s="226"/>
      <c r="F73" s="224" t="s">
        <v>530</v>
      </c>
      <c r="G73" s="224" t="s">
        <v>530</v>
      </c>
      <c r="H73" s="225" t="s">
        <v>531</v>
      </c>
      <c r="I73" s="226"/>
      <c r="J73" s="226"/>
      <c r="K73" s="224" t="s">
        <v>528</v>
      </c>
      <c r="L73" s="224" t="s">
        <v>521</v>
      </c>
      <c r="M73" s="224" t="s">
        <v>451</v>
      </c>
      <c r="N73" s="224"/>
      <c r="O73" s="185"/>
    </row>
    <row r="74" spans="1:15" ht="15">
      <c r="A74" s="227" t="s">
        <v>390</v>
      </c>
      <c r="B74" s="228"/>
      <c r="C74" s="229" t="s">
        <v>450</v>
      </c>
      <c r="D74" s="230"/>
      <c r="E74" s="231"/>
      <c r="F74" s="229" t="s">
        <v>532</v>
      </c>
      <c r="G74" s="229" t="s">
        <v>589</v>
      </c>
      <c r="H74" s="229"/>
      <c r="I74" s="232"/>
      <c r="J74" s="232"/>
      <c r="K74" s="229" t="s">
        <v>533</v>
      </c>
      <c r="L74" s="229" t="s">
        <v>456</v>
      </c>
      <c r="M74" s="229" t="s">
        <v>455</v>
      </c>
      <c r="N74" s="229" t="s">
        <v>534</v>
      </c>
      <c r="O74" s="185"/>
    </row>
    <row r="75" spans="1:15" ht="15">
      <c r="A75" s="233"/>
      <c r="B75" s="234"/>
      <c r="C75" s="229" t="s">
        <v>453</v>
      </c>
      <c r="D75" s="235" t="s">
        <v>535</v>
      </c>
      <c r="E75" s="232" t="s">
        <v>490</v>
      </c>
      <c r="F75" s="229" t="s">
        <v>536</v>
      </c>
      <c r="G75" s="229" t="s">
        <v>593</v>
      </c>
      <c r="H75" s="236" t="s">
        <v>537</v>
      </c>
      <c r="I75" s="237" t="s">
        <v>442</v>
      </c>
      <c r="J75" s="238" t="s">
        <v>538</v>
      </c>
      <c r="K75" s="229" t="s">
        <v>539</v>
      </c>
      <c r="L75" s="229"/>
      <c r="M75" s="229" t="s">
        <v>457</v>
      </c>
      <c r="N75" s="229" t="s">
        <v>540</v>
      </c>
      <c r="O75" s="185"/>
    </row>
    <row r="76" spans="1:15" ht="15">
      <c r="A76" s="239" t="s">
        <v>541</v>
      </c>
      <c r="B76" s="238" t="s">
        <v>389</v>
      </c>
      <c r="C76" s="229" t="s">
        <v>458</v>
      </c>
      <c r="D76" s="235" t="s">
        <v>542</v>
      </c>
      <c r="E76" s="231" t="s">
        <v>543</v>
      </c>
      <c r="F76" s="241" t="s">
        <v>544</v>
      </c>
      <c r="G76" s="229"/>
      <c r="H76" s="235" t="s">
        <v>545</v>
      </c>
      <c r="I76" s="240" t="s">
        <v>546</v>
      </c>
      <c r="J76" s="232" t="s">
        <v>547</v>
      </c>
      <c r="K76" s="229" t="s">
        <v>548</v>
      </c>
      <c r="L76" s="229" t="s">
        <v>549</v>
      </c>
      <c r="M76" s="229"/>
      <c r="N76" s="229" t="s">
        <v>594</v>
      </c>
      <c r="O76" s="185"/>
    </row>
    <row r="77" spans="1:15" ht="15">
      <c r="A77" s="186" t="s">
        <v>480</v>
      </c>
      <c r="B77" s="178">
        <f>+B58</f>
        <v>38749</v>
      </c>
      <c r="C77" s="187">
        <f>+Retencion!E17</f>
        <v>1388847.16</v>
      </c>
      <c r="D77" s="188">
        <v>7.5999999999999998E-2</v>
      </c>
      <c r="E77" s="510">
        <v>16.2</v>
      </c>
      <c r="F77" s="187">
        <f>ROUND(C77*D77*E77/100,2)</f>
        <v>17099.490000000002</v>
      </c>
      <c r="G77" s="187"/>
      <c r="H77" s="211">
        <f>+H58</f>
        <v>395.22</v>
      </c>
      <c r="I77" s="191">
        <f>+I58</f>
        <v>412.36</v>
      </c>
      <c r="J77" s="192">
        <f>+J58</f>
        <v>412.36</v>
      </c>
      <c r="K77" s="187">
        <f>+L70</f>
        <v>33368.46</v>
      </c>
      <c r="L77" s="187">
        <f>+IF(G77&lt;F77,G77,F77)</f>
        <v>0</v>
      </c>
      <c r="M77" s="187">
        <f>+K77-L77</f>
        <v>33368.46</v>
      </c>
      <c r="N77" s="193">
        <f>ROUND(L77*(J77-I77)/H77,2)</f>
        <v>0</v>
      </c>
      <c r="O77" s="185"/>
    </row>
    <row r="78" spans="1:15" ht="15">
      <c r="A78" s="186"/>
      <c r="B78" s="194"/>
      <c r="C78" s="195"/>
      <c r="D78" s="196"/>
      <c r="E78" s="189"/>
      <c r="F78" s="198"/>
      <c r="G78" s="195"/>
      <c r="H78" s="220"/>
      <c r="I78" s="197"/>
      <c r="J78" s="197"/>
      <c r="K78" s="198"/>
      <c r="L78" s="198"/>
      <c r="M78" s="198"/>
      <c r="N78" s="127"/>
      <c r="O78" s="185"/>
    </row>
    <row r="79" spans="1:15" ht="15">
      <c r="A79" s="186"/>
      <c r="B79" s="194"/>
      <c r="C79" s="195"/>
      <c r="D79" s="196"/>
      <c r="E79" s="189"/>
      <c r="F79" s="198"/>
      <c r="G79" s="195"/>
      <c r="H79" s="220"/>
      <c r="I79" s="197"/>
      <c r="J79" s="197"/>
      <c r="K79" s="198"/>
      <c r="L79" s="198"/>
      <c r="M79" s="198"/>
      <c r="N79" s="127"/>
      <c r="O79" s="185"/>
    </row>
    <row r="80" spans="1:15" ht="15">
      <c r="A80" s="186"/>
      <c r="B80" s="199"/>
      <c r="C80" s="195"/>
      <c r="D80" s="196"/>
      <c r="E80" s="189"/>
      <c r="F80" s="198"/>
      <c r="G80" s="195"/>
      <c r="H80" s="220"/>
      <c r="I80" s="197"/>
      <c r="J80" s="197"/>
      <c r="K80" s="198"/>
      <c r="L80" s="198"/>
      <c r="M80" s="198"/>
      <c r="N80" s="127"/>
      <c r="O80" s="185"/>
    </row>
    <row r="81" spans="1:15" ht="15">
      <c r="A81" s="200"/>
      <c r="B81" s="175"/>
      <c r="C81" s="201"/>
      <c r="D81" s="200"/>
      <c r="E81" s="175"/>
      <c r="F81" s="201"/>
      <c r="G81" s="201"/>
      <c r="H81" s="200"/>
      <c r="I81" s="202"/>
      <c r="J81" s="203"/>
      <c r="K81" s="201"/>
      <c r="L81" s="198"/>
      <c r="M81" s="198"/>
      <c r="N81" s="127"/>
      <c r="O81" s="185"/>
    </row>
    <row r="82" spans="1:15" ht="15">
      <c r="A82" s="204"/>
      <c r="B82" s="192"/>
      <c r="C82" s="192"/>
      <c r="D82" s="192"/>
      <c r="E82" s="192"/>
      <c r="F82" s="205"/>
      <c r="G82" s="205">
        <f>SUM(G77:G81)</f>
        <v>0</v>
      </c>
      <c r="H82" s="192"/>
      <c r="I82" s="192"/>
      <c r="J82" s="192"/>
      <c r="K82" s="192"/>
      <c r="L82" s="205"/>
      <c r="M82" s="205" t="s">
        <v>551</v>
      </c>
      <c r="N82" s="128">
        <f>SUM(N77:N81)</f>
        <v>0</v>
      </c>
      <c r="O82" s="185"/>
    </row>
    <row r="83" spans="1:15" ht="15">
      <c r="A83" s="201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206"/>
      <c r="M83" s="207" t="s">
        <v>552</v>
      </c>
      <c r="N83" s="208">
        <v>0</v>
      </c>
      <c r="O83" s="185"/>
    </row>
    <row r="84" spans="1:15" ht="15">
      <c r="A84" s="201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207"/>
      <c r="M84" s="242" t="s">
        <v>556</v>
      </c>
      <c r="N84" s="128">
        <f>N82-N83</f>
        <v>0</v>
      </c>
      <c r="O84" s="185"/>
    </row>
    <row r="85" spans="1:15" ht="15">
      <c r="A85" s="209"/>
      <c r="B85" s="209"/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</row>
    <row r="86" spans="1:15" ht="15.75">
      <c r="A86" s="35"/>
      <c r="B86" s="35" t="s">
        <v>518</v>
      </c>
      <c r="C86" s="176"/>
      <c r="D86" s="35" t="s">
        <v>1070</v>
      </c>
      <c r="E86" s="176"/>
    </row>
    <row r="87" spans="1:15">
      <c r="D87" s="14" t="s">
        <v>519</v>
      </c>
      <c r="E87" s="14">
        <v>3</v>
      </c>
      <c r="I87" s="14" t="s">
        <v>521</v>
      </c>
      <c r="K87" s="14" t="s">
        <v>522</v>
      </c>
      <c r="L87" s="3" t="s">
        <v>523</v>
      </c>
    </row>
    <row r="88" spans="1:15">
      <c r="H88" s="14" t="s">
        <v>395</v>
      </c>
      <c r="I88" s="14" t="s">
        <v>524</v>
      </c>
      <c r="K88" s="14" t="s">
        <v>525</v>
      </c>
      <c r="L88" s="14" t="s">
        <v>521</v>
      </c>
      <c r="M88" s="14" t="s">
        <v>394</v>
      </c>
    </row>
    <row r="89" spans="1:15" ht="15">
      <c r="A89" s="130" t="s">
        <v>526</v>
      </c>
      <c r="H89" s="177">
        <v>1</v>
      </c>
      <c r="I89" s="178" t="s">
        <v>597</v>
      </c>
      <c r="J89" s="179" t="s">
        <v>381</v>
      </c>
      <c r="K89" s="180">
        <v>39896.660000000003</v>
      </c>
      <c r="L89" s="180">
        <f>+ROUND(K89*H96/I96,2)</f>
        <v>38238.33</v>
      </c>
      <c r="M89" s="180">
        <f>L89</f>
        <v>38238.33</v>
      </c>
    </row>
    <row r="90" spans="1:15" ht="15">
      <c r="A90" s="130"/>
      <c r="H90" s="294"/>
      <c r="I90" s="199"/>
      <c r="J90" s="183"/>
      <c r="K90" s="184"/>
      <c r="L90" s="184"/>
      <c r="M90" s="184"/>
    </row>
    <row r="91" spans="1:15" ht="15.75" thickBot="1">
      <c r="A91" s="130"/>
      <c r="H91" s="181"/>
      <c r="I91" s="182"/>
      <c r="J91" s="183"/>
      <c r="K91" s="184"/>
      <c r="L91" s="184"/>
      <c r="M91" s="184"/>
    </row>
    <row r="92" spans="1:15" ht="15.75" thickTop="1">
      <c r="A92" s="222"/>
      <c r="B92" s="223"/>
      <c r="C92" s="224" t="s">
        <v>528</v>
      </c>
      <c r="D92" s="225" t="s">
        <v>529</v>
      </c>
      <c r="E92" s="226"/>
      <c r="F92" s="224" t="s">
        <v>530</v>
      </c>
      <c r="G92" s="224" t="s">
        <v>530</v>
      </c>
      <c r="H92" s="225" t="s">
        <v>531</v>
      </c>
      <c r="I92" s="226"/>
      <c r="J92" s="226"/>
      <c r="K92" s="224" t="s">
        <v>528</v>
      </c>
      <c r="L92" s="224" t="s">
        <v>521</v>
      </c>
      <c r="M92" s="224" t="s">
        <v>451</v>
      </c>
      <c r="N92" s="224"/>
      <c r="O92" s="185"/>
    </row>
    <row r="93" spans="1:15" ht="15">
      <c r="A93" s="227" t="s">
        <v>390</v>
      </c>
      <c r="B93" s="228"/>
      <c r="C93" s="229" t="s">
        <v>450</v>
      </c>
      <c r="D93" s="230"/>
      <c r="E93" s="231"/>
      <c r="F93" s="229" t="s">
        <v>532</v>
      </c>
      <c r="G93" s="229" t="s">
        <v>589</v>
      </c>
      <c r="H93" s="229"/>
      <c r="I93" s="232"/>
      <c r="J93" s="232"/>
      <c r="K93" s="229" t="s">
        <v>533</v>
      </c>
      <c r="L93" s="229" t="s">
        <v>456</v>
      </c>
      <c r="M93" s="229" t="s">
        <v>455</v>
      </c>
      <c r="N93" s="229" t="s">
        <v>534</v>
      </c>
      <c r="O93" s="185"/>
    </row>
    <row r="94" spans="1:15" ht="15">
      <c r="A94" s="233"/>
      <c r="B94" s="234"/>
      <c r="C94" s="229" t="s">
        <v>453</v>
      </c>
      <c r="D94" s="235" t="s">
        <v>535</v>
      </c>
      <c r="E94" s="232" t="s">
        <v>490</v>
      </c>
      <c r="F94" s="229" t="s">
        <v>536</v>
      </c>
      <c r="G94" s="229" t="s">
        <v>593</v>
      </c>
      <c r="H94" s="236" t="s">
        <v>537</v>
      </c>
      <c r="I94" s="237" t="s">
        <v>442</v>
      </c>
      <c r="J94" s="238" t="s">
        <v>538</v>
      </c>
      <c r="K94" s="229" t="s">
        <v>539</v>
      </c>
      <c r="L94" s="229"/>
      <c r="M94" s="229" t="s">
        <v>457</v>
      </c>
      <c r="N94" s="229" t="s">
        <v>540</v>
      </c>
      <c r="O94" s="185"/>
    </row>
    <row r="95" spans="1:15" ht="15">
      <c r="A95" s="239" t="s">
        <v>541</v>
      </c>
      <c r="B95" s="238" t="s">
        <v>389</v>
      </c>
      <c r="C95" s="229" t="s">
        <v>458</v>
      </c>
      <c r="D95" s="235" t="s">
        <v>542</v>
      </c>
      <c r="E95" s="231" t="s">
        <v>543</v>
      </c>
      <c r="F95" s="241" t="s">
        <v>544</v>
      </c>
      <c r="G95" s="229"/>
      <c r="H95" s="235" t="s">
        <v>545</v>
      </c>
      <c r="I95" s="240" t="s">
        <v>546</v>
      </c>
      <c r="J95" s="232" t="s">
        <v>547</v>
      </c>
      <c r="K95" s="229" t="s">
        <v>548</v>
      </c>
      <c r="L95" s="229" t="s">
        <v>549</v>
      </c>
      <c r="M95" s="229"/>
      <c r="N95" s="229" t="s">
        <v>594</v>
      </c>
      <c r="O95" s="185"/>
    </row>
    <row r="96" spans="1:15" ht="15">
      <c r="A96" s="186" t="s">
        <v>480</v>
      </c>
      <c r="B96" s="178">
        <f>+B77</f>
        <v>38749</v>
      </c>
      <c r="C96" s="187">
        <f>+Retencion!E17</f>
        <v>1388847.16</v>
      </c>
      <c r="D96" s="188">
        <v>7.5999999999999998E-2</v>
      </c>
      <c r="E96" s="510">
        <v>16.2</v>
      </c>
      <c r="F96" s="187">
        <f>ROUND(C96*D96*E96/100,2)</f>
        <v>17099.490000000002</v>
      </c>
      <c r="G96" s="187"/>
      <c r="H96" s="211">
        <f>+H77</f>
        <v>395.22</v>
      </c>
      <c r="I96" s="211">
        <f>+I77</f>
        <v>412.36</v>
      </c>
      <c r="J96" s="211">
        <f>+J77</f>
        <v>412.36</v>
      </c>
      <c r="K96" s="187">
        <f>+L89</f>
        <v>38238.33</v>
      </c>
      <c r="L96" s="187">
        <f>+IF(G96&lt;F96,G96,F96)</f>
        <v>0</v>
      </c>
      <c r="M96" s="187">
        <f>+K96-L96</f>
        <v>38238.33</v>
      </c>
      <c r="N96" s="193">
        <f>ROUND(L96*(J96-I96)/H96,2)</f>
        <v>0</v>
      </c>
      <c r="O96" s="185"/>
    </row>
    <row r="97" spans="1:15" ht="15">
      <c r="A97" s="186"/>
      <c r="B97" s="194"/>
      <c r="C97" s="195"/>
      <c r="D97" s="196"/>
      <c r="E97" s="189"/>
      <c r="F97" s="198"/>
      <c r="G97" s="195"/>
      <c r="H97" s="220"/>
      <c r="I97" s="197"/>
      <c r="J97" s="197"/>
      <c r="K97" s="198"/>
      <c r="L97" s="198"/>
      <c r="M97" s="198"/>
      <c r="N97" s="127"/>
      <c r="O97" s="185"/>
    </row>
    <row r="98" spans="1:15" ht="15">
      <c r="A98" s="186"/>
      <c r="B98" s="194"/>
      <c r="C98" s="195"/>
      <c r="D98" s="196"/>
      <c r="E98" s="189"/>
      <c r="F98" s="198"/>
      <c r="G98" s="195"/>
      <c r="H98" s="220"/>
      <c r="I98" s="197"/>
      <c r="J98" s="197"/>
      <c r="K98" s="198"/>
      <c r="L98" s="198"/>
      <c r="M98" s="198"/>
      <c r="N98" s="127"/>
      <c r="O98" s="185"/>
    </row>
    <row r="99" spans="1:15" ht="15">
      <c r="A99" s="186"/>
      <c r="B99" s="199"/>
      <c r="C99" s="195"/>
      <c r="D99" s="196"/>
      <c r="E99" s="189"/>
      <c r="F99" s="198"/>
      <c r="G99" s="195"/>
      <c r="H99" s="220"/>
      <c r="I99" s="197"/>
      <c r="J99" s="197"/>
      <c r="K99" s="198"/>
      <c r="L99" s="198"/>
      <c r="M99" s="198"/>
      <c r="N99" s="127"/>
      <c r="O99" s="185"/>
    </row>
    <row r="100" spans="1:15" ht="15">
      <c r="A100" s="200"/>
      <c r="B100" s="175"/>
      <c r="C100" s="201"/>
      <c r="D100" s="200"/>
      <c r="E100" s="175"/>
      <c r="F100" s="201"/>
      <c r="G100" s="201"/>
      <c r="H100" s="200"/>
      <c r="I100" s="202"/>
      <c r="J100" s="203"/>
      <c r="K100" s="201"/>
      <c r="L100" s="198"/>
      <c r="M100" s="198"/>
      <c r="N100" s="127"/>
      <c r="O100" s="185"/>
    </row>
    <row r="101" spans="1:15" ht="15">
      <c r="A101" s="204"/>
      <c r="B101" s="192"/>
      <c r="C101" s="192"/>
      <c r="D101" s="192"/>
      <c r="E101" s="192"/>
      <c r="F101" s="205"/>
      <c r="G101" s="205">
        <f>SUM(G96:G100)</f>
        <v>0</v>
      </c>
      <c r="H101" s="192"/>
      <c r="I101" s="192"/>
      <c r="J101" s="192"/>
      <c r="K101" s="192"/>
      <c r="L101" s="205"/>
      <c r="M101" s="205" t="s">
        <v>551</v>
      </c>
      <c r="N101" s="128">
        <f>SUM(N96:N100)</f>
        <v>0</v>
      </c>
      <c r="O101" s="185"/>
    </row>
    <row r="102" spans="1:15" ht="15">
      <c r="A102" s="201"/>
      <c r="B102" s="175"/>
      <c r="C102" s="175"/>
      <c r="D102" s="175"/>
      <c r="E102" s="175"/>
      <c r="F102" s="175"/>
      <c r="G102" s="175"/>
      <c r="H102" s="175"/>
      <c r="I102" s="175"/>
      <c r="J102" s="175"/>
      <c r="K102" s="175"/>
      <c r="L102" s="206"/>
      <c r="M102" s="207" t="s">
        <v>552</v>
      </c>
      <c r="N102" s="208">
        <v>0</v>
      </c>
      <c r="O102" s="185"/>
    </row>
    <row r="103" spans="1:15" ht="15">
      <c r="A103" s="201"/>
      <c r="B103" s="175"/>
      <c r="C103" s="175"/>
      <c r="D103" s="175"/>
      <c r="E103" s="175"/>
      <c r="F103" s="175"/>
      <c r="G103" s="175"/>
      <c r="H103" s="175"/>
      <c r="I103" s="175"/>
      <c r="J103" s="175"/>
      <c r="K103" s="175"/>
      <c r="L103" s="207"/>
      <c r="M103" s="242" t="s">
        <v>556</v>
      </c>
      <c r="N103" s="128">
        <f>N101-N102</f>
        <v>0</v>
      </c>
      <c r="O103" s="185"/>
    </row>
    <row r="104" spans="1:15" ht="15">
      <c r="A104" s="209"/>
      <c r="B104" s="209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</row>
    <row r="105" spans="1:15" ht="15.75">
      <c r="A105" s="35"/>
      <c r="B105" s="35" t="s">
        <v>518</v>
      </c>
      <c r="C105" s="176"/>
      <c r="D105" s="35" t="s">
        <v>1075</v>
      </c>
      <c r="E105" s="176"/>
    </row>
    <row r="106" spans="1:15">
      <c r="D106" s="14" t="s">
        <v>519</v>
      </c>
      <c r="E106" s="14">
        <v>9</v>
      </c>
      <c r="I106" s="14" t="s">
        <v>521</v>
      </c>
      <c r="K106" s="14" t="s">
        <v>522</v>
      </c>
      <c r="L106" s="3" t="s">
        <v>523</v>
      </c>
    </row>
    <row r="107" spans="1:15">
      <c r="H107" s="14" t="s">
        <v>395</v>
      </c>
      <c r="I107" s="14" t="s">
        <v>524</v>
      </c>
      <c r="K107" s="14" t="s">
        <v>525</v>
      </c>
      <c r="L107" s="14" t="s">
        <v>521</v>
      </c>
      <c r="M107" s="14" t="s">
        <v>394</v>
      </c>
    </row>
    <row r="108" spans="1:15" ht="15">
      <c r="A108" s="130" t="s">
        <v>526</v>
      </c>
      <c r="H108" s="177">
        <v>2</v>
      </c>
      <c r="I108" s="178" t="s">
        <v>597</v>
      </c>
      <c r="J108" s="179" t="s">
        <v>381</v>
      </c>
      <c r="K108" s="180">
        <v>25535.45</v>
      </c>
      <c r="L108" s="180">
        <f>+ROUND(K108*H115/I115,2)</f>
        <v>24391.63</v>
      </c>
      <c r="M108" s="180">
        <f>L108</f>
        <v>24391.63</v>
      </c>
    </row>
    <row r="109" spans="1:15" ht="15">
      <c r="A109" s="130"/>
      <c r="H109" s="294"/>
      <c r="I109" s="199"/>
      <c r="J109" s="183"/>
      <c r="K109" s="184"/>
      <c r="L109" s="184"/>
      <c r="M109" s="184"/>
    </row>
    <row r="110" spans="1:15" ht="15.75" thickBot="1">
      <c r="A110" s="130"/>
      <c r="H110" s="181"/>
      <c r="I110" s="182"/>
      <c r="J110" s="183"/>
      <c r="K110" s="184"/>
      <c r="L110" s="184"/>
      <c r="M110" s="184"/>
    </row>
    <row r="111" spans="1:15" ht="15.75" thickTop="1">
      <c r="A111" s="222"/>
      <c r="B111" s="223"/>
      <c r="C111" s="224" t="s">
        <v>528</v>
      </c>
      <c r="D111" s="225" t="s">
        <v>529</v>
      </c>
      <c r="E111" s="226"/>
      <c r="F111" s="224" t="s">
        <v>530</v>
      </c>
      <c r="G111" s="224" t="s">
        <v>530</v>
      </c>
      <c r="H111" s="225" t="s">
        <v>531</v>
      </c>
      <c r="I111" s="226"/>
      <c r="J111" s="226"/>
      <c r="K111" s="224" t="s">
        <v>528</v>
      </c>
      <c r="L111" s="224" t="s">
        <v>521</v>
      </c>
      <c r="M111" s="224" t="s">
        <v>451</v>
      </c>
      <c r="N111" s="224"/>
      <c r="O111" s="185"/>
    </row>
    <row r="112" spans="1:15" ht="15">
      <c r="A112" s="227" t="s">
        <v>390</v>
      </c>
      <c r="B112" s="228"/>
      <c r="C112" s="229" t="s">
        <v>450</v>
      </c>
      <c r="D112" s="230"/>
      <c r="E112" s="231"/>
      <c r="F112" s="229" t="s">
        <v>532</v>
      </c>
      <c r="G112" s="229" t="s">
        <v>589</v>
      </c>
      <c r="H112" s="229"/>
      <c r="I112" s="232"/>
      <c r="J112" s="232"/>
      <c r="K112" s="229" t="s">
        <v>533</v>
      </c>
      <c r="L112" s="229" t="s">
        <v>456</v>
      </c>
      <c r="M112" s="229" t="s">
        <v>455</v>
      </c>
      <c r="N112" s="229" t="s">
        <v>534</v>
      </c>
      <c r="O112" s="185"/>
    </row>
    <row r="113" spans="1:15" ht="15">
      <c r="A113" s="233"/>
      <c r="B113" s="234"/>
      <c r="C113" s="229" t="s">
        <v>453</v>
      </c>
      <c r="D113" s="235" t="s">
        <v>535</v>
      </c>
      <c r="E113" s="232" t="s">
        <v>490</v>
      </c>
      <c r="F113" s="229" t="s">
        <v>536</v>
      </c>
      <c r="G113" s="229" t="s">
        <v>593</v>
      </c>
      <c r="H113" s="236" t="s">
        <v>537</v>
      </c>
      <c r="I113" s="237" t="s">
        <v>442</v>
      </c>
      <c r="J113" s="238" t="s">
        <v>538</v>
      </c>
      <c r="K113" s="229" t="s">
        <v>539</v>
      </c>
      <c r="L113" s="229"/>
      <c r="M113" s="229" t="s">
        <v>457</v>
      </c>
      <c r="N113" s="229" t="s">
        <v>540</v>
      </c>
      <c r="O113" s="185"/>
    </row>
    <row r="114" spans="1:15" ht="15">
      <c r="A114" s="239" t="s">
        <v>541</v>
      </c>
      <c r="B114" s="238" t="s">
        <v>389</v>
      </c>
      <c r="C114" s="229" t="s">
        <v>458</v>
      </c>
      <c r="D114" s="235" t="s">
        <v>542</v>
      </c>
      <c r="E114" s="231" t="s">
        <v>543</v>
      </c>
      <c r="F114" s="241" t="s">
        <v>544</v>
      </c>
      <c r="G114" s="229"/>
      <c r="H114" s="235" t="s">
        <v>545</v>
      </c>
      <c r="I114" s="240" t="s">
        <v>546</v>
      </c>
      <c r="J114" s="232" t="s">
        <v>547</v>
      </c>
      <c r="K114" s="229" t="s">
        <v>548</v>
      </c>
      <c r="L114" s="229" t="s">
        <v>549</v>
      </c>
      <c r="M114" s="229"/>
      <c r="N114" s="229" t="s">
        <v>594</v>
      </c>
      <c r="O114" s="185"/>
    </row>
    <row r="115" spans="1:15" ht="15">
      <c r="A115" s="186" t="s">
        <v>480</v>
      </c>
      <c r="B115" s="178">
        <f>+B96</f>
        <v>38749</v>
      </c>
      <c r="C115" s="187">
        <f>+Retencion!E17</f>
        <v>1388847.16</v>
      </c>
      <c r="D115" s="188">
        <v>0.188</v>
      </c>
      <c r="E115" s="510">
        <v>7.64</v>
      </c>
      <c r="F115" s="187">
        <f>ROUND(C115*D115*E115/100,2)</f>
        <v>19948.29</v>
      </c>
      <c r="G115" s="187"/>
      <c r="H115" s="211">
        <v>197.04</v>
      </c>
      <c r="I115" s="191">
        <v>206.28</v>
      </c>
      <c r="J115" s="191">
        <v>206.28</v>
      </c>
      <c r="K115" s="187">
        <f>+L108</f>
        <v>24391.63</v>
      </c>
      <c r="L115" s="187">
        <f>+IF(G115&lt;F115,G115,F115)</f>
        <v>0</v>
      </c>
      <c r="M115" s="187">
        <f>+K115-L115</f>
        <v>24391.63</v>
      </c>
      <c r="N115" s="193">
        <f>ROUND(L115*(J115-I115)/H115,2)</f>
        <v>0</v>
      </c>
      <c r="O115" s="185"/>
    </row>
    <row r="116" spans="1:15" ht="15">
      <c r="A116" s="186"/>
      <c r="B116" s="194"/>
      <c r="C116" s="195"/>
      <c r="D116" s="196"/>
      <c r="E116" s="189"/>
      <c r="F116" s="198"/>
      <c r="G116" s="195"/>
      <c r="H116" s="220"/>
      <c r="I116" s="197"/>
      <c r="J116" s="197"/>
      <c r="K116" s="198"/>
      <c r="L116" s="198"/>
      <c r="M116" s="198"/>
      <c r="N116" s="127"/>
      <c r="O116" s="185"/>
    </row>
    <row r="117" spans="1:15" ht="15">
      <c r="A117" s="186"/>
      <c r="B117" s="194"/>
      <c r="C117" s="195"/>
      <c r="D117" s="196"/>
      <c r="E117" s="189"/>
      <c r="F117" s="198"/>
      <c r="G117" s="195"/>
      <c r="H117" s="220"/>
      <c r="I117" s="197"/>
      <c r="J117" s="197"/>
      <c r="K117" s="198"/>
      <c r="L117" s="198"/>
      <c r="M117" s="198"/>
      <c r="N117" s="127"/>
      <c r="O117" s="185"/>
    </row>
    <row r="118" spans="1:15" ht="15">
      <c r="A118" s="186"/>
      <c r="B118" s="199"/>
      <c r="C118" s="195"/>
      <c r="D118" s="196"/>
      <c r="E118" s="189"/>
      <c r="F118" s="198"/>
      <c r="G118" s="195"/>
      <c r="H118" s="220"/>
      <c r="I118" s="197"/>
      <c r="J118" s="197"/>
      <c r="K118" s="198"/>
      <c r="L118" s="198"/>
      <c r="M118" s="198"/>
      <c r="N118" s="127"/>
      <c r="O118" s="185"/>
    </row>
    <row r="119" spans="1:15" ht="15">
      <c r="A119" s="200"/>
      <c r="B119" s="175"/>
      <c r="C119" s="201"/>
      <c r="D119" s="200"/>
      <c r="E119" s="175"/>
      <c r="F119" s="201"/>
      <c r="G119" s="201"/>
      <c r="H119" s="200"/>
      <c r="I119" s="202"/>
      <c r="J119" s="203"/>
      <c r="K119" s="201"/>
      <c r="L119" s="198"/>
      <c r="M119" s="198"/>
      <c r="N119" s="127"/>
      <c r="O119" s="185"/>
    </row>
    <row r="120" spans="1:15" ht="15">
      <c r="A120" s="204"/>
      <c r="B120" s="192"/>
      <c r="C120" s="192"/>
      <c r="D120" s="192"/>
      <c r="E120" s="192"/>
      <c r="F120" s="205"/>
      <c r="G120" s="205">
        <f>SUM(G115:G119)</f>
        <v>0</v>
      </c>
      <c r="H120" s="192"/>
      <c r="I120" s="192"/>
      <c r="J120" s="192"/>
      <c r="K120" s="192"/>
      <c r="L120" s="205"/>
      <c r="M120" s="205" t="s">
        <v>551</v>
      </c>
      <c r="N120" s="128">
        <f>SUM(N115:N119)</f>
        <v>0</v>
      </c>
      <c r="O120" s="185"/>
    </row>
    <row r="121" spans="1:15" ht="15">
      <c r="A121" s="201"/>
      <c r="B121" s="175"/>
      <c r="C121" s="175"/>
      <c r="D121" s="175"/>
      <c r="E121" s="175"/>
      <c r="F121" s="175"/>
      <c r="G121" s="175"/>
      <c r="H121" s="175"/>
      <c r="I121" s="175"/>
      <c r="J121" s="175"/>
      <c r="K121" s="175"/>
      <c r="L121" s="206"/>
      <c r="M121" s="207" t="s">
        <v>552</v>
      </c>
      <c r="N121" s="208">
        <v>0</v>
      </c>
      <c r="O121" s="185"/>
    </row>
    <row r="122" spans="1:15" ht="15">
      <c r="A122" s="201"/>
      <c r="B122" s="175"/>
      <c r="C122" s="175"/>
      <c r="D122" s="175"/>
      <c r="E122" s="175"/>
      <c r="F122" s="175"/>
      <c r="G122" s="175"/>
      <c r="H122" s="175"/>
      <c r="I122" s="175"/>
      <c r="J122" s="175"/>
      <c r="K122" s="175"/>
      <c r="L122" s="207"/>
      <c r="M122" s="242" t="s">
        <v>556</v>
      </c>
      <c r="N122" s="128">
        <f>N120-N121</f>
        <v>0</v>
      </c>
      <c r="O122" s="185"/>
    </row>
    <row r="123" spans="1:15" ht="15">
      <c r="A123" s="209"/>
      <c r="B123" s="209"/>
      <c r="C123" s="209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</row>
    <row r="124" spans="1:15" ht="15.75">
      <c r="A124" s="35"/>
      <c r="B124" s="35" t="s">
        <v>518</v>
      </c>
      <c r="C124" s="176"/>
      <c r="D124" s="35" t="s">
        <v>1076</v>
      </c>
      <c r="E124" s="176"/>
    </row>
    <row r="125" spans="1:15">
      <c r="D125" s="14" t="s">
        <v>519</v>
      </c>
      <c r="E125" s="14">
        <v>9</v>
      </c>
      <c r="I125" s="14" t="s">
        <v>521</v>
      </c>
      <c r="K125" s="14" t="s">
        <v>522</v>
      </c>
      <c r="L125" s="3" t="s">
        <v>523</v>
      </c>
    </row>
    <row r="126" spans="1:15">
      <c r="H126" s="14" t="s">
        <v>395</v>
      </c>
      <c r="I126" s="14" t="s">
        <v>524</v>
      </c>
      <c r="K126" s="14" t="s">
        <v>525</v>
      </c>
      <c r="L126" s="14" t="s">
        <v>521</v>
      </c>
      <c r="M126" s="14" t="s">
        <v>394</v>
      </c>
    </row>
    <row r="127" spans="1:15" ht="15">
      <c r="A127" s="130" t="s">
        <v>526</v>
      </c>
      <c r="H127" s="177">
        <v>1</v>
      </c>
      <c r="I127" s="178" t="s">
        <v>597</v>
      </c>
      <c r="J127" s="179" t="s">
        <v>381</v>
      </c>
      <c r="K127" s="180">
        <v>111350.77</v>
      </c>
      <c r="L127" s="180">
        <f>+ROUND(K127*H133/I133,2)</f>
        <v>106362.98</v>
      </c>
      <c r="M127" s="180">
        <f>L127</f>
        <v>106362.98</v>
      </c>
    </row>
    <row r="128" spans="1:15" ht="15.75" thickBot="1">
      <c r="A128" s="130"/>
      <c r="H128" s="181"/>
      <c r="I128" s="182"/>
      <c r="J128" s="183"/>
      <c r="K128" s="184"/>
      <c r="L128" s="184"/>
      <c r="M128" s="184"/>
    </row>
    <row r="129" spans="1:15" ht="15.75" thickTop="1">
      <c r="A129" s="222"/>
      <c r="B129" s="223"/>
      <c r="C129" s="224" t="s">
        <v>528</v>
      </c>
      <c r="D129" s="225" t="s">
        <v>529</v>
      </c>
      <c r="E129" s="226"/>
      <c r="F129" s="224" t="s">
        <v>530</v>
      </c>
      <c r="G129" s="224" t="s">
        <v>530</v>
      </c>
      <c r="H129" s="225" t="s">
        <v>531</v>
      </c>
      <c r="I129" s="226"/>
      <c r="J129" s="226"/>
      <c r="K129" s="224" t="s">
        <v>528</v>
      </c>
      <c r="L129" s="224" t="s">
        <v>521</v>
      </c>
      <c r="M129" s="224" t="s">
        <v>451</v>
      </c>
      <c r="N129" s="224"/>
      <c r="O129" s="185"/>
    </row>
    <row r="130" spans="1:15" ht="15">
      <c r="A130" s="227" t="s">
        <v>390</v>
      </c>
      <c r="B130" s="228"/>
      <c r="C130" s="229" t="s">
        <v>450</v>
      </c>
      <c r="D130" s="230"/>
      <c r="E130" s="231"/>
      <c r="F130" s="229" t="s">
        <v>532</v>
      </c>
      <c r="G130" s="229" t="s">
        <v>589</v>
      </c>
      <c r="H130" s="229"/>
      <c r="I130" s="232"/>
      <c r="J130" s="232"/>
      <c r="K130" s="229" t="s">
        <v>533</v>
      </c>
      <c r="L130" s="229" t="s">
        <v>456</v>
      </c>
      <c r="M130" s="229" t="s">
        <v>455</v>
      </c>
      <c r="N130" s="229" t="s">
        <v>534</v>
      </c>
      <c r="O130" s="185"/>
    </row>
    <row r="131" spans="1:15" ht="15">
      <c r="A131" s="233"/>
      <c r="B131" s="234"/>
      <c r="C131" s="229" t="s">
        <v>453</v>
      </c>
      <c r="D131" s="235" t="s">
        <v>535</v>
      </c>
      <c r="E131" s="232" t="s">
        <v>490</v>
      </c>
      <c r="F131" s="229" t="s">
        <v>536</v>
      </c>
      <c r="G131" s="229" t="s">
        <v>593</v>
      </c>
      <c r="H131" s="236" t="s">
        <v>537</v>
      </c>
      <c r="I131" s="237" t="s">
        <v>442</v>
      </c>
      <c r="J131" s="238" t="s">
        <v>538</v>
      </c>
      <c r="K131" s="229" t="s">
        <v>539</v>
      </c>
      <c r="L131" s="229"/>
      <c r="M131" s="229" t="s">
        <v>457</v>
      </c>
      <c r="N131" s="229" t="s">
        <v>540</v>
      </c>
      <c r="O131" s="185"/>
    </row>
    <row r="132" spans="1:15" ht="15">
      <c r="A132" s="239" t="s">
        <v>541</v>
      </c>
      <c r="B132" s="238" t="s">
        <v>389</v>
      </c>
      <c r="C132" s="229" t="s">
        <v>458</v>
      </c>
      <c r="D132" s="235" t="s">
        <v>542</v>
      </c>
      <c r="E132" s="231" t="s">
        <v>543</v>
      </c>
      <c r="F132" s="229" t="s">
        <v>544</v>
      </c>
      <c r="G132" s="229"/>
      <c r="H132" s="235" t="s">
        <v>545</v>
      </c>
      <c r="I132" s="240" t="s">
        <v>546</v>
      </c>
      <c r="J132" s="232" t="s">
        <v>547</v>
      </c>
      <c r="K132" s="229" t="s">
        <v>548</v>
      </c>
      <c r="L132" s="229" t="s">
        <v>549</v>
      </c>
      <c r="M132" s="229"/>
      <c r="N132" s="229" t="s">
        <v>594</v>
      </c>
      <c r="O132" s="185"/>
    </row>
    <row r="133" spans="1:15" ht="15">
      <c r="A133" s="186" t="s">
        <v>480</v>
      </c>
      <c r="B133" s="178">
        <f>+B115</f>
        <v>38749</v>
      </c>
      <c r="C133" s="187">
        <f>+Retencion!E17</f>
        <v>1388847.16</v>
      </c>
      <c r="D133" s="188">
        <v>0.188</v>
      </c>
      <c r="E133" s="510">
        <v>7.64</v>
      </c>
      <c r="F133" s="187">
        <f>ROUND(C133*D133*E133/100,2)</f>
        <v>19948.29</v>
      </c>
      <c r="G133" s="187"/>
      <c r="H133" s="211">
        <f>+H115</f>
        <v>197.04</v>
      </c>
      <c r="I133" s="211">
        <f>+I115</f>
        <v>206.28</v>
      </c>
      <c r="J133" s="211">
        <f>+J115</f>
        <v>206.28</v>
      </c>
      <c r="K133" s="187">
        <f>L127</f>
        <v>106362.98</v>
      </c>
      <c r="L133" s="187">
        <f>+IF(G133&lt;F133,G133,F133)</f>
        <v>0</v>
      </c>
      <c r="M133" s="187">
        <f>+K133-L133</f>
        <v>106362.98</v>
      </c>
      <c r="N133" s="193">
        <f>ROUND(L133*(J133-I133)/H133,2)</f>
        <v>0</v>
      </c>
      <c r="O133" s="185"/>
    </row>
    <row r="134" spans="1:15" ht="15">
      <c r="A134" s="186"/>
      <c r="B134" s="194"/>
      <c r="C134" s="195"/>
      <c r="D134" s="196"/>
      <c r="E134" s="189"/>
      <c r="F134" s="195"/>
      <c r="G134" s="290"/>
      <c r="H134" s="197"/>
      <c r="I134" s="214"/>
      <c r="J134" s="214"/>
      <c r="K134" s="198"/>
      <c r="L134" s="198"/>
      <c r="M134" s="198"/>
      <c r="N134" s="127"/>
      <c r="O134" s="185"/>
    </row>
    <row r="135" spans="1:15" ht="15">
      <c r="A135" s="186"/>
      <c r="B135" s="194"/>
      <c r="C135" s="195"/>
      <c r="D135" s="196"/>
      <c r="E135" s="189"/>
      <c r="F135" s="195"/>
      <c r="G135" s="290"/>
      <c r="H135" s="197"/>
      <c r="I135" s="214"/>
      <c r="J135" s="214"/>
      <c r="K135" s="198"/>
      <c r="L135" s="198"/>
      <c r="M135" s="198"/>
      <c r="N135" s="127"/>
      <c r="O135" s="185"/>
    </row>
    <row r="136" spans="1:15" ht="15">
      <c r="A136" s="186"/>
      <c r="B136" s="194"/>
      <c r="C136" s="195"/>
      <c r="D136" s="196"/>
      <c r="E136" s="189"/>
      <c r="F136" s="195"/>
      <c r="G136" s="290"/>
      <c r="H136" s="197"/>
      <c r="I136" s="214"/>
      <c r="J136" s="214"/>
      <c r="K136" s="198"/>
      <c r="L136" s="198"/>
      <c r="M136" s="198"/>
      <c r="N136" s="127"/>
      <c r="O136" s="185"/>
    </row>
    <row r="137" spans="1:15" ht="15">
      <c r="A137" s="200"/>
      <c r="B137" s="175"/>
      <c r="C137" s="201"/>
      <c r="D137" s="200"/>
      <c r="E137" s="175"/>
      <c r="F137" s="201"/>
      <c r="G137" s="201"/>
      <c r="H137" s="200"/>
      <c r="I137" s="202"/>
      <c r="J137" s="203"/>
      <c r="K137" s="201"/>
      <c r="L137" s="198"/>
      <c r="M137" s="198"/>
      <c r="N137" s="127"/>
      <c r="O137" s="185"/>
    </row>
    <row r="138" spans="1:15" ht="15">
      <c r="A138" s="204"/>
      <c r="B138" s="192"/>
      <c r="C138" s="192"/>
      <c r="D138" s="192"/>
      <c r="E138" s="192"/>
      <c r="F138" s="205"/>
      <c r="G138" s="205">
        <f>SUM(G133:G137)</f>
        <v>0</v>
      </c>
      <c r="H138" s="192"/>
      <c r="I138" s="192"/>
      <c r="J138" s="192"/>
      <c r="K138" s="192"/>
      <c r="L138" s="205"/>
      <c r="M138" s="205" t="s">
        <v>551</v>
      </c>
      <c r="N138" s="128">
        <f>+ROUND(SUM(N133:N137),2)</f>
        <v>0</v>
      </c>
      <c r="O138" s="185"/>
    </row>
    <row r="139" spans="1:15" ht="15">
      <c r="A139" s="201"/>
      <c r="B139" s="175"/>
      <c r="C139" s="175"/>
      <c r="D139" s="175"/>
      <c r="E139" s="175"/>
      <c r="F139" s="175"/>
      <c r="G139" s="175"/>
      <c r="H139" s="175"/>
      <c r="I139" s="175"/>
      <c r="J139" s="175"/>
      <c r="K139" s="175"/>
      <c r="L139" s="206"/>
      <c r="M139" s="207" t="s">
        <v>552</v>
      </c>
      <c r="N139" s="208">
        <v>0</v>
      </c>
      <c r="O139" s="185"/>
    </row>
    <row r="140" spans="1:15" ht="15">
      <c r="A140" s="201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207"/>
      <c r="M140" s="242" t="s">
        <v>556</v>
      </c>
      <c r="N140" s="128">
        <f>N138-N139</f>
        <v>0</v>
      </c>
      <c r="O140" s="185"/>
    </row>
    <row r="141" spans="1:15" ht="15">
      <c r="A141" s="209"/>
      <c r="B141" s="209"/>
      <c r="C141" s="209"/>
      <c r="D141" s="209"/>
      <c r="E141" s="209"/>
      <c r="F141" s="209"/>
      <c r="G141" s="209"/>
      <c r="H141" s="209"/>
      <c r="I141" s="209"/>
      <c r="J141" s="209"/>
      <c r="K141" s="209"/>
      <c r="L141" s="209"/>
      <c r="M141" s="209"/>
      <c r="N141" s="209"/>
    </row>
    <row r="142" spans="1:15" ht="15.75">
      <c r="A142" s="35"/>
      <c r="B142" s="35" t="s">
        <v>518</v>
      </c>
      <c r="C142" s="176"/>
      <c r="D142" s="35" t="s">
        <v>1077</v>
      </c>
      <c r="E142" s="176"/>
    </row>
    <row r="143" spans="1:15">
      <c r="D143" s="14" t="s">
        <v>519</v>
      </c>
      <c r="E143" s="14">
        <v>9</v>
      </c>
      <c r="I143" s="14" t="s">
        <v>521</v>
      </c>
      <c r="K143" s="14" t="s">
        <v>522</v>
      </c>
      <c r="L143" s="3" t="s">
        <v>523</v>
      </c>
    </row>
    <row r="144" spans="1:15">
      <c r="H144" s="14" t="s">
        <v>395</v>
      </c>
      <c r="I144" s="14" t="s">
        <v>524</v>
      </c>
      <c r="K144" s="14" t="s">
        <v>525</v>
      </c>
      <c r="L144" s="14" t="s">
        <v>521</v>
      </c>
      <c r="M144" s="14" t="s">
        <v>394</v>
      </c>
    </row>
    <row r="145" spans="1:15" ht="15">
      <c r="A145" s="130" t="s">
        <v>526</v>
      </c>
      <c r="H145" s="177">
        <v>1</v>
      </c>
      <c r="I145" s="178" t="s">
        <v>597</v>
      </c>
      <c r="J145" s="179" t="s">
        <v>381</v>
      </c>
      <c r="K145" s="180">
        <v>419039.96</v>
      </c>
      <c r="L145" s="180">
        <f>+ROUND(K145*H151/I151,2)</f>
        <v>400269.7</v>
      </c>
      <c r="M145" s="180">
        <f>L145</f>
        <v>400269.7</v>
      </c>
    </row>
    <row r="146" spans="1:15" ht="15.75" thickBot="1">
      <c r="A146" s="130"/>
      <c r="H146" s="181"/>
      <c r="I146" s="182"/>
      <c r="J146" s="183"/>
      <c r="K146" s="184"/>
      <c r="L146" s="184"/>
      <c r="M146" s="184"/>
    </row>
    <row r="147" spans="1:15" ht="15.75" thickTop="1">
      <c r="A147" s="222"/>
      <c r="B147" s="223"/>
      <c r="C147" s="224" t="s">
        <v>528</v>
      </c>
      <c r="D147" s="225" t="s">
        <v>529</v>
      </c>
      <c r="E147" s="226"/>
      <c r="F147" s="224" t="s">
        <v>530</v>
      </c>
      <c r="G147" s="224" t="s">
        <v>530</v>
      </c>
      <c r="H147" s="225" t="s">
        <v>531</v>
      </c>
      <c r="I147" s="226"/>
      <c r="J147" s="226"/>
      <c r="K147" s="224" t="s">
        <v>528</v>
      </c>
      <c r="L147" s="224" t="s">
        <v>521</v>
      </c>
      <c r="M147" s="224" t="s">
        <v>451</v>
      </c>
      <c r="N147" s="224"/>
      <c r="O147" s="185"/>
    </row>
    <row r="148" spans="1:15" ht="15">
      <c r="A148" s="227" t="s">
        <v>390</v>
      </c>
      <c r="B148" s="228"/>
      <c r="C148" s="229" t="s">
        <v>450</v>
      </c>
      <c r="D148" s="230"/>
      <c r="E148" s="231"/>
      <c r="F148" s="229" t="s">
        <v>532</v>
      </c>
      <c r="G148" s="229" t="s">
        <v>589</v>
      </c>
      <c r="H148" s="229"/>
      <c r="I148" s="232"/>
      <c r="J148" s="232"/>
      <c r="K148" s="229" t="s">
        <v>533</v>
      </c>
      <c r="L148" s="229" t="s">
        <v>456</v>
      </c>
      <c r="M148" s="229" t="s">
        <v>455</v>
      </c>
      <c r="N148" s="229" t="s">
        <v>534</v>
      </c>
      <c r="O148" s="185"/>
    </row>
    <row r="149" spans="1:15" ht="15">
      <c r="A149" s="233"/>
      <c r="B149" s="234"/>
      <c r="C149" s="229" t="s">
        <v>453</v>
      </c>
      <c r="D149" s="235" t="s">
        <v>535</v>
      </c>
      <c r="E149" s="232" t="s">
        <v>490</v>
      </c>
      <c r="F149" s="229" t="s">
        <v>536</v>
      </c>
      <c r="G149" s="229" t="s">
        <v>593</v>
      </c>
      <c r="H149" s="236" t="s">
        <v>537</v>
      </c>
      <c r="I149" s="237" t="s">
        <v>442</v>
      </c>
      <c r="J149" s="238" t="s">
        <v>538</v>
      </c>
      <c r="K149" s="229" t="s">
        <v>539</v>
      </c>
      <c r="L149" s="229"/>
      <c r="M149" s="229" t="s">
        <v>457</v>
      </c>
      <c r="N149" s="229" t="s">
        <v>540</v>
      </c>
      <c r="O149" s="185"/>
    </row>
    <row r="150" spans="1:15" ht="15">
      <c r="A150" s="239" t="s">
        <v>541</v>
      </c>
      <c r="B150" s="238" t="s">
        <v>389</v>
      </c>
      <c r="C150" s="229" t="s">
        <v>458</v>
      </c>
      <c r="D150" s="235" t="s">
        <v>542</v>
      </c>
      <c r="E150" s="231" t="s">
        <v>543</v>
      </c>
      <c r="F150" s="229" t="s">
        <v>544</v>
      </c>
      <c r="G150" s="229"/>
      <c r="H150" s="235" t="s">
        <v>545</v>
      </c>
      <c r="I150" s="240" t="s">
        <v>546</v>
      </c>
      <c r="J150" s="232" t="s">
        <v>547</v>
      </c>
      <c r="K150" s="229" t="s">
        <v>548</v>
      </c>
      <c r="L150" s="229" t="s">
        <v>549</v>
      </c>
      <c r="M150" s="229"/>
      <c r="N150" s="229" t="s">
        <v>594</v>
      </c>
      <c r="O150" s="185"/>
    </row>
    <row r="151" spans="1:15" ht="15">
      <c r="A151" s="186" t="s">
        <v>480</v>
      </c>
      <c r="B151" s="178">
        <f>+B133</f>
        <v>38749</v>
      </c>
      <c r="C151" s="187">
        <f>+Retencion!E17</f>
        <v>1388847.16</v>
      </c>
      <c r="D151" s="188">
        <v>0.188</v>
      </c>
      <c r="E151" s="510">
        <v>7.64</v>
      </c>
      <c r="F151" s="187">
        <f>ROUND(C151*D151*E151/100,2)</f>
        <v>19948.29</v>
      </c>
      <c r="G151" s="187"/>
      <c r="H151" s="211">
        <f>+H133</f>
        <v>197.04</v>
      </c>
      <c r="I151" s="211">
        <f>+I133</f>
        <v>206.28</v>
      </c>
      <c r="J151" s="211">
        <f>+J133</f>
        <v>206.28</v>
      </c>
      <c r="K151" s="187">
        <f>L145</f>
        <v>400269.7</v>
      </c>
      <c r="L151" s="187">
        <f>+IF(G151&lt;F151,G151,F151)</f>
        <v>0</v>
      </c>
      <c r="M151" s="187">
        <f>+K151-L151</f>
        <v>400269.7</v>
      </c>
      <c r="N151" s="193">
        <f>ROUND(L151*(J151-I151)/H151,2)</f>
        <v>0</v>
      </c>
      <c r="O151" s="185"/>
    </row>
    <row r="152" spans="1:15" ht="15">
      <c r="A152" s="186"/>
      <c r="B152" s="199"/>
      <c r="C152" s="198"/>
      <c r="D152" s="218"/>
      <c r="E152" s="510"/>
      <c r="F152" s="198"/>
      <c r="G152" s="198"/>
      <c r="H152" s="220"/>
      <c r="I152" s="214"/>
      <c r="J152" s="221"/>
      <c r="K152" s="198"/>
      <c r="L152" s="198"/>
      <c r="M152" s="198"/>
      <c r="N152" s="127"/>
      <c r="O152" s="185"/>
    </row>
    <row r="153" spans="1:15" ht="15">
      <c r="A153" s="186"/>
      <c r="B153" s="194"/>
      <c r="C153" s="195"/>
      <c r="D153" s="218"/>
      <c r="E153" s="189"/>
      <c r="F153" s="198"/>
      <c r="G153" s="195"/>
      <c r="H153" s="200"/>
      <c r="I153" s="214"/>
      <c r="J153" s="221"/>
      <c r="K153" s="198"/>
      <c r="L153" s="198"/>
      <c r="M153" s="198"/>
      <c r="N153" s="127"/>
      <c r="O153" s="185"/>
    </row>
    <row r="154" spans="1:15" ht="15">
      <c r="A154" s="200"/>
      <c r="B154" s="175"/>
      <c r="C154" s="201"/>
      <c r="D154" s="200"/>
      <c r="E154" s="175"/>
      <c r="F154" s="201"/>
      <c r="G154" s="201"/>
      <c r="H154" s="200"/>
      <c r="I154" s="202"/>
      <c r="J154" s="203"/>
      <c r="K154" s="201"/>
      <c r="L154" s="198"/>
      <c r="M154" s="198"/>
      <c r="N154" s="127"/>
      <c r="O154" s="185"/>
    </row>
    <row r="155" spans="1:15" ht="15">
      <c r="A155" s="204"/>
      <c r="B155" s="192"/>
      <c r="C155" s="192"/>
      <c r="D155" s="192"/>
      <c r="E155" s="192"/>
      <c r="F155" s="205"/>
      <c r="G155" s="205">
        <f>SUM(G151:G154)</f>
        <v>0</v>
      </c>
      <c r="H155" s="192"/>
      <c r="I155" s="192"/>
      <c r="J155" s="192"/>
      <c r="K155" s="192"/>
      <c r="L155" s="205"/>
      <c r="M155" s="205" t="s">
        <v>551</v>
      </c>
      <c r="N155" s="128">
        <f>+ROUND(SUM(N151:N154),2)</f>
        <v>0</v>
      </c>
      <c r="O155" s="185"/>
    </row>
    <row r="156" spans="1:15" ht="15">
      <c r="A156" s="201"/>
      <c r="B156" s="175"/>
      <c r="C156" s="175"/>
      <c r="D156" s="175"/>
      <c r="E156" s="175"/>
      <c r="F156" s="175"/>
      <c r="G156" s="175"/>
      <c r="H156" s="206"/>
      <c r="I156" s="175"/>
      <c r="J156" s="175"/>
      <c r="K156" s="175"/>
      <c r="L156" s="206"/>
      <c r="M156" s="207" t="s">
        <v>552</v>
      </c>
      <c r="N156" s="208">
        <v>0</v>
      </c>
      <c r="O156" s="185"/>
    </row>
    <row r="157" spans="1:15" ht="15">
      <c r="A157" s="201"/>
      <c r="B157" s="175"/>
      <c r="C157" s="175"/>
      <c r="D157" s="175"/>
      <c r="E157" s="175"/>
      <c r="F157" s="175"/>
      <c r="G157" s="175"/>
      <c r="H157" s="175"/>
      <c r="I157" s="175"/>
      <c r="J157" s="175"/>
      <c r="K157" s="175"/>
      <c r="L157" s="207"/>
      <c r="M157" s="242" t="s">
        <v>556</v>
      </c>
      <c r="N157" s="128">
        <f>N155-N156</f>
        <v>0</v>
      </c>
      <c r="O157" s="185"/>
    </row>
    <row r="158" spans="1:15" ht="15">
      <c r="A158" s="209"/>
      <c r="B158" s="209"/>
      <c r="C158" s="209"/>
      <c r="D158" s="209"/>
      <c r="E158" s="209"/>
      <c r="F158" s="209"/>
      <c r="G158" s="209"/>
      <c r="H158" s="209"/>
      <c r="I158" s="209"/>
      <c r="J158" s="209"/>
      <c r="K158" s="209"/>
      <c r="L158" s="209"/>
      <c r="M158" s="209"/>
      <c r="N158" s="209"/>
    </row>
    <row r="159" spans="1:15" ht="15.75">
      <c r="A159" s="35"/>
      <c r="B159" s="35" t="s">
        <v>518</v>
      </c>
      <c r="C159" s="176"/>
      <c r="D159" s="35" t="s">
        <v>1078</v>
      </c>
      <c r="E159" s="176"/>
    </row>
    <row r="160" spans="1:15">
      <c r="D160" s="14" t="s">
        <v>519</v>
      </c>
      <c r="E160" s="14">
        <v>9</v>
      </c>
      <c r="I160" s="14" t="s">
        <v>521</v>
      </c>
      <c r="K160" s="14" t="s">
        <v>522</v>
      </c>
      <c r="L160" s="3" t="s">
        <v>523</v>
      </c>
    </row>
    <row r="161" spans="1:15">
      <c r="H161" s="14" t="s">
        <v>395</v>
      </c>
      <c r="I161" s="14" t="s">
        <v>524</v>
      </c>
      <c r="K161" s="14" t="s">
        <v>525</v>
      </c>
      <c r="L161" s="14" t="s">
        <v>521</v>
      </c>
      <c r="M161" s="14" t="s">
        <v>394</v>
      </c>
    </row>
    <row r="162" spans="1:15" ht="15">
      <c r="A162" s="130" t="s">
        <v>526</v>
      </c>
      <c r="H162" s="177">
        <v>1</v>
      </c>
      <c r="I162" s="178" t="s">
        <v>597</v>
      </c>
      <c r="J162" s="179" t="s">
        <v>381</v>
      </c>
      <c r="K162" s="180">
        <v>514927.69</v>
      </c>
      <c r="L162" s="180">
        <f>+ROUND(K162*H169/I169,2)</f>
        <v>491862.28</v>
      </c>
      <c r="M162" s="180">
        <f>L162</f>
        <v>491862.28</v>
      </c>
    </row>
    <row r="163" spans="1:15" ht="15">
      <c r="A163" s="130"/>
      <c r="H163" s="294"/>
      <c r="I163" s="199"/>
      <c r="J163" s="183"/>
      <c r="K163" s="184"/>
      <c r="L163" s="184"/>
      <c r="M163" s="184"/>
    </row>
    <row r="164" spans="1:15" ht="15.75" thickBot="1">
      <c r="A164" s="130"/>
      <c r="H164" s="181"/>
      <c r="I164" s="182"/>
      <c r="J164" s="183"/>
      <c r="K164" s="184"/>
      <c r="L164" s="184"/>
      <c r="M164" s="184"/>
    </row>
    <row r="165" spans="1:15" ht="15.75" thickTop="1">
      <c r="A165" s="222"/>
      <c r="B165" s="223"/>
      <c r="C165" s="224" t="s">
        <v>528</v>
      </c>
      <c r="D165" s="225" t="s">
        <v>529</v>
      </c>
      <c r="E165" s="226"/>
      <c r="F165" s="224" t="s">
        <v>530</v>
      </c>
      <c r="G165" s="224" t="s">
        <v>530</v>
      </c>
      <c r="H165" s="225" t="s">
        <v>531</v>
      </c>
      <c r="I165" s="226"/>
      <c r="J165" s="226"/>
      <c r="K165" s="224" t="s">
        <v>528</v>
      </c>
      <c r="L165" s="224" t="s">
        <v>521</v>
      </c>
      <c r="M165" s="224" t="s">
        <v>451</v>
      </c>
      <c r="N165" s="224"/>
      <c r="O165" s="185"/>
    </row>
    <row r="166" spans="1:15" ht="15">
      <c r="A166" s="227" t="s">
        <v>390</v>
      </c>
      <c r="B166" s="228"/>
      <c r="C166" s="229" t="s">
        <v>450</v>
      </c>
      <c r="D166" s="230"/>
      <c r="E166" s="231"/>
      <c r="F166" s="229" t="s">
        <v>532</v>
      </c>
      <c r="G166" s="229" t="s">
        <v>589</v>
      </c>
      <c r="H166" s="229"/>
      <c r="I166" s="232"/>
      <c r="J166" s="232"/>
      <c r="K166" s="229" t="s">
        <v>533</v>
      </c>
      <c r="L166" s="229" t="s">
        <v>456</v>
      </c>
      <c r="M166" s="229" t="s">
        <v>455</v>
      </c>
      <c r="N166" s="229" t="s">
        <v>534</v>
      </c>
      <c r="O166" s="185"/>
    </row>
    <row r="167" spans="1:15" ht="15">
      <c r="A167" s="233"/>
      <c r="B167" s="234"/>
      <c r="C167" s="229" t="s">
        <v>453</v>
      </c>
      <c r="D167" s="235" t="s">
        <v>535</v>
      </c>
      <c r="E167" s="232" t="s">
        <v>490</v>
      </c>
      <c r="F167" s="229" t="s">
        <v>536</v>
      </c>
      <c r="G167" s="229" t="s">
        <v>593</v>
      </c>
      <c r="H167" s="236" t="s">
        <v>537</v>
      </c>
      <c r="I167" s="237" t="s">
        <v>442</v>
      </c>
      <c r="J167" s="238" t="s">
        <v>538</v>
      </c>
      <c r="K167" s="229" t="s">
        <v>539</v>
      </c>
      <c r="L167" s="229"/>
      <c r="M167" s="229" t="s">
        <v>457</v>
      </c>
      <c r="N167" s="229" t="s">
        <v>540</v>
      </c>
      <c r="O167" s="185"/>
    </row>
    <row r="168" spans="1:15" ht="15">
      <c r="A168" s="239" t="s">
        <v>541</v>
      </c>
      <c r="B168" s="238" t="s">
        <v>389</v>
      </c>
      <c r="C168" s="229" t="s">
        <v>458</v>
      </c>
      <c r="D168" s="235" t="s">
        <v>542</v>
      </c>
      <c r="E168" s="231" t="s">
        <v>543</v>
      </c>
      <c r="F168" s="229" t="s">
        <v>544</v>
      </c>
      <c r="G168" s="229"/>
      <c r="H168" s="235" t="s">
        <v>545</v>
      </c>
      <c r="I168" s="240" t="s">
        <v>546</v>
      </c>
      <c r="J168" s="232" t="s">
        <v>547</v>
      </c>
      <c r="K168" s="229" t="s">
        <v>548</v>
      </c>
      <c r="L168" s="229" t="s">
        <v>549</v>
      </c>
      <c r="M168" s="229"/>
      <c r="N168" s="229" t="s">
        <v>594</v>
      </c>
      <c r="O168" s="185"/>
    </row>
    <row r="169" spans="1:15" ht="15">
      <c r="A169" s="186" t="s">
        <v>480</v>
      </c>
      <c r="B169" s="178">
        <f>+B151</f>
        <v>38749</v>
      </c>
      <c r="C169" s="187">
        <f>+Retencion!E17</f>
        <v>1388847.16</v>
      </c>
      <c r="D169" s="188">
        <v>0.188</v>
      </c>
      <c r="E169" s="510">
        <v>7.64</v>
      </c>
      <c r="F169" s="187">
        <f>ROUND(C169*D169*E169/100,2)</f>
        <v>19948.29</v>
      </c>
      <c r="G169" s="187"/>
      <c r="H169" s="211">
        <f>+H151</f>
        <v>197.04</v>
      </c>
      <c r="I169" s="211">
        <f>+I151</f>
        <v>206.28</v>
      </c>
      <c r="J169" s="211">
        <f>+J151</f>
        <v>206.28</v>
      </c>
      <c r="K169" s="187">
        <f>L162</f>
        <v>491862.28</v>
      </c>
      <c r="L169" s="187">
        <f>+IF(G169&lt;F169,G169,F169)</f>
        <v>0</v>
      </c>
      <c r="M169" s="187">
        <f>+K169-L169</f>
        <v>491862.28</v>
      </c>
      <c r="N169" s="193">
        <f>ROUND(L169*(J169-I169)/H169,2)</f>
        <v>0</v>
      </c>
      <c r="O169" s="185"/>
    </row>
    <row r="170" spans="1:15" ht="15">
      <c r="A170" s="186"/>
      <c r="B170" s="194"/>
      <c r="C170" s="195"/>
      <c r="D170" s="196"/>
      <c r="E170" s="189"/>
      <c r="F170" s="195"/>
      <c r="G170" s="290"/>
      <c r="H170" s="214"/>
      <c r="I170" s="214"/>
      <c r="J170" s="214"/>
      <c r="K170" s="198"/>
      <c r="L170" s="198"/>
      <c r="M170" s="198"/>
      <c r="N170" s="127"/>
      <c r="O170" s="185"/>
    </row>
    <row r="171" spans="1:15" ht="15">
      <c r="A171" s="186"/>
      <c r="B171" s="194"/>
      <c r="C171" s="195"/>
      <c r="D171" s="196"/>
      <c r="E171" s="189"/>
      <c r="F171" s="195"/>
      <c r="G171" s="290"/>
      <c r="H171" s="214"/>
      <c r="I171" s="214"/>
      <c r="J171" s="214"/>
      <c r="K171" s="198"/>
      <c r="L171" s="198"/>
      <c r="M171" s="198"/>
      <c r="N171" s="127"/>
      <c r="O171" s="185"/>
    </row>
    <row r="172" spans="1:15" ht="15">
      <c r="A172" s="186"/>
      <c r="B172" s="194"/>
      <c r="C172" s="195"/>
      <c r="D172" s="196"/>
      <c r="E172" s="189"/>
      <c r="F172" s="195"/>
      <c r="G172" s="290"/>
      <c r="H172" s="214"/>
      <c r="I172" s="214"/>
      <c r="J172" s="214"/>
      <c r="K172" s="198"/>
      <c r="L172" s="198"/>
      <c r="M172" s="198"/>
      <c r="N172" s="127"/>
      <c r="O172" s="185"/>
    </row>
    <row r="173" spans="1:15" ht="15">
      <c r="A173" s="186"/>
      <c r="B173" s="194"/>
      <c r="C173" s="195"/>
      <c r="D173" s="196"/>
      <c r="E173" s="189"/>
      <c r="F173" s="195"/>
      <c r="G173" s="290"/>
      <c r="H173" s="214"/>
      <c r="I173" s="214"/>
      <c r="J173" s="214"/>
      <c r="K173" s="198"/>
      <c r="L173" s="198"/>
      <c r="M173" s="198"/>
      <c r="N173" s="127"/>
      <c r="O173" s="185"/>
    </row>
    <row r="174" spans="1:15" ht="15">
      <c r="A174" s="200"/>
      <c r="B174" s="175"/>
      <c r="C174" s="201"/>
      <c r="D174" s="200"/>
      <c r="E174" s="175"/>
      <c r="F174" s="201"/>
      <c r="G174" s="201"/>
      <c r="H174" s="200"/>
      <c r="I174" s="202"/>
      <c r="J174" s="203"/>
      <c r="K174" s="201"/>
      <c r="L174" s="198"/>
      <c r="M174" s="198"/>
      <c r="N174" s="127"/>
      <c r="O174" s="185"/>
    </row>
    <row r="175" spans="1:15" ht="15">
      <c r="A175" s="204"/>
      <c r="B175" s="192"/>
      <c r="C175" s="192"/>
      <c r="D175" s="192"/>
      <c r="E175" s="192"/>
      <c r="F175" s="205"/>
      <c r="G175" s="205">
        <f>SUM(G169:G174)</f>
        <v>0</v>
      </c>
      <c r="H175" s="192"/>
      <c r="I175" s="192"/>
      <c r="J175" s="192"/>
      <c r="K175" s="192"/>
      <c r="L175" s="205"/>
      <c r="M175" s="205" t="s">
        <v>551</v>
      </c>
      <c r="N175" s="128">
        <f>SUM(N169:N174)</f>
        <v>0</v>
      </c>
      <c r="O175" s="185"/>
    </row>
    <row r="176" spans="1:15" ht="15">
      <c r="A176" s="201"/>
      <c r="B176" s="175"/>
      <c r="C176" s="175"/>
      <c r="D176" s="175"/>
      <c r="E176" s="175"/>
      <c r="F176" s="175"/>
      <c r="G176" s="175"/>
      <c r="H176" s="206"/>
      <c r="I176" s="175"/>
      <c r="J176" s="175"/>
      <c r="K176" s="175"/>
      <c r="L176" s="206"/>
      <c r="M176" s="207" t="s">
        <v>552</v>
      </c>
      <c r="N176" s="208">
        <v>0</v>
      </c>
      <c r="O176" s="185"/>
    </row>
    <row r="177" spans="1:15" ht="15">
      <c r="A177" s="201"/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207"/>
      <c r="M177" s="242" t="s">
        <v>556</v>
      </c>
      <c r="N177" s="128">
        <f>N175-N176</f>
        <v>0</v>
      </c>
      <c r="O177" s="185"/>
    </row>
    <row r="178" spans="1:15" ht="15">
      <c r="A178" s="209"/>
      <c r="B178" s="209"/>
      <c r="C178" s="209"/>
      <c r="D178" s="209"/>
      <c r="E178" s="209"/>
      <c r="F178" s="209"/>
      <c r="G178" s="209"/>
      <c r="H178" s="209"/>
      <c r="I178" s="209"/>
      <c r="J178" s="209"/>
      <c r="K178" s="209"/>
      <c r="L178" s="209"/>
      <c r="M178" s="209"/>
      <c r="N178" s="209"/>
    </row>
    <row r="179" spans="1:15" ht="15.75">
      <c r="A179" s="35"/>
      <c r="B179" s="35" t="s">
        <v>553</v>
      </c>
      <c r="C179" s="176" t="s">
        <v>554</v>
      </c>
      <c r="D179" s="35" t="s">
        <v>956</v>
      </c>
      <c r="E179" s="176"/>
    </row>
    <row r="180" spans="1:15">
      <c r="D180" s="14" t="s">
        <v>519</v>
      </c>
      <c r="E180" s="14">
        <v>43</v>
      </c>
      <c r="I180" s="14" t="s">
        <v>521</v>
      </c>
      <c r="K180" s="14" t="s">
        <v>522</v>
      </c>
      <c r="L180" s="3" t="s">
        <v>523</v>
      </c>
    </row>
    <row r="181" spans="1:15">
      <c r="H181" s="14" t="s">
        <v>395</v>
      </c>
      <c r="I181" s="14" t="s">
        <v>524</v>
      </c>
      <c r="K181" s="14" t="s">
        <v>525</v>
      </c>
      <c r="L181" s="14" t="s">
        <v>521</v>
      </c>
      <c r="M181" s="14" t="s">
        <v>394</v>
      </c>
    </row>
    <row r="182" spans="1:15" ht="15">
      <c r="A182" s="130" t="s">
        <v>526</v>
      </c>
      <c r="H182" s="177">
        <v>1</v>
      </c>
      <c r="I182" s="178" t="s">
        <v>597</v>
      </c>
      <c r="J182" s="179" t="s">
        <v>381</v>
      </c>
      <c r="K182" s="180">
        <v>711569.72</v>
      </c>
      <c r="L182" s="180">
        <f>+ROUND(K182*H189/I189,2)</f>
        <v>674702.67</v>
      </c>
      <c r="M182" s="180">
        <f>L182</f>
        <v>674702.67</v>
      </c>
    </row>
    <row r="183" spans="1:15" ht="15">
      <c r="A183" s="130"/>
      <c r="H183" s="294"/>
      <c r="I183" s="199"/>
      <c r="J183" s="183"/>
      <c r="K183" s="184"/>
      <c r="L183" s="184"/>
      <c r="M183" s="184"/>
    </row>
    <row r="184" spans="1:15" ht="15.75" thickBot="1">
      <c r="A184" s="130"/>
      <c r="H184" s="181"/>
      <c r="I184" s="182"/>
      <c r="J184" s="183"/>
      <c r="K184" s="184"/>
      <c r="L184" s="184"/>
      <c r="M184" s="184"/>
    </row>
    <row r="185" spans="1:15" ht="15.75" thickTop="1">
      <c r="A185" s="222"/>
      <c r="B185" s="223"/>
      <c r="C185" s="224" t="s">
        <v>528</v>
      </c>
      <c r="D185" s="225" t="s">
        <v>529</v>
      </c>
      <c r="E185" s="226"/>
      <c r="F185" s="224" t="s">
        <v>530</v>
      </c>
      <c r="G185" s="224" t="s">
        <v>530</v>
      </c>
      <c r="H185" s="225" t="s">
        <v>531</v>
      </c>
      <c r="I185" s="226"/>
      <c r="J185" s="226"/>
      <c r="K185" s="224" t="s">
        <v>528</v>
      </c>
      <c r="L185" s="224" t="s">
        <v>521</v>
      </c>
      <c r="M185" s="224" t="s">
        <v>451</v>
      </c>
      <c r="N185" s="224"/>
      <c r="O185" s="185"/>
    </row>
    <row r="186" spans="1:15" ht="15">
      <c r="A186" s="227" t="s">
        <v>390</v>
      </c>
      <c r="B186" s="228"/>
      <c r="C186" s="229" t="s">
        <v>450</v>
      </c>
      <c r="D186" s="230"/>
      <c r="E186" s="231"/>
      <c r="F186" s="229" t="s">
        <v>532</v>
      </c>
      <c r="G186" s="229" t="s">
        <v>589</v>
      </c>
      <c r="H186" s="229"/>
      <c r="I186" s="232"/>
      <c r="J186" s="232"/>
      <c r="K186" s="229" t="s">
        <v>533</v>
      </c>
      <c r="L186" s="229" t="s">
        <v>456</v>
      </c>
      <c r="M186" s="229" t="s">
        <v>455</v>
      </c>
      <c r="N186" s="229" t="s">
        <v>534</v>
      </c>
      <c r="O186" s="185"/>
    </row>
    <row r="187" spans="1:15" ht="15">
      <c r="A187" s="233"/>
      <c r="B187" s="234"/>
      <c r="C187" s="229" t="s">
        <v>453</v>
      </c>
      <c r="D187" s="235" t="s">
        <v>535</v>
      </c>
      <c r="E187" s="232" t="s">
        <v>490</v>
      </c>
      <c r="F187" s="229" t="s">
        <v>536</v>
      </c>
      <c r="G187" s="229" t="s">
        <v>593</v>
      </c>
      <c r="H187" s="236" t="s">
        <v>537</v>
      </c>
      <c r="I187" s="237" t="s">
        <v>442</v>
      </c>
      <c r="J187" s="238" t="s">
        <v>538</v>
      </c>
      <c r="K187" s="229" t="s">
        <v>539</v>
      </c>
      <c r="L187" s="229"/>
      <c r="M187" s="229" t="s">
        <v>457</v>
      </c>
      <c r="N187" s="229" t="s">
        <v>540</v>
      </c>
      <c r="O187" s="185"/>
    </row>
    <row r="188" spans="1:15" ht="15">
      <c r="A188" s="239" t="s">
        <v>541</v>
      </c>
      <c r="B188" s="238" t="s">
        <v>389</v>
      </c>
      <c r="C188" s="229" t="s">
        <v>458</v>
      </c>
      <c r="D188" s="235" t="s">
        <v>542</v>
      </c>
      <c r="E188" s="231" t="s">
        <v>543</v>
      </c>
      <c r="F188" s="229" t="s">
        <v>544</v>
      </c>
      <c r="G188" s="229"/>
      <c r="H188" s="235" t="s">
        <v>545</v>
      </c>
      <c r="I188" s="240" t="s">
        <v>546</v>
      </c>
      <c r="J188" s="232" t="s">
        <v>547</v>
      </c>
      <c r="K188" s="229" t="s">
        <v>548</v>
      </c>
      <c r="L188" s="229" t="s">
        <v>549</v>
      </c>
      <c r="M188" s="229"/>
      <c r="N188" s="229" t="s">
        <v>594</v>
      </c>
      <c r="O188" s="185"/>
    </row>
    <row r="189" spans="1:15" ht="15">
      <c r="A189" s="186" t="s">
        <v>480</v>
      </c>
      <c r="B189" s="178">
        <f>+B169</f>
        <v>38749</v>
      </c>
      <c r="C189" s="187">
        <f>+Retencion!E17</f>
        <v>1388847.16</v>
      </c>
      <c r="D189" s="188">
        <v>7.5999999999999998E-2</v>
      </c>
      <c r="E189" s="510">
        <v>13.44</v>
      </c>
      <c r="F189" s="187">
        <f>ROUND(C189*D189*E189/100,2)</f>
        <v>14186.24</v>
      </c>
      <c r="G189" s="187"/>
      <c r="H189" s="190">
        <v>454.23</v>
      </c>
      <c r="I189" s="212">
        <v>479.05</v>
      </c>
      <c r="J189" s="213">
        <v>479.05</v>
      </c>
      <c r="K189" s="187">
        <f>L182</f>
        <v>674702.67</v>
      </c>
      <c r="L189" s="187">
        <f>+IF(G189&lt;F189,G189,F189)</f>
        <v>0</v>
      </c>
      <c r="M189" s="187">
        <f>+K189-L189</f>
        <v>674702.67</v>
      </c>
      <c r="N189" s="193">
        <f>ROUND(L189*(J189-I189)/H189,2)</f>
        <v>0</v>
      </c>
      <c r="O189" s="185"/>
    </row>
    <row r="190" spans="1:15" ht="15">
      <c r="A190" s="215"/>
      <c r="B190" s="216"/>
      <c r="C190" s="217"/>
      <c r="D190" s="218"/>
      <c r="E190" s="189"/>
      <c r="F190" s="195"/>
      <c r="G190" s="290"/>
      <c r="H190" s="219"/>
      <c r="I190" s="220"/>
      <c r="J190" s="221"/>
      <c r="K190" s="195"/>
      <c r="L190" s="198"/>
      <c r="M190" s="198"/>
      <c r="N190" s="127"/>
      <c r="O190" s="210"/>
    </row>
    <row r="191" spans="1:15" ht="15">
      <c r="A191" s="186"/>
      <c r="B191" s="216"/>
      <c r="C191" s="217"/>
      <c r="D191" s="218"/>
      <c r="E191" s="189"/>
      <c r="F191" s="195"/>
      <c r="G191" s="290"/>
      <c r="H191" s="219"/>
      <c r="I191" s="220"/>
      <c r="J191" s="221"/>
      <c r="K191" s="195"/>
      <c r="L191" s="198"/>
      <c r="M191" s="198"/>
      <c r="N191" s="127"/>
      <c r="O191" s="210"/>
    </row>
    <row r="192" spans="1:15" ht="15">
      <c r="A192" s="186"/>
      <c r="B192" s="199"/>
      <c r="C192" s="195"/>
      <c r="D192" s="218"/>
      <c r="E192" s="189"/>
      <c r="F192" s="198"/>
      <c r="G192" s="195"/>
      <c r="H192" s="219"/>
      <c r="I192" s="220"/>
      <c r="J192" s="221"/>
      <c r="K192" s="195"/>
      <c r="L192" s="198"/>
      <c r="M192" s="198"/>
      <c r="N192" s="127"/>
      <c r="O192" s="210"/>
    </row>
    <row r="193" spans="1:15" ht="15">
      <c r="A193" s="200"/>
      <c r="B193" s="175"/>
      <c r="C193" s="201"/>
      <c r="D193" s="200"/>
      <c r="E193" s="175"/>
      <c r="F193" s="201"/>
      <c r="G193" s="201"/>
      <c r="H193" s="200"/>
      <c r="I193" s="202"/>
      <c r="J193" s="203"/>
      <c r="K193" s="201"/>
      <c r="L193" s="198"/>
      <c r="M193" s="198"/>
      <c r="N193" s="127"/>
      <c r="O193" s="185"/>
    </row>
    <row r="194" spans="1:15" ht="15">
      <c r="A194" s="204"/>
      <c r="B194" s="192"/>
      <c r="C194" s="192"/>
      <c r="D194" s="192"/>
      <c r="E194" s="192"/>
      <c r="F194" s="205"/>
      <c r="G194" s="205">
        <f>SUM(G189:G193)</f>
        <v>0</v>
      </c>
      <c r="H194" s="192"/>
      <c r="I194" s="192"/>
      <c r="J194" s="192"/>
      <c r="K194" s="192"/>
      <c r="L194" s="205"/>
      <c r="M194" s="205" t="s">
        <v>551</v>
      </c>
      <c r="N194" s="128">
        <f>+ROUND(SUM(N189:N193),2)</f>
        <v>0</v>
      </c>
      <c r="O194" s="185"/>
    </row>
    <row r="195" spans="1:15" ht="15">
      <c r="A195" s="201"/>
      <c r="B195" s="175"/>
      <c r="C195" s="175"/>
      <c r="D195" s="175"/>
      <c r="E195" s="175"/>
      <c r="F195" s="175"/>
      <c r="G195" s="175"/>
      <c r="H195" s="206"/>
      <c r="I195" s="175"/>
      <c r="J195" s="175"/>
      <c r="K195" s="175"/>
      <c r="L195" s="206"/>
      <c r="M195" s="207" t="s">
        <v>552</v>
      </c>
      <c r="N195" s="208">
        <v>0</v>
      </c>
      <c r="O195" s="185"/>
    </row>
    <row r="196" spans="1:15" ht="15">
      <c r="A196" s="201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207"/>
      <c r="M196" s="242" t="s">
        <v>556</v>
      </c>
      <c r="N196" s="128">
        <f>N194-N195</f>
        <v>0</v>
      </c>
      <c r="O196" s="185"/>
    </row>
    <row r="197" spans="1:15" ht="15">
      <c r="A197" s="209"/>
      <c r="B197" s="209"/>
      <c r="C197" s="209"/>
      <c r="D197" s="209"/>
      <c r="E197" s="209"/>
      <c r="F197" s="209"/>
      <c r="G197" s="209"/>
      <c r="H197" s="209"/>
      <c r="I197" s="209"/>
      <c r="J197" s="209"/>
      <c r="K197" s="209"/>
      <c r="L197" s="209"/>
      <c r="M197" s="209"/>
      <c r="N197" s="209"/>
    </row>
    <row r="198" spans="1:15" ht="15.75">
      <c r="A198" s="35"/>
      <c r="B198" s="35" t="s">
        <v>518</v>
      </c>
      <c r="C198" s="176"/>
      <c r="D198" s="35"/>
      <c r="E198" s="176"/>
    </row>
    <row r="199" spans="1:15">
      <c r="D199" s="14" t="s">
        <v>519</v>
      </c>
      <c r="E199" s="14"/>
      <c r="I199" s="14" t="s">
        <v>521</v>
      </c>
      <c r="K199" s="14" t="s">
        <v>522</v>
      </c>
      <c r="L199" s="3" t="s">
        <v>523</v>
      </c>
    </row>
    <row r="200" spans="1:15">
      <c r="H200" s="14" t="s">
        <v>395</v>
      </c>
      <c r="I200" s="14" t="s">
        <v>524</v>
      </c>
      <c r="K200" s="14" t="s">
        <v>525</v>
      </c>
      <c r="L200" s="14" t="s">
        <v>521</v>
      </c>
      <c r="M200" s="14" t="s">
        <v>394</v>
      </c>
    </row>
    <row r="201" spans="1:15" ht="15">
      <c r="A201" s="130" t="s">
        <v>526</v>
      </c>
      <c r="H201" s="177">
        <v>1</v>
      </c>
      <c r="I201" s="178"/>
      <c r="J201" s="179" t="s">
        <v>381</v>
      </c>
      <c r="K201" s="180"/>
      <c r="L201" s="180"/>
      <c r="M201" s="180">
        <f>L201</f>
        <v>0</v>
      </c>
    </row>
    <row r="202" spans="1:15" ht="15.75" thickBot="1">
      <c r="A202" s="130"/>
      <c r="H202" s="181"/>
      <c r="I202" s="182"/>
      <c r="J202" s="183"/>
      <c r="K202" s="184"/>
      <c r="L202" s="184"/>
      <c r="M202" s="184"/>
    </row>
    <row r="203" spans="1:15" ht="15.75" thickTop="1">
      <c r="A203" s="222"/>
      <c r="B203" s="223"/>
      <c r="C203" s="224" t="s">
        <v>528</v>
      </c>
      <c r="D203" s="225" t="s">
        <v>529</v>
      </c>
      <c r="E203" s="226"/>
      <c r="F203" s="224" t="s">
        <v>530</v>
      </c>
      <c r="G203" s="224" t="s">
        <v>530</v>
      </c>
      <c r="H203" s="225" t="s">
        <v>531</v>
      </c>
      <c r="I203" s="226"/>
      <c r="J203" s="226"/>
      <c r="K203" s="224" t="s">
        <v>528</v>
      </c>
      <c r="L203" s="224" t="s">
        <v>521</v>
      </c>
      <c r="M203" s="224" t="s">
        <v>451</v>
      </c>
      <c r="N203" s="224"/>
      <c r="O203" s="185"/>
    </row>
    <row r="204" spans="1:15" ht="15">
      <c r="A204" s="227" t="s">
        <v>390</v>
      </c>
      <c r="B204" s="228"/>
      <c r="C204" s="229" t="s">
        <v>450</v>
      </c>
      <c r="D204" s="230"/>
      <c r="E204" s="231"/>
      <c r="F204" s="229" t="s">
        <v>532</v>
      </c>
      <c r="G204" s="229" t="s">
        <v>589</v>
      </c>
      <c r="H204" s="229"/>
      <c r="I204" s="232"/>
      <c r="J204" s="232"/>
      <c r="K204" s="229" t="s">
        <v>533</v>
      </c>
      <c r="L204" s="229" t="s">
        <v>456</v>
      </c>
      <c r="M204" s="229" t="s">
        <v>455</v>
      </c>
      <c r="N204" s="229" t="s">
        <v>534</v>
      </c>
      <c r="O204" s="185"/>
    </row>
    <row r="205" spans="1:15" ht="15">
      <c r="A205" s="233"/>
      <c r="B205" s="234"/>
      <c r="C205" s="229" t="s">
        <v>453</v>
      </c>
      <c r="D205" s="235" t="s">
        <v>535</v>
      </c>
      <c r="E205" s="232" t="s">
        <v>490</v>
      </c>
      <c r="F205" s="229" t="s">
        <v>536</v>
      </c>
      <c r="G205" s="229" t="s">
        <v>593</v>
      </c>
      <c r="H205" s="236" t="s">
        <v>537</v>
      </c>
      <c r="I205" s="237" t="s">
        <v>442</v>
      </c>
      <c r="J205" s="238" t="s">
        <v>538</v>
      </c>
      <c r="K205" s="229" t="s">
        <v>539</v>
      </c>
      <c r="L205" s="229"/>
      <c r="M205" s="229" t="s">
        <v>457</v>
      </c>
      <c r="N205" s="229" t="s">
        <v>540</v>
      </c>
      <c r="O205" s="185"/>
    </row>
    <row r="206" spans="1:15" ht="15">
      <c r="A206" s="239" t="s">
        <v>541</v>
      </c>
      <c r="B206" s="238" t="s">
        <v>389</v>
      </c>
      <c r="C206" s="229" t="s">
        <v>458</v>
      </c>
      <c r="D206" s="235" t="s">
        <v>542</v>
      </c>
      <c r="E206" s="231" t="s">
        <v>543</v>
      </c>
      <c r="F206" s="229" t="s">
        <v>544</v>
      </c>
      <c r="G206" s="229"/>
      <c r="H206" s="235" t="s">
        <v>545</v>
      </c>
      <c r="I206" s="240" t="s">
        <v>546</v>
      </c>
      <c r="J206" s="232" t="s">
        <v>547</v>
      </c>
      <c r="K206" s="229" t="s">
        <v>548</v>
      </c>
      <c r="L206" s="229" t="s">
        <v>549</v>
      </c>
      <c r="M206" s="229"/>
      <c r="N206" s="229" t="s">
        <v>594</v>
      </c>
      <c r="O206" s="185"/>
    </row>
    <row r="207" spans="1:15" ht="15">
      <c r="A207" s="186"/>
      <c r="B207" s="178"/>
      <c r="C207" s="187"/>
      <c r="D207" s="188"/>
      <c r="E207" s="189"/>
      <c r="F207" s="187"/>
      <c r="G207" s="187"/>
      <c r="H207" s="211"/>
      <c r="I207" s="212"/>
      <c r="J207" s="212"/>
      <c r="K207" s="187"/>
      <c r="L207" s="187"/>
      <c r="M207" s="187"/>
      <c r="N207" s="193"/>
      <c r="O207" s="185"/>
    </row>
    <row r="208" spans="1:15" ht="15">
      <c r="A208" s="200"/>
      <c r="B208" s="175"/>
      <c r="C208" s="201"/>
      <c r="D208" s="200"/>
      <c r="E208" s="175"/>
      <c r="F208" s="201"/>
      <c r="G208" s="201"/>
      <c r="H208" s="200"/>
      <c r="I208" s="202"/>
      <c r="J208" s="203"/>
      <c r="K208" s="201"/>
      <c r="L208" s="198"/>
      <c r="M208" s="198"/>
      <c r="N208" s="127"/>
      <c r="O208" s="185"/>
    </row>
    <row r="209" spans="1:17" ht="15">
      <c r="A209" s="204"/>
      <c r="B209" s="192"/>
      <c r="C209" s="192"/>
      <c r="D209" s="192"/>
      <c r="E209" s="192"/>
      <c r="F209" s="205"/>
      <c r="G209" s="205">
        <f>SUM(G207:G208)</f>
        <v>0</v>
      </c>
      <c r="H209" s="192"/>
      <c r="I209" s="192"/>
      <c r="J209" s="192"/>
      <c r="K209" s="192"/>
      <c r="L209" s="205"/>
      <c r="M209" s="205" t="s">
        <v>551</v>
      </c>
      <c r="N209" s="128">
        <f>SUM(N207:N208)</f>
        <v>0</v>
      </c>
      <c r="O209" s="185"/>
    </row>
    <row r="210" spans="1:17" ht="15">
      <c r="A210" s="201"/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206"/>
      <c r="M210" s="207" t="s">
        <v>552</v>
      </c>
      <c r="N210" s="208">
        <v>0</v>
      </c>
      <c r="O210" s="185"/>
    </row>
    <row r="211" spans="1:17" ht="15">
      <c r="A211" s="201"/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207"/>
      <c r="M211" s="242" t="s">
        <v>556</v>
      </c>
      <c r="N211" s="128">
        <f>N209-N210</f>
        <v>0</v>
      </c>
      <c r="O211" s="185"/>
    </row>
    <row r="212" spans="1:17" ht="15.75">
      <c r="A212" s="209"/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88" t="s">
        <v>551</v>
      </c>
      <c r="N212" s="128">
        <f>SUMIF(M$16:M$211,M212,N$16:N$211)</f>
        <v>0</v>
      </c>
      <c r="Q212" s="49"/>
    </row>
    <row r="213" spans="1:17" ht="15.75">
      <c r="M213" s="289" t="s">
        <v>552</v>
      </c>
      <c r="N213" s="208">
        <f>SUMIF(M$16:M$211,M213,N$16:N$211)</f>
        <v>0</v>
      </c>
    </row>
    <row r="214" spans="1:17" ht="15.75">
      <c r="M214" s="243" t="s">
        <v>556</v>
      </c>
      <c r="N214" s="129">
        <f>SUMIF(M$16:M$211,M214,N$16:N$211)</f>
        <v>0</v>
      </c>
      <c r="P214" s="49">
        <f>+N212-N213</f>
        <v>0</v>
      </c>
    </row>
  </sheetData>
  <phoneticPr fontId="30" type="noConversion"/>
  <pageMargins left="0.73" right="0.31496062992125984" top="0.65" bottom="0.98425196850393704" header="0" footer="0"/>
  <pageSetup paperSize="9" scale="52" fitToWidth="2" orientation="portrait" r:id="rId1"/>
  <headerFooter alignWithMargins="0">
    <oddFooter>&amp;L&amp;8&amp;F : &amp;A&amp;R&amp;8&amp;P/&amp;N</oddFooter>
  </headerFooter>
  <rowBreaks count="2" manualBreakCount="2">
    <brk id="84" max="13" man="1"/>
    <brk id="158" max="12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6">
    <tabColor indexed="24"/>
  </sheetPr>
  <dimension ref="B1:W142"/>
  <sheetViews>
    <sheetView showGridLines="0" view="pageBreakPreview" topLeftCell="A112" zoomScaleNormal="100" workbookViewId="0">
      <selection activeCell="D153" sqref="D153"/>
    </sheetView>
  </sheetViews>
  <sheetFormatPr baseColWidth="10" defaultColWidth="11.42578125" defaultRowHeight="11.25" customHeight="1" outlineLevelRow="1"/>
  <cols>
    <col min="1" max="1" width="1.85546875" style="698" bestFit="1" customWidth="1"/>
    <col min="2" max="2" width="13.42578125" style="698" customWidth="1"/>
    <col min="3" max="3" width="50.85546875" style="698" customWidth="1"/>
    <col min="4" max="4" width="12.7109375" style="698" customWidth="1"/>
    <col min="5" max="5" width="11.7109375" style="698" customWidth="1"/>
    <col min="6" max="6" width="11" style="698" customWidth="1"/>
    <col min="7" max="10" width="10.7109375" style="698" customWidth="1"/>
    <col min="11" max="11" width="8.7109375" style="698" customWidth="1"/>
    <col min="12" max="12" width="11" style="698" customWidth="1"/>
    <col min="13" max="13" width="10.140625" style="698" customWidth="1"/>
    <col min="14" max="14" width="11.42578125" style="698"/>
    <col min="15" max="15" width="11.7109375" style="698" customWidth="1"/>
    <col min="16" max="16" width="9.7109375" style="698" customWidth="1"/>
    <col min="17" max="17" width="9" style="698" bestFit="1" customWidth="1"/>
    <col min="18" max="18" width="11" style="698" bestFit="1" customWidth="1"/>
    <col min="19" max="19" width="7.85546875" style="698" bestFit="1" customWidth="1"/>
    <col min="20" max="16384" width="11.42578125" style="698"/>
  </cols>
  <sheetData>
    <row r="1" spans="2:18" ht="11.25" customHeight="1">
      <c r="B1" s="698" t="s">
        <v>1816</v>
      </c>
      <c r="C1" s="698" t="s">
        <v>1817</v>
      </c>
      <c r="D1" s="699"/>
      <c r="E1" s="699"/>
      <c r="I1" s="700"/>
      <c r="J1" s="700"/>
      <c r="K1" s="700"/>
      <c r="L1" s="700"/>
    </row>
    <row r="2" spans="2:18" s="699" customFormat="1" ht="11.25" customHeight="1">
      <c r="B2" s="698" t="s">
        <v>1818</v>
      </c>
      <c r="C2" s="698" t="s">
        <v>1819</v>
      </c>
      <c r="I2" s="700"/>
      <c r="J2" s="700"/>
      <c r="K2" s="700"/>
      <c r="L2" s="700"/>
    </row>
    <row r="3" spans="2:18" s="699" customFormat="1" ht="11.25" customHeight="1">
      <c r="B3" s="698" t="s">
        <v>1820</v>
      </c>
      <c r="C3" s="698" t="s">
        <v>1821</v>
      </c>
      <c r="I3" s="700"/>
      <c r="J3" s="700"/>
      <c r="K3" s="700"/>
      <c r="L3" s="700"/>
    </row>
    <row r="4" spans="2:18" s="699" customFormat="1" ht="11.25" customHeight="1">
      <c r="B4" s="698"/>
      <c r="C4" s="698" t="s">
        <v>1822</v>
      </c>
      <c r="I4" s="700"/>
      <c r="J4" s="700"/>
      <c r="K4" s="700"/>
      <c r="L4" s="700"/>
    </row>
    <row r="5" spans="2:18" s="699" customFormat="1" ht="11.25" customHeight="1">
      <c r="B5" s="698" t="s">
        <v>1823</v>
      </c>
      <c r="C5" s="698" t="s">
        <v>1824</v>
      </c>
      <c r="I5" s="700"/>
      <c r="J5" s="700"/>
      <c r="K5" s="700"/>
      <c r="L5" s="700"/>
    </row>
    <row r="6" spans="2:18" s="699" customFormat="1" ht="11.25" customHeight="1">
      <c r="B6" s="698" t="s">
        <v>1825</v>
      </c>
      <c r="C6" s="701">
        <v>40359</v>
      </c>
      <c r="I6" s="700"/>
      <c r="J6" s="700"/>
      <c r="K6" s="700"/>
      <c r="L6" s="700"/>
    </row>
    <row r="9" spans="2:18" ht="18">
      <c r="B9" s="1687" t="s">
        <v>177</v>
      </c>
      <c r="C9" s="1687"/>
      <c r="D9" s="1687"/>
      <c r="E9" s="1687"/>
      <c r="F9" s="1687"/>
      <c r="G9" s="1687"/>
      <c r="H9" s="1687"/>
      <c r="I9" s="1687"/>
      <c r="J9" s="1687"/>
      <c r="K9" s="1687"/>
      <c r="L9" s="1687"/>
      <c r="M9" s="1687"/>
      <c r="N9" s="1687"/>
      <c r="O9" s="1687"/>
      <c r="P9" s="700"/>
      <c r="Q9" s="700"/>
      <c r="R9" s="700"/>
    </row>
    <row r="10" spans="2:18" ht="18">
      <c r="B10" s="1687" t="str">
        <f>+'Cemento Port I IU 21'!B8:O8</f>
        <v>VALORIZACION Nº 4 - MES DE DICIEMBRE 2021</v>
      </c>
      <c r="C10" s="1687"/>
      <c r="D10" s="1687"/>
      <c r="E10" s="1687"/>
      <c r="F10" s="1687"/>
      <c r="G10" s="1687"/>
      <c r="H10" s="1687"/>
      <c r="I10" s="1687"/>
      <c r="J10" s="1687"/>
      <c r="K10" s="1687"/>
      <c r="L10" s="1687"/>
      <c r="M10" s="1687"/>
      <c r="N10" s="1687"/>
      <c r="O10" s="1687"/>
      <c r="P10" s="700"/>
      <c r="Q10" s="700"/>
      <c r="R10" s="700"/>
    </row>
    <row r="11" spans="2:18" ht="15">
      <c r="B11" s="1707" t="str">
        <f>+'Cemento Port I IU 21'!B9:O9</f>
        <v>CONTRATO PRINCIPAL</v>
      </c>
      <c r="C11" s="1707"/>
      <c r="D11" s="1707"/>
      <c r="E11" s="1707"/>
      <c r="F11" s="1707"/>
      <c r="G11" s="1707"/>
      <c r="H11" s="1707"/>
      <c r="I11" s="1707"/>
      <c r="J11" s="1707"/>
      <c r="K11" s="1707"/>
      <c r="L11" s="1707"/>
      <c r="M11" s="1707"/>
      <c r="N11" s="1707"/>
      <c r="O11" s="1707"/>
    </row>
    <row r="12" spans="2:18" ht="11.25" customHeight="1">
      <c r="B12" s="698" t="s">
        <v>299</v>
      </c>
      <c r="D12" s="702">
        <v>121902.38</v>
      </c>
      <c r="E12" s="698" t="s">
        <v>178</v>
      </c>
      <c r="I12" s="699" t="s">
        <v>179</v>
      </c>
      <c r="K12" s="699" t="s">
        <v>180</v>
      </c>
      <c r="M12" s="699"/>
    </row>
    <row r="13" spans="2:18" ht="11.25" customHeight="1">
      <c r="B13" s="698" t="s">
        <v>290</v>
      </c>
      <c r="D13" s="703">
        <f>+'Cemento Port I IU 21'!D11</f>
        <v>44172</v>
      </c>
      <c r="E13" s="704"/>
      <c r="I13" s="698" t="s">
        <v>182</v>
      </c>
    </row>
    <row r="14" spans="2:18" ht="11.25" customHeight="1">
      <c r="B14" s="699" t="s">
        <v>183</v>
      </c>
      <c r="C14" s="699" t="s">
        <v>300</v>
      </c>
      <c r="E14" s="705"/>
      <c r="F14" s="706"/>
      <c r="I14" s="707" t="s">
        <v>185</v>
      </c>
      <c r="K14" s="698" t="s">
        <v>186</v>
      </c>
    </row>
    <row r="15" spans="2:18" ht="11.25" customHeight="1">
      <c r="B15" s="699" t="s">
        <v>187</v>
      </c>
      <c r="C15" s="708" t="s">
        <v>301</v>
      </c>
      <c r="E15" s="705"/>
      <c r="F15" s="706"/>
      <c r="I15" s="707" t="s">
        <v>188</v>
      </c>
      <c r="K15" s="698" t="s">
        <v>189</v>
      </c>
    </row>
    <row r="16" spans="2:18" ht="11.25" customHeight="1">
      <c r="B16" s="698" t="str">
        <f>+'Cemento Port I IU 21'!B14</f>
        <v>Indice INEI a la Fecha del P. Base   (Abril 2,018)</v>
      </c>
      <c r="D16" s="709">
        <v>327.07</v>
      </c>
      <c r="I16" s="707" t="s">
        <v>191</v>
      </c>
      <c r="K16" s="698" t="s">
        <v>192</v>
      </c>
    </row>
    <row r="17" spans="2:23" ht="11.25" customHeight="1">
      <c r="B17" s="698" t="str">
        <f>+'Cemento Port I IU 21'!B15</f>
        <v>Indice INEI a la Fecha del Pago del Adelanto  (Diciembre 2,020) - Se tomara de Octubre</v>
      </c>
      <c r="D17" s="709">
        <f>+K!V15</f>
        <v>0</v>
      </c>
      <c r="E17" s="710">
        <f>+'Cemento Port I IU 21'!E15</f>
        <v>0</v>
      </c>
      <c r="I17" s="707" t="s">
        <v>193</v>
      </c>
      <c r="K17" s="698" t="s">
        <v>194</v>
      </c>
    </row>
    <row r="18" spans="2:23" ht="11.25" customHeight="1">
      <c r="I18" s="707" t="s">
        <v>195</v>
      </c>
      <c r="K18" s="698" t="s">
        <v>196</v>
      </c>
      <c r="M18" s="713">
        <v>1</v>
      </c>
    </row>
    <row r="19" spans="2:23" ht="11.25" customHeight="1">
      <c r="B19" s="39" t="str">
        <f>+'Cemento Port I IU 21'!B17</f>
        <v>1.- CALCULO DE LA AMORTIZACION CON EL AVANCE DE LA VALORIZACION Nº 09 (MAR 21)</v>
      </c>
      <c r="K19" s="698" t="str">
        <f>+'Cemento Port I IU 21'!K17</f>
        <v>Para Obras A Precios Unitarios, FR es igual a 1.0000</v>
      </c>
    </row>
    <row r="20" spans="2:23" ht="11.25" customHeight="1">
      <c r="B20" s="715"/>
      <c r="C20" s="715"/>
      <c r="D20" s="715"/>
      <c r="E20" s="715"/>
      <c r="F20" s="715"/>
      <c r="G20" s="715"/>
      <c r="H20" s="715"/>
      <c r="I20" s="715"/>
      <c r="J20" s="715"/>
      <c r="K20" s="715"/>
      <c r="L20" s="715"/>
      <c r="M20" s="715"/>
      <c r="N20" s="715"/>
      <c r="O20" s="715"/>
    </row>
    <row r="21" spans="2:23" ht="11.25" customHeight="1">
      <c r="B21" s="1685" t="s">
        <v>198</v>
      </c>
      <c r="C21" s="1685" t="s">
        <v>199</v>
      </c>
      <c r="D21" s="1693" t="s">
        <v>601</v>
      </c>
      <c r="E21" s="1678" t="s">
        <v>200</v>
      </c>
      <c r="F21" s="1680"/>
      <c r="G21" s="1678" t="s">
        <v>201</v>
      </c>
      <c r="H21" s="1680"/>
      <c r="I21" s="1678" t="s">
        <v>202</v>
      </c>
      <c r="J21" s="1680"/>
      <c r="K21" s="1685" t="s">
        <v>203</v>
      </c>
      <c r="L21" s="1678" t="s">
        <v>204</v>
      </c>
      <c r="M21" s="1680"/>
      <c r="N21" s="1678" t="s">
        <v>423</v>
      </c>
      <c r="O21" s="1680"/>
      <c r="P21" s="700"/>
      <c r="Q21" s="1695" t="s">
        <v>205</v>
      </c>
      <c r="R21" s="1696"/>
      <c r="S21" s="1697"/>
      <c r="T21" s="710" t="s">
        <v>364</v>
      </c>
      <c r="U21" s="1695" t="s">
        <v>331</v>
      </c>
      <c r="V21" s="1696"/>
      <c r="W21" s="1697"/>
    </row>
    <row r="22" spans="2:23" ht="21" customHeight="1">
      <c r="B22" s="1686"/>
      <c r="C22" s="1686"/>
      <c r="D22" s="1694"/>
      <c r="E22" s="717" t="s">
        <v>206</v>
      </c>
      <c r="F22" s="718" t="s">
        <v>207</v>
      </c>
      <c r="G22" s="717" t="s">
        <v>452</v>
      </c>
      <c r="H22" s="718" t="s">
        <v>208</v>
      </c>
      <c r="I22" s="717" t="s">
        <v>452</v>
      </c>
      <c r="J22" s="718" t="s">
        <v>208</v>
      </c>
      <c r="K22" s="1686"/>
      <c r="L22" s="717" t="s">
        <v>467</v>
      </c>
      <c r="M22" s="718" t="s">
        <v>468</v>
      </c>
      <c r="N22" s="717" t="s">
        <v>209</v>
      </c>
      <c r="O22" s="718" t="s">
        <v>210</v>
      </c>
      <c r="Q22" s="954" t="s">
        <v>211</v>
      </c>
      <c r="R22" s="955" t="s">
        <v>394</v>
      </c>
      <c r="S22" s="956" t="s">
        <v>451</v>
      </c>
      <c r="T22" s="710"/>
      <c r="U22" s="954" t="s">
        <v>211</v>
      </c>
      <c r="V22" s="955" t="s">
        <v>394</v>
      </c>
      <c r="W22" s="956" t="s">
        <v>451</v>
      </c>
    </row>
    <row r="23" spans="2:23" ht="11.25" customHeight="1">
      <c r="B23" s="722" t="str">
        <f>+B$14</f>
        <v>Material:</v>
      </c>
      <c r="C23" s="723" t="str">
        <f>+C14</f>
        <v>MADERA TERCIADA PARA ENCOFRADO</v>
      </c>
      <c r="D23" s="724"/>
      <c r="E23" s="724"/>
      <c r="F23" s="725"/>
      <c r="G23" s="726"/>
      <c r="H23" s="727"/>
      <c r="I23" s="726"/>
      <c r="J23" s="728"/>
      <c r="K23" s="729"/>
      <c r="L23" s="724"/>
      <c r="M23" s="725"/>
      <c r="N23" s="730"/>
      <c r="O23" s="728"/>
      <c r="Q23" s="957"/>
      <c r="R23" s="958"/>
      <c r="S23" s="959"/>
      <c r="T23" s="710"/>
      <c r="U23" s="957"/>
      <c r="V23" s="958"/>
      <c r="W23" s="959"/>
    </row>
    <row r="24" spans="2:23" ht="11.25" customHeight="1">
      <c r="B24" s="722" t="s">
        <v>212</v>
      </c>
      <c r="C24" s="733" t="s">
        <v>302</v>
      </c>
      <c r="D24" s="724"/>
      <c r="E24" s="724"/>
      <c r="F24" s="734"/>
      <c r="G24" s="726"/>
      <c r="H24" s="727"/>
      <c r="I24" s="726"/>
      <c r="J24" s="727"/>
      <c r="K24" s="729"/>
      <c r="L24" s="724"/>
      <c r="M24" s="725"/>
      <c r="N24" s="730"/>
      <c r="O24" s="728"/>
      <c r="Q24" s="960"/>
      <c r="R24" s="961"/>
      <c r="S24" s="959"/>
      <c r="T24" s="710"/>
      <c r="U24" s="960">
        <v>6.92</v>
      </c>
      <c r="V24" s="961">
        <f>+U24</f>
        <v>6.92</v>
      </c>
      <c r="W24" s="959">
        <v>121902.38</v>
      </c>
    </row>
    <row r="25" spans="2:23" ht="11.25" customHeight="1">
      <c r="B25" s="736" t="s">
        <v>53</v>
      </c>
      <c r="C25" s="737" t="s">
        <v>54</v>
      </c>
      <c r="D25" s="738" t="s">
        <v>173</v>
      </c>
      <c r="E25" s="739">
        <v>1</v>
      </c>
      <c r="F25" s="740">
        <v>3.5499999999999997E-2</v>
      </c>
      <c r="G25" s="741">
        <v>18363.259999999998</v>
      </c>
      <c r="H25" s="742">
        <f t="shared" ref="H25:H41" si="0">+ROUND(E25*F25*G25,2)</f>
        <v>651.9</v>
      </c>
      <c r="I25" s="743">
        <f>LOOKUP(B25,valoriz!$A$13:$A$242,valoriz!I$13:I$242)</f>
        <v>0</v>
      </c>
      <c r="J25" s="972">
        <f>+ROUND(E25*F25*I25,2)+37.49</f>
        <v>37.49</v>
      </c>
      <c r="K25" s="745">
        <v>102.5</v>
      </c>
      <c r="L25" s="746">
        <f t="shared" ref="L25:L41" si="1">D$17</f>
        <v>0</v>
      </c>
      <c r="M25" s="747">
        <f t="shared" ref="M25:M41" si="2">D$16</f>
        <v>327.07</v>
      </c>
      <c r="N25" s="748">
        <f t="shared" ref="N25:N41" si="3">+ROUND(J25*K25*M$18,2)</f>
        <v>3842.73</v>
      </c>
      <c r="O25" s="744">
        <f t="shared" ref="O25:O41" si="4">+ROUND(J25*K25*L25*M$18/M25,2)</f>
        <v>0</v>
      </c>
      <c r="Q25" s="960">
        <v>614.41</v>
      </c>
      <c r="R25" s="962">
        <f>+J25+Q25</f>
        <v>651.9</v>
      </c>
      <c r="S25" s="963">
        <f t="shared" ref="S25:S41" si="5">+H25-R25</f>
        <v>0</v>
      </c>
      <c r="T25" s="964">
        <v>10</v>
      </c>
      <c r="U25" s="965">
        <f t="shared" ref="U25:U41" si="6">+ROUND(Q25*$K25*$L25/$M25,2)</f>
        <v>0</v>
      </c>
      <c r="V25" s="966">
        <f t="shared" ref="V25:V41" si="7">+ROUND(R25*$K25*$L25/$M25,2)</f>
        <v>0</v>
      </c>
      <c r="W25" s="967"/>
    </row>
    <row r="26" spans="2:23" ht="11.25" customHeight="1">
      <c r="B26" s="736" t="s">
        <v>57</v>
      </c>
      <c r="C26" s="737" t="s">
        <v>58</v>
      </c>
      <c r="D26" s="738" t="s">
        <v>174</v>
      </c>
      <c r="E26" s="739">
        <v>0.30399999999999999</v>
      </c>
      <c r="F26" s="740">
        <v>4.3999999999999997E-2</v>
      </c>
      <c r="G26" s="752">
        <v>4206</v>
      </c>
      <c r="H26" s="742">
        <f t="shared" si="0"/>
        <v>56.26</v>
      </c>
      <c r="I26" s="743">
        <f>LOOKUP(B26,valoriz!$A$13:$A$242,valoriz!I$13:I$242)</f>
        <v>0</v>
      </c>
      <c r="J26" s="972">
        <f>+ROUND(E26*F26*I26,2)</f>
        <v>0</v>
      </c>
      <c r="K26" s="745">
        <f t="shared" ref="K26:K41" si="8">+K25</f>
        <v>102.5</v>
      </c>
      <c r="L26" s="746">
        <f t="shared" si="1"/>
        <v>0</v>
      </c>
      <c r="M26" s="747">
        <f t="shared" si="2"/>
        <v>327.07</v>
      </c>
      <c r="N26" s="748">
        <f t="shared" si="3"/>
        <v>0</v>
      </c>
      <c r="O26" s="744">
        <f t="shared" si="4"/>
        <v>0</v>
      </c>
      <c r="Q26" s="960">
        <v>56.26</v>
      </c>
      <c r="R26" s="962">
        <f t="shared" ref="R26:R41" si="9">+J26+Q26</f>
        <v>56.26</v>
      </c>
      <c r="S26" s="963">
        <f t="shared" si="5"/>
        <v>0</v>
      </c>
      <c r="T26" s="964">
        <v>2.69</v>
      </c>
      <c r="U26" s="965">
        <f t="shared" si="6"/>
        <v>0</v>
      </c>
      <c r="V26" s="966">
        <f t="shared" si="7"/>
        <v>0</v>
      </c>
      <c r="W26" s="967"/>
    </row>
    <row r="27" spans="2:23" ht="11.25" customHeight="1">
      <c r="B27" s="736" t="s">
        <v>59</v>
      </c>
      <c r="C27" s="737" t="s">
        <v>60</v>
      </c>
      <c r="D27" s="738" t="s">
        <v>174</v>
      </c>
      <c r="E27" s="739">
        <v>0.06</v>
      </c>
      <c r="F27" s="753">
        <v>4.3999999999999997E-2</v>
      </c>
      <c r="G27" s="754">
        <v>3942</v>
      </c>
      <c r="H27" s="742">
        <f t="shared" si="0"/>
        <v>10.41</v>
      </c>
      <c r="I27" s="743">
        <f>LOOKUP(B27,valoriz!$A$13:$A$242,valoriz!I$13:I$242)</f>
        <v>0</v>
      </c>
      <c r="J27" s="972">
        <f>+ROUND(E27*F27*I27,2)</f>
        <v>0</v>
      </c>
      <c r="K27" s="745">
        <f t="shared" si="8"/>
        <v>102.5</v>
      </c>
      <c r="L27" s="746">
        <f t="shared" si="1"/>
        <v>0</v>
      </c>
      <c r="M27" s="747">
        <f t="shared" si="2"/>
        <v>327.07</v>
      </c>
      <c r="N27" s="748">
        <f t="shared" si="3"/>
        <v>0</v>
      </c>
      <c r="O27" s="744">
        <f t="shared" si="4"/>
        <v>0</v>
      </c>
      <c r="Q27" s="960">
        <v>9.61</v>
      </c>
      <c r="R27" s="962">
        <f t="shared" si="9"/>
        <v>9.61</v>
      </c>
      <c r="S27" s="963">
        <f t="shared" si="5"/>
        <v>0.80000000000000071</v>
      </c>
      <c r="T27" s="964">
        <v>3.41</v>
      </c>
      <c r="U27" s="965">
        <f t="shared" si="6"/>
        <v>0</v>
      </c>
      <c r="V27" s="966">
        <f t="shared" si="7"/>
        <v>0</v>
      </c>
      <c r="W27" s="967"/>
    </row>
    <row r="28" spans="2:23" ht="11.25" customHeight="1">
      <c r="B28" s="736" t="s">
        <v>61</v>
      </c>
      <c r="C28" s="737" t="s">
        <v>62</v>
      </c>
      <c r="D28" s="755" t="s">
        <v>174</v>
      </c>
      <c r="E28" s="756">
        <v>0.05</v>
      </c>
      <c r="F28" s="753">
        <v>4.3999999999999997E-2</v>
      </c>
      <c r="G28" s="754">
        <v>41679.79</v>
      </c>
      <c r="H28" s="742">
        <f t="shared" si="0"/>
        <v>91.7</v>
      </c>
      <c r="I28" s="743">
        <f>LOOKUP(B28,valoriz!$A$13:$A$242,valoriz!I$13:I$242)</f>
        <v>0</v>
      </c>
      <c r="J28" s="972">
        <f>+ROUND(E28*F28*I28,2)+31.49</f>
        <v>31.49</v>
      </c>
      <c r="K28" s="745">
        <f t="shared" si="8"/>
        <v>102.5</v>
      </c>
      <c r="L28" s="746">
        <f t="shared" si="1"/>
        <v>0</v>
      </c>
      <c r="M28" s="747">
        <f t="shared" si="2"/>
        <v>327.07</v>
      </c>
      <c r="N28" s="748">
        <f t="shared" si="3"/>
        <v>3227.73</v>
      </c>
      <c r="O28" s="744">
        <f t="shared" si="4"/>
        <v>0</v>
      </c>
      <c r="Q28" s="960">
        <v>45.74</v>
      </c>
      <c r="R28" s="962">
        <f t="shared" si="9"/>
        <v>77.23</v>
      </c>
      <c r="S28" s="963">
        <f t="shared" si="5"/>
        <v>14.469999999999999</v>
      </c>
      <c r="T28" s="964"/>
      <c r="U28" s="965">
        <f t="shared" si="6"/>
        <v>0</v>
      </c>
      <c r="V28" s="966">
        <f t="shared" si="7"/>
        <v>0</v>
      </c>
      <c r="W28" s="967"/>
    </row>
    <row r="29" spans="2:23" ht="11.25" customHeight="1">
      <c r="B29" s="757" t="s">
        <v>63</v>
      </c>
      <c r="C29" s="758" t="s">
        <v>64</v>
      </c>
      <c r="D29" s="755" t="s">
        <v>174</v>
      </c>
      <c r="E29" s="756">
        <v>0.5</v>
      </c>
      <c r="F29" s="753">
        <v>4.3999999999999997E-2</v>
      </c>
      <c r="G29" s="754">
        <v>4324.7</v>
      </c>
      <c r="H29" s="742">
        <f t="shared" si="0"/>
        <v>95.14</v>
      </c>
      <c r="I29" s="743">
        <f>LOOKUP(B29,valoriz!$A$13:$A$242,valoriz!I$13:I$242)</f>
        <v>0</v>
      </c>
      <c r="J29" s="744">
        <f>+ROUND(E29*F29*I29,2)</f>
        <v>0</v>
      </c>
      <c r="K29" s="745">
        <f t="shared" si="8"/>
        <v>102.5</v>
      </c>
      <c r="L29" s="746">
        <f t="shared" si="1"/>
        <v>0</v>
      </c>
      <c r="M29" s="747">
        <f t="shared" si="2"/>
        <v>327.07</v>
      </c>
      <c r="N29" s="748">
        <f t="shared" si="3"/>
        <v>0</v>
      </c>
      <c r="O29" s="744">
        <f t="shared" si="4"/>
        <v>0</v>
      </c>
      <c r="Q29" s="960">
        <v>95.15</v>
      </c>
      <c r="R29" s="962">
        <f t="shared" si="9"/>
        <v>95.15</v>
      </c>
      <c r="S29" s="963">
        <f t="shared" si="5"/>
        <v>-1.0000000000005116E-2</v>
      </c>
      <c r="T29" s="964"/>
      <c r="U29" s="965">
        <f t="shared" si="6"/>
        <v>0</v>
      </c>
      <c r="V29" s="966">
        <f t="shared" si="7"/>
        <v>0</v>
      </c>
      <c r="W29" s="967"/>
    </row>
    <row r="30" spans="2:23" ht="11.25" customHeight="1">
      <c r="B30" s="757" t="s">
        <v>65</v>
      </c>
      <c r="C30" s="758" t="s">
        <v>66</v>
      </c>
      <c r="D30" s="755" t="s">
        <v>174</v>
      </c>
      <c r="E30" s="756">
        <v>1.1200000000000001</v>
      </c>
      <c r="F30" s="753">
        <v>4.3999999999999997E-2</v>
      </c>
      <c r="G30" s="754">
        <v>93</v>
      </c>
      <c r="H30" s="742">
        <f t="shared" si="0"/>
        <v>4.58</v>
      </c>
      <c r="I30" s="743">
        <f>LOOKUP(B30,valoriz!$A$13:$A$242,valoriz!I$13:I$242)</f>
        <v>0</v>
      </c>
      <c r="J30" s="744">
        <f>+ROUND(E30*F30*I30,2)</f>
        <v>0</v>
      </c>
      <c r="K30" s="745">
        <f t="shared" si="8"/>
        <v>102.5</v>
      </c>
      <c r="L30" s="746">
        <f t="shared" si="1"/>
        <v>0</v>
      </c>
      <c r="M30" s="747">
        <f t="shared" si="2"/>
        <v>327.07</v>
      </c>
      <c r="N30" s="748">
        <f t="shared" si="3"/>
        <v>0</v>
      </c>
      <c r="O30" s="744">
        <f t="shared" si="4"/>
        <v>0</v>
      </c>
      <c r="Q30" s="960">
        <v>2.3199999999999998</v>
      </c>
      <c r="R30" s="962">
        <f t="shared" si="9"/>
        <v>2.3199999999999998</v>
      </c>
      <c r="S30" s="963">
        <f t="shared" si="5"/>
        <v>2.2600000000000002</v>
      </c>
      <c r="T30" s="964"/>
      <c r="U30" s="965">
        <f t="shared" si="6"/>
        <v>0</v>
      </c>
      <c r="V30" s="966">
        <f t="shared" si="7"/>
        <v>0</v>
      </c>
      <c r="W30" s="967"/>
    </row>
    <row r="31" spans="2:23" ht="11.25" customHeight="1">
      <c r="B31" s="757" t="s">
        <v>67</v>
      </c>
      <c r="C31" s="758" t="s">
        <v>68</v>
      </c>
      <c r="D31" s="738" t="s">
        <v>174</v>
      </c>
      <c r="E31" s="739">
        <v>0.3</v>
      </c>
      <c r="F31" s="753">
        <v>4.3999999999999997E-2</v>
      </c>
      <c r="G31" s="754">
        <v>212</v>
      </c>
      <c r="H31" s="742">
        <f t="shared" si="0"/>
        <v>2.8</v>
      </c>
      <c r="I31" s="743">
        <f>LOOKUP(B31,valoriz!$A$13:$A$242,valoriz!I$13:I$242)</f>
        <v>0</v>
      </c>
      <c r="J31" s="744">
        <f>+ROUND(E31*F31*I31,2)</f>
        <v>0</v>
      </c>
      <c r="K31" s="745">
        <f t="shared" si="8"/>
        <v>102.5</v>
      </c>
      <c r="L31" s="746">
        <f t="shared" si="1"/>
        <v>0</v>
      </c>
      <c r="M31" s="747">
        <f t="shared" si="2"/>
        <v>327.07</v>
      </c>
      <c r="N31" s="748">
        <f t="shared" si="3"/>
        <v>0</v>
      </c>
      <c r="O31" s="744">
        <f t="shared" si="4"/>
        <v>0</v>
      </c>
      <c r="Q31" s="960">
        <v>2.8</v>
      </c>
      <c r="R31" s="962">
        <f t="shared" si="9"/>
        <v>2.8</v>
      </c>
      <c r="S31" s="963">
        <f t="shared" si="5"/>
        <v>0</v>
      </c>
      <c r="T31" s="964"/>
      <c r="U31" s="965">
        <f t="shared" si="6"/>
        <v>0</v>
      </c>
      <c r="V31" s="966">
        <f t="shared" si="7"/>
        <v>0</v>
      </c>
      <c r="W31" s="967"/>
    </row>
    <row r="32" spans="2:23" ht="11.25" customHeight="1">
      <c r="B32" s="757" t="s">
        <v>69</v>
      </c>
      <c r="C32" s="758" t="s">
        <v>70</v>
      </c>
      <c r="D32" s="738" t="s">
        <v>174</v>
      </c>
      <c r="E32" s="739">
        <v>1</v>
      </c>
      <c r="F32" s="753">
        <v>4.3999999999999997E-2</v>
      </c>
      <c r="G32" s="752">
        <v>90</v>
      </c>
      <c r="H32" s="742">
        <f t="shared" si="0"/>
        <v>3.96</v>
      </c>
      <c r="I32" s="743">
        <f>LOOKUP(B32,valoriz!$A$13:$A$242,valoriz!I$13:I$242)</f>
        <v>0</v>
      </c>
      <c r="J32" s="972">
        <f>+ROUND(E32*F32*I32,2)+3.3032</f>
        <v>3.3031999999999999</v>
      </c>
      <c r="K32" s="745">
        <f t="shared" si="8"/>
        <v>102.5</v>
      </c>
      <c r="L32" s="746">
        <f t="shared" si="1"/>
        <v>0</v>
      </c>
      <c r="M32" s="747">
        <f t="shared" si="2"/>
        <v>327.07</v>
      </c>
      <c r="N32" s="748">
        <f t="shared" si="3"/>
        <v>338.58</v>
      </c>
      <c r="O32" s="744">
        <f t="shared" si="4"/>
        <v>0</v>
      </c>
      <c r="Q32" s="960">
        <v>0</v>
      </c>
      <c r="R32" s="962">
        <f t="shared" si="9"/>
        <v>3.3031999999999999</v>
      </c>
      <c r="S32" s="963">
        <f t="shared" si="5"/>
        <v>0.65680000000000005</v>
      </c>
      <c r="T32" s="964"/>
      <c r="U32" s="965">
        <f t="shared" si="6"/>
        <v>0</v>
      </c>
      <c r="V32" s="966">
        <f t="shared" si="7"/>
        <v>0</v>
      </c>
      <c r="W32" s="967"/>
    </row>
    <row r="33" spans="2:23" ht="11.25" customHeight="1">
      <c r="B33" s="757" t="s">
        <v>71</v>
      </c>
      <c r="C33" s="758" t="s">
        <v>72</v>
      </c>
      <c r="D33" s="738" t="s">
        <v>174</v>
      </c>
      <c r="E33" s="739">
        <v>0.30399999999999999</v>
      </c>
      <c r="F33" s="753">
        <v>4.3999999999999997E-2</v>
      </c>
      <c r="G33" s="752">
        <v>4332.3</v>
      </c>
      <c r="H33" s="742">
        <f t="shared" si="0"/>
        <v>57.95</v>
      </c>
      <c r="I33" s="743">
        <f>LOOKUP(B33,valoriz!$A$13:$A$242,valoriz!I$13:I$242)</f>
        <v>0</v>
      </c>
      <c r="J33" s="972">
        <f>+ROUND(E33*F33*I33,2)+29.45</f>
        <v>29.45</v>
      </c>
      <c r="K33" s="745">
        <f t="shared" si="8"/>
        <v>102.5</v>
      </c>
      <c r="L33" s="746">
        <f t="shared" si="1"/>
        <v>0</v>
      </c>
      <c r="M33" s="747">
        <f t="shared" si="2"/>
        <v>327.07</v>
      </c>
      <c r="N33" s="748">
        <f t="shared" si="3"/>
        <v>3018.63</v>
      </c>
      <c r="O33" s="744">
        <f t="shared" si="4"/>
        <v>0</v>
      </c>
      <c r="Q33" s="960">
        <v>25.8</v>
      </c>
      <c r="R33" s="962">
        <f t="shared" si="9"/>
        <v>55.25</v>
      </c>
      <c r="S33" s="963">
        <f t="shared" si="5"/>
        <v>2.7000000000000028</v>
      </c>
      <c r="T33" s="964">
        <v>2.48</v>
      </c>
      <c r="U33" s="965">
        <f t="shared" si="6"/>
        <v>0</v>
      </c>
      <c r="V33" s="966">
        <f t="shared" si="7"/>
        <v>0</v>
      </c>
      <c r="W33" s="967"/>
    </row>
    <row r="34" spans="2:23" ht="11.25" customHeight="1">
      <c r="B34" s="757" t="s">
        <v>73</v>
      </c>
      <c r="C34" s="758" t="s">
        <v>74</v>
      </c>
      <c r="D34" s="755" t="s">
        <v>174</v>
      </c>
      <c r="E34" s="739">
        <v>0.15</v>
      </c>
      <c r="F34" s="753">
        <v>4.3999999999999997E-2</v>
      </c>
      <c r="G34" s="754">
        <v>1965</v>
      </c>
      <c r="H34" s="742">
        <f t="shared" si="0"/>
        <v>12.97</v>
      </c>
      <c r="I34" s="743">
        <f>LOOKUP(B34,valoriz!$A$13:$A$242,valoriz!I$13:I$242)</f>
        <v>0</v>
      </c>
      <c r="J34" s="972">
        <f>+ROUND(E34*F34*I34,2)+9.81</f>
        <v>9.81</v>
      </c>
      <c r="K34" s="745">
        <f t="shared" si="8"/>
        <v>102.5</v>
      </c>
      <c r="L34" s="746">
        <f t="shared" si="1"/>
        <v>0</v>
      </c>
      <c r="M34" s="747">
        <f t="shared" si="2"/>
        <v>327.07</v>
      </c>
      <c r="N34" s="748">
        <f t="shared" si="3"/>
        <v>1005.53</v>
      </c>
      <c r="O34" s="744">
        <f t="shared" si="4"/>
        <v>0</v>
      </c>
      <c r="Q34" s="960">
        <v>2.59</v>
      </c>
      <c r="R34" s="962">
        <f t="shared" si="9"/>
        <v>12.4</v>
      </c>
      <c r="S34" s="963">
        <f t="shared" si="5"/>
        <v>0.57000000000000028</v>
      </c>
      <c r="T34" s="964"/>
      <c r="U34" s="965">
        <f t="shared" si="6"/>
        <v>0</v>
      </c>
      <c r="V34" s="966">
        <f t="shared" si="7"/>
        <v>0</v>
      </c>
      <c r="W34" s="967"/>
    </row>
    <row r="35" spans="2:23" ht="11.25" customHeight="1">
      <c r="B35" s="757" t="s">
        <v>75</v>
      </c>
      <c r="C35" s="758" t="s">
        <v>76</v>
      </c>
      <c r="D35" s="755" t="s">
        <v>174</v>
      </c>
      <c r="E35" s="739">
        <v>0.30399999999999999</v>
      </c>
      <c r="F35" s="753">
        <v>4.3999999999999997E-2</v>
      </c>
      <c r="G35" s="754">
        <v>215</v>
      </c>
      <c r="H35" s="742">
        <f t="shared" si="0"/>
        <v>2.88</v>
      </c>
      <c r="I35" s="743">
        <f>LOOKUP(B35,valoriz!$A$13:$A$242,valoriz!I$13:I$242)</f>
        <v>0</v>
      </c>
      <c r="J35" s="744">
        <f>+ROUND(E35*F35*I35,2)</f>
        <v>0</v>
      </c>
      <c r="K35" s="745">
        <f t="shared" si="8"/>
        <v>102.5</v>
      </c>
      <c r="L35" s="746">
        <f t="shared" si="1"/>
        <v>0</v>
      </c>
      <c r="M35" s="747">
        <f t="shared" si="2"/>
        <v>327.07</v>
      </c>
      <c r="N35" s="748">
        <f t="shared" si="3"/>
        <v>0</v>
      </c>
      <c r="O35" s="744">
        <f t="shared" si="4"/>
        <v>0</v>
      </c>
      <c r="Q35" s="960">
        <v>0</v>
      </c>
      <c r="R35" s="962">
        <f t="shared" si="9"/>
        <v>0</v>
      </c>
      <c r="S35" s="963">
        <f t="shared" si="5"/>
        <v>2.88</v>
      </c>
      <c r="T35" s="964"/>
      <c r="U35" s="965">
        <f t="shared" si="6"/>
        <v>0</v>
      </c>
      <c r="V35" s="966">
        <f t="shared" si="7"/>
        <v>0</v>
      </c>
      <c r="W35" s="967"/>
    </row>
    <row r="36" spans="2:23" ht="11.25" customHeight="1">
      <c r="B36" s="757" t="s">
        <v>77</v>
      </c>
      <c r="C36" s="758" t="s">
        <v>78</v>
      </c>
      <c r="D36" s="755" t="s">
        <v>174</v>
      </c>
      <c r="E36" s="739">
        <v>0.30399999999999999</v>
      </c>
      <c r="F36" s="753">
        <v>4.3999999999999997E-2</v>
      </c>
      <c r="G36" s="754">
        <v>1676</v>
      </c>
      <c r="H36" s="742">
        <f t="shared" si="0"/>
        <v>22.42</v>
      </c>
      <c r="I36" s="743">
        <f>LOOKUP(B36,valoriz!$A$13:$A$242,valoriz!I$13:I$242)</f>
        <v>0</v>
      </c>
      <c r="J36" s="972">
        <f>+ROUND(E36*F36*I36,2)+11.32</f>
        <v>11.32</v>
      </c>
      <c r="K36" s="745">
        <f t="shared" si="8"/>
        <v>102.5</v>
      </c>
      <c r="L36" s="746">
        <f t="shared" si="1"/>
        <v>0</v>
      </c>
      <c r="M36" s="747">
        <f t="shared" si="2"/>
        <v>327.07</v>
      </c>
      <c r="N36" s="748">
        <f t="shared" si="3"/>
        <v>1160.3</v>
      </c>
      <c r="O36" s="744">
        <f t="shared" si="4"/>
        <v>0</v>
      </c>
      <c r="Q36" s="960">
        <v>11.1</v>
      </c>
      <c r="R36" s="962">
        <f t="shared" si="9"/>
        <v>22.42</v>
      </c>
      <c r="S36" s="963">
        <f t="shared" si="5"/>
        <v>0</v>
      </c>
      <c r="T36" s="964"/>
      <c r="U36" s="965">
        <f t="shared" si="6"/>
        <v>0</v>
      </c>
      <c r="V36" s="966">
        <f t="shared" si="7"/>
        <v>0</v>
      </c>
      <c r="W36" s="967"/>
    </row>
    <row r="37" spans="2:23" ht="11.25" customHeight="1">
      <c r="B37" s="757" t="s">
        <v>79</v>
      </c>
      <c r="C37" s="758" t="s">
        <v>80</v>
      </c>
      <c r="D37" s="755" t="s">
        <v>174</v>
      </c>
      <c r="E37" s="739">
        <v>0.15</v>
      </c>
      <c r="F37" s="753">
        <v>4.3999999999999997E-2</v>
      </c>
      <c r="G37" s="754">
        <v>348</v>
      </c>
      <c r="H37" s="742">
        <f t="shared" si="0"/>
        <v>2.2999999999999998</v>
      </c>
      <c r="I37" s="743">
        <f>LOOKUP(B37,valoriz!$A$13:$A$242,valoriz!I$13:I$242)</f>
        <v>0</v>
      </c>
      <c r="J37" s="744">
        <f>+ROUND(E37*F37*I37,2)</f>
        <v>0</v>
      </c>
      <c r="K37" s="745">
        <f t="shared" si="8"/>
        <v>102.5</v>
      </c>
      <c r="L37" s="746">
        <f t="shared" si="1"/>
        <v>0</v>
      </c>
      <c r="M37" s="747">
        <f t="shared" si="2"/>
        <v>327.07</v>
      </c>
      <c r="N37" s="748">
        <f t="shared" si="3"/>
        <v>0</v>
      </c>
      <c r="O37" s="744">
        <f t="shared" si="4"/>
        <v>0</v>
      </c>
      <c r="Q37" s="960">
        <v>0</v>
      </c>
      <c r="R37" s="962">
        <f t="shared" si="9"/>
        <v>0</v>
      </c>
      <c r="S37" s="963">
        <f t="shared" si="5"/>
        <v>2.2999999999999998</v>
      </c>
      <c r="T37" s="964"/>
      <c r="U37" s="965">
        <f t="shared" si="6"/>
        <v>0</v>
      </c>
      <c r="V37" s="966">
        <f t="shared" si="7"/>
        <v>0</v>
      </c>
      <c r="W37" s="967"/>
    </row>
    <row r="38" spans="2:23" ht="11.25" customHeight="1">
      <c r="B38" s="757" t="s">
        <v>81</v>
      </c>
      <c r="C38" s="758" t="s">
        <v>82</v>
      </c>
      <c r="D38" s="755" t="s">
        <v>601</v>
      </c>
      <c r="E38" s="739">
        <v>2.2000000000000002</v>
      </c>
      <c r="F38" s="753">
        <v>4.3999999999999997E-2</v>
      </c>
      <c r="G38" s="754">
        <v>60</v>
      </c>
      <c r="H38" s="742">
        <f t="shared" si="0"/>
        <v>5.81</v>
      </c>
      <c r="I38" s="743">
        <f>LOOKUP(B38,valoriz!$A$13:$A$242,valoriz!I$13:I$242)</f>
        <v>0</v>
      </c>
      <c r="J38" s="972">
        <f>+ROUND(E38*F38*I38,2)+3.39</f>
        <v>3.39</v>
      </c>
      <c r="K38" s="745">
        <f t="shared" si="8"/>
        <v>102.5</v>
      </c>
      <c r="L38" s="746">
        <f t="shared" si="1"/>
        <v>0</v>
      </c>
      <c r="M38" s="747">
        <f t="shared" si="2"/>
        <v>327.07</v>
      </c>
      <c r="N38" s="748">
        <f t="shared" si="3"/>
        <v>347.48</v>
      </c>
      <c r="O38" s="744">
        <f t="shared" si="4"/>
        <v>0</v>
      </c>
      <c r="Q38" s="960">
        <v>2.42</v>
      </c>
      <c r="R38" s="962">
        <f t="shared" si="9"/>
        <v>5.8100000000000005</v>
      </c>
      <c r="S38" s="963">
        <f t="shared" si="5"/>
        <v>0</v>
      </c>
      <c r="T38" s="964"/>
      <c r="U38" s="965">
        <f t="shared" si="6"/>
        <v>0</v>
      </c>
      <c r="V38" s="966">
        <f t="shared" si="7"/>
        <v>0</v>
      </c>
      <c r="W38" s="967"/>
    </row>
    <row r="39" spans="2:23" ht="11.25" customHeight="1">
      <c r="B39" s="757" t="s">
        <v>83</v>
      </c>
      <c r="C39" s="758" t="s">
        <v>84</v>
      </c>
      <c r="D39" s="755" t="s">
        <v>174</v>
      </c>
      <c r="E39" s="756">
        <v>1.7</v>
      </c>
      <c r="F39" s="753">
        <v>4.3999999999999997E-2</v>
      </c>
      <c r="G39" s="760">
        <v>279</v>
      </c>
      <c r="H39" s="742">
        <f t="shared" si="0"/>
        <v>20.87</v>
      </c>
      <c r="I39" s="743">
        <f>LOOKUP(B39,valoriz!$A$13:$A$242,valoriz!I$13:I$242)</f>
        <v>0</v>
      </c>
      <c r="J39" s="972">
        <f>+ROUND(E39*F39*I39,2)+1.88</f>
        <v>1.88</v>
      </c>
      <c r="K39" s="745">
        <f t="shared" si="8"/>
        <v>102.5</v>
      </c>
      <c r="L39" s="746">
        <f t="shared" si="1"/>
        <v>0</v>
      </c>
      <c r="M39" s="747">
        <f t="shared" si="2"/>
        <v>327.07</v>
      </c>
      <c r="N39" s="748">
        <f t="shared" si="3"/>
        <v>192.7</v>
      </c>
      <c r="O39" s="744">
        <f t="shared" si="4"/>
        <v>0</v>
      </c>
      <c r="Q39" s="960">
        <v>13.16</v>
      </c>
      <c r="R39" s="962">
        <f t="shared" si="9"/>
        <v>15.04</v>
      </c>
      <c r="S39" s="963">
        <f t="shared" si="5"/>
        <v>5.8300000000000018</v>
      </c>
      <c r="T39" s="964"/>
      <c r="U39" s="965">
        <f t="shared" si="6"/>
        <v>0</v>
      </c>
      <c r="V39" s="966">
        <f t="shared" si="7"/>
        <v>0</v>
      </c>
      <c r="W39" s="967"/>
    </row>
    <row r="40" spans="2:23" ht="11.25" customHeight="1">
      <c r="B40" s="757" t="s">
        <v>85</v>
      </c>
      <c r="C40" s="758" t="s">
        <v>86</v>
      </c>
      <c r="D40" s="755" t="s">
        <v>174</v>
      </c>
      <c r="E40" s="739">
        <v>1.5</v>
      </c>
      <c r="F40" s="753">
        <v>4.3999999999999997E-2</v>
      </c>
      <c r="G40" s="760">
        <v>93</v>
      </c>
      <c r="H40" s="742">
        <f t="shared" si="0"/>
        <v>6.14</v>
      </c>
      <c r="I40" s="743">
        <f>LOOKUP(B40,valoriz!$A$13:$A$242,valoriz!I$13:I$242)</f>
        <v>0</v>
      </c>
      <c r="J40" s="744">
        <f>+ROUND(E40*F40*I40,2)</f>
        <v>0</v>
      </c>
      <c r="K40" s="745">
        <f t="shared" si="8"/>
        <v>102.5</v>
      </c>
      <c r="L40" s="746">
        <f t="shared" si="1"/>
        <v>0</v>
      </c>
      <c r="M40" s="747">
        <f t="shared" si="2"/>
        <v>327.07</v>
      </c>
      <c r="N40" s="748">
        <f t="shared" si="3"/>
        <v>0</v>
      </c>
      <c r="O40" s="744">
        <f t="shared" si="4"/>
        <v>0</v>
      </c>
      <c r="Q40" s="960">
        <v>4.09</v>
      </c>
      <c r="R40" s="962">
        <f t="shared" si="9"/>
        <v>4.09</v>
      </c>
      <c r="S40" s="963">
        <f t="shared" si="5"/>
        <v>2.0499999999999998</v>
      </c>
      <c r="T40" s="964"/>
      <c r="U40" s="965">
        <f t="shared" si="6"/>
        <v>0</v>
      </c>
      <c r="V40" s="966">
        <f t="shared" si="7"/>
        <v>0</v>
      </c>
      <c r="W40" s="967"/>
    </row>
    <row r="41" spans="2:23" ht="11.25" customHeight="1">
      <c r="B41" s="736" t="s">
        <v>116</v>
      </c>
      <c r="C41" s="737" t="s">
        <v>117</v>
      </c>
      <c r="D41" s="738" t="s">
        <v>174</v>
      </c>
      <c r="E41" s="739">
        <v>2</v>
      </c>
      <c r="F41" s="753">
        <v>3.5499999999999997E-2</v>
      </c>
      <c r="G41" s="741">
        <v>2632</v>
      </c>
      <c r="H41" s="742">
        <f t="shared" si="0"/>
        <v>186.87</v>
      </c>
      <c r="I41" s="743">
        <f>LOOKUP(B41,valoriz!$A$13:$A$242,valoriz!I$13:I$242)</f>
        <v>0</v>
      </c>
      <c r="J41" s="972">
        <f>+ROUND(E41*F41*I41,2)+186.87</f>
        <v>186.87</v>
      </c>
      <c r="K41" s="745">
        <f t="shared" si="8"/>
        <v>102.5</v>
      </c>
      <c r="L41" s="746">
        <f t="shared" si="1"/>
        <v>0</v>
      </c>
      <c r="M41" s="747">
        <f t="shared" si="2"/>
        <v>327.07</v>
      </c>
      <c r="N41" s="748">
        <f t="shared" si="3"/>
        <v>19154.18</v>
      </c>
      <c r="O41" s="744">
        <f t="shared" si="4"/>
        <v>0</v>
      </c>
      <c r="Q41" s="960">
        <v>0</v>
      </c>
      <c r="R41" s="962">
        <f t="shared" si="9"/>
        <v>186.87</v>
      </c>
      <c r="S41" s="963">
        <f t="shared" si="5"/>
        <v>0</v>
      </c>
      <c r="T41" s="964"/>
      <c r="U41" s="965">
        <f t="shared" si="6"/>
        <v>0</v>
      </c>
      <c r="V41" s="966">
        <f t="shared" si="7"/>
        <v>0</v>
      </c>
      <c r="W41" s="967"/>
    </row>
    <row r="42" spans="2:23" ht="11.25" customHeight="1" thickBot="1">
      <c r="B42" s="762"/>
      <c r="C42" s="763"/>
      <c r="D42" s="764"/>
      <c r="E42" s="765"/>
      <c r="F42" s="766"/>
      <c r="G42" s="767"/>
      <c r="H42" s="768"/>
      <c r="I42" s="767"/>
      <c r="J42" s="769"/>
      <c r="K42" s="770"/>
      <c r="L42" s="771"/>
      <c r="M42" s="772"/>
      <c r="N42" s="773"/>
      <c r="O42" s="769"/>
      <c r="Q42" s="968"/>
      <c r="R42" s="969"/>
      <c r="S42" s="970"/>
      <c r="T42" s="964"/>
      <c r="U42" s="968"/>
      <c r="V42" s="969"/>
      <c r="W42" s="970"/>
    </row>
    <row r="43" spans="2:23" ht="11.25" customHeight="1">
      <c r="B43" s="775"/>
      <c r="C43" s="776"/>
      <c r="D43" s="777"/>
      <c r="E43" s="777"/>
      <c r="F43" s="778"/>
      <c r="G43" s="779"/>
      <c r="H43" s="780">
        <f>SUM(H25:H42)</f>
        <v>1234.96</v>
      </c>
      <c r="I43" s="779"/>
      <c r="J43" s="780">
        <f>SUM(J25:J42)</f>
        <v>315.00319999999999</v>
      </c>
      <c r="K43" s="781"/>
      <c r="L43" s="777"/>
      <c r="M43" s="778"/>
      <c r="N43" s="782">
        <f>SUM(N25:N42)</f>
        <v>32287.86</v>
      </c>
      <c r="O43" s="783">
        <f>SUM(O25:O42)</f>
        <v>0</v>
      </c>
      <c r="Q43" s="1085">
        <f>SUM(Q25:Q42)</f>
        <v>885.44999999999993</v>
      </c>
      <c r="R43" s="1086">
        <f>SUM(R25:R42)</f>
        <v>1200.4531999999999</v>
      </c>
      <c r="S43" s="1087">
        <f>SUM(S25:S42)</f>
        <v>34.506799999999998</v>
      </c>
      <c r="T43" s="964">
        <f>SUM(T25:T42)</f>
        <v>18.580000000000002</v>
      </c>
      <c r="U43" s="990">
        <f>SUM(U24:U42)</f>
        <v>6.92</v>
      </c>
      <c r="V43" s="990">
        <f>SUM(V24:V42)</f>
        <v>6.92</v>
      </c>
      <c r="W43" s="992">
        <f>+W24-V44</f>
        <v>121895.43000000001</v>
      </c>
    </row>
    <row r="44" spans="2:23" ht="11.25" customHeight="1">
      <c r="B44" s="784"/>
      <c r="C44" s="785"/>
      <c r="G44" s="786"/>
      <c r="H44" s="787" t="s">
        <v>214</v>
      </c>
      <c r="I44" s="788"/>
      <c r="J44" s="789">
        <v>1236</v>
      </c>
      <c r="K44" s="751"/>
      <c r="U44" s="710">
        <v>33705.11</v>
      </c>
      <c r="V44" s="1060">
        <f>+O43+U43+0.03</f>
        <v>6.95</v>
      </c>
    </row>
    <row r="45" spans="2:23" ht="11.25" hidden="1" customHeight="1" outlineLevel="1">
      <c r="B45" s="790"/>
      <c r="C45" s="791"/>
      <c r="D45" s="121"/>
      <c r="E45" s="792"/>
      <c r="F45" s="792"/>
      <c r="G45" s="793"/>
      <c r="H45" s="793"/>
      <c r="I45" s="793"/>
      <c r="J45" s="751"/>
      <c r="K45" s="709"/>
      <c r="M45" s="709"/>
      <c r="N45" s="709"/>
      <c r="O45" s="751"/>
      <c r="P45" s="751"/>
    </row>
    <row r="46" spans="2:23" ht="11.25" hidden="1" customHeight="1" outlineLevel="1">
      <c r="B46" s="1685" t="s">
        <v>198</v>
      </c>
      <c r="C46" s="1685" t="s">
        <v>199</v>
      </c>
      <c r="D46" s="1693" t="s">
        <v>601</v>
      </c>
      <c r="E46" s="1678" t="s">
        <v>200</v>
      </c>
      <c r="F46" s="1680"/>
      <c r="G46" s="1678" t="s">
        <v>201</v>
      </c>
      <c r="H46" s="1680"/>
      <c r="I46" s="1678" t="s">
        <v>202</v>
      </c>
      <c r="J46" s="1680"/>
      <c r="K46" s="1685" t="s">
        <v>203</v>
      </c>
      <c r="L46" s="1678" t="s">
        <v>204</v>
      </c>
      <c r="M46" s="1680"/>
      <c r="N46" s="1678" t="s">
        <v>423</v>
      </c>
      <c r="O46" s="1680"/>
      <c r="P46" s="700"/>
      <c r="Q46" s="1695" t="s">
        <v>205</v>
      </c>
      <c r="R46" s="1696"/>
      <c r="S46" s="1697"/>
      <c r="T46" s="710"/>
      <c r="U46" s="1695" t="s">
        <v>331</v>
      </c>
      <c r="V46" s="1696"/>
      <c r="W46" s="1697"/>
    </row>
    <row r="47" spans="2:23" ht="21.75" hidden="1" customHeight="1" outlineLevel="1">
      <c r="B47" s="1686"/>
      <c r="C47" s="1686"/>
      <c r="D47" s="1694"/>
      <c r="E47" s="717" t="s">
        <v>206</v>
      </c>
      <c r="F47" s="718" t="s">
        <v>207</v>
      </c>
      <c r="G47" s="717" t="s">
        <v>452</v>
      </c>
      <c r="H47" s="718" t="s">
        <v>208</v>
      </c>
      <c r="I47" s="717" t="s">
        <v>452</v>
      </c>
      <c r="J47" s="718" t="s">
        <v>208</v>
      </c>
      <c r="K47" s="1686"/>
      <c r="L47" s="717" t="s">
        <v>467</v>
      </c>
      <c r="M47" s="718" t="s">
        <v>468</v>
      </c>
      <c r="N47" s="717" t="s">
        <v>209</v>
      </c>
      <c r="O47" s="718" t="s">
        <v>210</v>
      </c>
      <c r="Q47" s="954" t="s">
        <v>211</v>
      </c>
      <c r="R47" s="955" t="s">
        <v>394</v>
      </c>
      <c r="S47" s="956" t="s">
        <v>451</v>
      </c>
      <c r="T47" s="710"/>
      <c r="U47" s="954" t="s">
        <v>211</v>
      </c>
      <c r="V47" s="955" t="s">
        <v>394</v>
      </c>
      <c r="W47" s="956" t="s">
        <v>451</v>
      </c>
    </row>
    <row r="48" spans="2:23" ht="11.25" hidden="1" customHeight="1" outlineLevel="1">
      <c r="B48" s="722" t="str">
        <f>+B$14</f>
        <v>Material:</v>
      </c>
      <c r="C48" s="728"/>
      <c r="D48" s="724"/>
      <c r="E48" s="730"/>
      <c r="G48" s="726"/>
      <c r="H48" s="727"/>
      <c r="I48" s="726"/>
      <c r="J48" s="728"/>
      <c r="K48" s="729"/>
      <c r="L48" s="724"/>
      <c r="M48" s="725"/>
      <c r="N48" s="730"/>
      <c r="O48" s="728"/>
      <c r="Q48" s="957"/>
      <c r="R48" s="958"/>
      <c r="S48" s="959"/>
      <c r="T48" s="710"/>
      <c r="U48" s="957"/>
      <c r="V48" s="958"/>
      <c r="W48" s="959"/>
    </row>
    <row r="49" spans="2:23" ht="11.25" hidden="1" customHeight="1" outlineLevel="1">
      <c r="B49" s="722" t="s">
        <v>212</v>
      </c>
      <c r="C49" s="733" t="s">
        <v>956</v>
      </c>
      <c r="D49" s="724"/>
      <c r="E49" s="730"/>
      <c r="F49" s="802"/>
      <c r="G49" s="726"/>
      <c r="H49" s="727"/>
      <c r="I49" s="726"/>
      <c r="J49" s="727"/>
      <c r="K49" s="729"/>
      <c r="L49" s="724"/>
      <c r="M49" s="725"/>
      <c r="N49" s="794"/>
      <c r="O49" s="795"/>
      <c r="Q49" s="960"/>
      <c r="R49" s="961"/>
      <c r="S49" s="959"/>
      <c r="T49" s="710"/>
      <c r="U49" s="960"/>
      <c r="V49" s="961"/>
      <c r="W49" s="959"/>
    </row>
    <row r="50" spans="2:23" ht="11.25" hidden="1" customHeight="1" outlineLevel="1">
      <c r="B50" s="736" t="s">
        <v>53</v>
      </c>
      <c r="C50" s="737" t="s">
        <v>54</v>
      </c>
      <c r="D50" s="738" t="s">
        <v>173</v>
      </c>
      <c r="E50" s="739">
        <v>1</v>
      </c>
      <c r="F50" s="740">
        <v>2.2000000000000002</v>
      </c>
      <c r="G50" s="741">
        <v>18363.259999999998</v>
      </c>
      <c r="H50" s="742">
        <f t="shared" ref="H50:H66" si="10">+ROUND(E50*F50*G50,2)</f>
        <v>40399.17</v>
      </c>
      <c r="I50" s="743">
        <f>LOOKUP(B50,valoriz!$A$13:$A$242,valoriz!I$13:I$242)</f>
        <v>0</v>
      </c>
      <c r="J50" s="744">
        <f t="shared" ref="J50:J66" si="11">+ROUND(E50*F50*I50,2)</f>
        <v>0</v>
      </c>
      <c r="K50" s="745">
        <v>0</v>
      </c>
      <c r="L50" s="746">
        <f t="shared" ref="L50:L66" si="12">D$17</f>
        <v>0</v>
      </c>
      <c r="M50" s="747">
        <f t="shared" ref="M50:M66" si="13">D$16</f>
        <v>327.07</v>
      </c>
      <c r="N50" s="748">
        <f t="shared" ref="N50:N66" si="14">+ROUND(J50*K50*M$18,2)</f>
        <v>0</v>
      </c>
      <c r="O50" s="744">
        <f t="shared" ref="O50:O66" si="15">+ROUND(J50*K50*L50*M$18/M50,2)</f>
        <v>0</v>
      </c>
      <c r="Q50" s="960">
        <v>1700.49</v>
      </c>
      <c r="R50" s="962">
        <f t="shared" ref="R50:R66" si="16">+J50+Q50</f>
        <v>1700.49</v>
      </c>
      <c r="S50" s="963">
        <f t="shared" ref="S50:S66" si="17">+H50-R50</f>
        <v>38698.68</v>
      </c>
      <c r="T50" s="964"/>
      <c r="U50" s="965">
        <f t="shared" ref="U50:U66" si="18">+ROUND(Q50*$K50*$L50/$M50,2)</f>
        <v>0</v>
      </c>
      <c r="V50" s="966">
        <f t="shared" ref="V50:V66" si="19">+ROUND(R50*$K50*$L50/$M50,2)</f>
        <v>0</v>
      </c>
      <c r="W50" s="967"/>
    </row>
    <row r="51" spans="2:23" ht="11.25" hidden="1" customHeight="1" outlineLevel="1">
      <c r="B51" s="736" t="s">
        <v>57</v>
      </c>
      <c r="C51" s="737" t="s">
        <v>58</v>
      </c>
      <c r="D51" s="738" t="s">
        <v>174</v>
      </c>
      <c r="E51" s="739">
        <v>0.30399999999999999</v>
      </c>
      <c r="F51" s="740">
        <v>3</v>
      </c>
      <c r="G51" s="752">
        <v>4206</v>
      </c>
      <c r="H51" s="742">
        <f t="shared" si="10"/>
        <v>3835.87</v>
      </c>
      <c r="I51" s="743">
        <f>LOOKUP(B51,valoriz!$A$13:$A$242,valoriz!I$13:I$242)</f>
        <v>0</v>
      </c>
      <c r="J51" s="744">
        <f t="shared" si="11"/>
        <v>0</v>
      </c>
      <c r="K51" s="745">
        <f t="shared" ref="K51:K66" si="20">+K50</f>
        <v>0</v>
      </c>
      <c r="L51" s="746">
        <f t="shared" si="12"/>
        <v>0</v>
      </c>
      <c r="M51" s="747">
        <f t="shared" si="13"/>
        <v>327.07</v>
      </c>
      <c r="N51" s="748">
        <f t="shared" si="14"/>
        <v>0</v>
      </c>
      <c r="O51" s="744">
        <f t="shared" si="15"/>
        <v>0</v>
      </c>
      <c r="Q51" s="960"/>
      <c r="R51" s="962">
        <f t="shared" si="16"/>
        <v>0</v>
      </c>
      <c r="S51" s="963">
        <f t="shared" si="17"/>
        <v>3835.87</v>
      </c>
      <c r="T51" s="964"/>
      <c r="U51" s="965">
        <f t="shared" si="18"/>
        <v>0</v>
      </c>
      <c r="V51" s="966">
        <f t="shared" si="19"/>
        <v>0</v>
      </c>
      <c r="W51" s="967"/>
    </row>
    <row r="52" spans="2:23" ht="11.25" hidden="1" customHeight="1" outlineLevel="1">
      <c r="B52" s="736" t="s">
        <v>59</v>
      </c>
      <c r="C52" s="737" t="s">
        <v>60</v>
      </c>
      <c r="D52" s="738" t="s">
        <v>174</v>
      </c>
      <c r="E52" s="739">
        <v>0.06</v>
      </c>
      <c r="F52" s="740">
        <v>3</v>
      </c>
      <c r="G52" s="754">
        <v>3942</v>
      </c>
      <c r="H52" s="742">
        <f t="shared" si="10"/>
        <v>709.56</v>
      </c>
      <c r="I52" s="743">
        <f>LOOKUP(B52,valoriz!$A$13:$A$242,valoriz!I$13:I$242)</f>
        <v>0</v>
      </c>
      <c r="J52" s="744">
        <f t="shared" si="11"/>
        <v>0</v>
      </c>
      <c r="K52" s="745">
        <f t="shared" si="20"/>
        <v>0</v>
      </c>
      <c r="L52" s="746">
        <f t="shared" si="12"/>
        <v>0</v>
      </c>
      <c r="M52" s="747">
        <f t="shared" si="13"/>
        <v>327.07</v>
      </c>
      <c r="N52" s="748">
        <f t="shared" si="14"/>
        <v>0</v>
      </c>
      <c r="O52" s="744">
        <f t="shared" si="15"/>
        <v>0</v>
      </c>
      <c r="Q52" s="960"/>
      <c r="R52" s="962">
        <f t="shared" si="16"/>
        <v>0</v>
      </c>
      <c r="S52" s="963">
        <f t="shared" si="17"/>
        <v>709.56</v>
      </c>
      <c r="T52" s="964"/>
      <c r="U52" s="965">
        <f t="shared" si="18"/>
        <v>0</v>
      </c>
      <c r="V52" s="966">
        <f t="shared" si="19"/>
        <v>0</v>
      </c>
      <c r="W52" s="967"/>
    </row>
    <row r="53" spans="2:23" ht="11.25" hidden="1" customHeight="1" outlineLevel="1">
      <c r="B53" s="736" t="s">
        <v>61</v>
      </c>
      <c r="C53" s="737" t="s">
        <v>62</v>
      </c>
      <c r="D53" s="755" t="s">
        <v>174</v>
      </c>
      <c r="E53" s="756">
        <v>0.05</v>
      </c>
      <c r="F53" s="740">
        <v>3</v>
      </c>
      <c r="G53" s="754">
        <v>41679.79</v>
      </c>
      <c r="H53" s="742">
        <f t="shared" si="10"/>
        <v>6251.97</v>
      </c>
      <c r="I53" s="743">
        <f>LOOKUP(B53,valoriz!$A$13:$A$242,valoriz!I$13:I$242)</f>
        <v>0</v>
      </c>
      <c r="J53" s="744">
        <f t="shared" si="11"/>
        <v>0</v>
      </c>
      <c r="K53" s="745">
        <f t="shared" si="20"/>
        <v>0</v>
      </c>
      <c r="L53" s="746">
        <f t="shared" si="12"/>
        <v>0</v>
      </c>
      <c r="M53" s="747">
        <f t="shared" si="13"/>
        <v>327.07</v>
      </c>
      <c r="N53" s="748">
        <f t="shared" si="14"/>
        <v>0</v>
      </c>
      <c r="O53" s="744">
        <f t="shared" si="15"/>
        <v>0</v>
      </c>
      <c r="Q53" s="960"/>
      <c r="R53" s="962">
        <f t="shared" si="16"/>
        <v>0</v>
      </c>
      <c r="S53" s="963">
        <f t="shared" si="17"/>
        <v>6251.97</v>
      </c>
      <c r="T53" s="964"/>
      <c r="U53" s="965">
        <f t="shared" si="18"/>
        <v>0</v>
      </c>
      <c r="V53" s="966">
        <f t="shared" si="19"/>
        <v>0</v>
      </c>
      <c r="W53" s="967"/>
    </row>
    <row r="54" spans="2:23" ht="11.25" hidden="1" customHeight="1" outlineLevel="1">
      <c r="B54" s="757" t="s">
        <v>63</v>
      </c>
      <c r="C54" s="758" t="s">
        <v>64</v>
      </c>
      <c r="D54" s="755" t="s">
        <v>174</v>
      </c>
      <c r="E54" s="756">
        <v>0.5</v>
      </c>
      <c r="F54" s="740">
        <v>3</v>
      </c>
      <c r="G54" s="754">
        <v>4324.7</v>
      </c>
      <c r="H54" s="742">
        <f t="shared" si="10"/>
        <v>6487.05</v>
      </c>
      <c r="I54" s="743">
        <f>LOOKUP(B54,valoriz!$A$13:$A$242,valoriz!I$13:I$242)</f>
        <v>0</v>
      </c>
      <c r="J54" s="744">
        <f t="shared" si="11"/>
        <v>0</v>
      </c>
      <c r="K54" s="745">
        <f t="shared" si="20"/>
        <v>0</v>
      </c>
      <c r="L54" s="746">
        <f t="shared" si="12"/>
        <v>0</v>
      </c>
      <c r="M54" s="747">
        <f t="shared" si="13"/>
        <v>327.07</v>
      </c>
      <c r="N54" s="748">
        <f t="shared" si="14"/>
        <v>0</v>
      </c>
      <c r="O54" s="744">
        <f t="shared" si="15"/>
        <v>0</v>
      </c>
      <c r="Q54" s="960"/>
      <c r="R54" s="962">
        <f t="shared" si="16"/>
        <v>0</v>
      </c>
      <c r="S54" s="963">
        <f t="shared" si="17"/>
        <v>6487.05</v>
      </c>
      <c r="T54" s="964"/>
      <c r="U54" s="965">
        <f t="shared" si="18"/>
        <v>0</v>
      </c>
      <c r="V54" s="966">
        <f t="shared" si="19"/>
        <v>0</v>
      </c>
      <c r="W54" s="967"/>
    </row>
    <row r="55" spans="2:23" ht="11.25" hidden="1" customHeight="1" outlineLevel="1">
      <c r="B55" s="757" t="s">
        <v>65</v>
      </c>
      <c r="C55" s="758" t="s">
        <v>66</v>
      </c>
      <c r="D55" s="755" t="s">
        <v>174</v>
      </c>
      <c r="E55" s="756">
        <v>1.1200000000000001</v>
      </c>
      <c r="F55" s="740">
        <v>3</v>
      </c>
      <c r="G55" s="754">
        <v>93</v>
      </c>
      <c r="H55" s="742">
        <f t="shared" si="10"/>
        <v>312.48</v>
      </c>
      <c r="I55" s="743">
        <f>LOOKUP(B55,valoriz!$A$13:$A$242,valoriz!I$13:I$242)</f>
        <v>0</v>
      </c>
      <c r="J55" s="744">
        <f t="shared" si="11"/>
        <v>0</v>
      </c>
      <c r="K55" s="745">
        <f t="shared" si="20"/>
        <v>0</v>
      </c>
      <c r="L55" s="746">
        <f t="shared" si="12"/>
        <v>0</v>
      </c>
      <c r="M55" s="747">
        <f t="shared" si="13"/>
        <v>327.07</v>
      </c>
      <c r="N55" s="748">
        <f t="shared" si="14"/>
        <v>0</v>
      </c>
      <c r="O55" s="744">
        <f t="shared" si="15"/>
        <v>0</v>
      </c>
      <c r="Q55" s="960"/>
      <c r="R55" s="962">
        <f t="shared" si="16"/>
        <v>0</v>
      </c>
      <c r="S55" s="963">
        <f t="shared" si="17"/>
        <v>312.48</v>
      </c>
      <c r="T55" s="964"/>
      <c r="U55" s="965">
        <f t="shared" si="18"/>
        <v>0</v>
      </c>
      <c r="V55" s="966">
        <f t="shared" si="19"/>
        <v>0</v>
      </c>
      <c r="W55" s="967"/>
    </row>
    <row r="56" spans="2:23" ht="11.25" hidden="1" customHeight="1" outlineLevel="1">
      <c r="B56" s="757" t="s">
        <v>67</v>
      </c>
      <c r="C56" s="758" t="s">
        <v>68</v>
      </c>
      <c r="D56" s="738" t="s">
        <v>174</v>
      </c>
      <c r="E56" s="739">
        <v>0.3</v>
      </c>
      <c r="F56" s="740">
        <v>3</v>
      </c>
      <c r="G56" s="754">
        <v>212</v>
      </c>
      <c r="H56" s="742">
        <f t="shared" si="10"/>
        <v>190.8</v>
      </c>
      <c r="I56" s="743">
        <f>LOOKUP(B56,valoriz!$A$13:$A$242,valoriz!I$13:I$242)</f>
        <v>0</v>
      </c>
      <c r="J56" s="744">
        <f t="shared" si="11"/>
        <v>0</v>
      </c>
      <c r="K56" s="745">
        <f t="shared" si="20"/>
        <v>0</v>
      </c>
      <c r="L56" s="746">
        <f t="shared" si="12"/>
        <v>0</v>
      </c>
      <c r="M56" s="747">
        <f t="shared" si="13"/>
        <v>327.07</v>
      </c>
      <c r="N56" s="748">
        <f t="shared" si="14"/>
        <v>0</v>
      </c>
      <c r="O56" s="744">
        <f t="shared" si="15"/>
        <v>0</v>
      </c>
      <c r="Q56" s="960"/>
      <c r="R56" s="962">
        <f t="shared" si="16"/>
        <v>0</v>
      </c>
      <c r="S56" s="963">
        <f t="shared" si="17"/>
        <v>190.8</v>
      </c>
      <c r="T56" s="964"/>
      <c r="U56" s="965">
        <f t="shared" si="18"/>
        <v>0</v>
      </c>
      <c r="V56" s="966">
        <f t="shared" si="19"/>
        <v>0</v>
      </c>
      <c r="W56" s="967"/>
    </row>
    <row r="57" spans="2:23" ht="11.25" hidden="1" customHeight="1" outlineLevel="1">
      <c r="B57" s="757" t="s">
        <v>69</v>
      </c>
      <c r="C57" s="758" t="s">
        <v>70</v>
      </c>
      <c r="D57" s="738" t="s">
        <v>174</v>
      </c>
      <c r="E57" s="739">
        <v>1</v>
      </c>
      <c r="F57" s="740">
        <v>3</v>
      </c>
      <c r="G57" s="752">
        <v>90</v>
      </c>
      <c r="H57" s="742">
        <f t="shared" si="10"/>
        <v>270</v>
      </c>
      <c r="I57" s="743">
        <f>LOOKUP(B57,valoriz!$A$13:$A$242,valoriz!I$13:I$242)</f>
        <v>0</v>
      </c>
      <c r="J57" s="744">
        <f t="shared" si="11"/>
        <v>0</v>
      </c>
      <c r="K57" s="745">
        <f t="shared" si="20"/>
        <v>0</v>
      </c>
      <c r="L57" s="746">
        <f t="shared" si="12"/>
        <v>0</v>
      </c>
      <c r="M57" s="747">
        <f t="shared" si="13"/>
        <v>327.07</v>
      </c>
      <c r="N57" s="748">
        <f t="shared" si="14"/>
        <v>0</v>
      </c>
      <c r="O57" s="744">
        <f t="shared" si="15"/>
        <v>0</v>
      </c>
      <c r="Q57" s="960"/>
      <c r="R57" s="962">
        <f t="shared" si="16"/>
        <v>0</v>
      </c>
      <c r="S57" s="963">
        <f t="shared" si="17"/>
        <v>270</v>
      </c>
      <c r="T57" s="964"/>
      <c r="U57" s="965">
        <f t="shared" si="18"/>
        <v>0</v>
      </c>
      <c r="V57" s="966">
        <f t="shared" si="19"/>
        <v>0</v>
      </c>
      <c r="W57" s="967"/>
    </row>
    <row r="58" spans="2:23" ht="11.25" hidden="1" customHeight="1" outlineLevel="1">
      <c r="B58" s="757" t="s">
        <v>71</v>
      </c>
      <c r="C58" s="758" t="s">
        <v>72</v>
      </c>
      <c r="D58" s="738" t="s">
        <v>174</v>
      </c>
      <c r="E58" s="739">
        <v>0.30399999999999999</v>
      </c>
      <c r="F58" s="740">
        <v>3</v>
      </c>
      <c r="G58" s="752">
        <v>4332.3</v>
      </c>
      <c r="H58" s="742">
        <f t="shared" si="10"/>
        <v>3951.06</v>
      </c>
      <c r="I58" s="743">
        <f>LOOKUP(B58,valoriz!$A$13:$A$242,valoriz!I$13:I$242)</f>
        <v>0</v>
      </c>
      <c r="J58" s="744">
        <f t="shared" si="11"/>
        <v>0</v>
      </c>
      <c r="K58" s="745">
        <f t="shared" si="20"/>
        <v>0</v>
      </c>
      <c r="L58" s="746">
        <f t="shared" si="12"/>
        <v>0</v>
      </c>
      <c r="M58" s="747">
        <f t="shared" si="13"/>
        <v>327.07</v>
      </c>
      <c r="N58" s="748">
        <f t="shared" si="14"/>
        <v>0</v>
      </c>
      <c r="O58" s="744">
        <f t="shared" si="15"/>
        <v>0</v>
      </c>
      <c r="Q58" s="960"/>
      <c r="R58" s="962">
        <f t="shared" si="16"/>
        <v>0</v>
      </c>
      <c r="S58" s="963">
        <f t="shared" si="17"/>
        <v>3951.06</v>
      </c>
      <c r="T58" s="964"/>
      <c r="U58" s="965">
        <f t="shared" si="18"/>
        <v>0</v>
      </c>
      <c r="V58" s="966">
        <f t="shared" si="19"/>
        <v>0</v>
      </c>
      <c r="W58" s="967"/>
    </row>
    <row r="59" spans="2:23" ht="11.25" hidden="1" customHeight="1" outlineLevel="1">
      <c r="B59" s="757" t="s">
        <v>73</v>
      </c>
      <c r="C59" s="758" t="s">
        <v>74</v>
      </c>
      <c r="D59" s="755" t="s">
        <v>174</v>
      </c>
      <c r="E59" s="739">
        <v>0.15</v>
      </c>
      <c r="F59" s="740">
        <v>3</v>
      </c>
      <c r="G59" s="754">
        <v>1965</v>
      </c>
      <c r="H59" s="742">
        <f t="shared" si="10"/>
        <v>884.25</v>
      </c>
      <c r="I59" s="743">
        <f>LOOKUP(B59,valoriz!$A$13:$A$242,valoriz!I$13:I$242)</f>
        <v>0</v>
      </c>
      <c r="J59" s="744">
        <f t="shared" si="11"/>
        <v>0</v>
      </c>
      <c r="K59" s="745">
        <f t="shared" si="20"/>
        <v>0</v>
      </c>
      <c r="L59" s="746">
        <f t="shared" si="12"/>
        <v>0</v>
      </c>
      <c r="M59" s="747">
        <f t="shared" si="13"/>
        <v>327.07</v>
      </c>
      <c r="N59" s="748">
        <f t="shared" si="14"/>
        <v>0</v>
      </c>
      <c r="O59" s="744">
        <f t="shared" si="15"/>
        <v>0</v>
      </c>
      <c r="Q59" s="960"/>
      <c r="R59" s="962">
        <f t="shared" si="16"/>
        <v>0</v>
      </c>
      <c r="S59" s="963">
        <f t="shared" si="17"/>
        <v>884.25</v>
      </c>
      <c r="T59" s="964"/>
      <c r="U59" s="965">
        <f t="shared" si="18"/>
        <v>0</v>
      </c>
      <c r="V59" s="966">
        <f t="shared" si="19"/>
        <v>0</v>
      </c>
      <c r="W59" s="967"/>
    </row>
    <row r="60" spans="2:23" ht="11.25" hidden="1" customHeight="1" outlineLevel="1">
      <c r="B60" s="757" t="s">
        <v>75</v>
      </c>
      <c r="C60" s="758" t="s">
        <v>76</v>
      </c>
      <c r="D60" s="755" t="s">
        <v>174</v>
      </c>
      <c r="E60" s="739">
        <v>0.30399999999999999</v>
      </c>
      <c r="F60" s="740">
        <v>3</v>
      </c>
      <c r="G60" s="754">
        <v>215</v>
      </c>
      <c r="H60" s="742">
        <f t="shared" si="10"/>
        <v>196.08</v>
      </c>
      <c r="I60" s="743">
        <f>LOOKUP(B60,valoriz!$A$13:$A$242,valoriz!I$13:I$242)</f>
        <v>0</v>
      </c>
      <c r="J60" s="744">
        <f t="shared" si="11"/>
        <v>0</v>
      </c>
      <c r="K60" s="745">
        <f t="shared" si="20"/>
        <v>0</v>
      </c>
      <c r="L60" s="746">
        <f t="shared" si="12"/>
        <v>0</v>
      </c>
      <c r="M60" s="747">
        <f t="shared" si="13"/>
        <v>327.07</v>
      </c>
      <c r="N60" s="748">
        <f t="shared" si="14"/>
        <v>0</v>
      </c>
      <c r="O60" s="744">
        <f t="shared" si="15"/>
        <v>0</v>
      </c>
      <c r="Q60" s="960"/>
      <c r="R60" s="962">
        <f t="shared" si="16"/>
        <v>0</v>
      </c>
      <c r="S60" s="963">
        <f t="shared" si="17"/>
        <v>196.08</v>
      </c>
      <c r="T60" s="964"/>
      <c r="U60" s="965">
        <f t="shared" si="18"/>
        <v>0</v>
      </c>
      <c r="V60" s="966">
        <f t="shared" si="19"/>
        <v>0</v>
      </c>
      <c r="W60" s="967"/>
    </row>
    <row r="61" spans="2:23" ht="11.25" hidden="1" customHeight="1" outlineLevel="1">
      <c r="B61" s="757" t="s">
        <v>77</v>
      </c>
      <c r="C61" s="758" t="s">
        <v>78</v>
      </c>
      <c r="D61" s="755" t="s">
        <v>174</v>
      </c>
      <c r="E61" s="739">
        <v>0.30399999999999999</v>
      </c>
      <c r="F61" s="740">
        <v>3</v>
      </c>
      <c r="G61" s="754">
        <v>1676</v>
      </c>
      <c r="H61" s="742">
        <f t="shared" si="10"/>
        <v>1528.51</v>
      </c>
      <c r="I61" s="743">
        <f>LOOKUP(B61,valoriz!$A$13:$A$242,valoriz!I$13:I$242)</f>
        <v>0</v>
      </c>
      <c r="J61" s="744">
        <f t="shared" si="11"/>
        <v>0</v>
      </c>
      <c r="K61" s="745">
        <f t="shared" si="20"/>
        <v>0</v>
      </c>
      <c r="L61" s="746">
        <f t="shared" si="12"/>
        <v>0</v>
      </c>
      <c r="M61" s="747">
        <f t="shared" si="13"/>
        <v>327.07</v>
      </c>
      <c r="N61" s="748">
        <f t="shared" si="14"/>
        <v>0</v>
      </c>
      <c r="O61" s="744">
        <f t="shared" si="15"/>
        <v>0</v>
      </c>
      <c r="Q61" s="960"/>
      <c r="R61" s="962">
        <f t="shared" si="16"/>
        <v>0</v>
      </c>
      <c r="S61" s="963">
        <f t="shared" si="17"/>
        <v>1528.51</v>
      </c>
      <c r="T61" s="964"/>
      <c r="U61" s="965">
        <f t="shared" si="18"/>
        <v>0</v>
      </c>
      <c r="V61" s="966">
        <f t="shared" si="19"/>
        <v>0</v>
      </c>
      <c r="W61" s="967"/>
    </row>
    <row r="62" spans="2:23" ht="11.25" hidden="1" customHeight="1" outlineLevel="1">
      <c r="B62" s="757" t="s">
        <v>79</v>
      </c>
      <c r="C62" s="758" t="s">
        <v>80</v>
      </c>
      <c r="D62" s="755" t="s">
        <v>174</v>
      </c>
      <c r="E62" s="739">
        <v>0.15</v>
      </c>
      <c r="F62" s="740">
        <v>3</v>
      </c>
      <c r="G62" s="754">
        <v>348</v>
      </c>
      <c r="H62" s="742">
        <f t="shared" si="10"/>
        <v>156.6</v>
      </c>
      <c r="I62" s="743">
        <f>LOOKUP(B62,valoriz!$A$13:$A$242,valoriz!I$13:I$242)</f>
        <v>0</v>
      </c>
      <c r="J62" s="744">
        <f t="shared" si="11"/>
        <v>0</v>
      </c>
      <c r="K62" s="745">
        <f t="shared" si="20"/>
        <v>0</v>
      </c>
      <c r="L62" s="746">
        <f t="shared" si="12"/>
        <v>0</v>
      </c>
      <c r="M62" s="747">
        <f t="shared" si="13"/>
        <v>327.07</v>
      </c>
      <c r="N62" s="748">
        <f t="shared" si="14"/>
        <v>0</v>
      </c>
      <c r="O62" s="744">
        <f t="shared" si="15"/>
        <v>0</v>
      </c>
      <c r="Q62" s="960"/>
      <c r="R62" s="962">
        <f t="shared" si="16"/>
        <v>0</v>
      </c>
      <c r="S62" s="963">
        <f t="shared" si="17"/>
        <v>156.6</v>
      </c>
      <c r="T62" s="964"/>
      <c r="U62" s="965">
        <f t="shared" si="18"/>
        <v>0</v>
      </c>
      <c r="V62" s="966">
        <f t="shared" si="19"/>
        <v>0</v>
      </c>
      <c r="W62" s="967"/>
    </row>
    <row r="63" spans="2:23" ht="11.25" hidden="1" customHeight="1" outlineLevel="1">
      <c r="B63" s="757" t="s">
        <v>81</v>
      </c>
      <c r="C63" s="758" t="s">
        <v>82</v>
      </c>
      <c r="D63" s="755" t="s">
        <v>601</v>
      </c>
      <c r="E63" s="739">
        <v>2.2000000000000002</v>
      </c>
      <c r="F63" s="740">
        <v>3</v>
      </c>
      <c r="G63" s="754">
        <v>60</v>
      </c>
      <c r="H63" s="742">
        <f t="shared" si="10"/>
        <v>396</v>
      </c>
      <c r="I63" s="743">
        <f>LOOKUP(B63,valoriz!$A$13:$A$242,valoriz!I$13:I$242)</f>
        <v>0</v>
      </c>
      <c r="J63" s="744">
        <f t="shared" si="11"/>
        <v>0</v>
      </c>
      <c r="K63" s="745">
        <f t="shared" si="20"/>
        <v>0</v>
      </c>
      <c r="L63" s="746">
        <f t="shared" si="12"/>
        <v>0</v>
      </c>
      <c r="M63" s="747">
        <f t="shared" si="13"/>
        <v>327.07</v>
      </c>
      <c r="N63" s="748">
        <f t="shared" si="14"/>
        <v>0</v>
      </c>
      <c r="O63" s="744">
        <f t="shared" si="15"/>
        <v>0</v>
      </c>
      <c r="Q63" s="960"/>
      <c r="R63" s="962">
        <f t="shared" si="16"/>
        <v>0</v>
      </c>
      <c r="S63" s="963">
        <f t="shared" si="17"/>
        <v>396</v>
      </c>
      <c r="T63" s="964"/>
      <c r="U63" s="965">
        <f t="shared" si="18"/>
        <v>0</v>
      </c>
      <c r="V63" s="966">
        <f t="shared" si="19"/>
        <v>0</v>
      </c>
      <c r="W63" s="967"/>
    </row>
    <row r="64" spans="2:23" ht="11.25" hidden="1" customHeight="1" outlineLevel="1">
      <c r="B64" s="757" t="s">
        <v>83</v>
      </c>
      <c r="C64" s="758" t="s">
        <v>84</v>
      </c>
      <c r="D64" s="755" t="s">
        <v>174</v>
      </c>
      <c r="E64" s="756">
        <v>1.7</v>
      </c>
      <c r="F64" s="740">
        <v>3</v>
      </c>
      <c r="G64" s="760">
        <v>279</v>
      </c>
      <c r="H64" s="742">
        <f t="shared" si="10"/>
        <v>1422.9</v>
      </c>
      <c r="I64" s="743">
        <f>LOOKUP(B64,valoriz!$A$13:$A$242,valoriz!I$13:I$242)</f>
        <v>0</v>
      </c>
      <c r="J64" s="744">
        <f t="shared" si="11"/>
        <v>0</v>
      </c>
      <c r="K64" s="745">
        <f t="shared" si="20"/>
        <v>0</v>
      </c>
      <c r="L64" s="746">
        <f t="shared" si="12"/>
        <v>0</v>
      </c>
      <c r="M64" s="747">
        <f t="shared" si="13"/>
        <v>327.07</v>
      </c>
      <c r="N64" s="748">
        <f t="shared" si="14"/>
        <v>0</v>
      </c>
      <c r="O64" s="744">
        <f t="shared" si="15"/>
        <v>0</v>
      </c>
      <c r="Q64" s="960"/>
      <c r="R64" s="962">
        <f t="shared" si="16"/>
        <v>0</v>
      </c>
      <c r="S64" s="963">
        <f t="shared" si="17"/>
        <v>1422.9</v>
      </c>
      <c r="T64" s="964"/>
      <c r="U64" s="965">
        <f t="shared" si="18"/>
        <v>0</v>
      </c>
      <c r="V64" s="966">
        <f t="shared" si="19"/>
        <v>0</v>
      </c>
      <c r="W64" s="967"/>
    </row>
    <row r="65" spans="2:23" ht="11.25" hidden="1" customHeight="1" outlineLevel="1">
      <c r="B65" s="757" t="s">
        <v>85</v>
      </c>
      <c r="C65" s="758" t="s">
        <v>86</v>
      </c>
      <c r="D65" s="755" t="s">
        <v>174</v>
      </c>
      <c r="E65" s="739">
        <v>1.5</v>
      </c>
      <c r="F65" s="740">
        <v>3</v>
      </c>
      <c r="G65" s="760">
        <v>93</v>
      </c>
      <c r="H65" s="759">
        <f t="shared" si="10"/>
        <v>418.5</v>
      </c>
      <c r="I65" s="743">
        <f>LOOKUP(B65,valoriz!$A$13:$A$242,valoriz!I$13:I$242)</f>
        <v>0</v>
      </c>
      <c r="J65" s="744">
        <f t="shared" si="11"/>
        <v>0</v>
      </c>
      <c r="K65" s="745">
        <f t="shared" si="20"/>
        <v>0</v>
      </c>
      <c r="L65" s="746">
        <f t="shared" si="12"/>
        <v>0</v>
      </c>
      <c r="M65" s="747">
        <f t="shared" si="13"/>
        <v>327.07</v>
      </c>
      <c r="N65" s="748">
        <f t="shared" si="14"/>
        <v>0</v>
      </c>
      <c r="O65" s="744">
        <f t="shared" si="15"/>
        <v>0</v>
      </c>
      <c r="Q65" s="960"/>
      <c r="R65" s="962">
        <f t="shared" si="16"/>
        <v>0</v>
      </c>
      <c r="S65" s="963">
        <f t="shared" si="17"/>
        <v>418.5</v>
      </c>
      <c r="T65" s="964"/>
      <c r="U65" s="965">
        <f t="shared" si="18"/>
        <v>0</v>
      </c>
      <c r="V65" s="966">
        <f t="shared" si="19"/>
        <v>0</v>
      </c>
      <c r="W65" s="967"/>
    </row>
    <row r="66" spans="2:23" ht="11.25" hidden="1" customHeight="1" outlineLevel="1">
      <c r="B66" s="736" t="s">
        <v>116</v>
      </c>
      <c r="C66" s="737" t="s">
        <v>117</v>
      </c>
      <c r="D66" s="738" t="s">
        <v>174</v>
      </c>
      <c r="E66" s="739">
        <v>2</v>
      </c>
      <c r="F66" s="753">
        <v>2.2000000000000002</v>
      </c>
      <c r="G66" s="741">
        <v>2632</v>
      </c>
      <c r="H66" s="759">
        <f t="shared" si="10"/>
        <v>11580.8</v>
      </c>
      <c r="I66" s="743">
        <f>LOOKUP(B66,valoriz!$A$13:$A$242,valoriz!I$13:I$242)</f>
        <v>0</v>
      </c>
      <c r="J66" s="744">
        <f t="shared" si="11"/>
        <v>0</v>
      </c>
      <c r="K66" s="745">
        <f t="shared" si="20"/>
        <v>0</v>
      </c>
      <c r="L66" s="746">
        <f t="shared" si="12"/>
        <v>0</v>
      </c>
      <c r="M66" s="747">
        <f t="shared" si="13"/>
        <v>327.07</v>
      </c>
      <c r="N66" s="748">
        <f t="shared" si="14"/>
        <v>0</v>
      </c>
      <c r="O66" s="744">
        <f t="shared" si="15"/>
        <v>0</v>
      </c>
      <c r="Q66" s="960"/>
      <c r="R66" s="962">
        <f t="shared" si="16"/>
        <v>0</v>
      </c>
      <c r="S66" s="963">
        <f t="shared" si="17"/>
        <v>11580.8</v>
      </c>
      <c r="T66" s="964"/>
      <c r="U66" s="965">
        <f t="shared" si="18"/>
        <v>0</v>
      </c>
      <c r="V66" s="966">
        <f t="shared" si="19"/>
        <v>0</v>
      </c>
      <c r="W66" s="967"/>
    </row>
    <row r="67" spans="2:23" ht="11.25" hidden="1" customHeight="1" outlineLevel="1" thickBot="1">
      <c r="B67" s="762"/>
      <c r="C67" s="763"/>
      <c r="D67" s="764"/>
      <c r="E67" s="765"/>
      <c r="F67" s="766"/>
      <c r="G67" s="799"/>
      <c r="H67" s="800"/>
      <c r="I67" s="799"/>
      <c r="J67" s="801"/>
      <c r="K67" s="770"/>
      <c r="L67" s="771"/>
      <c r="M67" s="772"/>
      <c r="N67" s="773"/>
      <c r="O67" s="769"/>
      <c r="Q67" s="968"/>
      <c r="R67" s="969"/>
      <c r="S67" s="970"/>
      <c r="T67" s="710"/>
      <c r="U67" s="968"/>
      <c r="V67" s="969"/>
      <c r="W67" s="970"/>
    </row>
    <row r="68" spans="2:23" ht="11.25" hidden="1" customHeight="1" outlineLevel="1">
      <c r="B68" s="775"/>
      <c r="C68" s="776"/>
      <c r="D68" s="777"/>
      <c r="E68" s="777"/>
      <c r="F68" s="778"/>
      <c r="G68" s="779"/>
      <c r="H68" s="780">
        <f>SUM(H50:H67)</f>
        <v>78991.600000000006</v>
      </c>
      <c r="I68" s="779"/>
      <c r="J68" s="780">
        <f>SUM(J50:J67)</f>
        <v>0</v>
      </c>
      <c r="K68" s="781"/>
      <c r="L68" s="777"/>
      <c r="M68" s="778"/>
      <c r="N68" s="782">
        <f>SUM(N50:N67)</f>
        <v>0</v>
      </c>
      <c r="O68" s="783">
        <f>SUM(O50:O67)</f>
        <v>0</v>
      </c>
      <c r="Q68" s="1698" t="str">
        <f>+IF(SUM(R50:R66)&gt;J69,"Revisar Metrado","OK")</f>
        <v>Revisar Metrado</v>
      </c>
      <c r="R68" s="1699"/>
      <c r="S68" s="1700"/>
      <c r="T68" s="710"/>
      <c r="U68" s="1698" t="str">
        <f>+IF(SUM(V50:V66)&gt;N69,"Revisar Metrado","OK")</f>
        <v>OK</v>
      </c>
      <c r="V68" s="1699"/>
      <c r="W68" s="1700"/>
    </row>
    <row r="69" spans="2:23" ht="11.25" hidden="1" customHeight="1" outlineLevel="1">
      <c r="B69" s="790"/>
      <c r="C69" s="791"/>
      <c r="D69" s="121"/>
      <c r="E69" s="792"/>
      <c r="F69" s="792"/>
      <c r="G69" s="786"/>
      <c r="H69" s="787" t="s">
        <v>214</v>
      </c>
      <c r="I69" s="788"/>
      <c r="J69" s="789">
        <v>0</v>
      </c>
      <c r="K69" s="709"/>
      <c r="M69" s="709"/>
      <c r="N69" s="709"/>
      <c r="O69" s="751"/>
      <c r="P69" s="751"/>
    </row>
    <row r="70" spans="2:23" ht="11.25" customHeight="1" collapsed="1">
      <c r="B70" s="784"/>
      <c r="C70" s="700"/>
      <c r="J70" s="806" t="s">
        <v>243</v>
      </c>
      <c r="K70" s="874"/>
      <c r="L70" s="874"/>
      <c r="M70" s="807"/>
      <c r="N70" s="808">
        <f>+N43+N68</f>
        <v>32287.86</v>
      </c>
      <c r="O70" s="910">
        <f>+O43+O68</f>
        <v>0</v>
      </c>
      <c r="P70" s="751"/>
      <c r="Q70" s="751"/>
    </row>
    <row r="71" spans="2:23" ht="11.25" customHeight="1">
      <c r="B71" s="784"/>
      <c r="C71" s="700"/>
      <c r="J71" s="810" t="s">
        <v>244</v>
      </c>
      <c r="K71" s="788"/>
      <c r="L71" s="788"/>
      <c r="M71" s="811"/>
      <c r="N71" s="808">
        <f>+IF(D$13&gt;C92,0,N70)</f>
        <v>32287.86</v>
      </c>
      <c r="O71" s="809">
        <f>+IF(D$13&gt;C92,0,O70)</f>
        <v>0</v>
      </c>
    </row>
    <row r="72" spans="2:23" ht="11.25" customHeight="1">
      <c r="B72" s="784"/>
      <c r="C72" s="700"/>
      <c r="K72" s="751"/>
      <c r="L72" s="39"/>
      <c r="M72" s="39"/>
      <c r="N72" s="172"/>
      <c r="O72" s="172"/>
    </row>
    <row r="73" spans="2:23" ht="18">
      <c r="B73" s="1687" t="s">
        <v>245</v>
      </c>
      <c r="C73" s="1687"/>
      <c r="D73" s="1687"/>
      <c r="E73" s="1687"/>
      <c r="F73" s="1687"/>
      <c r="G73" s="1687"/>
      <c r="H73" s="1687"/>
      <c r="I73" s="1687"/>
      <c r="J73" s="1687"/>
      <c r="K73" s="1687"/>
      <c r="L73" s="1687"/>
      <c r="M73" s="1687"/>
      <c r="N73" s="1687"/>
      <c r="O73" s="1687"/>
    </row>
    <row r="75" spans="2:23" ht="11.25" customHeight="1">
      <c r="B75" s="699" t="str">
        <f>+B14</f>
        <v>Material:</v>
      </c>
    </row>
    <row r="76" spans="2:23" ht="11.25" customHeight="1">
      <c r="B76" s="699" t="str">
        <f>+B15</f>
        <v>Indice Unificado:</v>
      </c>
      <c r="D76" s="705" t="s">
        <v>459</v>
      </c>
      <c r="E76" s="706"/>
      <c r="F76" s="1692" t="s">
        <v>451</v>
      </c>
      <c r="G76" s="1692"/>
    </row>
    <row r="77" spans="2:23" ht="11.25" customHeight="1">
      <c r="B77" s="698" t="str">
        <f>+B12</f>
        <v>Monto del Adelanto Especifico para MADERA</v>
      </c>
      <c r="D77" s="702">
        <f>+D12</f>
        <v>121902.38</v>
      </c>
      <c r="E77" s="706"/>
      <c r="F77" s="1691" t="e">
        <f>+D77-I111</f>
        <v>#REF!</v>
      </c>
      <c r="G77" s="1691"/>
    </row>
    <row r="78" spans="2:23" ht="11.25" customHeight="1">
      <c r="B78" s="698" t="s">
        <v>246</v>
      </c>
      <c r="C78" s="812"/>
      <c r="D78" s="702" t="e">
        <f>ROUND(D77/D81*D80,2)</f>
        <v>#DIV/0!</v>
      </c>
      <c r="E78" s="706"/>
      <c r="F78" s="1691" t="e">
        <f>+D78-F111</f>
        <v>#DIV/0!</v>
      </c>
      <c r="G78" s="1691"/>
    </row>
    <row r="79" spans="2:23" ht="11.25" customHeight="1">
      <c r="B79" s="698" t="str">
        <f>+B13</f>
        <v xml:space="preserve">Fecha de Pago del Adelanto  : </v>
      </c>
      <c r="D79" s="703">
        <f>+D13</f>
        <v>44172</v>
      </c>
      <c r="E79" s="706"/>
    </row>
    <row r="80" spans="2:23" ht="11.25" customHeight="1">
      <c r="B80" s="698" t="str">
        <f>+B16</f>
        <v>Indice INEI a la Fecha del P. Base   (Abril 2,018)</v>
      </c>
      <c r="D80" s="709">
        <f>+D16</f>
        <v>327.07</v>
      </c>
      <c r="E80" s="121"/>
    </row>
    <row r="81" spans="2:15" ht="11.25" customHeight="1">
      <c r="B81" s="698" t="str">
        <f>+B17</f>
        <v>Indice INEI a la Fecha del Pago del Adelanto  (Diciembre 2,020) - Se tomara de Octubre</v>
      </c>
      <c r="D81" s="709">
        <f>+D17</f>
        <v>0</v>
      </c>
      <c r="E81" s="709"/>
    </row>
    <row r="82" spans="2:15" ht="11.25" customHeight="1">
      <c r="B82" s="698" t="s">
        <v>247</v>
      </c>
      <c r="D82" s="698">
        <v>5.8999999999999997E-2</v>
      </c>
    </row>
    <row r="83" spans="2:15" ht="11.25" customHeight="1">
      <c r="B83" s="698" t="s">
        <v>248</v>
      </c>
      <c r="D83" s="813">
        <v>8.4750000000000006E-2</v>
      </c>
    </row>
    <row r="85" spans="2:15" ht="11.25" customHeight="1">
      <c r="B85" s="814" t="s">
        <v>249</v>
      </c>
    </row>
    <row r="87" spans="2:15" ht="11.25" customHeight="1">
      <c r="B87" s="1681" t="s">
        <v>250</v>
      </c>
      <c r="C87" s="1682"/>
      <c r="D87" s="1678" t="s">
        <v>251</v>
      </c>
      <c r="E87" s="1679"/>
      <c r="F87" s="1679"/>
      <c r="G87" s="1679"/>
      <c r="H87" s="1679"/>
      <c r="I87" s="1680"/>
      <c r="L87" s="815"/>
      <c r="M87" s="815"/>
    </row>
    <row r="88" spans="2:15" ht="11.25" customHeight="1">
      <c r="B88" s="1689"/>
      <c r="C88" s="1690"/>
      <c r="D88" s="1678" t="s">
        <v>252</v>
      </c>
      <c r="E88" s="1679"/>
      <c r="F88" s="1680"/>
      <c r="G88" s="1678" t="s">
        <v>253</v>
      </c>
      <c r="H88" s="1679"/>
      <c r="I88" s="1680"/>
    </row>
    <row r="89" spans="2:15" ht="11.25" customHeight="1">
      <c r="B89" s="1683"/>
      <c r="C89" s="1684"/>
      <c r="D89" s="256" t="s">
        <v>254</v>
      </c>
      <c r="E89" s="816" t="s">
        <v>451</v>
      </c>
      <c r="F89" s="716" t="s">
        <v>255</v>
      </c>
      <c r="G89" s="256" t="s">
        <v>254</v>
      </c>
      <c r="H89" s="816" t="s">
        <v>451</v>
      </c>
      <c r="I89" s="716" t="s">
        <v>255</v>
      </c>
      <c r="O89" s="751"/>
    </row>
    <row r="90" spans="2:15" ht="11.25" customHeight="1">
      <c r="B90" s="817" t="str">
        <f>+'Cemento Port I IU 21'!B395</f>
        <v>VAL. 01</v>
      </c>
      <c r="C90" s="818">
        <f>+'Cemento Port I IU 21'!C395</f>
        <v>44500</v>
      </c>
      <c r="D90" s="819" t="e">
        <f>+D78</f>
        <v>#DIV/0!</v>
      </c>
      <c r="E90" s="820" t="e">
        <f t="shared" ref="E90:E107" si="21">+D90-F90</f>
        <v>#DIV/0!</v>
      </c>
      <c r="F90" s="908"/>
      <c r="G90" s="819">
        <f>+D77</f>
        <v>121902.38</v>
      </c>
      <c r="H90" s="820">
        <f t="shared" ref="H90:H107" si="22">+G90-I90</f>
        <v>121902.38</v>
      </c>
      <c r="I90" s="908"/>
      <c r="O90" s="751"/>
    </row>
    <row r="91" spans="2:15" ht="11.25" customHeight="1">
      <c r="B91" s="822" t="str">
        <f>+'Cemento Port I IU 21'!B396</f>
        <v>VAL. 02</v>
      </c>
      <c r="C91" s="823">
        <f>+'Cemento Port I IU 21'!C396</f>
        <v>44530</v>
      </c>
      <c r="D91" s="824" t="e">
        <f>+D90</f>
        <v>#DIV/0!</v>
      </c>
      <c r="E91" s="825" t="e">
        <f t="shared" si="21"/>
        <v>#DIV/0!</v>
      </c>
      <c r="F91" s="795"/>
      <c r="G91" s="824">
        <f>+G90</f>
        <v>121902.38</v>
      </c>
      <c r="H91" s="825">
        <f t="shared" si="22"/>
        <v>121902.38</v>
      </c>
      <c r="I91" s="795"/>
      <c r="J91" s="751"/>
      <c r="K91" s="751"/>
      <c r="O91" s="751"/>
    </row>
    <row r="92" spans="2:15" ht="11.25" customHeight="1">
      <c r="B92" s="822" t="str">
        <f>+'Cemento Port I IU 21'!B397</f>
        <v>VAL. 03</v>
      </c>
      <c r="C92" s="823">
        <f>+'Cemento Port I IU 21'!C397</f>
        <v>44561</v>
      </c>
      <c r="D92" s="824" t="e">
        <f t="shared" ref="D92:D107" si="23">+E91</f>
        <v>#DIV/0!</v>
      </c>
      <c r="E92" s="825" t="e">
        <f t="shared" si="21"/>
        <v>#DIV/0!</v>
      </c>
      <c r="F92" s="795"/>
      <c r="G92" s="824">
        <f t="shared" ref="G92:G107" si="24">+H91</f>
        <v>121902.38</v>
      </c>
      <c r="H92" s="825">
        <f t="shared" si="22"/>
        <v>121902.38</v>
      </c>
      <c r="I92" s="795"/>
      <c r="J92" s="751"/>
      <c r="K92" s="751"/>
      <c r="O92" s="751"/>
    </row>
    <row r="93" spans="2:15" ht="11.25" customHeight="1">
      <c r="B93" s="822" t="str">
        <f>+'Cemento Port I IU 21'!B398</f>
        <v>VAL. 04</v>
      </c>
      <c r="C93" s="823">
        <f>+'Cemento Port I IU 21'!C398</f>
        <v>44592</v>
      </c>
      <c r="D93" s="824" t="e">
        <f t="shared" si="23"/>
        <v>#DIV/0!</v>
      </c>
      <c r="E93" s="825" t="e">
        <f t="shared" si="21"/>
        <v>#DIV/0!</v>
      </c>
      <c r="F93" s="795">
        <v>2812.6</v>
      </c>
      <c r="G93" s="824">
        <f t="shared" si="24"/>
        <v>121902.38</v>
      </c>
      <c r="H93" s="825">
        <f t="shared" si="22"/>
        <v>119171.73000000001</v>
      </c>
      <c r="I93" s="795">
        <v>2730.65</v>
      </c>
      <c r="J93" s="751"/>
      <c r="K93" s="751"/>
      <c r="O93" s="751"/>
    </row>
    <row r="94" spans="2:15" ht="11.25" customHeight="1">
      <c r="B94" s="822" t="str">
        <f>+'Cemento Port I IU 21'!B399</f>
        <v>VAL. 05</v>
      </c>
      <c r="C94" s="823">
        <f>+'Cemento Port I IU 21'!C399</f>
        <v>44620</v>
      </c>
      <c r="D94" s="824" t="e">
        <f t="shared" si="23"/>
        <v>#DIV/0!</v>
      </c>
      <c r="E94" s="825" t="e">
        <f t="shared" si="21"/>
        <v>#DIV/0!</v>
      </c>
      <c r="F94" s="744">
        <v>4724.2299999999996</v>
      </c>
      <c r="G94" s="824">
        <f t="shared" si="24"/>
        <v>119171.73000000001</v>
      </c>
      <c r="H94" s="825">
        <f t="shared" si="22"/>
        <v>114585.16</v>
      </c>
      <c r="I94" s="744">
        <v>4586.57</v>
      </c>
      <c r="J94" s="751"/>
      <c r="K94" s="751"/>
      <c r="O94" s="751"/>
    </row>
    <row r="95" spans="2:15" ht="11.25" customHeight="1">
      <c r="B95" s="822" t="str">
        <f>+'Cemento Port I IU 21'!B400</f>
        <v>VAL. 06</v>
      </c>
      <c r="C95" s="823">
        <f>+'Cemento Port I IU 21'!C400</f>
        <v>0</v>
      </c>
      <c r="D95" s="824" t="e">
        <f t="shared" si="23"/>
        <v>#DIV/0!</v>
      </c>
      <c r="E95" s="825" t="e">
        <f t="shared" si="21"/>
        <v>#DIV/0!</v>
      </c>
      <c r="F95" s="744">
        <v>11617.35</v>
      </c>
      <c r="G95" s="824">
        <f t="shared" si="24"/>
        <v>114585.16</v>
      </c>
      <c r="H95" s="825">
        <f t="shared" si="22"/>
        <v>103316.97</v>
      </c>
      <c r="I95" s="744">
        <v>11268.19</v>
      </c>
      <c r="J95" s="751"/>
      <c r="K95" s="751"/>
      <c r="O95" s="751"/>
    </row>
    <row r="96" spans="2:15" ht="11.25" customHeight="1">
      <c r="B96" s="822" t="str">
        <f>+'Cemento Port I IU 21'!B401</f>
        <v>VAL. 07</v>
      </c>
      <c r="C96" s="823" t="e">
        <f>+'Cemento Port I IU 21'!C401</f>
        <v>#REF!</v>
      </c>
      <c r="D96" s="824" t="e">
        <f t="shared" si="23"/>
        <v>#DIV/0!</v>
      </c>
      <c r="E96" s="825" t="e">
        <f t="shared" si="21"/>
        <v>#DIV/0!</v>
      </c>
      <c r="F96" s="744">
        <v>15588.21</v>
      </c>
      <c r="G96" s="824">
        <f t="shared" si="24"/>
        <v>103316.97</v>
      </c>
      <c r="H96" s="825">
        <f t="shared" si="22"/>
        <v>88197.27</v>
      </c>
      <c r="I96" s="744">
        <v>15119.7</v>
      </c>
      <c r="J96" s="751"/>
      <c r="K96" s="751"/>
      <c r="O96" s="751"/>
    </row>
    <row r="97" spans="2:15" ht="11.25" customHeight="1">
      <c r="B97" s="822" t="str">
        <f>+'Cemento Port I IU 21'!B402</f>
        <v>VAL. 08</v>
      </c>
      <c r="C97" s="823" t="e">
        <f>+'Cemento Port I IU 21'!C402</f>
        <v>#REF!</v>
      </c>
      <c r="D97" s="824" t="e">
        <f>+E96</f>
        <v>#DIV/0!</v>
      </c>
      <c r="E97" s="825" t="e">
        <f t="shared" si="21"/>
        <v>#DIV/0!</v>
      </c>
      <c r="F97" s="744">
        <v>17334.8</v>
      </c>
      <c r="G97" s="824">
        <f t="shared" si="24"/>
        <v>88197.27</v>
      </c>
      <c r="H97" s="825">
        <f t="shared" si="22"/>
        <v>71383.460000000006</v>
      </c>
      <c r="I97" s="744">
        <v>16813.810000000001</v>
      </c>
      <c r="O97" s="751"/>
    </row>
    <row r="98" spans="2:15" ht="11.25" customHeight="1">
      <c r="B98" s="822" t="str">
        <f>+'Cemento Port I IU 21'!B403</f>
        <v>VAL. 09</v>
      </c>
      <c r="C98" s="823" t="e">
        <f>+'Cemento Port I IU 21'!C403</f>
        <v>#REF!</v>
      </c>
      <c r="D98" s="824" t="e">
        <f t="shared" si="23"/>
        <v>#DIV/0!</v>
      </c>
      <c r="E98" s="825" t="e">
        <f t="shared" si="21"/>
        <v>#DIV/0!</v>
      </c>
      <c r="F98" s="744">
        <v>4507.96</v>
      </c>
      <c r="G98" s="824">
        <f t="shared" si="24"/>
        <v>71383.460000000006</v>
      </c>
      <c r="H98" s="825">
        <f t="shared" si="22"/>
        <v>67011</v>
      </c>
      <c r="I98" s="744">
        <v>4372.46</v>
      </c>
      <c r="O98" s="751"/>
    </row>
    <row r="99" spans="2:15" ht="11.25" customHeight="1">
      <c r="B99" s="822" t="str">
        <f>+'Cemento Port I IU 21'!B404</f>
        <v>VAL. 10</v>
      </c>
      <c r="C99" s="823" t="e">
        <f>+'Cemento Port I IU 21'!C404</f>
        <v>#REF!</v>
      </c>
      <c r="D99" s="824" t="e">
        <f t="shared" si="23"/>
        <v>#DIV/0!</v>
      </c>
      <c r="E99" s="825" t="e">
        <f t="shared" si="21"/>
        <v>#DIV/0!</v>
      </c>
      <c r="F99" s="744">
        <v>6294.54</v>
      </c>
      <c r="G99" s="824">
        <f t="shared" si="24"/>
        <v>67011</v>
      </c>
      <c r="H99" s="825">
        <f t="shared" si="22"/>
        <v>60905.66</v>
      </c>
      <c r="I99" s="744">
        <v>6105.34</v>
      </c>
      <c r="O99" s="751"/>
    </row>
    <row r="100" spans="2:15" ht="11.25" customHeight="1">
      <c r="B100" s="822" t="str">
        <f>+'Cemento Port I IU 21'!B405</f>
        <v>VAL. 11</v>
      </c>
      <c r="C100" s="823" t="e">
        <f>+'Cemento Port I IU 21'!C405</f>
        <v>#REF!</v>
      </c>
      <c r="D100" s="824" t="e">
        <f t="shared" si="23"/>
        <v>#DIV/0!</v>
      </c>
      <c r="E100" s="825" t="e">
        <f t="shared" si="21"/>
        <v>#DIV/0!</v>
      </c>
      <c r="F100" s="744">
        <v>7547.08</v>
      </c>
      <c r="G100" s="824">
        <f t="shared" si="24"/>
        <v>60905.66</v>
      </c>
      <c r="H100" s="825">
        <f t="shared" si="22"/>
        <v>53585.41</v>
      </c>
      <c r="I100" s="744">
        <v>7320.25</v>
      </c>
      <c r="O100" s="751"/>
    </row>
    <row r="101" spans="2:15" ht="11.25" customHeight="1">
      <c r="B101" s="822" t="str">
        <f>+'Cemento Port I IU 21'!B406</f>
        <v>VAL. 12</v>
      </c>
      <c r="C101" s="823" t="e">
        <f>+'Cemento Port I IU 21'!C406</f>
        <v>#REF!</v>
      </c>
      <c r="D101" s="824" t="e">
        <f t="shared" si="23"/>
        <v>#DIV/0!</v>
      </c>
      <c r="E101" s="825" t="e">
        <f t="shared" si="21"/>
        <v>#DIV/0!</v>
      </c>
      <c r="F101" s="744">
        <v>5481.71</v>
      </c>
      <c r="G101" s="824">
        <f t="shared" si="24"/>
        <v>53585.41</v>
      </c>
      <c r="H101" s="825">
        <f t="shared" si="22"/>
        <v>48268.450000000004</v>
      </c>
      <c r="I101" s="744">
        <v>5316.96</v>
      </c>
      <c r="O101" s="751"/>
    </row>
    <row r="102" spans="2:15" ht="11.25" customHeight="1">
      <c r="B102" s="822" t="str">
        <f>+'Cemento Port I IU 21'!B407</f>
        <v>VAL. 13</v>
      </c>
      <c r="C102" s="823" t="e">
        <f>+'Cemento Port I IU 21'!C407</f>
        <v>#REF!</v>
      </c>
      <c r="D102" s="824" t="e">
        <f t="shared" si="23"/>
        <v>#DIV/0!</v>
      </c>
      <c r="E102" s="825" t="e">
        <f t="shared" si="21"/>
        <v>#DIV/0!</v>
      </c>
      <c r="F102" s="744">
        <v>5877.36</v>
      </c>
      <c r="G102" s="824">
        <f t="shared" si="24"/>
        <v>48268.450000000004</v>
      </c>
      <c r="H102" s="825">
        <f t="shared" si="22"/>
        <v>42567.73</v>
      </c>
      <c r="I102" s="744">
        <v>5700.72</v>
      </c>
      <c r="O102" s="751"/>
    </row>
    <row r="103" spans="2:15" ht="11.25" customHeight="1">
      <c r="B103" s="822" t="str">
        <f>+'Cemento Port I IU 21'!B408</f>
        <v>VAL. 14</v>
      </c>
      <c r="C103" s="823" t="e">
        <f>+'Cemento Port I IU 21'!C408</f>
        <v>#REF!</v>
      </c>
      <c r="D103" s="824" t="e">
        <f t="shared" si="23"/>
        <v>#DIV/0!</v>
      </c>
      <c r="E103" s="825" t="e">
        <f t="shared" si="21"/>
        <v>#DIV/0!</v>
      </c>
      <c r="F103" s="744">
        <v>4769.34</v>
      </c>
      <c r="G103" s="824">
        <f t="shared" si="24"/>
        <v>42567.73</v>
      </c>
      <c r="H103" s="825">
        <f t="shared" si="22"/>
        <v>37941.740000000005</v>
      </c>
      <c r="I103" s="744">
        <v>4625.99</v>
      </c>
      <c r="O103" s="751"/>
    </row>
    <row r="104" spans="2:15" ht="11.25" customHeight="1">
      <c r="B104" s="822" t="str">
        <f>+'Cemento Port I IU 21'!B409</f>
        <v>VAL. 15</v>
      </c>
      <c r="C104" s="823" t="e">
        <f>+'Cemento Port I IU 21'!C409</f>
        <v>#REF!</v>
      </c>
      <c r="D104" s="824" t="e">
        <f t="shared" si="23"/>
        <v>#DIV/0!</v>
      </c>
      <c r="E104" s="825" t="e">
        <f t="shared" si="21"/>
        <v>#DIV/0!</v>
      </c>
      <c r="F104" s="744">
        <v>4203.55</v>
      </c>
      <c r="G104" s="824">
        <f t="shared" si="24"/>
        <v>37941.740000000005</v>
      </c>
      <c r="H104" s="825">
        <f t="shared" si="22"/>
        <v>33864.540000000008</v>
      </c>
      <c r="I104" s="744">
        <v>4077.2</v>
      </c>
      <c r="O104" s="751"/>
    </row>
    <row r="105" spans="2:15" ht="11.25" customHeight="1">
      <c r="B105" s="822" t="str">
        <f>+'Cemento Port I IU 21'!B410</f>
        <v>VAL. 16</v>
      </c>
      <c r="C105" s="823" t="e">
        <f>+'Cemento Port I IU 21'!C410</f>
        <v>#REF!</v>
      </c>
      <c r="D105" s="824" t="e">
        <f t="shared" si="23"/>
        <v>#DIV/0!</v>
      </c>
      <c r="E105" s="825" t="e">
        <f t="shared" si="21"/>
        <v>#DIV/0!</v>
      </c>
      <c r="F105" s="744" t="e">
        <f>+IF(D$13&gt;C105,0,N$71)</f>
        <v>#REF!</v>
      </c>
      <c r="G105" s="824">
        <f t="shared" si="24"/>
        <v>33864.540000000008</v>
      </c>
      <c r="H105" s="825" t="e">
        <f t="shared" si="22"/>
        <v>#REF!</v>
      </c>
      <c r="I105" s="744" t="e">
        <f>+IF(D$13&gt;C105,0,O$71)</f>
        <v>#REF!</v>
      </c>
      <c r="O105" s="751"/>
    </row>
    <row r="106" spans="2:15" ht="11.25" customHeight="1">
      <c r="B106" s="822" t="str">
        <f>+'Cemento Port I IU 21'!B411</f>
        <v>VAL. 17</v>
      </c>
      <c r="C106" s="823" t="e">
        <f>+'Cemento Port I IU 21'!C411</f>
        <v>#REF!</v>
      </c>
      <c r="D106" s="824" t="e">
        <f t="shared" si="23"/>
        <v>#DIV/0!</v>
      </c>
      <c r="E106" s="825" t="e">
        <f t="shared" si="21"/>
        <v>#DIV/0!</v>
      </c>
      <c r="F106" s="744">
        <v>0</v>
      </c>
      <c r="G106" s="824" t="e">
        <f t="shared" si="24"/>
        <v>#REF!</v>
      </c>
      <c r="H106" s="825" t="e">
        <f t="shared" si="22"/>
        <v>#REF!</v>
      </c>
      <c r="I106" s="744">
        <v>0</v>
      </c>
      <c r="O106" s="751"/>
    </row>
    <row r="107" spans="2:15" ht="11.25" customHeight="1">
      <c r="B107" s="822" t="str">
        <f>+'Cemento Port I IU 21'!B412</f>
        <v>VAL. 18</v>
      </c>
      <c r="C107" s="823" t="e">
        <f>+'Cemento Port I IU 21'!C412</f>
        <v>#REF!</v>
      </c>
      <c r="D107" s="824" t="e">
        <f t="shared" si="23"/>
        <v>#DIV/0!</v>
      </c>
      <c r="E107" s="825" t="e">
        <f t="shared" si="21"/>
        <v>#DIV/0!</v>
      </c>
      <c r="F107" s="744">
        <v>0</v>
      </c>
      <c r="G107" s="824" t="e">
        <f t="shared" si="24"/>
        <v>#REF!</v>
      </c>
      <c r="H107" s="825" t="e">
        <f t="shared" si="22"/>
        <v>#REF!</v>
      </c>
      <c r="I107" s="744">
        <v>0</v>
      </c>
      <c r="O107" s="751"/>
    </row>
    <row r="108" spans="2:15" ht="11.25" customHeight="1">
      <c r="B108" s="822"/>
      <c r="C108" s="823"/>
      <c r="D108" s="824"/>
      <c r="E108" s="825"/>
      <c r="F108" s="744"/>
      <c r="G108" s="824"/>
      <c r="H108" s="825"/>
      <c r="I108" s="744"/>
      <c r="O108" s="751"/>
    </row>
    <row r="109" spans="2:15" ht="11.25" customHeight="1">
      <c r="B109" s="822"/>
      <c r="C109" s="823"/>
      <c r="D109" s="824"/>
      <c r="E109" s="825"/>
      <c r="F109" s="744"/>
      <c r="G109" s="824"/>
      <c r="H109" s="825"/>
      <c r="I109" s="744"/>
      <c r="O109" s="751"/>
    </row>
    <row r="110" spans="2:15" ht="11.25" customHeight="1">
      <c r="B110" s="826"/>
      <c r="C110" s="827"/>
      <c r="D110" s="828"/>
      <c r="E110" s="829"/>
      <c r="F110" s="830"/>
      <c r="G110" s="828"/>
      <c r="H110" s="829"/>
      <c r="I110" s="830"/>
      <c r="O110" s="751"/>
    </row>
    <row r="111" spans="2:15" ht="11.25" customHeight="1">
      <c r="B111" s="700"/>
      <c r="C111" s="700"/>
      <c r="D111" s="831" t="s">
        <v>274</v>
      </c>
      <c r="E111" s="788"/>
      <c r="F111" s="832" t="e">
        <f>SUM(F91:F110)</f>
        <v>#REF!</v>
      </c>
      <c r="G111" s="786"/>
      <c r="H111" s="832"/>
      <c r="I111" s="833" t="e">
        <f>SUM(I91:I110)</f>
        <v>#REF!</v>
      </c>
      <c r="O111" s="751"/>
    </row>
    <row r="112" spans="2:15" ht="11.25" customHeight="1">
      <c r="B112" s="700"/>
      <c r="C112" s="700"/>
      <c r="D112" s="707"/>
      <c r="F112" s="751"/>
      <c r="H112" s="751"/>
      <c r="I112" s="751"/>
      <c r="O112" s="751"/>
    </row>
    <row r="113" spans="2:17" ht="11.25" customHeight="1">
      <c r="B113" s="700"/>
      <c r="C113" s="700"/>
      <c r="D113" s="707"/>
      <c r="F113" s="751"/>
      <c r="H113" s="751"/>
      <c r="I113" s="751"/>
      <c r="O113" s="751"/>
    </row>
    <row r="114" spans="2:17" ht="11.25" customHeight="1">
      <c r="B114" s="814" t="s">
        <v>275</v>
      </c>
    </row>
    <row r="115" spans="2:17" ht="11.25" customHeight="1">
      <c r="B115" s="834" t="s">
        <v>276</v>
      </c>
    </row>
    <row r="116" spans="2:17" ht="11.25" customHeight="1">
      <c r="B116" s="835" t="s">
        <v>277</v>
      </c>
      <c r="C116" s="715"/>
      <c r="D116" s="715"/>
      <c r="E116" s="715"/>
      <c r="F116" s="715"/>
      <c r="G116" s="715"/>
      <c r="H116" s="715"/>
      <c r="I116" s="715"/>
      <c r="J116" s="715"/>
      <c r="K116" s="715"/>
      <c r="L116" s="715"/>
      <c r="M116" s="715"/>
    </row>
    <row r="117" spans="2:17" ht="11.25" customHeight="1">
      <c r="B117" s="1681" t="s">
        <v>250</v>
      </c>
      <c r="C117" s="1682"/>
      <c r="D117" s="1681" t="s">
        <v>278</v>
      </c>
      <c r="E117" s="1685" t="s">
        <v>279</v>
      </c>
      <c r="F117" s="1678" t="s">
        <v>135</v>
      </c>
      <c r="G117" s="1680"/>
      <c r="H117" s="1701" t="s">
        <v>280</v>
      </c>
      <c r="I117" s="1702"/>
      <c r="J117" s="1703"/>
      <c r="K117" s="1681" t="s">
        <v>281</v>
      </c>
      <c r="L117" s="1688"/>
      <c r="M117" s="1682"/>
      <c r="N117" s="1685" t="s">
        <v>282</v>
      </c>
      <c r="P117" s="1705" t="s">
        <v>136</v>
      </c>
      <c r="Q117" s="1706"/>
    </row>
    <row r="118" spans="2:17" ht="11.25" customHeight="1">
      <c r="B118" s="1683"/>
      <c r="C118" s="1684"/>
      <c r="D118" s="1683"/>
      <c r="E118" s="1686"/>
      <c r="F118" s="836" t="s">
        <v>283</v>
      </c>
      <c r="G118" s="836" t="s">
        <v>385</v>
      </c>
      <c r="H118" s="716" t="s">
        <v>254</v>
      </c>
      <c r="I118" s="716" t="s">
        <v>284</v>
      </c>
      <c r="J118" s="256" t="s">
        <v>451</v>
      </c>
      <c r="K118" s="836" t="s">
        <v>468</v>
      </c>
      <c r="L118" s="716" t="s">
        <v>467</v>
      </c>
      <c r="M118" s="716" t="s">
        <v>285</v>
      </c>
      <c r="N118" s="1704"/>
      <c r="P118" s="911" t="s">
        <v>456</v>
      </c>
      <c r="Q118" s="839" t="s">
        <v>286</v>
      </c>
    </row>
    <row r="119" spans="2:17" ht="11.25" customHeight="1">
      <c r="B119" s="822" t="str">
        <f t="shared" ref="B119:C136" si="25">+B90</f>
        <v>VAL. 01</v>
      </c>
      <c r="C119" s="901">
        <f t="shared" si="25"/>
        <v>44500</v>
      </c>
      <c r="D119" s="824">
        <f>+'Cemento Port I IU 21'!D423</f>
        <v>78066.42</v>
      </c>
      <c r="E119" s="840">
        <f t="shared" ref="E119:E136" si="26">+H90</f>
        <v>121902.38</v>
      </c>
      <c r="F119" s="841">
        <f>+D82</f>
        <v>5.8999999999999997E-2</v>
      </c>
      <c r="G119" s="842">
        <f>+D83</f>
        <v>8.4750000000000006E-2</v>
      </c>
      <c r="H119" s="843" t="e">
        <f>+D78</f>
        <v>#DIV/0!</v>
      </c>
      <c r="I119" s="744">
        <f>+IF(D$13&gt;C119,0,ROUND(D119*F119*G119,2))</f>
        <v>390.35</v>
      </c>
      <c r="J119" s="824" t="e">
        <f>+H119-I119</f>
        <v>#DIV/0!</v>
      </c>
      <c r="K119" s="843">
        <f t="shared" ref="K119:K136" si="27">+D$80</f>
        <v>327.07</v>
      </c>
      <c r="L119" s="744">
        <f t="shared" ref="L119:L136" si="28">+D$81</f>
        <v>0</v>
      </c>
      <c r="M119" s="744">
        <f>+K!T15</f>
        <v>0</v>
      </c>
      <c r="N119" s="844">
        <f t="shared" ref="N119:N136" si="29">+ROUND(I119*(M119-L119)/K119,2)</f>
        <v>0</v>
      </c>
      <c r="O119" s="709"/>
      <c r="P119" s="845">
        <f>+'Cemento Port I IU 21'!P$423</f>
        <v>0</v>
      </c>
      <c r="Q119" s="845">
        <f>+'Cemento Port I IU 21'!Q$423</f>
        <v>0</v>
      </c>
    </row>
    <row r="120" spans="2:17" ht="11.25" customHeight="1">
      <c r="B120" s="822" t="str">
        <f t="shared" si="25"/>
        <v>VAL. 02</v>
      </c>
      <c r="C120" s="901">
        <f t="shared" si="25"/>
        <v>44530</v>
      </c>
      <c r="D120" s="824">
        <f>+'Cemento Port I IU 21'!D424</f>
        <v>1302063.97</v>
      </c>
      <c r="E120" s="843">
        <f t="shared" si="26"/>
        <v>121902.38</v>
      </c>
      <c r="F120" s="841">
        <f>+D82</f>
        <v>5.8999999999999997E-2</v>
      </c>
      <c r="G120" s="842">
        <f>+D83</f>
        <v>8.4750000000000006E-2</v>
      </c>
      <c r="H120" s="843" t="e">
        <f t="shared" ref="H120:H136" si="30">+J119</f>
        <v>#DIV/0!</v>
      </c>
      <c r="I120" s="744">
        <f>+IF(D$13&gt;C120,0,IF(E120&gt;0,ROUND(D120*F120*G120,2),J119))</f>
        <v>6510.65</v>
      </c>
      <c r="J120" s="824" t="e">
        <f>+H120-I120</f>
        <v>#DIV/0!</v>
      </c>
      <c r="K120" s="843">
        <f t="shared" si="27"/>
        <v>327.07</v>
      </c>
      <c r="L120" s="744">
        <f t="shared" si="28"/>
        <v>0</v>
      </c>
      <c r="M120" s="744">
        <f>+K!V$15</f>
        <v>0</v>
      </c>
      <c r="N120" s="848">
        <f t="shared" si="29"/>
        <v>0</v>
      </c>
      <c r="O120" s="709"/>
      <c r="P120" s="845">
        <f>+'Cemento Port I IU 21'!P$424</f>
        <v>0</v>
      </c>
      <c r="Q120" s="845">
        <f>+'Cemento Port I IU 21'!Q$424</f>
        <v>0</v>
      </c>
    </row>
    <row r="121" spans="2:17" ht="11.25" customHeight="1">
      <c r="B121" s="822" t="str">
        <f t="shared" si="25"/>
        <v>VAL. 03</v>
      </c>
      <c r="C121" s="901">
        <f t="shared" si="25"/>
        <v>44561</v>
      </c>
      <c r="D121" s="824">
        <f>+'Cemento Port I IU 21'!D425</f>
        <v>1388847.16</v>
      </c>
      <c r="E121" s="843">
        <f t="shared" si="26"/>
        <v>121902.38</v>
      </c>
      <c r="F121" s="841">
        <f>+D82</f>
        <v>5.8999999999999997E-2</v>
      </c>
      <c r="G121" s="842">
        <f>+D83</f>
        <v>8.4750000000000006E-2</v>
      </c>
      <c r="H121" s="843" t="e">
        <f t="shared" si="30"/>
        <v>#DIV/0!</v>
      </c>
      <c r="I121" s="744">
        <f>+IF(D$13&gt;C121,0,IF(E121&gt;0,ROUND(D121*F121*G121,2),J120))</f>
        <v>6944.58</v>
      </c>
      <c r="J121" s="824" t="e">
        <f t="shared" ref="J121:J136" si="31">+J120-I121</f>
        <v>#DIV/0!</v>
      </c>
      <c r="K121" s="843">
        <f t="shared" si="27"/>
        <v>327.07</v>
      </c>
      <c r="L121" s="744">
        <f t="shared" si="28"/>
        <v>0</v>
      </c>
      <c r="M121" s="744">
        <f>+K!X$15</f>
        <v>0</v>
      </c>
      <c r="N121" s="848">
        <f t="shared" si="29"/>
        <v>0</v>
      </c>
      <c r="O121" s="709"/>
      <c r="P121" s="845">
        <f>+'Cemento Port I IU 21'!P$425</f>
        <v>0</v>
      </c>
      <c r="Q121" s="845">
        <f>+'Cemento Port I IU 21'!Q$425</f>
        <v>0</v>
      </c>
    </row>
    <row r="122" spans="2:17" ht="11.25" customHeight="1">
      <c r="B122" s="822" t="str">
        <f t="shared" si="25"/>
        <v>VAL. 04</v>
      </c>
      <c r="C122" s="901">
        <f t="shared" si="25"/>
        <v>44592</v>
      </c>
      <c r="D122" s="824">
        <f>+'Cemento Port I IU 21'!D426</f>
        <v>0</v>
      </c>
      <c r="E122" s="843">
        <f t="shared" si="26"/>
        <v>119171.73000000001</v>
      </c>
      <c r="F122" s="841">
        <f>+D82</f>
        <v>5.8999999999999997E-2</v>
      </c>
      <c r="G122" s="842">
        <f>+D83</f>
        <v>8.4750000000000006E-2</v>
      </c>
      <c r="H122" s="843" t="e">
        <f t="shared" si="30"/>
        <v>#DIV/0!</v>
      </c>
      <c r="I122" s="744">
        <f>+IF(D$13&gt;C122,0,IF(E122&gt;0,ROUND(D122*F122*G122,2),J121))</f>
        <v>0</v>
      </c>
      <c r="J122" s="824" t="e">
        <f t="shared" si="31"/>
        <v>#DIV/0!</v>
      </c>
      <c r="K122" s="843">
        <f t="shared" si="27"/>
        <v>327.07</v>
      </c>
      <c r="L122" s="744">
        <f t="shared" si="28"/>
        <v>0</v>
      </c>
      <c r="M122" s="744" t="e">
        <f>+K!#REF!</f>
        <v>#REF!</v>
      </c>
      <c r="N122" s="848" t="e">
        <f t="shared" si="29"/>
        <v>#REF!</v>
      </c>
      <c r="O122" s="709"/>
      <c r="P122" s="845">
        <f>+'Cemento Port I IU 21'!P$426</f>
        <v>0</v>
      </c>
      <c r="Q122" s="845">
        <f>+'Cemento Port I IU 21'!Q$426</f>
        <v>0</v>
      </c>
    </row>
    <row r="123" spans="2:17" ht="11.25" customHeight="1">
      <c r="B123" s="822" t="str">
        <f t="shared" si="25"/>
        <v>VAL. 05</v>
      </c>
      <c r="C123" s="901">
        <f t="shared" si="25"/>
        <v>44620</v>
      </c>
      <c r="D123" s="824">
        <f>+'Cemento Port I IU 21'!D427</f>
        <v>0</v>
      </c>
      <c r="E123" s="843">
        <f t="shared" si="26"/>
        <v>114585.16</v>
      </c>
      <c r="F123" s="841">
        <f>+D82</f>
        <v>5.8999999999999997E-2</v>
      </c>
      <c r="G123" s="842">
        <f>+D83</f>
        <v>8.4750000000000006E-2</v>
      </c>
      <c r="H123" s="843" t="e">
        <f t="shared" si="30"/>
        <v>#DIV/0!</v>
      </c>
      <c r="I123" s="744">
        <f>+IF(D$13&gt;C123,0,IF(E123&gt;0,ROUND(D123*F123*G123,2),J122))</f>
        <v>0</v>
      </c>
      <c r="J123" s="824" t="e">
        <f t="shared" si="31"/>
        <v>#DIV/0!</v>
      </c>
      <c r="K123" s="843">
        <f t="shared" si="27"/>
        <v>327.07</v>
      </c>
      <c r="L123" s="744">
        <f t="shared" si="28"/>
        <v>0</v>
      </c>
      <c r="M123" s="744" t="e">
        <f>+K!#REF!</f>
        <v>#REF!</v>
      </c>
      <c r="N123" s="848" t="e">
        <f>+ROUND(I123*(M123-L123)/K123,2)</f>
        <v>#REF!</v>
      </c>
      <c r="O123" s="709"/>
      <c r="P123" s="845">
        <f>+'Cemento Port I IU 21'!P$427</f>
        <v>44166</v>
      </c>
      <c r="Q123" s="845">
        <f>+'Cemento Port I IU 21'!Q$427</f>
        <v>44166</v>
      </c>
    </row>
    <row r="124" spans="2:17" ht="11.25" customHeight="1">
      <c r="B124" s="822" t="str">
        <f t="shared" si="25"/>
        <v>VAL. 06</v>
      </c>
      <c r="C124" s="901">
        <f t="shared" si="25"/>
        <v>0</v>
      </c>
      <c r="D124" s="824">
        <f>+'Cemento Port I IU 21'!D428</f>
        <v>0</v>
      </c>
      <c r="E124" s="843">
        <f t="shared" si="26"/>
        <v>103316.97</v>
      </c>
      <c r="F124" s="841">
        <f>+D82</f>
        <v>5.8999999999999997E-2</v>
      </c>
      <c r="G124" s="842">
        <f>+D83</f>
        <v>8.4750000000000006E-2</v>
      </c>
      <c r="H124" s="843" t="e">
        <f t="shared" si="30"/>
        <v>#DIV/0!</v>
      </c>
      <c r="I124" s="744">
        <f>+IF(D$13&gt;C124,0,IF(E124&gt;0,ROUND(D124*F124*G124,2),J123))</f>
        <v>0</v>
      </c>
      <c r="J124" s="824" t="e">
        <f t="shared" si="31"/>
        <v>#DIV/0!</v>
      </c>
      <c r="K124" s="843">
        <f t="shared" si="27"/>
        <v>327.07</v>
      </c>
      <c r="L124" s="744">
        <f t="shared" si="28"/>
        <v>0</v>
      </c>
      <c r="M124" s="744" t="e">
        <f>+K!#REF!</f>
        <v>#REF!</v>
      </c>
      <c r="N124" s="848" t="e">
        <f t="shared" si="29"/>
        <v>#REF!</v>
      </c>
      <c r="O124" s="709"/>
      <c r="P124" s="845">
        <f>+'Cemento Port I IU 21'!P$428</f>
        <v>44197</v>
      </c>
      <c r="Q124" s="845">
        <f>+'Cemento Port I IU 21'!Q$428</f>
        <v>44197</v>
      </c>
    </row>
    <row r="125" spans="2:17" ht="11.25" customHeight="1">
      <c r="B125" s="822" t="str">
        <f t="shared" si="25"/>
        <v>VAL. 07</v>
      </c>
      <c r="C125" s="901" t="e">
        <f t="shared" si="25"/>
        <v>#REF!</v>
      </c>
      <c r="D125" s="824" t="e">
        <f>+'Cemento Port I IU 21'!D429</f>
        <v>#REF!</v>
      </c>
      <c r="E125" s="843">
        <f t="shared" si="26"/>
        <v>88197.27</v>
      </c>
      <c r="F125" s="841">
        <f>+D82</f>
        <v>5.8999999999999997E-2</v>
      </c>
      <c r="G125" s="842">
        <f>+D83</f>
        <v>8.4750000000000006E-2</v>
      </c>
      <c r="H125" s="843" t="e">
        <f t="shared" si="30"/>
        <v>#DIV/0!</v>
      </c>
      <c r="I125" s="744" t="e">
        <f t="shared" ref="I125:I136" si="32">+IF(D$13&gt;C125,0,IF(ROUND(D125*F125*G125,2)&gt;J124,J124,ROUND(D125*F125*G125,2)))</f>
        <v>#REF!</v>
      </c>
      <c r="J125" s="824" t="e">
        <f>+J124-I125</f>
        <v>#DIV/0!</v>
      </c>
      <c r="K125" s="843">
        <f t="shared" si="27"/>
        <v>327.07</v>
      </c>
      <c r="L125" s="744">
        <f t="shared" si="28"/>
        <v>0</v>
      </c>
      <c r="M125" s="744" t="e">
        <f>+K!#REF!</f>
        <v>#REF!</v>
      </c>
      <c r="N125" s="848" t="e">
        <f t="shared" si="29"/>
        <v>#REF!</v>
      </c>
      <c r="O125" s="709"/>
      <c r="P125" s="845">
        <f>+'Cemento Port I IU 21'!P$429</f>
        <v>44228</v>
      </c>
      <c r="Q125" s="845">
        <f>+'Cemento Port I IU 21'!Q$429</f>
        <v>44228</v>
      </c>
    </row>
    <row r="126" spans="2:17" ht="11.25" customHeight="1">
      <c r="B126" s="822" t="str">
        <f t="shared" si="25"/>
        <v>VAL. 08</v>
      </c>
      <c r="C126" s="901" t="e">
        <f t="shared" si="25"/>
        <v>#REF!</v>
      </c>
      <c r="D126" s="824" t="e">
        <f>+'Cemento Port I IU 21'!D430</f>
        <v>#REF!</v>
      </c>
      <c r="E126" s="849">
        <f t="shared" si="26"/>
        <v>71383.460000000006</v>
      </c>
      <c r="F126" s="850">
        <f>+D82</f>
        <v>5.8999999999999997E-2</v>
      </c>
      <c r="G126" s="851">
        <f>+D83</f>
        <v>8.4750000000000006E-2</v>
      </c>
      <c r="H126" s="849" t="e">
        <f>+J125</f>
        <v>#DIV/0!</v>
      </c>
      <c r="I126" s="744" t="e">
        <f>+IF(D$13&gt;C126,0,IF(ROUND(D126*F126*G126,2)&gt;J125,J125,ROUND(D126*F126*G126,2)))</f>
        <v>#REF!</v>
      </c>
      <c r="J126" s="847" t="e">
        <f t="shared" si="31"/>
        <v>#DIV/0!</v>
      </c>
      <c r="K126" s="849">
        <f t="shared" si="27"/>
        <v>327.07</v>
      </c>
      <c r="L126" s="852">
        <f t="shared" si="28"/>
        <v>0</v>
      </c>
      <c r="M126" s="744">
        <v>0</v>
      </c>
      <c r="N126" s="848" t="e">
        <f>+ROUND(I126*(M126-L126)/K126,2)</f>
        <v>#REF!</v>
      </c>
      <c r="P126" s="845">
        <f>+'Cemento Port I IU 21'!P$430</f>
        <v>44197</v>
      </c>
      <c r="Q126" s="845">
        <f>+'Cemento Port I IU 21'!Q$430</f>
        <v>44256</v>
      </c>
    </row>
    <row r="127" spans="2:17" ht="11.25" customHeight="1">
      <c r="B127" s="822" t="str">
        <f t="shared" si="25"/>
        <v>VAL. 09</v>
      </c>
      <c r="C127" s="901" t="e">
        <f t="shared" si="25"/>
        <v>#REF!</v>
      </c>
      <c r="D127" s="824" t="e">
        <f>+'Cemento Port I IU 21'!D431</f>
        <v>#REF!</v>
      </c>
      <c r="E127" s="849">
        <f t="shared" si="26"/>
        <v>67011</v>
      </c>
      <c r="F127" s="850">
        <f>+D82</f>
        <v>5.8999999999999997E-2</v>
      </c>
      <c r="G127" s="851">
        <f>+D83</f>
        <v>8.4750000000000006E-2</v>
      </c>
      <c r="H127" s="849" t="e">
        <f t="shared" si="30"/>
        <v>#DIV/0!</v>
      </c>
      <c r="I127" s="744" t="e">
        <f t="shared" si="32"/>
        <v>#REF!</v>
      </c>
      <c r="J127" s="847" t="e">
        <f t="shared" si="31"/>
        <v>#DIV/0!</v>
      </c>
      <c r="K127" s="849">
        <f t="shared" si="27"/>
        <v>327.07</v>
      </c>
      <c r="L127" s="852">
        <f t="shared" si="28"/>
        <v>0</v>
      </c>
      <c r="M127" s="744">
        <v>0</v>
      </c>
      <c r="N127" s="853" t="e">
        <f t="shared" si="29"/>
        <v>#REF!</v>
      </c>
      <c r="P127" s="845">
        <f>+'Cemento Port I IU 21'!P$431</f>
        <v>44228</v>
      </c>
      <c r="Q127" s="845">
        <f>+'Cemento Port I IU 21'!Q$431</f>
        <v>44287</v>
      </c>
    </row>
    <row r="128" spans="2:17" ht="11.25" customHeight="1">
      <c r="B128" s="822" t="str">
        <f t="shared" si="25"/>
        <v>VAL. 10</v>
      </c>
      <c r="C128" s="901" t="e">
        <f t="shared" si="25"/>
        <v>#REF!</v>
      </c>
      <c r="D128" s="824" t="e">
        <f>+'Cemento Port I IU 21'!D432</f>
        <v>#REF!</v>
      </c>
      <c r="E128" s="849">
        <f t="shared" si="26"/>
        <v>60905.66</v>
      </c>
      <c r="F128" s="850">
        <f>+D82</f>
        <v>5.8999999999999997E-2</v>
      </c>
      <c r="G128" s="851">
        <f>+D83</f>
        <v>8.4750000000000006E-2</v>
      </c>
      <c r="H128" s="849" t="e">
        <f t="shared" si="30"/>
        <v>#DIV/0!</v>
      </c>
      <c r="I128" s="744" t="e">
        <f t="shared" si="32"/>
        <v>#REF!</v>
      </c>
      <c r="J128" s="847" t="e">
        <f t="shared" si="31"/>
        <v>#DIV/0!</v>
      </c>
      <c r="K128" s="849">
        <f t="shared" si="27"/>
        <v>327.07</v>
      </c>
      <c r="L128" s="852">
        <f t="shared" si="28"/>
        <v>0</v>
      </c>
      <c r="M128" s="744">
        <v>0</v>
      </c>
      <c r="N128" s="853" t="e">
        <f t="shared" si="29"/>
        <v>#REF!</v>
      </c>
      <c r="P128" s="845">
        <f>+'Cemento Port I IU 21'!P$432</f>
        <v>44256</v>
      </c>
      <c r="Q128" s="845">
        <f>+'Cemento Port I IU 21'!Q$432</f>
        <v>44317</v>
      </c>
    </row>
    <row r="129" spans="2:17" ht="11.25" customHeight="1">
      <c r="B129" s="822" t="str">
        <f t="shared" si="25"/>
        <v>VAL. 11</v>
      </c>
      <c r="C129" s="901" t="e">
        <f t="shared" si="25"/>
        <v>#REF!</v>
      </c>
      <c r="D129" s="824" t="e">
        <f>+'Cemento Port I IU 21'!D433</f>
        <v>#REF!</v>
      </c>
      <c r="E129" s="849">
        <f t="shared" si="26"/>
        <v>53585.41</v>
      </c>
      <c r="F129" s="850">
        <f>+D82</f>
        <v>5.8999999999999997E-2</v>
      </c>
      <c r="G129" s="851">
        <f>+D83</f>
        <v>8.4750000000000006E-2</v>
      </c>
      <c r="H129" s="849" t="e">
        <f t="shared" si="30"/>
        <v>#DIV/0!</v>
      </c>
      <c r="I129" s="744" t="e">
        <f t="shared" si="32"/>
        <v>#REF!</v>
      </c>
      <c r="J129" s="847" t="e">
        <f t="shared" si="31"/>
        <v>#DIV/0!</v>
      </c>
      <c r="K129" s="849">
        <f t="shared" si="27"/>
        <v>327.07</v>
      </c>
      <c r="L129" s="852">
        <f t="shared" si="28"/>
        <v>0</v>
      </c>
      <c r="M129" s="744">
        <v>0</v>
      </c>
      <c r="N129" s="853" t="e">
        <f t="shared" si="29"/>
        <v>#REF!</v>
      </c>
      <c r="P129" s="845">
        <f>+'Cemento Port I IU 21'!P$433</f>
        <v>44287</v>
      </c>
      <c r="Q129" s="845">
        <f>+'Cemento Port I IU 21'!Q$433</f>
        <v>44348</v>
      </c>
    </row>
    <row r="130" spans="2:17" ht="11.25" customHeight="1">
      <c r="B130" s="822" t="str">
        <f t="shared" si="25"/>
        <v>VAL. 12</v>
      </c>
      <c r="C130" s="901" t="e">
        <f t="shared" si="25"/>
        <v>#REF!</v>
      </c>
      <c r="D130" s="824" t="e">
        <f>+'Cemento Port I IU 21'!D434</f>
        <v>#REF!</v>
      </c>
      <c r="E130" s="843">
        <f t="shared" si="26"/>
        <v>48268.450000000004</v>
      </c>
      <c r="F130" s="841">
        <f>+D82</f>
        <v>5.8999999999999997E-2</v>
      </c>
      <c r="G130" s="842">
        <f>+D83</f>
        <v>8.4750000000000006E-2</v>
      </c>
      <c r="H130" s="843" t="e">
        <f t="shared" si="30"/>
        <v>#DIV/0!</v>
      </c>
      <c r="I130" s="744" t="e">
        <f t="shared" si="32"/>
        <v>#REF!</v>
      </c>
      <c r="J130" s="824" t="e">
        <f t="shared" si="31"/>
        <v>#DIV/0!</v>
      </c>
      <c r="K130" s="843">
        <f t="shared" si="27"/>
        <v>327.07</v>
      </c>
      <c r="L130" s="744">
        <f t="shared" si="28"/>
        <v>0</v>
      </c>
      <c r="M130" s="843">
        <v>0</v>
      </c>
      <c r="N130" s="848" t="e">
        <f t="shared" si="29"/>
        <v>#REF!</v>
      </c>
      <c r="P130" s="845">
        <f>+'Cemento Port I IU 21'!P$434</f>
        <v>44317</v>
      </c>
      <c r="Q130" s="845">
        <f>+'Cemento Port I IU 21'!Q$434</f>
        <v>44378</v>
      </c>
    </row>
    <row r="131" spans="2:17" ht="11.25" customHeight="1">
      <c r="B131" s="822" t="str">
        <f t="shared" si="25"/>
        <v>VAL. 13</v>
      </c>
      <c r="C131" s="901" t="e">
        <f t="shared" si="25"/>
        <v>#REF!</v>
      </c>
      <c r="D131" s="824" t="e">
        <f>+'Cemento Port I IU 21'!D435</f>
        <v>#REF!</v>
      </c>
      <c r="E131" s="843">
        <f t="shared" si="26"/>
        <v>42567.73</v>
      </c>
      <c r="F131" s="841">
        <f>+D82</f>
        <v>5.8999999999999997E-2</v>
      </c>
      <c r="G131" s="842">
        <f>+D83</f>
        <v>8.4750000000000006E-2</v>
      </c>
      <c r="H131" s="843" t="e">
        <f t="shared" si="30"/>
        <v>#DIV/0!</v>
      </c>
      <c r="I131" s="744" t="e">
        <f t="shared" si="32"/>
        <v>#REF!</v>
      </c>
      <c r="J131" s="824" t="e">
        <f t="shared" si="31"/>
        <v>#DIV/0!</v>
      </c>
      <c r="K131" s="843">
        <f t="shared" si="27"/>
        <v>327.07</v>
      </c>
      <c r="L131" s="744">
        <f t="shared" si="28"/>
        <v>0</v>
      </c>
      <c r="M131" s="843">
        <v>0</v>
      </c>
      <c r="N131" s="848" t="e">
        <f t="shared" si="29"/>
        <v>#REF!</v>
      </c>
      <c r="P131" s="845">
        <f>+'Cemento Port I IU 21'!P$435</f>
        <v>44348</v>
      </c>
      <c r="Q131" s="845">
        <f>+'Cemento Port I IU 21'!Q$435</f>
        <v>44409</v>
      </c>
    </row>
    <row r="132" spans="2:17" ht="11.25" customHeight="1">
      <c r="B132" s="822" t="str">
        <f t="shared" si="25"/>
        <v>VAL. 14</v>
      </c>
      <c r="C132" s="901" t="e">
        <f t="shared" si="25"/>
        <v>#REF!</v>
      </c>
      <c r="D132" s="824" t="e">
        <f>+'Cemento Port I IU 21'!D436</f>
        <v>#REF!</v>
      </c>
      <c r="E132" s="843">
        <f t="shared" si="26"/>
        <v>37941.740000000005</v>
      </c>
      <c r="F132" s="841">
        <f>+D82</f>
        <v>5.8999999999999997E-2</v>
      </c>
      <c r="G132" s="842">
        <f>+D83</f>
        <v>8.4750000000000006E-2</v>
      </c>
      <c r="H132" s="843" t="e">
        <f t="shared" si="30"/>
        <v>#DIV/0!</v>
      </c>
      <c r="I132" s="744" t="e">
        <f t="shared" si="32"/>
        <v>#REF!</v>
      </c>
      <c r="J132" s="824" t="e">
        <f t="shared" si="31"/>
        <v>#DIV/0!</v>
      </c>
      <c r="K132" s="843">
        <f t="shared" si="27"/>
        <v>327.07</v>
      </c>
      <c r="L132" s="744">
        <f t="shared" si="28"/>
        <v>0</v>
      </c>
      <c r="M132" s="843">
        <v>0</v>
      </c>
      <c r="N132" s="848" t="e">
        <f t="shared" si="29"/>
        <v>#REF!</v>
      </c>
      <c r="P132" s="845">
        <f>+'Cemento Port I IU 21'!P$436</f>
        <v>44378</v>
      </c>
      <c r="Q132" s="845">
        <f>+'Cemento Port I IU 21'!Q$436</f>
        <v>44440</v>
      </c>
    </row>
    <row r="133" spans="2:17" ht="11.25" customHeight="1">
      <c r="B133" s="822" t="str">
        <f t="shared" si="25"/>
        <v>VAL. 15</v>
      </c>
      <c r="C133" s="901" t="e">
        <f t="shared" si="25"/>
        <v>#REF!</v>
      </c>
      <c r="D133" s="824" t="e">
        <f>+'Cemento Port I IU 21'!D437</f>
        <v>#REF!</v>
      </c>
      <c r="E133" s="843">
        <f t="shared" si="26"/>
        <v>33864.540000000008</v>
      </c>
      <c r="F133" s="841">
        <f>+D82</f>
        <v>5.8999999999999997E-2</v>
      </c>
      <c r="G133" s="842">
        <f>+D83</f>
        <v>8.4750000000000006E-2</v>
      </c>
      <c r="H133" s="843" t="e">
        <f t="shared" si="30"/>
        <v>#DIV/0!</v>
      </c>
      <c r="I133" s="744" t="e">
        <f t="shared" si="32"/>
        <v>#REF!</v>
      </c>
      <c r="J133" s="824" t="e">
        <f t="shared" si="31"/>
        <v>#DIV/0!</v>
      </c>
      <c r="K133" s="843">
        <f t="shared" si="27"/>
        <v>327.07</v>
      </c>
      <c r="L133" s="744">
        <f t="shared" si="28"/>
        <v>0</v>
      </c>
      <c r="M133" s="843">
        <v>0</v>
      </c>
      <c r="N133" s="848" t="e">
        <f t="shared" si="29"/>
        <v>#REF!</v>
      </c>
      <c r="P133" s="845">
        <f>+'Cemento Port I IU 21'!P$437</f>
        <v>44409</v>
      </c>
      <c r="Q133" s="845">
        <f>+'Cemento Port I IU 21'!Q$437</f>
        <v>44470</v>
      </c>
    </row>
    <row r="134" spans="2:17" ht="11.25" customHeight="1">
      <c r="B134" s="822" t="str">
        <f t="shared" si="25"/>
        <v>VAL. 16</v>
      </c>
      <c r="C134" s="901" t="e">
        <f t="shared" si="25"/>
        <v>#REF!</v>
      </c>
      <c r="D134" s="824" t="e">
        <f>+'Cemento Port I IU 21'!D438</f>
        <v>#REF!</v>
      </c>
      <c r="E134" s="843" t="e">
        <f t="shared" si="26"/>
        <v>#REF!</v>
      </c>
      <c r="F134" s="841">
        <f>+D82</f>
        <v>5.8999999999999997E-2</v>
      </c>
      <c r="G134" s="842">
        <f>+D83</f>
        <v>8.4750000000000006E-2</v>
      </c>
      <c r="H134" s="843" t="e">
        <f t="shared" si="30"/>
        <v>#DIV/0!</v>
      </c>
      <c r="I134" s="744" t="e">
        <f t="shared" si="32"/>
        <v>#REF!</v>
      </c>
      <c r="J134" s="824" t="e">
        <f t="shared" si="31"/>
        <v>#DIV/0!</v>
      </c>
      <c r="K134" s="843">
        <f t="shared" si="27"/>
        <v>327.07</v>
      </c>
      <c r="L134" s="744">
        <f t="shared" si="28"/>
        <v>0</v>
      </c>
      <c r="M134" s="843">
        <v>0</v>
      </c>
      <c r="N134" s="848" t="e">
        <f t="shared" si="29"/>
        <v>#REF!</v>
      </c>
      <c r="P134" s="845">
        <f>+'Cemento Port I IU 21'!P$438</f>
        <v>44440</v>
      </c>
      <c r="Q134" s="845">
        <f>+'Cemento Port I IU 21'!Q$438</f>
        <v>44501</v>
      </c>
    </row>
    <row r="135" spans="2:17" ht="11.25" customHeight="1">
      <c r="B135" s="822" t="str">
        <f t="shared" si="25"/>
        <v>VAL. 17</v>
      </c>
      <c r="C135" s="901" t="e">
        <f t="shared" si="25"/>
        <v>#REF!</v>
      </c>
      <c r="D135" s="824" t="e">
        <f>+'Cemento Port I IU 21'!D439</f>
        <v>#REF!</v>
      </c>
      <c r="E135" s="843" t="e">
        <f t="shared" si="26"/>
        <v>#REF!</v>
      </c>
      <c r="F135" s="841">
        <f>+D82</f>
        <v>5.8999999999999997E-2</v>
      </c>
      <c r="G135" s="842">
        <f>+D83</f>
        <v>8.4750000000000006E-2</v>
      </c>
      <c r="H135" s="843" t="e">
        <f t="shared" si="30"/>
        <v>#DIV/0!</v>
      </c>
      <c r="I135" s="744" t="e">
        <f t="shared" si="32"/>
        <v>#REF!</v>
      </c>
      <c r="J135" s="824" t="e">
        <f t="shared" si="31"/>
        <v>#DIV/0!</v>
      </c>
      <c r="K135" s="843">
        <f t="shared" si="27"/>
        <v>327.07</v>
      </c>
      <c r="L135" s="744">
        <f t="shared" si="28"/>
        <v>0</v>
      </c>
      <c r="M135" s="843">
        <v>0</v>
      </c>
      <c r="N135" s="848" t="e">
        <f t="shared" si="29"/>
        <v>#REF!</v>
      </c>
      <c r="P135" s="845">
        <f>+'Cemento Port I IU 21'!P$439</f>
        <v>44470</v>
      </c>
      <c r="Q135" s="845">
        <f>+'Cemento Port I IU 21'!Q$439</f>
        <v>44531</v>
      </c>
    </row>
    <row r="136" spans="2:17" ht="11.25" customHeight="1">
      <c r="B136" s="822" t="str">
        <f t="shared" si="25"/>
        <v>VAL. 18</v>
      </c>
      <c r="C136" s="901" t="e">
        <f t="shared" si="25"/>
        <v>#REF!</v>
      </c>
      <c r="D136" s="824" t="e">
        <f>+'Cemento Port I IU 21'!D440</f>
        <v>#REF!</v>
      </c>
      <c r="E136" s="843" t="e">
        <f t="shared" si="26"/>
        <v>#REF!</v>
      </c>
      <c r="F136" s="841">
        <f>+D82</f>
        <v>5.8999999999999997E-2</v>
      </c>
      <c r="G136" s="842">
        <f>+D83</f>
        <v>8.4750000000000006E-2</v>
      </c>
      <c r="H136" s="843" t="e">
        <f t="shared" si="30"/>
        <v>#DIV/0!</v>
      </c>
      <c r="I136" s="744" t="e">
        <f t="shared" si="32"/>
        <v>#REF!</v>
      </c>
      <c r="J136" s="824" t="e">
        <f t="shared" si="31"/>
        <v>#DIV/0!</v>
      </c>
      <c r="K136" s="843">
        <f t="shared" si="27"/>
        <v>327.07</v>
      </c>
      <c r="L136" s="744">
        <f t="shared" si="28"/>
        <v>0</v>
      </c>
      <c r="M136" s="843">
        <v>0</v>
      </c>
      <c r="N136" s="848" t="e">
        <f t="shared" si="29"/>
        <v>#REF!</v>
      </c>
      <c r="P136" s="845">
        <f>+'Cemento Port I IU 21'!P$440</f>
        <v>44501</v>
      </c>
      <c r="Q136" s="845">
        <f>+'Cemento Port I IU 21'!Q$440</f>
        <v>44562</v>
      </c>
    </row>
    <row r="137" spans="2:17" ht="11.25" customHeight="1">
      <c r="B137" s="822"/>
      <c r="C137" s="901"/>
      <c r="D137" s="843"/>
      <c r="E137" s="843"/>
      <c r="F137" s="841"/>
      <c r="G137" s="903"/>
      <c r="H137" s="843"/>
      <c r="I137" s="744"/>
      <c r="J137" s="824"/>
      <c r="K137" s="843"/>
      <c r="L137" s="744"/>
      <c r="M137" s="843"/>
      <c r="N137" s="848"/>
      <c r="P137" s="856"/>
      <c r="Q137" s="857"/>
    </row>
    <row r="138" spans="2:17" ht="11.25" customHeight="1">
      <c r="B138" s="858"/>
      <c r="C138" s="912"/>
      <c r="D138" s="860"/>
      <c r="E138" s="860"/>
      <c r="F138" s="861"/>
      <c r="G138" s="862"/>
      <c r="H138" s="860"/>
      <c r="I138" s="852"/>
      <c r="J138" s="828"/>
      <c r="K138" s="860"/>
      <c r="L138" s="830"/>
      <c r="M138" s="860"/>
      <c r="N138" s="863"/>
      <c r="P138" s="864"/>
      <c r="Q138" s="865"/>
    </row>
    <row r="139" spans="2:17" ht="11.25" customHeight="1">
      <c r="B139" s="774"/>
      <c r="C139" s="715"/>
      <c r="D139" s="866"/>
      <c r="E139" s="867"/>
      <c r="F139" s="868"/>
      <c r="G139" s="869"/>
      <c r="H139" s="869"/>
      <c r="I139" s="1062" t="e">
        <f>SUM(I119:I138)</f>
        <v>#REF!</v>
      </c>
      <c r="J139" s="871"/>
      <c r="K139" s="869"/>
      <c r="L139" s="727"/>
      <c r="M139" s="727"/>
      <c r="N139" s="872"/>
    </row>
    <row r="140" spans="2:17" ht="11.25" customHeight="1">
      <c r="L140" s="873" t="s">
        <v>274</v>
      </c>
      <c r="M140" s="874"/>
      <c r="N140" s="875" t="e">
        <f>SUM(N119:N138)</f>
        <v>#REF!</v>
      </c>
      <c r="O140" s="709"/>
    </row>
    <row r="141" spans="2:17" ht="11.25" customHeight="1">
      <c r="L141" s="876" t="s">
        <v>287</v>
      </c>
      <c r="M141" s="877"/>
      <c r="N141" s="878">
        <v>-1112.8499999999999</v>
      </c>
    </row>
    <row r="142" spans="2:17" ht="11.25" customHeight="1">
      <c r="L142" s="879" t="s">
        <v>288</v>
      </c>
      <c r="M142" s="880"/>
      <c r="N142" s="881" t="e">
        <f>N140-N141</f>
        <v>#REF!</v>
      </c>
      <c r="O142" s="709"/>
    </row>
  </sheetData>
  <mergeCells count="43">
    <mergeCell ref="B9:O9"/>
    <mergeCell ref="B10:O10"/>
    <mergeCell ref="E21:F21"/>
    <mergeCell ref="K21:K22"/>
    <mergeCell ref="B11:O11"/>
    <mergeCell ref="N21:O21"/>
    <mergeCell ref="B21:B22"/>
    <mergeCell ref="C21:C22"/>
    <mergeCell ref="L21:M21"/>
    <mergeCell ref="G21:H21"/>
    <mergeCell ref="D21:D22"/>
    <mergeCell ref="U21:W21"/>
    <mergeCell ref="U46:W46"/>
    <mergeCell ref="U68:W68"/>
    <mergeCell ref="H117:J117"/>
    <mergeCell ref="N117:N118"/>
    <mergeCell ref="Q21:S21"/>
    <mergeCell ref="Q46:S46"/>
    <mergeCell ref="N46:O46"/>
    <mergeCell ref="Q68:S68"/>
    <mergeCell ref="G46:H46"/>
    <mergeCell ref="I21:J21"/>
    <mergeCell ref="F117:G117"/>
    <mergeCell ref="P117:Q117"/>
    <mergeCell ref="L46:M46"/>
    <mergeCell ref="K46:K47"/>
    <mergeCell ref="D88:F88"/>
    <mergeCell ref="B117:C118"/>
    <mergeCell ref="B46:B47"/>
    <mergeCell ref="D117:D118"/>
    <mergeCell ref="B73:O73"/>
    <mergeCell ref="K117:M117"/>
    <mergeCell ref="B87:C89"/>
    <mergeCell ref="C46:C47"/>
    <mergeCell ref="E117:E118"/>
    <mergeCell ref="I46:J46"/>
    <mergeCell ref="E46:F46"/>
    <mergeCell ref="F78:G78"/>
    <mergeCell ref="F76:G76"/>
    <mergeCell ref="F77:G77"/>
    <mergeCell ref="D46:D47"/>
    <mergeCell ref="G88:I88"/>
    <mergeCell ref="D87:I87"/>
  </mergeCells>
  <phoneticPr fontId="0" type="noConversion"/>
  <printOptions horizontalCentered="1"/>
  <pageMargins left="0.19685039370078741" right="0.19685039370078741" top="0.46" bottom="0.7" header="0" footer="0"/>
  <pageSetup paperSize="9" scale="63" fitToHeight="2" orientation="landscape" horizontalDpi="300" verticalDpi="300" r:id="rId1"/>
  <headerFooter alignWithMargins="0">
    <oddFooter>&amp;L&amp;8&amp;F:&amp;A&amp;R&amp;8&amp;P/&amp;N</oddFooter>
  </headerFooter>
  <rowBreaks count="2" manualBreakCount="2">
    <brk id="71" max="14" man="1"/>
    <brk id="112" max="14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2">
    <tabColor indexed="24"/>
  </sheetPr>
  <dimension ref="B1:W109"/>
  <sheetViews>
    <sheetView showGridLines="0" view="pageBreakPreview" topLeftCell="A88" zoomScaleNormal="100" workbookViewId="0">
      <selection activeCell="A88" sqref="A88"/>
    </sheetView>
  </sheetViews>
  <sheetFormatPr baseColWidth="10" defaultColWidth="11.42578125" defaultRowHeight="11.25" customHeight="1"/>
  <cols>
    <col min="1" max="1" width="1.85546875" style="698" bestFit="1" customWidth="1"/>
    <col min="2" max="2" width="13.5703125" style="698" customWidth="1"/>
    <col min="3" max="3" width="50.85546875" style="698" customWidth="1"/>
    <col min="4" max="4" width="12.7109375" style="698" customWidth="1"/>
    <col min="5" max="5" width="11.7109375" style="698" customWidth="1"/>
    <col min="6" max="6" width="11" style="698" customWidth="1"/>
    <col min="7" max="10" width="10.7109375" style="698" customWidth="1"/>
    <col min="11" max="11" width="8.7109375" style="698" customWidth="1"/>
    <col min="12" max="12" width="11" style="698" customWidth="1"/>
    <col min="13" max="13" width="10.140625" style="698" customWidth="1"/>
    <col min="14" max="14" width="11.42578125" style="698"/>
    <col min="15" max="15" width="11.7109375" style="698" customWidth="1"/>
    <col min="16" max="16" width="9.7109375" style="698" customWidth="1"/>
    <col min="17" max="17" width="9" style="698" bestFit="1" customWidth="1"/>
    <col min="18" max="18" width="11" style="698" bestFit="1" customWidth="1"/>
    <col min="19" max="19" width="8.7109375" style="698" bestFit="1" customWidth="1"/>
    <col min="20" max="16384" width="11.42578125" style="698"/>
  </cols>
  <sheetData>
    <row r="1" spans="2:18" ht="11.25" customHeight="1">
      <c r="B1" s="698" t="s">
        <v>1816</v>
      </c>
      <c r="C1" s="698" t="s">
        <v>1817</v>
      </c>
      <c r="D1" s="699"/>
      <c r="E1" s="699"/>
      <c r="I1" s="700"/>
      <c r="J1" s="700"/>
      <c r="K1" s="700"/>
      <c r="L1" s="700"/>
    </row>
    <row r="2" spans="2:18" s="699" customFormat="1" ht="11.25" customHeight="1">
      <c r="B2" s="698" t="s">
        <v>1818</v>
      </c>
      <c r="C2" s="698" t="s">
        <v>1819</v>
      </c>
      <c r="I2" s="700"/>
      <c r="J2" s="700"/>
      <c r="K2" s="700"/>
      <c r="L2" s="700"/>
    </row>
    <row r="3" spans="2:18" s="699" customFormat="1" ht="11.25" customHeight="1">
      <c r="B3" s="698" t="s">
        <v>1820</v>
      </c>
      <c r="C3" s="698" t="s">
        <v>1821</v>
      </c>
      <c r="I3" s="700"/>
      <c r="J3" s="700"/>
      <c r="K3" s="700"/>
      <c r="L3" s="700"/>
    </row>
    <row r="4" spans="2:18" s="699" customFormat="1" ht="11.25" customHeight="1">
      <c r="B4" s="698"/>
      <c r="C4" s="698" t="s">
        <v>1822</v>
      </c>
      <c r="I4" s="700"/>
      <c r="J4" s="700"/>
      <c r="K4" s="700"/>
      <c r="L4" s="700"/>
    </row>
    <row r="5" spans="2:18" s="699" customFormat="1" ht="11.25" customHeight="1">
      <c r="B5" s="698" t="s">
        <v>1823</v>
      </c>
      <c r="C5" s="698" t="s">
        <v>1824</v>
      </c>
      <c r="I5" s="700"/>
      <c r="J5" s="700"/>
      <c r="K5" s="700"/>
      <c r="L5" s="700"/>
    </row>
    <row r="6" spans="2:18" s="699" customFormat="1" ht="11.25" customHeight="1">
      <c r="B6" s="698" t="s">
        <v>1825</v>
      </c>
      <c r="C6" s="701">
        <v>40359</v>
      </c>
      <c r="I6" s="700"/>
      <c r="J6" s="700"/>
      <c r="K6" s="700"/>
      <c r="L6" s="700"/>
    </row>
    <row r="9" spans="2:18" ht="18">
      <c r="B9" s="1687" t="s">
        <v>177</v>
      </c>
      <c r="C9" s="1687"/>
      <c r="D9" s="1687"/>
      <c r="E9" s="1687"/>
      <c r="F9" s="1687"/>
      <c r="G9" s="1687"/>
      <c r="H9" s="1687"/>
      <c r="I9" s="1687"/>
      <c r="J9" s="1687"/>
      <c r="K9" s="1687"/>
      <c r="L9" s="1687"/>
      <c r="M9" s="1687"/>
      <c r="N9" s="1687"/>
      <c r="O9" s="1687"/>
      <c r="P9" s="700"/>
      <c r="Q9" s="700"/>
      <c r="R9" s="700"/>
    </row>
    <row r="10" spans="2:18" ht="18">
      <c r="B10" s="1687" t="str">
        <f>+'Cemento Port I IU 21'!B8:O8</f>
        <v>VALORIZACION Nº 4 - MES DE DICIEMBRE 2021</v>
      </c>
      <c r="C10" s="1687"/>
      <c r="D10" s="1687"/>
      <c r="E10" s="1687"/>
      <c r="F10" s="1687"/>
      <c r="G10" s="1687"/>
      <c r="H10" s="1687"/>
      <c r="I10" s="1687"/>
      <c r="J10" s="1687"/>
      <c r="K10" s="1687"/>
      <c r="L10" s="1687"/>
      <c r="M10" s="1687"/>
      <c r="N10" s="1687"/>
      <c r="O10" s="1687"/>
      <c r="P10" s="700"/>
      <c r="Q10" s="700"/>
      <c r="R10" s="700"/>
    </row>
    <row r="11" spans="2:18" ht="15">
      <c r="B11" s="1707" t="str">
        <f>+'Cemento Port I IU 21'!B9:O9</f>
        <v>CONTRATO PRINCIPAL</v>
      </c>
      <c r="C11" s="1707"/>
      <c r="D11" s="1707"/>
      <c r="E11" s="1707"/>
      <c r="F11" s="1707"/>
      <c r="G11" s="1707"/>
      <c r="H11" s="1707"/>
      <c r="I11" s="1707"/>
      <c r="J11" s="1707"/>
      <c r="K11" s="1707"/>
      <c r="L11" s="1707"/>
      <c r="M11" s="1707"/>
      <c r="N11" s="1707"/>
      <c r="O11" s="1707"/>
    </row>
    <row r="12" spans="2:18" ht="11.25" customHeight="1">
      <c r="B12" s="698" t="s">
        <v>303</v>
      </c>
      <c r="D12" s="702">
        <v>3701275.22</v>
      </c>
      <c r="E12" s="698" t="s">
        <v>178</v>
      </c>
      <c r="I12" s="699" t="s">
        <v>179</v>
      </c>
      <c r="K12" s="699" t="s">
        <v>180</v>
      </c>
      <c r="M12" s="699"/>
    </row>
    <row r="13" spans="2:18" ht="11.25" customHeight="1">
      <c r="B13" s="698" t="s">
        <v>290</v>
      </c>
      <c r="D13" s="703">
        <f>+'Cemento Port I IU 21'!D11</f>
        <v>44172</v>
      </c>
      <c r="E13" s="704"/>
      <c r="I13" s="698" t="s">
        <v>182</v>
      </c>
    </row>
    <row r="14" spans="2:18" ht="11.25" customHeight="1">
      <c r="B14" s="699" t="s">
        <v>183</v>
      </c>
      <c r="C14" s="699" t="s">
        <v>304</v>
      </c>
      <c r="E14" s="705"/>
      <c r="F14" s="706"/>
      <c r="I14" s="707" t="s">
        <v>185</v>
      </c>
      <c r="K14" s="698" t="s">
        <v>186</v>
      </c>
    </row>
    <row r="15" spans="2:18" ht="11.25" customHeight="1">
      <c r="B15" s="699" t="s">
        <v>187</v>
      </c>
      <c r="C15" s="708" t="s">
        <v>305</v>
      </c>
      <c r="E15" s="705"/>
      <c r="F15" s="706"/>
      <c r="I15" s="707" t="s">
        <v>188</v>
      </c>
      <c r="K15" s="698" t="s">
        <v>189</v>
      </c>
    </row>
    <row r="16" spans="2:18" ht="11.25" customHeight="1">
      <c r="B16" s="698" t="str">
        <f>+'Cemento Port I IU 21'!B14</f>
        <v>Indice INEI a la Fecha del P. Base   (Abril 2,018)</v>
      </c>
      <c r="D16" s="709">
        <v>265.29000000000002</v>
      </c>
      <c r="I16" s="707" t="s">
        <v>191</v>
      </c>
      <c r="K16" s="698" t="s">
        <v>192</v>
      </c>
    </row>
    <row r="17" spans="2:23" ht="11.25" customHeight="1">
      <c r="B17" s="698" t="str">
        <f>+'Cemento Port I IU 21'!B15</f>
        <v>Indice INEI a la Fecha del Pago del Adelanto  (Diciembre 2,020) - Se tomara de Octubre</v>
      </c>
      <c r="D17" s="709" t="e">
        <f>+K!#REF!</f>
        <v>#REF!</v>
      </c>
      <c r="E17" s="710">
        <f>+'Cemento Port I IU 21'!E15</f>
        <v>0</v>
      </c>
      <c r="I17" s="707" t="s">
        <v>193</v>
      </c>
      <c r="K17" s="698" t="s">
        <v>194</v>
      </c>
    </row>
    <row r="18" spans="2:23" ht="11.25" customHeight="1">
      <c r="I18" s="711" t="s">
        <v>195</v>
      </c>
      <c r="J18" s="712"/>
      <c r="K18" s="712" t="s">
        <v>196</v>
      </c>
      <c r="L18" s="712"/>
      <c r="M18" s="713">
        <v>1</v>
      </c>
      <c r="N18" s="714"/>
    </row>
    <row r="19" spans="2:23" ht="11.25" customHeight="1">
      <c r="B19" s="39" t="str">
        <f>+'Cemento Port I IU 21'!B17</f>
        <v>1.- CALCULO DE LA AMORTIZACION CON EL AVANCE DE LA VALORIZACION Nº 09 (MAR 21)</v>
      </c>
      <c r="K19" s="698" t="str">
        <f>+'Cemento Port I IU 21'!K17</f>
        <v>Para Obras A Precios Unitarios, FR es igual a 1.0000</v>
      </c>
    </row>
    <row r="20" spans="2:23" ht="11.25" customHeight="1">
      <c r="B20" s="715"/>
      <c r="C20" s="715"/>
      <c r="D20" s="715"/>
      <c r="E20" s="715"/>
      <c r="F20" s="715"/>
      <c r="G20" s="715"/>
      <c r="H20" s="715"/>
      <c r="I20" s="715"/>
      <c r="J20" s="715"/>
      <c r="K20" s="715"/>
      <c r="L20" s="715"/>
      <c r="M20" s="715"/>
      <c r="N20" s="715"/>
      <c r="O20" s="715"/>
    </row>
    <row r="21" spans="2:23" ht="11.25" customHeight="1">
      <c r="B21" s="1685" t="s">
        <v>198</v>
      </c>
      <c r="C21" s="1685" t="s">
        <v>199</v>
      </c>
      <c r="D21" s="1693" t="s">
        <v>601</v>
      </c>
      <c r="E21" s="1678" t="s">
        <v>200</v>
      </c>
      <c r="F21" s="1680"/>
      <c r="G21" s="1678" t="s">
        <v>201</v>
      </c>
      <c r="H21" s="1680"/>
      <c r="I21" s="1678" t="s">
        <v>202</v>
      </c>
      <c r="J21" s="1680"/>
      <c r="K21" s="1685" t="s">
        <v>203</v>
      </c>
      <c r="L21" s="1678" t="s">
        <v>204</v>
      </c>
      <c r="M21" s="1680"/>
      <c r="N21" s="1678" t="s">
        <v>423</v>
      </c>
      <c r="O21" s="1680"/>
      <c r="P21" s="700"/>
      <c r="Q21" s="1678" t="s">
        <v>205</v>
      </c>
      <c r="R21" s="1679"/>
      <c r="S21" s="1680"/>
      <c r="U21" s="1678" t="s">
        <v>331</v>
      </c>
      <c r="V21" s="1679"/>
      <c r="W21" s="1680"/>
    </row>
    <row r="22" spans="2:23" ht="22.5" customHeight="1">
      <c r="B22" s="1686"/>
      <c r="C22" s="1686"/>
      <c r="D22" s="1694"/>
      <c r="E22" s="717" t="s">
        <v>206</v>
      </c>
      <c r="F22" s="718" t="s">
        <v>207</v>
      </c>
      <c r="G22" s="717" t="s">
        <v>452</v>
      </c>
      <c r="H22" s="718" t="s">
        <v>208</v>
      </c>
      <c r="I22" s="717" t="s">
        <v>452</v>
      </c>
      <c r="J22" s="718" t="s">
        <v>208</v>
      </c>
      <c r="K22" s="1686"/>
      <c r="L22" s="717" t="s">
        <v>467</v>
      </c>
      <c r="M22" s="718" t="s">
        <v>468</v>
      </c>
      <c r="N22" s="717" t="s">
        <v>209</v>
      </c>
      <c r="O22" s="718" t="s">
        <v>210</v>
      </c>
      <c r="Q22" s="719" t="s">
        <v>211</v>
      </c>
      <c r="R22" s="720" t="s">
        <v>394</v>
      </c>
      <c r="S22" s="721" t="s">
        <v>451</v>
      </c>
      <c r="U22" s="719" t="s">
        <v>211</v>
      </c>
      <c r="V22" s="720" t="s">
        <v>394</v>
      </c>
      <c r="W22" s="721" t="s">
        <v>451</v>
      </c>
    </row>
    <row r="23" spans="2:23" ht="11.25" customHeight="1">
      <c r="B23" s="722" t="str">
        <f>+B$14</f>
        <v>Material:</v>
      </c>
      <c r="C23" s="728" t="str">
        <f>+C14</f>
        <v>PETROLEO DIESEL (EQUIPO MECANICO)</v>
      </c>
      <c r="D23" s="724"/>
      <c r="E23" s="724"/>
      <c r="F23" s="725"/>
      <c r="G23" s="726"/>
      <c r="H23" s="727"/>
      <c r="I23" s="726"/>
      <c r="J23" s="728"/>
      <c r="K23" s="729"/>
      <c r="L23" s="724"/>
      <c r="M23" s="725"/>
      <c r="N23" s="730"/>
      <c r="O23" s="728"/>
      <c r="Q23" s="731"/>
      <c r="R23" s="732"/>
      <c r="S23" s="725"/>
      <c r="U23" s="731"/>
      <c r="V23" s="732"/>
      <c r="W23" s="725"/>
    </row>
    <row r="24" spans="2:23" ht="11.25" customHeight="1">
      <c r="B24" s="722" t="s">
        <v>212</v>
      </c>
      <c r="C24" s="723"/>
      <c r="D24" s="724"/>
      <c r="E24" s="724"/>
      <c r="F24" s="734"/>
      <c r="G24" s="726"/>
      <c r="H24" s="727"/>
      <c r="I24" s="726"/>
      <c r="J24" s="727"/>
      <c r="K24" s="729"/>
      <c r="L24" s="724"/>
      <c r="M24" s="725"/>
      <c r="N24" s="730"/>
      <c r="O24" s="728"/>
      <c r="Q24" s="724"/>
      <c r="R24" s="735"/>
      <c r="S24" s="725"/>
      <c r="U24" s="960">
        <v>4144.95</v>
      </c>
      <c r="V24" s="961">
        <f>+U24</f>
        <v>4144.95</v>
      </c>
      <c r="W24" s="952">
        <v>3701275.22</v>
      </c>
    </row>
    <row r="25" spans="2:23" ht="11.25" customHeight="1">
      <c r="B25" s="736" t="s">
        <v>7</v>
      </c>
      <c r="C25" s="737" t="s">
        <v>8</v>
      </c>
      <c r="D25" s="738" t="s">
        <v>291</v>
      </c>
      <c r="E25" s="739">
        <v>0.34</v>
      </c>
      <c r="F25" s="740">
        <v>0.57640000000000002</v>
      </c>
      <c r="G25" s="741">
        <v>176301.2</v>
      </c>
      <c r="H25" s="742">
        <f t="shared" ref="H25:H32" si="0">+ROUND(E25*F25*G25,2)</f>
        <v>34550.800000000003</v>
      </c>
      <c r="I25" s="743">
        <f>LOOKUP(B$25,valoriz!$A$13:$A$242,valoriz!I$13:I$242)</f>
        <v>0</v>
      </c>
      <c r="J25" s="744">
        <f t="shared" ref="J25:J32" si="1">+ROUND(E25*F25*I25,2)</f>
        <v>0</v>
      </c>
      <c r="K25" s="745">
        <v>8.36</v>
      </c>
      <c r="L25" s="746" t="e">
        <f t="shared" ref="L25:L32" si="2">D$17</f>
        <v>#REF!</v>
      </c>
      <c r="M25" s="747">
        <f t="shared" ref="M25:M32" si="3">D$16</f>
        <v>265.29000000000002</v>
      </c>
      <c r="N25" s="748">
        <f t="shared" ref="N25:N32" si="4">+ROUND(J25*K25*M$18,2)</f>
        <v>0</v>
      </c>
      <c r="O25" s="744" t="e">
        <f t="shared" ref="O25:O31" si="5">+ROUND(J25*K25*L25*M$18/M25,2)</f>
        <v>#REF!</v>
      </c>
      <c r="Q25" s="724">
        <v>34550.800000000003</v>
      </c>
      <c r="R25" s="749">
        <f>+J25+Q25</f>
        <v>34550.800000000003</v>
      </c>
      <c r="S25" s="750">
        <f t="shared" ref="S25:S32" si="6">+H25-R25</f>
        <v>0</v>
      </c>
      <c r="T25" s="751"/>
      <c r="U25" s="824" t="e">
        <f>+ROUND(Q25*$K25*$L25/$M25,2)</f>
        <v>#REF!</v>
      </c>
      <c r="V25" s="883" t="e">
        <f>+ROUND(R25*$K25*$L25/$M25,2)</f>
        <v>#REF!</v>
      </c>
      <c r="W25" s="882"/>
    </row>
    <row r="26" spans="2:23" ht="11.25" customHeight="1">
      <c r="B26" s="736"/>
      <c r="C26" s="737"/>
      <c r="D26" s="738" t="s">
        <v>291</v>
      </c>
      <c r="E26" s="739">
        <v>0.66</v>
      </c>
      <c r="F26" s="740">
        <v>0.4642</v>
      </c>
      <c r="G26" s="741">
        <v>176301.2</v>
      </c>
      <c r="H26" s="742">
        <f t="shared" si="0"/>
        <v>54013.75</v>
      </c>
      <c r="I26" s="743">
        <f>LOOKUP(B$25,valoriz!$A$13:$A$242,valoriz!I$13:I$242)</f>
        <v>0</v>
      </c>
      <c r="J26" s="744">
        <f t="shared" si="1"/>
        <v>0</v>
      </c>
      <c r="K26" s="745">
        <v>8.36</v>
      </c>
      <c r="L26" s="746" t="e">
        <f t="shared" si="2"/>
        <v>#REF!</v>
      </c>
      <c r="M26" s="747">
        <f t="shared" si="3"/>
        <v>265.29000000000002</v>
      </c>
      <c r="N26" s="748">
        <f t="shared" si="4"/>
        <v>0</v>
      </c>
      <c r="O26" s="744" t="e">
        <f t="shared" si="5"/>
        <v>#REF!</v>
      </c>
      <c r="Q26" s="724">
        <v>54013.75</v>
      </c>
      <c r="R26" s="749">
        <f t="shared" ref="R26:R32" si="7">+J26+Q26</f>
        <v>54013.75</v>
      </c>
      <c r="S26" s="750">
        <f t="shared" si="6"/>
        <v>0</v>
      </c>
      <c r="T26" s="751"/>
      <c r="U26" s="824" t="e">
        <f t="shared" ref="U26:U32" si="8">+ROUND(Q26*$K26*$L26/$M26,2)</f>
        <v>#REF!</v>
      </c>
      <c r="V26" s="883" t="e">
        <f t="shared" ref="V26:V32" si="9">+ROUND(R26*$K26*$L26/$M26,2)</f>
        <v>#REF!</v>
      </c>
      <c r="W26" s="882"/>
    </row>
    <row r="27" spans="2:23" ht="11.25" customHeight="1">
      <c r="B27" s="736" t="s">
        <v>9</v>
      </c>
      <c r="C27" s="737" t="s">
        <v>10</v>
      </c>
      <c r="D27" s="738" t="s">
        <v>291</v>
      </c>
      <c r="E27" s="739">
        <v>0.2</v>
      </c>
      <c r="F27" s="740">
        <v>0.41200000000000003</v>
      </c>
      <c r="G27" s="741">
        <v>128366.39</v>
      </c>
      <c r="H27" s="742">
        <f t="shared" si="0"/>
        <v>10577.39</v>
      </c>
      <c r="I27" s="743">
        <f>LOOKUP(B$27,valoriz!$A$13:$A$242,valoriz!I$13:I$242)</f>
        <v>0</v>
      </c>
      <c r="J27" s="744">
        <f t="shared" si="1"/>
        <v>0</v>
      </c>
      <c r="K27" s="745">
        <f>+K25</f>
        <v>8.36</v>
      </c>
      <c r="L27" s="746" t="e">
        <f t="shared" si="2"/>
        <v>#REF!</v>
      </c>
      <c r="M27" s="747">
        <f t="shared" si="3"/>
        <v>265.29000000000002</v>
      </c>
      <c r="N27" s="748">
        <f t="shared" si="4"/>
        <v>0</v>
      </c>
      <c r="O27" s="744" t="e">
        <f t="shared" si="5"/>
        <v>#REF!</v>
      </c>
      <c r="Q27" s="724">
        <v>10577.4</v>
      </c>
      <c r="R27" s="749">
        <f t="shared" si="7"/>
        <v>10577.4</v>
      </c>
      <c r="S27" s="750">
        <f t="shared" si="6"/>
        <v>-1.0000000000218279E-2</v>
      </c>
      <c r="T27" s="751"/>
      <c r="U27" s="824" t="e">
        <f t="shared" si="8"/>
        <v>#REF!</v>
      </c>
      <c r="V27" s="883" t="e">
        <f t="shared" si="9"/>
        <v>#REF!</v>
      </c>
      <c r="W27" s="882"/>
    </row>
    <row r="28" spans="2:23" ht="11.25" customHeight="1">
      <c r="B28" s="736"/>
      <c r="C28" s="737"/>
      <c r="D28" s="738" t="s">
        <v>291</v>
      </c>
      <c r="E28" s="739">
        <v>0.8</v>
      </c>
      <c r="F28" s="740">
        <v>0.33119999999999994</v>
      </c>
      <c r="G28" s="741">
        <v>128366.39</v>
      </c>
      <c r="H28" s="742">
        <f t="shared" si="0"/>
        <v>34011.96</v>
      </c>
      <c r="I28" s="743">
        <f>LOOKUP(B$27,valoriz!$A$13:$A$242,valoriz!I$13:I$242)</f>
        <v>0</v>
      </c>
      <c r="J28" s="744">
        <f t="shared" si="1"/>
        <v>0</v>
      </c>
      <c r="K28" s="745">
        <f>+K26</f>
        <v>8.36</v>
      </c>
      <c r="L28" s="746" t="e">
        <f t="shared" si="2"/>
        <v>#REF!</v>
      </c>
      <c r="M28" s="747">
        <f t="shared" si="3"/>
        <v>265.29000000000002</v>
      </c>
      <c r="N28" s="748">
        <f t="shared" si="4"/>
        <v>0</v>
      </c>
      <c r="O28" s="744" t="e">
        <f t="shared" si="5"/>
        <v>#REF!</v>
      </c>
      <c r="Q28" s="724">
        <v>34011.97</v>
      </c>
      <c r="R28" s="749">
        <f t="shared" si="7"/>
        <v>34011.97</v>
      </c>
      <c r="S28" s="750">
        <f t="shared" si="6"/>
        <v>-1.0000000002037268E-2</v>
      </c>
      <c r="T28" s="751"/>
      <c r="U28" s="824" t="e">
        <f>+ROUND(Q28*$K28*$L28/$M28,2)</f>
        <v>#REF!</v>
      </c>
      <c r="V28" s="883" t="e">
        <f t="shared" si="9"/>
        <v>#REF!</v>
      </c>
      <c r="W28" s="882"/>
    </row>
    <row r="29" spans="2:23" ht="11.25" customHeight="1">
      <c r="B29" s="736" t="s">
        <v>11</v>
      </c>
      <c r="C29" s="737" t="s">
        <v>12</v>
      </c>
      <c r="D29" s="738" t="s">
        <v>291</v>
      </c>
      <c r="E29" s="739">
        <v>0.45</v>
      </c>
      <c r="F29" s="740">
        <v>0.188</v>
      </c>
      <c r="G29" s="741">
        <v>478334.85</v>
      </c>
      <c r="H29" s="742">
        <f t="shared" si="0"/>
        <v>40467.129999999997</v>
      </c>
      <c r="I29" s="743">
        <f>LOOKUP(B$29,valoriz!$A$13:$A$242,valoriz!I$13:I$242)</f>
        <v>0</v>
      </c>
      <c r="J29" s="972">
        <f t="shared" si="1"/>
        <v>0</v>
      </c>
      <c r="K29" s="745">
        <f>+K27</f>
        <v>8.36</v>
      </c>
      <c r="L29" s="746" t="e">
        <f t="shared" si="2"/>
        <v>#REF!</v>
      </c>
      <c r="M29" s="747">
        <f t="shared" si="3"/>
        <v>265.29000000000002</v>
      </c>
      <c r="N29" s="748">
        <f t="shared" si="4"/>
        <v>0</v>
      </c>
      <c r="O29" s="744" t="e">
        <f t="shared" si="5"/>
        <v>#REF!</v>
      </c>
      <c r="Q29" s="724">
        <v>35156.160000000003</v>
      </c>
      <c r="R29" s="749">
        <f t="shared" si="7"/>
        <v>35156.160000000003</v>
      </c>
      <c r="S29" s="750">
        <f t="shared" si="6"/>
        <v>5310.9699999999939</v>
      </c>
      <c r="T29" s="751"/>
      <c r="U29" s="824" t="e">
        <f t="shared" si="8"/>
        <v>#REF!</v>
      </c>
      <c r="V29" s="883" t="e">
        <f t="shared" si="9"/>
        <v>#REF!</v>
      </c>
      <c r="W29" s="882"/>
    </row>
    <row r="30" spans="2:23" ht="11.25" customHeight="1">
      <c r="B30" s="736"/>
      <c r="C30" s="737"/>
      <c r="D30" s="738" t="s">
        <v>291</v>
      </c>
      <c r="E30" s="739">
        <v>0.55000000000000004</v>
      </c>
      <c r="F30" s="740">
        <v>0.15080000000000002</v>
      </c>
      <c r="G30" s="741">
        <v>478334.85</v>
      </c>
      <c r="H30" s="742">
        <f t="shared" si="0"/>
        <v>39673.089999999997</v>
      </c>
      <c r="I30" s="743">
        <f>LOOKUP(B$29,valoriz!$A$13:$A$242,valoriz!I$13:I$242)</f>
        <v>0</v>
      </c>
      <c r="J30" s="972">
        <f t="shared" si="1"/>
        <v>0</v>
      </c>
      <c r="K30" s="745">
        <f>+K28</f>
        <v>8.36</v>
      </c>
      <c r="L30" s="746" t="e">
        <f t="shared" si="2"/>
        <v>#REF!</v>
      </c>
      <c r="M30" s="747">
        <f t="shared" si="3"/>
        <v>265.29000000000002</v>
      </c>
      <c r="N30" s="748">
        <f t="shared" si="4"/>
        <v>0</v>
      </c>
      <c r="O30" s="744" t="e">
        <f t="shared" si="5"/>
        <v>#REF!</v>
      </c>
      <c r="Q30" s="724">
        <v>34466.32</v>
      </c>
      <c r="R30" s="749">
        <f>+J30+Q30</f>
        <v>34466.32</v>
      </c>
      <c r="S30" s="750">
        <f t="shared" si="6"/>
        <v>5206.7699999999968</v>
      </c>
      <c r="T30" s="751"/>
      <c r="U30" s="824" t="e">
        <f t="shared" si="8"/>
        <v>#REF!</v>
      </c>
      <c r="V30" s="883" t="e">
        <f t="shared" si="9"/>
        <v>#REF!</v>
      </c>
      <c r="W30" s="882"/>
    </row>
    <row r="31" spans="2:23" ht="11.25" customHeight="1">
      <c r="B31" s="736" t="s">
        <v>107</v>
      </c>
      <c r="C31" s="737" t="s">
        <v>108</v>
      </c>
      <c r="D31" s="738" t="s">
        <v>306</v>
      </c>
      <c r="E31" s="739">
        <v>1</v>
      </c>
      <c r="F31" s="740">
        <v>0.21710000000000002</v>
      </c>
      <c r="G31" s="741">
        <v>729480.23</v>
      </c>
      <c r="H31" s="742">
        <f t="shared" si="0"/>
        <v>158370.16</v>
      </c>
      <c r="I31" s="743">
        <f>LOOKUP(B31,valoriz!$A$13:$A$242,valoriz!I$13:I$242)</f>
        <v>0</v>
      </c>
      <c r="J31" s="972">
        <f t="shared" si="1"/>
        <v>0</v>
      </c>
      <c r="K31" s="745">
        <f>+K29</f>
        <v>8.36</v>
      </c>
      <c r="L31" s="746" t="e">
        <f t="shared" si="2"/>
        <v>#REF!</v>
      </c>
      <c r="M31" s="747">
        <f t="shared" si="3"/>
        <v>265.29000000000002</v>
      </c>
      <c r="N31" s="748">
        <f t="shared" si="4"/>
        <v>0</v>
      </c>
      <c r="O31" s="744" t="e">
        <f t="shared" si="5"/>
        <v>#REF!</v>
      </c>
      <c r="Q31" s="724">
        <v>152994.87</v>
      </c>
      <c r="R31" s="749">
        <f t="shared" si="7"/>
        <v>152994.87</v>
      </c>
      <c r="S31" s="750">
        <f t="shared" si="6"/>
        <v>5375.2900000000081</v>
      </c>
      <c r="T31" s="751">
        <v>15322.61</v>
      </c>
      <c r="U31" s="824" t="e">
        <f t="shared" si="8"/>
        <v>#REF!</v>
      </c>
      <c r="V31" s="883" t="e">
        <f t="shared" si="9"/>
        <v>#REF!</v>
      </c>
      <c r="W31" s="882"/>
    </row>
    <row r="32" spans="2:23" ht="11.25" customHeight="1">
      <c r="B32" s="736" t="s">
        <v>109</v>
      </c>
      <c r="C32" s="737" t="s">
        <v>110</v>
      </c>
      <c r="D32" s="738" t="s">
        <v>306</v>
      </c>
      <c r="E32" s="739">
        <v>1</v>
      </c>
      <c r="F32" s="740">
        <v>3.465E-2</v>
      </c>
      <c r="G32" s="741">
        <v>3236701.3</v>
      </c>
      <c r="H32" s="742">
        <f t="shared" si="0"/>
        <v>112151.7</v>
      </c>
      <c r="I32" s="743">
        <f>LOOKUP(B32,valoriz!$A$13:$A$242,valoriz!I$13:I$242)</f>
        <v>0</v>
      </c>
      <c r="J32" s="972">
        <f t="shared" si="1"/>
        <v>0</v>
      </c>
      <c r="K32" s="745">
        <f>+K31</f>
        <v>8.36</v>
      </c>
      <c r="L32" s="746" t="e">
        <f t="shared" si="2"/>
        <v>#REF!</v>
      </c>
      <c r="M32" s="747">
        <f t="shared" si="3"/>
        <v>265.29000000000002</v>
      </c>
      <c r="N32" s="748">
        <f t="shared" si="4"/>
        <v>0</v>
      </c>
      <c r="O32" s="744" t="e">
        <f>+ROUND(J32*K32*L32*M$18/M32,2)</f>
        <v>#REF!</v>
      </c>
      <c r="Q32" s="724">
        <v>88582.7</v>
      </c>
      <c r="R32" s="749">
        <f t="shared" si="7"/>
        <v>88582.7</v>
      </c>
      <c r="S32" s="750">
        <f t="shared" si="6"/>
        <v>23569</v>
      </c>
      <c r="T32" s="751">
        <v>5448.429999999993</v>
      </c>
      <c r="U32" s="824" t="e">
        <f t="shared" si="8"/>
        <v>#REF!</v>
      </c>
      <c r="V32" s="883" t="e">
        <f t="shared" si="9"/>
        <v>#REF!</v>
      </c>
      <c r="W32" s="882"/>
    </row>
    <row r="33" spans="2:23" ht="11.25" customHeight="1" thickBot="1">
      <c r="B33" s="762"/>
      <c r="C33" s="763"/>
      <c r="D33" s="764"/>
      <c r="E33" s="765"/>
      <c r="F33" s="766"/>
      <c r="G33" s="767"/>
      <c r="H33" s="768"/>
      <c r="I33" s="767"/>
      <c r="J33" s="769"/>
      <c r="K33" s="770"/>
      <c r="L33" s="771"/>
      <c r="M33" s="772"/>
      <c r="N33" s="773"/>
      <c r="O33" s="769"/>
      <c r="Q33" s="774"/>
      <c r="R33" s="896"/>
      <c r="S33" s="897"/>
      <c r="T33" s="751"/>
      <c r="U33" s="774"/>
      <c r="V33" s="896"/>
      <c r="W33" s="897"/>
    </row>
    <row r="34" spans="2:23" ht="11.25" customHeight="1">
      <c r="B34" s="775"/>
      <c r="C34" s="776"/>
      <c r="D34" s="777"/>
      <c r="E34" s="777"/>
      <c r="F34" s="778"/>
      <c r="G34" s="779"/>
      <c r="H34" s="780">
        <f>SUM(H25:H33)</f>
        <v>483815.98000000004</v>
      </c>
      <c r="I34" s="779"/>
      <c r="J34" s="780">
        <f>SUM(J25:J33)</f>
        <v>0</v>
      </c>
      <c r="K34" s="781"/>
      <c r="L34" s="777"/>
      <c r="M34" s="778"/>
      <c r="N34" s="782">
        <f>SUM(N25:N33)</f>
        <v>0</v>
      </c>
      <c r="O34" s="783" t="e">
        <f>SUM(O25:O33)</f>
        <v>#REF!</v>
      </c>
      <c r="Q34" s="1005">
        <f>SUM(Q25:Q33)</f>
        <v>444353.97000000003</v>
      </c>
      <c r="R34" s="1006">
        <f>SUM(R25:R33)</f>
        <v>444353.97000000003</v>
      </c>
      <c r="S34" s="1007">
        <f>SUM(S25:S33)</f>
        <v>39462.009999999995</v>
      </c>
      <c r="T34" s="751">
        <f>SUM(T25:T33)</f>
        <v>20771.039999999994</v>
      </c>
      <c r="U34" s="953" t="e">
        <f>SUM(U24:U33)</f>
        <v>#REF!</v>
      </c>
      <c r="V34" s="953" t="e">
        <f>SUM(V24:V33)</f>
        <v>#REF!</v>
      </c>
      <c r="W34" s="833" t="e">
        <f>+W24-V35</f>
        <v>#REF!</v>
      </c>
    </row>
    <row r="35" spans="2:23" ht="11.25" customHeight="1">
      <c r="B35" s="784"/>
      <c r="C35" s="785"/>
      <c r="G35" s="786"/>
      <c r="H35" s="787" t="s">
        <v>214</v>
      </c>
      <c r="I35" s="788"/>
      <c r="J35" s="899">
        <v>481821</v>
      </c>
      <c r="K35" s="751"/>
      <c r="U35" s="710">
        <v>2464580.3199999998</v>
      </c>
      <c r="V35" s="1050" t="e">
        <f>+O34+U34</f>
        <v>#REF!</v>
      </c>
    </row>
    <row r="36" spans="2:23" ht="11.25" customHeight="1">
      <c r="B36" s="784"/>
      <c r="C36" s="700"/>
      <c r="J36" s="906" t="s">
        <v>307</v>
      </c>
      <c r="K36" s="832"/>
      <c r="L36" s="811"/>
      <c r="M36" s="811"/>
      <c r="N36" s="913">
        <f>+N34</f>
        <v>0</v>
      </c>
      <c r="O36" s="914" t="e">
        <f>+O34</f>
        <v>#REF!</v>
      </c>
      <c r="P36" s="751"/>
      <c r="Q36" s="751"/>
    </row>
    <row r="37" spans="2:23" ht="11.25" customHeight="1">
      <c r="B37" s="784"/>
      <c r="C37" s="785"/>
      <c r="H37" s="751"/>
      <c r="J37" s="906" t="s">
        <v>308</v>
      </c>
      <c r="K37" s="832"/>
      <c r="L37" s="474"/>
      <c r="M37" s="811"/>
      <c r="N37" s="808">
        <f>+IF(D$13&gt;C58,0,N36)</f>
        <v>0</v>
      </c>
      <c r="O37" s="809" t="e">
        <f>+IF(D$13&gt;C58,0,O36)</f>
        <v>#REF!</v>
      </c>
    </row>
    <row r="38" spans="2:23" ht="11.25" customHeight="1">
      <c r="B38" s="784"/>
      <c r="C38" s="785"/>
      <c r="H38" s="751"/>
      <c r="J38"/>
      <c r="K38"/>
      <c r="L38"/>
      <c r="M38"/>
      <c r="N38"/>
      <c r="O38"/>
    </row>
    <row r="39" spans="2:23" ht="18">
      <c r="B39" s="1687" t="s">
        <v>245</v>
      </c>
      <c r="C39" s="1687"/>
      <c r="D39" s="1687"/>
      <c r="E39" s="1687"/>
      <c r="F39" s="1687"/>
      <c r="G39" s="1687"/>
      <c r="H39" s="1687"/>
      <c r="I39" s="1687"/>
      <c r="J39" s="1687"/>
      <c r="K39" s="1687"/>
      <c r="L39" s="1687"/>
      <c r="M39" s="1687"/>
      <c r="N39" s="1687"/>
      <c r="O39" s="1687"/>
    </row>
    <row r="41" spans="2:23" ht="11.25" customHeight="1">
      <c r="B41" s="699" t="str">
        <f>+B14</f>
        <v>Material:</v>
      </c>
    </row>
    <row r="42" spans="2:23" ht="11.25" customHeight="1">
      <c r="B42" s="699" t="str">
        <f>+B15</f>
        <v>Indice Unificado:</v>
      </c>
      <c r="D42" s="705" t="s">
        <v>459</v>
      </c>
      <c r="E42" s="706"/>
      <c r="F42" s="1692" t="s">
        <v>451</v>
      </c>
      <c r="G42" s="1692"/>
    </row>
    <row r="43" spans="2:23" ht="11.25" customHeight="1">
      <c r="B43" s="698" t="str">
        <f>+B12</f>
        <v>Monto del Adelanto Especifico para MATERIALES PROCESADOS</v>
      </c>
      <c r="D43" s="702">
        <f>+D12</f>
        <v>3701275.22</v>
      </c>
      <c r="E43" s="706"/>
      <c r="F43" s="1691" t="e">
        <f>+D43-I77</f>
        <v>#REF!</v>
      </c>
      <c r="G43" s="1691"/>
    </row>
    <row r="44" spans="2:23" ht="11.25" customHeight="1">
      <c r="B44" s="698" t="s">
        <v>246</v>
      </c>
      <c r="C44" s="812"/>
      <c r="D44" s="702" t="e">
        <f>ROUND(D43/D47*D46,2)</f>
        <v>#REF!</v>
      </c>
      <c r="E44" s="706"/>
      <c r="F44" s="1691" t="e">
        <f>+D44-F77</f>
        <v>#REF!</v>
      </c>
      <c r="G44" s="1691"/>
    </row>
    <row r="45" spans="2:23" ht="11.25" customHeight="1">
      <c r="B45" s="698" t="str">
        <f>+B13</f>
        <v xml:space="preserve">Fecha de Pago del Adelanto  : </v>
      </c>
      <c r="D45" s="703">
        <f>+D13</f>
        <v>44172</v>
      </c>
      <c r="E45" s="706"/>
    </row>
    <row r="46" spans="2:23" ht="11.25" customHeight="1">
      <c r="B46" s="698" t="str">
        <f>+B16</f>
        <v>Indice INEI a la Fecha del P. Base   (Abril 2,018)</v>
      </c>
      <c r="D46" s="709">
        <f>+D16</f>
        <v>265.29000000000002</v>
      </c>
      <c r="E46" s="121"/>
    </row>
    <row r="47" spans="2:23" ht="11.25" customHeight="1">
      <c r="B47" s="698" t="str">
        <f>+B17</f>
        <v>Indice INEI a la Fecha del Pago del Adelanto  (Diciembre 2,020) - Se tomara de Octubre</v>
      </c>
      <c r="D47" s="709" t="e">
        <f>+D17</f>
        <v>#REF!</v>
      </c>
      <c r="E47" s="709"/>
    </row>
    <row r="48" spans="2:23" ht="11.25" customHeight="1">
      <c r="B48" s="698" t="s">
        <v>247</v>
      </c>
      <c r="D48" s="698">
        <v>0.497</v>
      </c>
    </row>
    <row r="49" spans="2:15" ht="11.25" customHeight="1">
      <c r="B49" s="698" t="s">
        <v>248</v>
      </c>
      <c r="D49" s="813">
        <v>0.51307999999999998</v>
      </c>
    </row>
    <row r="51" spans="2:15" ht="11.25" customHeight="1">
      <c r="B51" s="814" t="s">
        <v>249</v>
      </c>
    </row>
    <row r="53" spans="2:15" ht="11.25" customHeight="1">
      <c r="B53" s="1681" t="s">
        <v>250</v>
      </c>
      <c r="C53" s="1682"/>
      <c r="D53" s="1678" t="s">
        <v>251</v>
      </c>
      <c r="E53" s="1679"/>
      <c r="F53" s="1679"/>
      <c r="G53" s="1679"/>
      <c r="H53" s="1679"/>
      <c r="I53" s="1680"/>
      <c r="L53" s="815"/>
      <c r="M53" s="815"/>
    </row>
    <row r="54" spans="2:15" ht="11.25" customHeight="1">
      <c r="B54" s="1689"/>
      <c r="C54" s="1690"/>
      <c r="D54" s="1678" t="s">
        <v>252</v>
      </c>
      <c r="E54" s="1679"/>
      <c r="F54" s="1680"/>
      <c r="G54" s="1678" t="s">
        <v>253</v>
      </c>
      <c r="H54" s="1679"/>
      <c r="I54" s="1680"/>
    </row>
    <row r="55" spans="2:15" ht="11.25" customHeight="1">
      <c r="B55" s="1683"/>
      <c r="C55" s="1684"/>
      <c r="D55" s="256" t="s">
        <v>254</v>
      </c>
      <c r="E55" s="816" t="s">
        <v>451</v>
      </c>
      <c r="F55" s="716" t="s">
        <v>255</v>
      </c>
      <c r="G55" s="256" t="s">
        <v>254</v>
      </c>
      <c r="H55" s="816" t="s">
        <v>451</v>
      </c>
      <c r="I55" s="716" t="s">
        <v>255</v>
      </c>
      <c r="O55" s="751"/>
    </row>
    <row r="56" spans="2:15" ht="11.25" customHeight="1">
      <c r="B56" s="817" t="str">
        <f>+'Cemento Port I IU 21'!B395</f>
        <v>VAL. 01</v>
      </c>
      <c r="C56" s="818">
        <f>+'Cemento Port I IU 21'!C395</f>
        <v>44500</v>
      </c>
      <c r="D56" s="819" t="e">
        <f>+D44</f>
        <v>#REF!</v>
      </c>
      <c r="E56" s="820" t="e">
        <f t="shared" ref="E56:E73" si="10">+D56-F56</f>
        <v>#REF!</v>
      </c>
      <c r="F56" s="821"/>
      <c r="G56" s="819">
        <f>+D43</f>
        <v>3701275.22</v>
      </c>
      <c r="H56" s="820">
        <f t="shared" ref="H56:H73" si="11">+G56-I56</f>
        <v>3701275.22</v>
      </c>
      <c r="I56" s="821"/>
      <c r="O56" s="751"/>
    </row>
    <row r="57" spans="2:15" ht="11.25" customHeight="1">
      <c r="B57" s="822" t="str">
        <f>+'Cemento Port I IU 21'!B396</f>
        <v>VAL. 02</v>
      </c>
      <c r="C57" s="823">
        <f>+'Cemento Port I IU 21'!C396</f>
        <v>44530</v>
      </c>
      <c r="D57" s="824" t="e">
        <f>+D56</f>
        <v>#REF!</v>
      </c>
      <c r="E57" s="825" t="e">
        <f t="shared" si="10"/>
        <v>#REF!</v>
      </c>
      <c r="F57" s="744"/>
      <c r="G57" s="824">
        <f>+G56</f>
        <v>3701275.22</v>
      </c>
      <c r="H57" s="825">
        <f t="shared" si="11"/>
        <v>3701275.22</v>
      </c>
      <c r="I57" s="744"/>
      <c r="J57" s="751"/>
      <c r="O57" s="751"/>
    </row>
    <row r="58" spans="2:15" ht="11.25" customHeight="1">
      <c r="B58" s="822" t="str">
        <f>+'Cemento Port I IU 21'!B397</f>
        <v>VAL. 03</v>
      </c>
      <c r="C58" s="823">
        <f>+'Cemento Port I IU 21'!C397</f>
        <v>44561</v>
      </c>
      <c r="D58" s="824" t="e">
        <f t="shared" ref="D58:D73" si="12">+E57</f>
        <v>#REF!</v>
      </c>
      <c r="E58" s="825" t="e">
        <f t="shared" si="10"/>
        <v>#REF!</v>
      </c>
      <c r="F58" s="744">
        <v>396267.93</v>
      </c>
      <c r="G58" s="824">
        <f t="shared" ref="G58:G73" si="13">+H57</f>
        <v>3701275.22</v>
      </c>
      <c r="H58" s="825">
        <f t="shared" si="11"/>
        <v>3336390.2600000002</v>
      </c>
      <c r="I58" s="744">
        <v>364884.96</v>
      </c>
      <c r="J58" s="751"/>
      <c r="O58" s="751"/>
    </row>
    <row r="59" spans="2:15" ht="11.25" customHeight="1">
      <c r="B59" s="822" t="str">
        <f>+'Cemento Port I IU 21'!B398</f>
        <v>VAL. 04</v>
      </c>
      <c r="C59" s="823">
        <f>+'Cemento Port I IU 21'!C398</f>
        <v>44592</v>
      </c>
      <c r="D59" s="824" t="e">
        <f t="shared" si="12"/>
        <v>#REF!</v>
      </c>
      <c r="E59" s="825" t="e">
        <f t="shared" si="10"/>
        <v>#REF!</v>
      </c>
      <c r="F59" s="744">
        <v>661129.69999999995</v>
      </c>
      <c r="G59" s="824">
        <f t="shared" si="13"/>
        <v>3336390.2600000002</v>
      </c>
      <c r="H59" s="825">
        <f t="shared" si="11"/>
        <v>2727619.62</v>
      </c>
      <c r="I59" s="744">
        <v>608770.64</v>
      </c>
      <c r="J59" s="751"/>
      <c r="O59" s="751"/>
    </row>
    <row r="60" spans="2:15" ht="11.25" customHeight="1">
      <c r="B60" s="822" t="str">
        <f>+'Cemento Port I IU 21'!B399</f>
        <v>VAL. 05</v>
      </c>
      <c r="C60" s="823">
        <f>+'Cemento Port I IU 21'!C399</f>
        <v>44620</v>
      </c>
      <c r="D60" s="824" t="e">
        <f t="shared" si="12"/>
        <v>#REF!</v>
      </c>
      <c r="E60" s="825" t="e">
        <f t="shared" si="10"/>
        <v>#REF!</v>
      </c>
      <c r="F60" s="744">
        <v>352351.01</v>
      </c>
      <c r="G60" s="824">
        <f t="shared" si="13"/>
        <v>2727619.62</v>
      </c>
      <c r="H60" s="825">
        <f t="shared" si="11"/>
        <v>2403173.5100000002</v>
      </c>
      <c r="I60" s="744">
        <v>324446.11</v>
      </c>
      <c r="J60" s="751"/>
      <c r="O60" s="751"/>
    </row>
    <row r="61" spans="2:15" ht="11.25" customHeight="1">
      <c r="B61" s="822" t="str">
        <f>+'Cemento Port I IU 21'!B400</f>
        <v>VAL. 06</v>
      </c>
      <c r="C61" s="823">
        <f>+'Cemento Port I IU 21'!C400</f>
        <v>0</v>
      </c>
      <c r="D61" s="824" t="e">
        <f t="shared" si="12"/>
        <v>#REF!</v>
      </c>
      <c r="E61" s="825" t="e">
        <f t="shared" si="10"/>
        <v>#REF!</v>
      </c>
      <c r="F61" s="744">
        <v>523417.59999999998</v>
      </c>
      <c r="G61" s="824">
        <f t="shared" si="13"/>
        <v>2403173.5100000002</v>
      </c>
      <c r="H61" s="825">
        <f t="shared" si="11"/>
        <v>1922747.6300000004</v>
      </c>
      <c r="I61" s="744">
        <v>480425.88</v>
      </c>
      <c r="J61" s="751"/>
      <c r="O61" s="751"/>
    </row>
    <row r="62" spans="2:15" ht="11.25" customHeight="1">
      <c r="B62" s="822" t="str">
        <f>+'Cemento Port I IU 21'!B401</f>
        <v>VAL. 07</v>
      </c>
      <c r="C62" s="823" t="e">
        <f>+'Cemento Port I IU 21'!C401</f>
        <v>#REF!</v>
      </c>
      <c r="D62" s="824" t="e">
        <f t="shared" si="12"/>
        <v>#REF!</v>
      </c>
      <c r="E62" s="825" t="e">
        <f t="shared" si="10"/>
        <v>#REF!</v>
      </c>
      <c r="F62" s="744">
        <v>747445.27999999991</v>
      </c>
      <c r="G62" s="824">
        <f t="shared" si="13"/>
        <v>1922747.6300000004</v>
      </c>
      <c r="H62" s="825">
        <f t="shared" si="11"/>
        <v>1236694.9000000004</v>
      </c>
      <c r="I62" s="744">
        <v>686052.73</v>
      </c>
      <c r="J62" s="751"/>
      <c r="O62" s="751"/>
    </row>
    <row r="63" spans="2:15" ht="11.25" customHeight="1">
      <c r="B63" s="822" t="str">
        <f>+'Cemento Port I IU 21'!B402</f>
        <v>VAL. 08</v>
      </c>
      <c r="C63" s="823" t="e">
        <f>+'Cemento Port I IU 21'!C402</f>
        <v>#REF!</v>
      </c>
      <c r="D63" s="824" t="e">
        <f t="shared" si="12"/>
        <v>#REF!</v>
      </c>
      <c r="E63" s="825" t="e">
        <f t="shared" si="10"/>
        <v>#REF!</v>
      </c>
      <c r="F63" s="744">
        <v>152519.32999999999</v>
      </c>
      <c r="G63" s="824">
        <f t="shared" si="13"/>
        <v>1236694.9000000004</v>
      </c>
      <c r="H63" s="825">
        <f t="shared" si="11"/>
        <v>1096702.9800000004</v>
      </c>
      <c r="I63" s="744">
        <v>139991.92000000001</v>
      </c>
      <c r="O63" s="751"/>
    </row>
    <row r="64" spans="2:15" ht="11.25" customHeight="1">
      <c r="B64" s="822" t="str">
        <f>+'Cemento Port I IU 21'!B403</f>
        <v>VAL. 09</v>
      </c>
      <c r="C64" s="823" t="e">
        <f>+'Cemento Port I IU 21'!C403</f>
        <v>#REF!</v>
      </c>
      <c r="D64" s="824" t="e">
        <f t="shared" si="12"/>
        <v>#REF!</v>
      </c>
      <c r="E64" s="825" t="e">
        <f t="shared" si="10"/>
        <v>#REF!</v>
      </c>
      <c r="F64" s="744">
        <v>404105.67</v>
      </c>
      <c r="G64" s="824">
        <f t="shared" si="13"/>
        <v>1096702.9800000004</v>
      </c>
      <c r="H64" s="825">
        <f t="shared" si="11"/>
        <v>725789.13000000047</v>
      </c>
      <c r="I64" s="744">
        <v>370913.85</v>
      </c>
      <c r="O64" s="751"/>
    </row>
    <row r="65" spans="2:15" ht="11.25" customHeight="1">
      <c r="B65" s="822" t="str">
        <f>+'Cemento Port I IU 21'!B404</f>
        <v>VAL. 10</v>
      </c>
      <c r="C65" s="823" t="e">
        <f>+'Cemento Port I IU 21'!C404</f>
        <v>#REF!</v>
      </c>
      <c r="D65" s="824" t="e">
        <f t="shared" si="12"/>
        <v>#REF!</v>
      </c>
      <c r="E65" s="825" t="e">
        <f t="shared" si="10"/>
        <v>#REF!</v>
      </c>
      <c r="F65" s="744">
        <v>133510.87</v>
      </c>
      <c r="G65" s="824">
        <f t="shared" si="13"/>
        <v>725789.13000000047</v>
      </c>
      <c r="H65" s="825">
        <f t="shared" si="11"/>
        <v>603244.37000000046</v>
      </c>
      <c r="I65" s="744">
        <v>122544.76</v>
      </c>
      <c r="O65" s="751"/>
    </row>
    <row r="66" spans="2:15" ht="11.25" customHeight="1">
      <c r="B66" s="822" t="str">
        <f>+'Cemento Port I IU 21'!B405</f>
        <v>VAL. 11</v>
      </c>
      <c r="C66" s="823" t="e">
        <f>+'Cemento Port I IU 21'!C405</f>
        <v>#REF!</v>
      </c>
      <c r="D66" s="824" t="e">
        <f t="shared" si="12"/>
        <v>#REF!</v>
      </c>
      <c r="E66" s="825" t="e">
        <f t="shared" si="10"/>
        <v>#REF!</v>
      </c>
      <c r="F66" s="744">
        <v>0</v>
      </c>
      <c r="G66" s="824">
        <f t="shared" si="13"/>
        <v>603244.37000000046</v>
      </c>
      <c r="H66" s="825">
        <f t="shared" si="11"/>
        <v>603244.37000000046</v>
      </c>
      <c r="I66" s="744">
        <v>0</v>
      </c>
      <c r="O66" s="751"/>
    </row>
    <row r="67" spans="2:15" ht="11.25" customHeight="1">
      <c r="B67" s="822" t="str">
        <f>+'Cemento Port I IU 21'!B406</f>
        <v>VAL. 12</v>
      </c>
      <c r="C67" s="823" t="e">
        <f>+'Cemento Port I IU 21'!C406</f>
        <v>#REF!</v>
      </c>
      <c r="D67" s="824" t="e">
        <f t="shared" si="12"/>
        <v>#REF!</v>
      </c>
      <c r="E67" s="825" t="e">
        <f t="shared" si="10"/>
        <v>#REF!</v>
      </c>
      <c r="F67" s="744">
        <v>1077.27</v>
      </c>
      <c r="G67" s="824">
        <f t="shared" si="13"/>
        <v>603244.37000000046</v>
      </c>
      <c r="H67" s="825">
        <f t="shared" si="11"/>
        <v>602255.59000000043</v>
      </c>
      <c r="I67" s="744">
        <v>988.78</v>
      </c>
      <c r="O67" s="751"/>
    </row>
    <row r="68" spans="2:15" ht="11.25" customHeight="1">
      <c r="B68" s="822" t="str">
        <f>+'Cemento Port I IU 21'!B407</f>
        <v>VAL. 13</v>
      </c>
      <c r="C68" s="823" t="e">
        <f>+'Cemento Port I IU 21'!C407</f>
        <v>#REF!</v>
      </c>
      <c r="D68" s="824" t="e">
        <f t="shared" si="12"/>
        <v>#REF!</v>
      </c>
      <c r="E68" s="825" t="e">
        <f t="shared" si="10"/>
        <v>#REF!</v>
      </c>
      <c r="F68" s="744">
        <v>1336.85</v>
      </c>
      <c r="G68" s="824">
        <f t="shared" si="13"/>
        <v>602255.59000000043</v>
      </c>
      <c r="H68" s="825">
        <f t="shared" si="11"/>
        <v>601028.5500000004</v>
      </c>
      <c r="I68" s="744">
        <v>1227.04</v>
      </c>
      <c r="O68" s="751"/>
    </row>
    <row r="69" spans="2:15" ht="11.25" customHeight="1">
      <c r="B69" s="822" t="str">
        <f>+'Cemento Port I IU 21'!B408</f>
        <v>VAL. 14</v>
      </c>
      <c r="C69" s="823" t="e">
        <f>+'Cemento Port I IU 21'!C408</f>
        <v>#REF!</v>
      </c>
      <c r="D69" s="824" t="e">
        <f t="shared" si="12"/>
        <v>#REF!</v>
      </c>
      <c r="E69" s="825" t="e">
        <f t="shared" si="10"/>
        <v>#REF!</v>
      </c>
      <c r="F69" s="744">
        <v>3037.69</v>
      </c>
      <c r="G69" s="824">
        <f t="shared" si="13"/>
        <v>601028.5500000004</v>
      </c>
      <c r="H69" s="825">
        <f t="shared" si="11"/>
        <v>598240.37000000034</v>
      </c>
      <c r="I69" s="744">
        <v>2788.18</v>
      </c>
      <c r="O69" s="751"/>
    </row>
    <row r="70" spans="2:15" ht="11.25" customHeight="1">
      <c r="B70" s="822" t="str">
        <f>+'Cemento Port I IU 21'!B409</f>
        <v>VAL. 15</v>
      </c>
      <c r="C70" s="823" t="e">
        <f>+'Cemento Port I IU 21'!C409</f>
        <v>#REF!</v>
      </c>
      <c r="D70" s="824" t="e">
        <f t="shared" si="12"/>
        <v>#REF!</v>
      </c>
      <c r="E70" s="825" t="e">
        <f t="shared" si="10"/>
        <v>#REF!</v>
      </c>
      <c r="F70" s="744">
        <v>338599.98</v>
      </c>
      <c r="G70" s="824">
        <f t="shared" si="13"/>
        <v>598240.37000000034</v>
      </c>
      <c r="H70" s="825">
        <f t="shared" si="11"/>
        <v>287451.81000000035</v>
      </c>
      <c r="I70" s="744">
        <v>310788.56</v>
      </c>
      <c r="O70" s="751"/>
    </row>
    <row r="71" spans="2:15" ht="11.25" customHeight="1">
      <c r="B71" s="822" t="str">
        <f>+'Cemento Port I IU 21'!B410</f>
        <v>VAL. 16</v>
      </c>
      <c r="C71" s="823" t="e">
        <f>+'Cemento Port I IU 21'!C410</f>
        <v>#REF!</v>
      </c>
      <c r="D71" s="824" t="e">
        <f>+E70</f>
        <v>#REF!</v>
      </c>
      <c r="E71" s="825" t="e">
        <f>+D71-F71</f>
        <v>#REF!</v>
      </c>
      <c r="F71" s="744" t="e">
        <f>+IF(D$13&gt;C71,0,IF(D71&gt;N37,N$37,D71))</f>
        <v>#REF!</v>
      </c>
      <c r="G71" s="824">
        <f t="shared" si="13"/>
        <v>287451.81000000035</v>
      </c>
      <c r="H71" s="825" t="e">
        <f t="shared" si="11"/>
        <v>#REF!</v>
      </c>
      <c r="I71" s="744" t="e">
        <f>+IF(D$13&gt;C71,0,IF(G71&gt;O37,O$37,G71))</f>
        <v>#REF!</v>
      </c>
      <c r="O71" s="751"/>
    </row>
    <row r="72" spans="2:15" ht="11.25" customHeight="1">
      <c r="B72" s="822" t="str">
        <f>+'Cemento Port I IU 21'!B411</f>
        <v>VAL. 17</v>
      </c>
      <c r="C72" s="823" t="e">
        <f>+'Cemento Port I IU 21'!C411</f>
        <v>#REF!</v>
      </c>
      <c r="D72" s="824" t="e">
        <f t="shared" si="12"/>
        <v>#REF!</v>
      </c>
      <c r="E72" s="825" t="e">
        <f t="shared" si="10"/>
        <v>#REF!</v>
      </c>
      <c r="F72" s="744">
        <v>0</v>
      </c>
      <c r="G72" s="824" t="e">
        <f t="shared" si="13"/>
        <v>#REF!</v>
      </c>
      <c r="H72" s="825" t="e">
        <f t="shared" si="11"/>
        <v>#REF!</v>
      </c>
      <c r="I72" s="744">
        <v>0</v>
      </c>
      <c r="O72" s="751"/>
    </row>
    <row r="73" spans="2:15" ht="11.25" customHeight="1">
      <c r="B73" s="822" t="str">
        <f>+'Cemento Port I IU 21'!B412</f>
        <v>VAL. 18</v>
      </c>
      <c r="C73" s="823" t="e">
        <f>+'Cemento Port I IU 21'!C412</f>
        <v>#REF!</v>
      </c>
      <c r="D73" s="824" t="e">
        <f t="shared" si="12"/>
        <v>#REF!</v>
      </c>
      <c r="E73" s="825" t="e">
        <f t="shared" si="10"/>
        <v>#REF!</v>
      </c>
      <c r="F73" s="744">
        <v>0</v>
      </c>
      <c r="G73" s="824" t="e">
        <f t="shared" si="13"/>
        <v>#REF!</v>
      </c>
      <c r="H73" s="825" t="e">
        <f t="shared" si="11"/>
        <v>#REF!</v>
      </c>
      <c r="I73" s="744">
        <v>0</v>
      </c>
      <c r="O73" s="751"/>
    </row>
    <row r="74" spans="2:15" ht="11.25" customHeight="1">
      <c r="B74" s="822"/>
      <c r="C74" s="823"/>
      <c r="D74" s="824"/>
      <c r="E74" s="825"/>
      <c r="F74" s="744"/>
      <c r="G74" s="824"/>
      <c r="H74" s="825"/>
      <c r="I74" s="744"/>
      <c r="O74" s="751"/>
    </row>
    <row r="75" spans="2:15" ht="11.25" customHeight="1">
      <c r="B75" s="822"/>
      <c r="C75" s="823"/>
      <c r="D75" s="824"/>
      <c r="E75" s="825"/>
      <c r="F75" s="744"/>
      <c r="G75" s="824"/>
      <c r="H75" s="825"/>
      <c r="I75" s="744"/>
      <c r="O75" s="751"/>
    </row>
    <row r="76" spans="2:15" ht="11.25" customHeight="1">
      <c r="B76" s="826"/>
      <c r="C76" s="827"/>
      <c r="D76" s="828"/>
      <c r="E76" s="829"/>
      <c r="F76" s="830"/>
      <c r="G76" s="828"/>
      <c r="H76" s="829"/>
      <c r="I76" s="830"/>
      <c r="O76" s="751"/>
    </row>
    <row r="77" spans="2:15" ht="11.25" customHeight="1">
      <c r="B77" s="700"/>
      <c r="C77" s="700"/>
      <c r="D77" s="831" t="s">
        <v>274</v>
      </c>
      <c r="E77" s="788"/>
      <c r="F77" s="832" t="e">
        <f>SUM(F56:F76)</f>
        <v>#REF!</v>
      </c>
      <c r="G77" s="786"/>
      <c r="H77" s="832"/>
      <c r="I77" s="833" t="e">
        <f>SUM(I57:I76)</f>
        <v>#REF!</v>
      </c>
      <c r="O77" s="751"/>
    </row>
    <row r="79" spans="2:15" ht="11.25" customHeight="1">
      <c r="B79" s="814" t="s">
        <v>275</v>
      </c>
    </row>
    <row r="80" spans="2:15" ht="11.25" customHeight="1">
      <c r="B80" s="834" t="s">
        <v>276</v>
      </c>
    </row>
    <row r="81" spans="2:17" ht="11.25" customHeight="1">
      <c r="B81" s="835" t="s">
        <v>277</v>
      </c>
      <c r="C81" s="715"/>
      <c r="D81" s="715"/>
      <c r="E81" s="715"/>
      <c r="F81" s="715"/>
      <c r="G81" s="715"/>
      <c r="H81" s="715"/>
      <c r="I81" s="715"/>
      <c r="J81" s="715"/>
      <c r="K81" s="715"/>
      <c r="L81" s="715"/>
      <c r="M81" s="715"/>
    </row>
    <row r="82" spans="2:17" ht="11.25" customHeight="1">
      <c r="B82" s="1681" t="s">
        <v>250</v>
      </c>
      <c r="C82" s="1682"/>
      <c r="D82" s="1681" t="s">
        <v>278</v>
      </c>
      <c r="E82" s="1685" t="s">
        <v>279</v>
      </c>
      <c r="F82" s="1678" t="s">
        <v>135</v>
      </c>
      <c r="G82" s="1680"/>
      <c r="H82" s="1701" t="s">
        <v>280</v>
      </c>
      <c r="I82" s="1702"/>
      <c r="J82" s="1703"/>
      <c r="K82" s="1681" t="s">
        <v>281</v>
      </c>
      <c r="L82" s="1688"/>
      <c r="M82" s="1682"/>
      <c r="N82" s="1685" t="s">
        <v>282</v>
      </c>
      <c r="P82" s="1654" t="s">
        <v>136</v>
      </c>
      <c r="Q82" s="1655"/>
    </row>
    <row r="83" spans="2:17" ht="11.25" customHeight="1">
      <c r="B83" s="1683"/>
      <c r="C83" s="1684"/>
      <c r="D83" s="1683"/>
      <c r="E83" s="1686"/>
      <c r="F83" s="836" t="s">
        <v>283</v>
      </c>
      <c r="G83" s="836" t="s">
        <v>385</v>
      </c>
      <c r="H83" s="716" t="s">
        <v>254</v>
      </c>
      <c r="I83" s="716" t="s">
        <v>284</v>
      </c>
      <c r="J83" s="256" t="s">
        <v>451</v>
      </c>
      <c r="K83" s="836" t="s">
        <v>468</v>
      </c>
      <c r="L83" s="716" t="s">
        <v>467</v>
      </c>
      <c r="M83" s="716" t="s">
        <v>285</v>
      </c>
      <c r="N83" s="1704"/>
      <c r="P83" s="911" t="s">
        <v>456</v>
      </c>
      <c r="Q83" s="839" t="s">
        <v>286</v>
      </c>
    </row>
    <row r="84" spans="2:17" ht="11.25" customHeight="1">
      <c r="B84" s="822" t="str">
        <f t="shared" ref="B84:C101" si="14">+B56</f>
        <v>VAL. 01</v>
      </c>
      <c r="C84" s="901">
        <f t="shared" si="14"/>
        <v>44500</v>
      </c>
      <c r="D84" s="824">
        <f>+'Cemento Port I IU 21'!D423</f>
        <v>78066.42</v>
      </c>
      <c r="E84" s="840">
        <f t="shared" ref="E84:E101" si="15">+H56</f>
        <v>3701275.22</v>
      </c>
      <c r="F84" s="841">
        <f>+D48</f>
        <v>0.497</v>
      </c>
      <c r="G84" s="842">
        <f t="shared" ref="G84:G101" si="16">+D$49</f>
        <v>0.51307999999999998</v>
      </c>
      <c r="H84" s="843" t="e">
        <f>+D44</f>
        <v>#REF!</v>
      </c>
      <c r="I84" s="744">
        <f>+IF(D$13&gt;C84,0,ROUND(D84*F84*G84,2))</f>
        <v>19907</v>
      </c>
      <c r="J84" s="824" t="e">
        <f>+H84-I84</f>
        <v>#REF!</v>
      </c>
      <c r="K84" s="843">
        <f t="shared" ref="K84:K101" si="17">+D$46</f>
        <v>265.29000000000002</v>
      </c>
      <c r="L84" s="744" t="e">
        <f t="shared" ref="L84:L101" si="18">+D$47</f>
        <v>#REF!</v>
      </c>
      <c r="M84" s="744" t="e">
        <f>+K!#REF!</f>
        <v>#REF!</v>
      </c>
      <c r="N84" s="915" t="e">
        <f t="shared" ref="N84:N101" si="19">+ROUND(I84*(M84-L84)/K84,2)</f>
        <v>#REF!</v>
      </c>
      <c r="O84" s="709"/>
      <c r="P84" s="845">
        <f>+'Cemento Port I IU 21'!P$423</f>
        <v>0</v>
      </c>
      <c r="Q84" s="845">
        <f>+'Cemento Port I IU 21'!Q$423</f>
        <v>0</v>
      </c>
    </row>
    <row r="85" spans="2:17" ht="11.25" customHeight="1">
      <c r="B85" s="822" t="str">
        <f t="shared" si="14"/>
        <v>VAL. 02</v>
      </c>
      <c r="C85" s="901">
        <f t="shared" si="14"/>
        <v>44530</v>
      </c>
      <c r="D85" s="824">
        <f>+'Cemento Port I IU 21'!D424</f>
        <v>1302063.97</v>
      </c>
      <c r="E85" s="843">
        <f t="shared" si="15"/>
        <v>3701275.22</v>
      </c>
      <c r="F85" s="841">
        <f>+D48</f>
        <v>0.497</v>
      </c>
      <c r="G85" s="842">
        <f t="shared" si="16"/>
        <v>0.51307999999999998</v>
      </c>
      <c r="H85" s="843" t="e">
        <f t="shared" ref="H85:H101" si="20">+J84</f>
        <v>#REF!</v>
      </c>
      <c r="I85" s="744">
        <f>+IF(D$13&gt;C85,0,IF(E85&gt;0,ROUND(D85*F85*G85,2),J84))</f>
        <v>332027.3</v>
      </c>
      <c r="J85" s="824" t="e">
        <f>+H85-I85</f>
        <v>#REF!</v>
      </c>
      <c r="K85" s="843">
        <f t="shared" si="17"/>
        <v>265.29000000000002</v>
      </c>
      <c r="L85" s="744" t="e">
        <f t="shared" si="18"/>
        <v>#REF!</v>
      </c>
      <c r="M85" s="744" t="e">
        <f>+K!#REF!</f>
        <v>#REF!</v>
      </c>
      <c r="N85" s="848" t="e">
        <f t="shared" si="19"/>
        <v>#REF!</v>
      </c>
      <c r="O85" s="709"/>
      <c r="P85" s="845">
        <f>+'Cemento Port I IU 21'!P$424</f>
        <v>0</v>
      </c>
      <c r="Q85" s="845">
        <f>+'Cemento Port I IU 21'!Q$424</f>
        <v>0</v>
      </c>
    </row>
    <row r="86" spans="2:17" ht="11.25" customHeight="1">
      <c r="B86" s="822" t="str">
        <f t="shared" si="14"/>
        <v>VAL. 03</v>
      </c>
      <c r="C86" s="901">
        <f t="shared" si="14"/>
        <v>44561</v>
      </c>
      <c r="D86" s="824">
        <f>+'Cemento Port I IU 21'!D425</f>
        <v>1388847.16</v>
      </c>
      <c r="E86" s="843">
        <f t="shared" si="15"/>
        <v>3336390.2600000002</v>
      </c>
      <c r="F86" s="841">
        <f>+D48</f>
        <v>0.497</v>
      </c>
      <c r="G86" s="842">
        <f t="shared" si="16"/>
        <v>0.51307999999999998</v>
      </c>
      <c r="H86" s="843" t="e">
        <f t="shared" si="20"/>
        <v>#REF!</v>
      </c>
      <c r="I86" s="744">
        <f>+IF(D$13&gt;C86,0,IF(E86&gt;0,ROUND(D86*F86*G86,2),J85))</f>
        <v>354157.08</v>
      </c>
      <c r="J86" s="824" t="e">
        <f t="shared" ref="J86:J101" si="21">+J85-I86</f>
        <v>#REF!</v>
      </c>
      <c r="K86" s="843">
        <f t="shared" si="17"/>
        <v>265.29000000000002</v>
      </c>
      <c r="L86" s="744" t="e">
        <f t="shared" si="18"/>
        <v>#REF!</v>
      </c>
      <c r="M86" s="744" t="e">
        <f>+K!#REF!</f>
        <v>#REF!</v>
      </c>
      <c r="N86" s="848" t="e">
        <f>+ROUND(I86*(M86-L86)/K86,2)</f>
        <v>#REF!</v>
      </c>
      <c r="O86" s="709"/>
      <c r="P86" s="845">
        <f>+'Cemento Port I IU 21'!P$425</f>
        <v>0</v>
      </c>
      <c r="Q86" s="845">
        <f>+'Cemento Port I IU 21'!Q$425</f>
        <v>0</v>
      </c>
    </row>
    <row r="87" spans="2:17" ht="11.25" customHeight="1">
      <c r="B87" s="822" t="str">
        <f t="shared" si="14"/>
        <v>VAL. 04</v>
      </c>
      <c r="C87" s="901">
        <f t="shared" si="14"/>
        <v>44592</v>
      </c>
      <c r="D87" s="824">
        <f>+'Cemento Port I IU 21'!D426</f>
        <v>0</v>
      </c>
      <c r="E87" s="843">
        <f t="shared" si="15"/>
        <v>2727619.62</v>
      </c>
      <c r="F87" s="841">
        <f>+D48</f>
        <v>0.497</v>
      </c>
      <c r="G87" s="842">
        <f t="shared" si="16"/>
        <v>0.51307999999999998</v>
      </c>
      <c r="H87" s="843" t="e">
        <f t="shared" si="20"/>
        <v>#REF!</v>
      </c>
      <c r="I87" s="744">
        <f>+IF(D$13&gt;C87,0,IF(E87&gt;0,ROUND(D87*F87*G87,2),J86))</f>
        <v>0</v>
      </c>
      <c r="J87" s="824" t="e">
        <f t="shared" si="21"/>
        <v>#REF!</v>
      </c>
      <c r="K87" s="843">
        <f t="shared" si="17"/>
        <v>265.29000000000002</v>
      </c>
      <c r="L87" s="744" t="e">
        <f t="shared" si="18"/>
        <v>#REF!</v>
      </c>
      <c r="M87" s="744" t="e">
        <f>+K!#REF!</f>
        <v>#REF!</v>
      </c>
      <c r="N87" s="848" t="e">
        <f t="shared" si="19"/>
        <v>#REF!</v>
      </c>
      <c r="O87" s="709"/>
      <c r="P87" s="845">
        <f>+'Cemento Port I IU 21'!P$426</f>
        <v>0</v>
      </c>
      <c r="Q87" s="845">
        <f>+'Cemento Port I IU 21'!Q$426</f>
        <v>0</v>
      </c>
    </row>
    <row r="88" spans="2:17" ht="11.25" customHeight="1">
      <c r="B88" s="822" t="str">
        <f t="shared" si="14"/>
        <v>VAL. 05</v>
      </c>
      <c r="C88" s="901">
        <f t="shared" si="14"/>
        <v>44620</v>
      </c>
      <c r="D88" s="824">
        <f>+'Cemento Port I IU 21'!D427</f>
        <v>0</v>
      </c>
      <c r="E88" s="843">
        <f t="shared" si="15"/>
        <v>2403173.5100000002</v>
      </c>
      <c r="F88" s="841">
        <f>+D48</f>
        <v>0.497</v>
      </c>
      <c r="G88" s="842">
        <f t="shared" si="16"/>
        <v>0.51307999999999998</v>
      </c>
      <c r="H88" s="843" t="e">
        <f t="shared" si="20"/>
        <v>#REF!</v>
      </c>
      <c r="I88" s="744">
        <f>+IF(D$13&gt;C88,0,IF(E88&gt;0,ROUND(D88*F88*G88,2),J87))</f>
        <v>0</v>
      </c>
      <c r="J88" s="824" t="e">
        <f t="shared" si="21"/>
        <v>#REF!</v>
      </c>
      <c r="K88" s="843">
        <f t="shared" si="17"/>
        <v>265.29000000000002</v>
      </c>
      <c r="L88" s="744" t="e">
        <f t="shared" si="18"/>
        <v>#REF!</v>
      </c>
      <c r="M88" s="744" t="e">
        <f>+K!#REF!</f>
        <v>#REF!</v>
      </c>
      <c r="N88" s="848" t="e">
        <f t="shared" si="19"/>
        <v>#REF!</v>
      </c>
      <c r="O88" s="709"/>
      <c r="P88" s="845">
        <f>+'Cemento Port I IU 21'!P$427</f>
        <v>44166</v>
      </c>
      <c r="Q88" s="845">
        <f>+'Cemento Port I IU 21'!Q$427</f>
        <v>44166</v>
      </c>
    </row>
    <row r="89" spans="2:17" ht="11.25" customHeight="1">
      <c r="B89" s="822" t="str">
        <f t="shared" si="14"/>
        <v>VAL. 06</v>
      </c>
      <c r="C89" s="901">
        <f t="shared" si="14"/>
        <v>0</v>
      </c>
      <c r="D89" s="824">
        <f>+'Cemento Port I IU 21'!D428</f>
        <v>0</v>
      </c>
      <c r="E89" s="843">
        <f t="shared" si="15"/>
        <v>1922747.6300000004</v>
      </c>
      <c r="F89" s="841">
        <f>+D48</f>
        <v>0.497</v>
      </c>
      <c r="G89" s="842">
        <f t="shared" si="16"/>
        <v>0.51307999999999998</v>
      </c>
      <c r="H89" s="843" t="e">
        <f t="shared" si="20"/>
        <v>#REF!</v>
      </c>
      <c r="I89" s="744">
        <f t="shared" ref="I89:I101" si="22">+IF(D$13&gt;C89,0,IF(ROUND(D89*F89*G89,2)&gt;J88,J88,ROUND(D89*F89*G89,2)))</f>
        <v>0</v>
      </c>
      <c r="J89" s="824" t="e">
        <f t="shared" si="21"/>
        <v>#REF!</v>
      </c>
      <c r="K89" s="843">
        <f t="shared" si="17"/>
        <v>265.29000000000002</v>
      </c>
      <c r="L89" s="744" t="e">
        <f t="shared" si="18"/>
        <v>#REF!</v>
      </c>
      <c r="M89" s="744" t="e">
        <f>+K!#REF!</f>
        <v>#REF!</v>
      </c>
      <c r="N89" s="848" t="e">
        <f t="shared" si="19"/>
        <v>#REF!</v>
      </c>
      <c r="O89" s="709"/>
      <c r="P89" s="845">
        <f>+'Cemento Port I IU 21'!P$428</f>
        <v>44197</v>
      </c>
      <c r="Q89" s="845">
        <f>+'Cemento Port I IU 21'!Q$428</f>
        <v>44197</v>
      </c>
    </row>
    <row r="90" spans="2:17" ht="11.25" customHeight="1">
      <c r="B90" s="822" t="str">
        <f t="shared" si="14"/>
        <v>VAL. 07</v>
      </c>
      <c r="C90" s="901" t="e">
        <f t="shared" si="14"/>
        <v>#REF!</v>
      </c>
      <c r="D90" s="824" t="e">
        <f>+'Cemento Port I IU 21'!D429</f>
        <v>#REF!</v>
      </c>
      <c r="E90" s="843">
        <f t="shared" si="15"/>
        <v>1236694.9000000004</v>
      </c>
      <c r="F90" s="841">
        <f>+D48</f>
        <v>0.497</v>
      </c>
      <c r="G90" s="842">
        <f t="shared" si="16"/>
        <v>0.51307999999999998</v>
      </c>
      <c r="H90" s="843" t="e">
        <f t="shared" si="20"/>
        <v>#REF!</v>
      </c>
      <c r="I90" s="744" t="e">
        <f t="shared" si="22"/>
        <v>#REF!</v>
      </c>
      <c r="J90" s="824" t="e">
        <f t="shared" si="21"/>
        <v>#REF!</v>
      </c>
      <c r="K90" s="843">
        <f t="shared" si="17"/>
        <v>265.29000000000002</v>
      </c>
      <c r="L90" s="744" t="e">
        <f t="shared" si="18"/>
        <v>#REF!</v>
      </c>
      <c r="M90" s="993">
        <v>0</v>
      </c>
      <c r="N90" s="848" t="e">
        <f t="shared" si="19"/>
        <v>#REF!</v>
      </c>
      <c r="O90" s="709"/>
      <c r="P90" s="845">
        <f>+'Cemento Port I IU 21'!P$429</f>
        <v>44228</v>
      </c>
      <c r="Q90" s="845">
        <f>+'Cemento Port I IU 21'!Q$429</f>
        <v>44228</v>
      </c>
    </row>
    <row r="91" spans="2:17" ht="11.25" customHeight="1">
      <c r="B91" s="822" t="str">
        <f t="shared" si="14"/>
        <v>VAL. 08</v>
      </c>
      <c r="C91" s="901" t="e">
        <f t="shared" si="14"/>
        <v>#REF!</v>
      </c>
      <c r="D91" s="824" t="e">
        <f>+'Cemento Port I IU 21'!D430</f>
        <v>#REF!</v>
      </c>
      <c r="E91" s="849">
        <f t="shared" si="15"/>
        <v>1096702.9800000004</v>
      </c>
      <c r="F91" s="850">
        <f>+D48</f>
        <v>0.497</v>
      </c>
      <c r="G91" s="842">
        <f t="shared" si="16"/>
        <v>0.51307999999999998</v>
      </c>
      <c r="H91" s="849" t="e">
        <f t="shared" si="20"/>
        <v>#REF!</v>
      </c>
      <c r="I91" s="744" t="e">
        <f t="shared" si="22"/>
        <v>#REF!</v>
      </c>
      <c r="J91" s="847" t="e">
        <f t="shared" si="21"/>
        <v>#REF!</v>
      </c>
      <c r="K91" s="849">
        <f t="shared" si="17"/>
        <v>265.29000000000002</v>
      </c>
      <c r="L91" s="852" t="e">
        <f t="shared" si="18"/>
        <v>#REF!</v>
      </c>
      <c r="M91" s="744">
        <v>0</v>
      </c>
      <c r="N91" s="848" t="e">
        <f t="shared" si="19"/>
        <v>#REF!</v>
      </c>
      <c r="P91" s="845">
        <f>+'Cemento Port I IU 21'!P$430</f>
        <v>44197</v>
      </c>
      <c r="Q91" s="845">
        <f>+'Cemento Port I IU 21'!Q$430</f>
        <v>44256</v>
      </c>
    </row>
    <row r="92" spans="2:17" ht="11.25" customHeight="1">
      <c r="B92" s="822" t="str">
        <f t="shared" si="14"/>
        <v>VAL. 09</v>
      </c>
      <c r="C92" s="901" t="e">
        <f t="shared" si="14"/>
        <v>#REF!</v>
      </c>
      <c r="D92" s="824" t="e">
        <f>+'Cemento Port I IU 21'!D431</f>
        <v>#REF!</v>
      </c>
      <c r="E92" s="849">
        <f t="shared" si="15"/>
        <v>725789.13000000047</v>
      </c>
      <c r="F92" s="850">
        <f>+D48</f>
        <v>0.497</v>
      </c>
      <c r="G92" s="842">
        <f t="shared" si="16"/>
        <v>0.51307999999999998</v>
      </c>
      <c r="H92" s="849" t="e">
        <f t="shared" si="20"/>
        <v>#REF!</v>
      </c>
      <c r="I92" s="744" t="e">
        <f t="shared" si="22"/>
        <v>#REF!</v>
      </c>
      <c r="J92" s="847" t="e">
        <f t="shared" si="21"/>
        <v>#REF!</v>
      </c>
      <c r="K92" s="849">
        <f t="shared" si="17"/>
        <v>265.29000000000002</v>
      </c>
      <c r="L92" s="852" t="e">
        <f t="shared" si="18"/>
        <v>#REF!</v>
      </c>
      <c r="M92" s="744">
        <v>0</v>
      </c>
      <c r="N92" s="848" t="e">
        <f t="shared" si="19"/>
        <v>#REF!</v>
      </c>
      <c r="O92" s="709"/>
      <c r="P92" s="845">
        <f>+'Cemento Port I IU 21'!P$431</f>
        <v>44228</v>
      </c>
      <c r="Q92" s="845">
        <f>+'Cemento Port I IU 21'!Q$431</f>
        <v>44287</v>
      </c>
    </row>
    <row r="93" spans="2:17" ht="11.25" customHeight="1">
      <c r="B93" s="822" t="str">
        <f t="shared" si="14"/>
        <v>VAL. 10</v>
      </c>
      <c r="C93" s="901" t="e">
        <f t="shared" si="14"/>
        <v>#REF!</v>
      </c>
      <c r="D93" s="824" t="e">
        <f>+'Cemento Port I IU 21'!D432</f>
        <v>#REF!</v>
      </c>
      <c r="E93" s="849">
        <f t="shared" si="15"/>
        <v>603244.37000000046</v>
      </c>
      <c r="F93" s="850">
        <f>+D48</f>
        <v>0.497</v>
      </c>
      <c r="G93" s="842">
        <f t="shared" si="16"/>
        <v>0.51307999999999998</v>
      </c>
      <c r="H93" s="849" t="e">
        <f t="shared" si="20"/>
        <v>#REF!</v>
      </c>
      <c r="I93" s="744" t="e">
        <f t="shared" si="22"/>
        <v>#REF!</v>
      </c>
      <c r="J93" s="847" t="e">
        <f t="shared" si="21"/>
        <v>#REF!</v>
      </c>
      <c r="K93" s="849">
        <f t="shared" si="17"/>
        <v>265.29000000000002</v>
      </c>
      <c r="L93" s="852" t="e">
        <f t="shared" si="18"/>
        <v>#REF!</v>
      </c>
      <c r="M93" s="744">
        <v>0</v>
      </c>
      <c r="N93" s="848" t="e">
        <f t="shared" si="19"/>
        <v>#REF!</v>
      </c>
      <c r="P93" s="845">
        <f>+'Cemento Port I IU 21'!P$432</f>
        <v>44256</v>
      </c>
      <c r="Q93" s="845">
        <f>+'Cemento Port I IU 21'!Q$432</f>
        <v>44317</v>
      </c>
    </row>
    <row r="94" spans="2:17" ht="11.25" customHeight="1">
      <c r="B94" s="822" t="str">
        <f t="shared" si="14"/>
        <v>VAL. 11</v>
      </c>
      <c r="C94" s="901" t="e">
        <f t="shared" si="14"/>
        <v>#REF!</v>
      </c>
      <c r="D94" s="824" t="e">
        <f>+'Cemento Port I IU 21'!D433</f>
        <v>#REF!</v>
      </c>
      <c r="E94" s="849">
        <f t="shared" si="15"/>
        <v>603244.37000000046</v>
      </c>
      <c r="F94" s="850">
        <f>+D48</f>
        <v>0.497</v>
      </c>
      <c r="G94" s="842">
        <f t="shared" si="16"/>
        <v>0.51307999999999998</v>
      </c>
      <c r="H94" s="849" t="e">
        <f t="shared" si="20"/>
        <v>#REF!</v>
      </c>
      <c r="I94" s="744" t="e">
        <f t="shared" si="22"/>
        <v>#REF!</v>
      </c>
      <c r="J94" s="847" t="e">
        <f t="shared" si="21"/>
        <v>#REF!</v>
      </c>
      <c r="K94" s="849">
        <f t="shared" si="17"/>
        <v>265.29000000000002</v>
      </c>
      <c r="L94" s="852" t="e">
        <f t="shared" si="18"/>
        <v>#REF!</v>
      </c>
      <c r="M94" s="744">
        <v>0</v>
      </c>
      <c r="N94" s="848" t="e">
        <f t="shared" si="19"/>
        <v>#REF!</v>
      </c>
      <c r="P94" s="845">
        <f>+'Cemento Port I IU 21'!P$433</f>
        <v>44287</v>
      </c>
      <c r="Q94" s="845">
        <f>+'Cemento Port I IU 21'!Q$433</f>
        <v>44348</v>
      </c>
    </row>
    <row r="95" spans="2:17" ht="11.25" customHeight="1">
      <c r="B95" s="822" t="str">
        <f t="shared" si="14"/>
        <v>VAL. 12</v>
      </c>
      <c r="C95" s="901" t="e">
        <f t="shared" si="14"/>
        <v>#REF!</v>
      </c>
      <c r="D95" s="824" t="e">
        <f>+'Cemento Port I IU 21'!D434</f>
        <v>#REF!</v>
      </c>
      <c r="E95" s="843">
        <f t="shared" si="15"/>
        <v>602255.59000000043</v>
      </c>
      <c r="F95" s="841">
        <f>+D48</f>
        <v>0.497</v>
      </c>
      <c r="G95" s="842">
        <f t="shared" si="16"/>
        <v>0.51307999999999998</v>
      </c>
      <c r="H95" s="843" t="e">
        <f t="shared" si="20"/>
        <v>#REF!</v>
      </c>
      <c r="I95" s="744" t="e">
        <f t="shared" si="22"/>
        <v>#REF!</v>
      </c>
      <c r="J95" s="824" t="e">
        <f t="shared" si="21"/>
        <v>#REF!</v>
      </c>
      <c r="K95" s="843">
        <f t="shared" si="17"/>
        <v>265.29000000000002</v>
      </c>
      <c r="L95" s="744" t="e">
        <f t="shared" si="18"/>
        <v>#REF!</v>
      </c>
      <c r="M95" s="843">
        <v>0</v>
      </c>
      <c r="N95" s="848" t="e">
        <f t="shared" si="19"/>
        <v>#REF!</v>
      </c>
      <c r="P95" s="845">
        <f>+'Cemento Port I IU 21'!P$434</f>
        <v>44317</v>
      </c>
      <c r="Q95" s="845">
        <f>+'Cemento Port I IU 21'!Q$434</f>
        <v>44378</v>
      </c>
    </row>
    <row r="96" spans="2:17" ht="11.25" customHeight="1">
      <c r="B96" s="822" t="str">
        <f t="shared" si="14"/>
        <v>VAL. 13</v>
      </c>
      <c r="C96" s="901" t="e">
        <f t="shared" si="14"/>
        <v>#REF!</v>
      </c>
      <c r="D96" s="824" t="e">
        <f>+'Cemento Port I IU 21'!D435</f>
        <v>#REF!</v>
      </c>
      <c r="E96" s="843">
        <f t="shared" si="15"/>
        <v>601028.5500000004</v>
      </c>
      <c r="F96" s="841">
        <f>+D48</f>
        <v>0.497</v>
      </c>
      <c r="G96" s="842">
        <f t="shared" si="16"/>
        <v>0.51307999999999998</v>
      </c>
      <c r="H96" s="843" t="e">
        <f t="shared" si="20"/>
        <v>#REF!</v>
      </c>
      <c r="I96" s="744" t="e">
        <f t="shared" si="22"/>
        <v>#REF!</v>
      </c>
      <c r="J96" s="824" t="e">
        <f t="shared" si="21"/>
        <v>#REF!</v>
      </c>
      <c r="K96" s="843">
        <f t="shared" si="17"/>
        <v>265.29000000000002</v>
      </c>
      <c r="L96" s="744" t="e">
        <f t="shared" si="18"/>
        <v>#REF!</v>
      </c>
      <c r="M96" s="843">
        <v>0</v>
      </c>
      <c r="N96" s="848" t="e">
        <f t="shared" si="19"/>
        <v>#REF!</v>
      </c>
      <c r="P96" s="845">
        <f>+'Cemento Port I IU 21'!P$435</f>
        <v>44348</v>
      </c>
      <c r="Q96" s="845">
        <f>+'Cemento Port I IU 21'!Q$435</f>
        <v>44409</v>
      </c>
    </row>
    <row r="97" spans="2:17" ht="11.25" customHeight="1">
      <c r="B97" s="822" t="str">
        <f t="shared" si="14"/>
        <v>VAL. 14</v>
      </c>
      <c r="C97" s="901" t="e">
        <f t="shared" si="14"/>
        <v>#REF!</v>
      </c>
      <c r="D97" s="824" t="e">
        <f>+'Cemento Port I IU 21'!D436</f>
        <v>#REF!</v>
      </c>
      <c r="E97" s="843">
        <f t="shared" si="15"/>
        <v>598240.37000000034</v>
      </c>
      <c r="F97" s="841">
        <f>+D48</f>
        <v>0.497</v>
      </c>
      <c r="G97" s="842">
        <f t="shared" si="16"/>
        <v>0.51307999999999998</v>
      </c>
      <c r="H97" s="843" t="e">
        <f t="shared" si="20"/>
        <v>#REF!</v>
      </c>
      <c r="I97" s="744" t="e">
        <f t="shared" si="22"/>
        <v>#REF!</v>
      </c>
      <c r="J97" s="824" t="e">
        <f t="shared" si="21"/>
        <v>#REF!</v>
      </c>
      <c r="K97" s="843">
        <f t="shared" si="17"/>
        <v>265.29000000000002</v>
      </c>
      <c r="L97" s="744" t="e">
        <f t="shared" si="18"/>
        <v>#REF!</v>
      </c>
      <c r="M97" s="843">
        <v>0</v>
      </c>
      <c r="N97" s="848" t="e">
        <f t="shared" si="19"/>
        <v>#REF!</v>
      </c>
      <c r="P97" s="845">
        <f>+'Cemento Port I IU 21'!P$436</f>
        <v>44378</v>
      </c>
      <c r="Q97" s="845">
        <f>+'Cemento Port I IU 21'!Q$436</f>
        <v>44440</v>
      </c>
    </row>
    <row r="98" spans="2:17" ht="11.25" customHeight="1">
      <c r="B98" s="822" t="str">
        <f t="shared" si="14"/>
        <v>VAL. 15</v>
      </c>
      <c r="C98" s="901" t="e">
        <f t="shared" si="14"/>
        <v>#REF!</v>
      </c>
      <c r="D98" s="824" t="e">
        <f>+'Cemento Port I IU 21'!D437</f>
        <v>#REF!</v>
      </c>
      <c r="E98" s="843">
        <f t="shared" si="15"/>
        <v>287451.81000000035</v>
      </c>
      <c r="F98" s="841">
        <f>+D48</f>
        <v>0.497</v>
      </c>
      <c r="G98" s="842">
        <f t="shared" si="16"/>
        <v>0.51307999999999998</v>
      </c>
      <c r="H98" s="843" t="e">
        <f t="shared" si="20"/>
        <v>#REF!</v>
      </c>
      <c r="I98" s="744" t="e">
        <f t="shared" si="22"/>
        <v>#REF!</v>
      </c>
      <c r="J98" s="824" t="e">
        <f t="shared" si="21"/>
        <v>#REF!</v>
      </c>
      <c r="K98" s="843">
        <f t="shared" si="17"/>
        <v>265.29000000000002</v>
      </c>
      <c r="L98" s="744" t="e">
        <f t="shared" si="18"/>
        <v>#REF!</v>
      </c>
      <c r="M98" s="843">
        <v>0</v>
      </c>
      <c r="N98" s="848" t="e">
        <f t="shared" si="19"/>
        <v>#REF!</v>
      </c>
      <c r="P98" s="845">
        <f>+'Cemento Port I IU 21'!P$437</f>
        <v>44409</v>
      </c>
      <c r="Q98" s="845">
        <f>+'Cemento Port I IU 21'!Q$437</f>
        <v>44470</v>
      </c>
    </row>
    <row r="99" spans="2:17" ht="11.25" customHeight="1">
      <c r="B99" s="822" t="str">
        <f t="shared" si="14"/>
        <v>VAL. 16</v>
      </c>
      <c r="C99" s="901" t="e">
        <f t="shared" si="14"/>
        <v>#REF!</v>
      </c>
      <c r="D99" s="824" t="e">
        <f>+'Cemento Port I IU 21'!D438</f>
        <v>#REF!</v>
      </c>
      <c r="E99" s="843" t="e">
        <f t="shared" si="15"/>
        <v>#REF!</v>
      </c>
      <c r="F99" s="841">
        <f>+D48</f>
        <v>0.497</v>
      </c>
      <c r="G99" s="842">
        <f t="shared" si="16"/>
        <v>0.51307999999999998</v>
      </c>
      <c r="H99" s="843" t="e">
        <f t="shared" si="20"/>
        <v>#REF!</v>
      </c>
      <c r="I99" s="744" t="e">
        <f t="shared" si="22"/>
        <v>#REF!</v>
      </c>
      <c r="J99" s="824" t="e">
        <f t="shared" si="21"/>
        <v>#REF!</v>
      </c>
      <c r="K99" s="843">
        <f t="shared" si="17"/>
        <v>265.29000000000002</v>
      </c>
      <c r="L99" s="744" t="e">
        <f t="shared" si="18"/>
        <v>#REF!</v>
      </c>
      <c r="M99" s="843">
        <v>0</v>
      </c>
      <c r="N99" s="848" t="e">
        <f t="shared" si="19"/>
        <v>#REF!</v>
      </c>
      <c r="P99" s="845">
        <f>+'Cemento Port I IU 21'!P$438</f>
        <v>44440</v>
      </c>
      <c r="Q99" s="845">
        <f>+'Cemento Port I IU 21'!Q$438</f>
        <v>44501</v>
      </c>
    </row>
    <row r="100" spans="2:17" ht="11.25" customHeight="1">
      <c r="B100" s="822" t="str">
        <f t="shared" si="14"/>
        <v>VAL. 17</v>
      </c>
      <c r="C100" s="901" t="e">
        <f t="shared" si="14"/>
        <v>#REF!</v>
      </c>
      <c r="D100" s="824" t="e">
        <f>+'Cemento Port I IU 21'!D439</f>
        <v>#REF!</v>
      </c>
      <c r="E100" s="843" t="e">
        <f t="shared" si="15"/>
        <v>#REF!</v>
      </c>
      <c r="F100" s="841">
        <f>+D48</f>
        <v>0.497</v>
      </c>
      <c r="G100" s="842">
        <f t="shared" si="16"/>
        <v>0.51307999999999998</v>
      </c>
      <c r="H100" s="843" t="e">
        <f t="shared" si="20"/>
        <v>#REF!</v>
      </c>
      <c r="I100" s="744" t="e">
        <f t="shared" si="22"/>
        <v>#REF!</v>
      </c>
      <c r="J100" s="824" t="e">
        <f t="shared" si="21"/>
        <v>#REF!</v>
      </c>
      <c r="K100" s="843">
        <f t="shared" si="17"/>
        <v>265.29000000000002</v>
      </c>
      <c r="L100" s="744" t="e">
        <f t="shared" si="18"/>
        <v>#REF!</v>
      </c>
      <c r="M100" s="843">
        <v>0</v>
      </c>
      <c r="N100" s="848" t="e">
        <f t="shared" si="19"/>
        <v>#REF!</v>
      </c>
      <c r="P100" s="845">
        <f>+'Cemento Port I IU 21'!P$439</f>
        <v>44470</v>
      </c>
      <c r="Q100" s="845">
        <f>+'Cemento Port I IU 21'!Q$439</f>
        <v>44531</v>
      </c>
    </row>
    <row r="101" spans="2:17" ht="11.25" customHeight="1">
      <c r="B101" s="822" t="str">
        <f t="shared" si="14"/>
        <v>VAL. 18</v>
      </c>
      <c r="C101" s="901" t="e">
        <f t="shared" si="14"/>
        <v>#REF!</v>
      </c>
      <c r="D101" s="824" t="e">
        <f>+'Cemento Port I IU 21'!D440</f>
        <v>#REF!</v>
      </c>
      <c r="E101" s="843" t="e">
        <f t="shared" si="15"/>
        <v>#REF!</v>
      </c>
      <c r="F101" s="841">
        <f>+D48</f>
        <v>0.497</v>
      </c>
      <c r="G101" s="842">
        <f t="shared" si="16"/>
        <v>0.51307999999999998</v>
      </c>
      <c r="H101" s="843" t="e">
        <f t="shared" si="20"/>
        <v>#REF!</v>
      </c>
      <c r="I101" s="744" t="e">
        <f t="shared" si="22"/>
        <v>#REF!</v>
      </c>
      <c r="J101" s="824" t="e">
        <f t="shared" si="21"/>
        <v>#REF!</v>
      </c>
      <c r="K101" s="843">
        <f t="shared" si="17"/>
        <v>265.29000000000002</v>
      </c>
      <c r="L101" s="744" t="e">
        <f t="shared" si="18"/>
        <v>#REF!</v>
      </c>
      <c r="M101" s="843">
        <v>0</v>
      </c>
      <c r="N101" s="848" t="e">
        <f t="shared" si="19"/>
        <v>#REF!</v>
      </c>
      <c r="P101" s="845">
        <f>+'Cemento Port I IU 21'!P$440</f>
        <v>44501</v>
      </c>
      <c r="Q101" s="845">
        <f>+'Cemento Port I IU 21'!Q$440</f>
        <v>44562</v>
      </c>
    </row>
    <row r="102" spans="2:17" ht="11.25" customHeight="1">
      <c r="B102" s="822"/>
      <c r="C102" s="901"/>
      <c r="D102" s="824"/>
      <c r="E102" s="843"/>
      <c r="F102" s="841"/>
      <c r="G102" s="842"/>
      <c r="H102" s="843"/>
      <c r="I102" s="744"/>
      <c r="J102" s="824"/>
      <c r="K102" s="843"/>
      <c r="L102" s="744"/>
      <c r="M102" s="843"/>
      <c r="N102" s="848"/>
      <c r="P102" s="916"/>
      <c r="Q102" s="845"/>
    </row>
    <row r="103" spans="2:17" ht="11.25" customHeight="1">
      <c r="B103" s="858"/>
      <c r="C103" s="917"/>
      <c r="D103" s="860"/>
      <c r="E103" s="860"/>
      <c r="F103" s="861"/>
      <c r="G103" s="918"/>
      <c r="H103" s="860"/>
      <c r="I103" s="860"/>
      <c r="J103" s="828"/>
      <c r="K103" s="860"/>
      <c r="L103" s="830"/>
      <c r="M103" s="860"/>
      <c r="N103" s="863"/>
      <c r="P103" s="919"/>
      <c r="Q103" s="920"/>
    </row>
    <row r="104" spans="2:17" ht="11.25" customHeight="1">
      <c r="B104" s="774"/>
      <c r="C104" s="715"/>
      <c r="D104" s="866"/>
      <c r="E104" s="867"/>
      <c r="F104" s="868"/>
      <c r="G104" s="869"/>
      <c r="H104" s="869"/>
      <c r="I104" s="870" t="e">
        <f>SUM(I84:I103)</f>
        <v>#REF!</v>
      </c>
      <c r="J104" s="871"/>
      <c r="K104" s="869"/>
      <c r="L104" s="727"/>
      <c r="M104" s="727"/>
      <c r="N104" s="872"/>
    </row>
    <row r="105" spans="2:17" ht="11.25" customHeight="1">
      <c r="C105" s="874"/>
      <c r="D105" s="921"/>
      <c r="L105" s="873" t="s">
        <v>274</v>
      </c>
      <c r="M105" s="874"/>
      <c r="N105" s="875" t="e">
        <f>SUM(N84:N103)</f>
        <v>#REF!</v>
      </c>
      <c r="O105" s="709"/>
    </row>
    <row r="106" spans="2:17" ht="11.25" customHeight="1">
      <c r="D106" s="751"/>
      <c r="L106" s="876" t="s">
        <v>287</v>
      </c>
      <c r="M106" s="877"/>
      <c r="N106" s="878">
        <v>-45535.89</v>
      </c>
    </row>
    <row r="107" spans="2:17" ht="11.25" customHeight="1">
      <c r="D107" s="922"/>
      <c r="L107" s="879" t="s">
        <v>288</v>
      </c>
      <c r="M107" s="880"/>
      <c r="N107" s="881" t="e">
        <f>N105-N106</f>
        <v>#REF!</v>
      </c>
      <c r="O107" s="709"/>
    </row>
    <row r="108" spans="2:17" ht="11.25" customHeight="1">
      <c r="D108" s="751"/>
    </row>
    <row r="109" spans="2:17" ht="11.25" customHeight="1">
      <c r="D109" s="923"/>
    </row>
  </sheetData>
  <mergeCells count="30">
    <mergeCell ref="D53:I53"/>
    <mergeCell ref="U21:W21"/>
    <mergeCell ref="Q21:S21"/>
    <mergeCell ref="D21:D22"/>
    <mergeCell ref="F43:G43"/>
    <mergeCell ref="F42:G42"/>
    <mergeCell ref="I21:J21"/>
    <mergeCell ref="B9:O9"/>
    <mergeCell ref="B10:O10"/>
    <mergeCell ref="E21:F21"/>
    <mergeCell ref="K21:K22"/>
    <mergeCell ref="L21:M21"/>
    <mergeCell ref="N21:O21"/>
    <mergeCell ref="G21:H21"/>
    <mergeCell ref="P82:Q82"/>
    <mergeCell ref="B11:O11"/>
    <mergeCell ref="N82:N83"/>
    <mergeCell ref="E82:E83"/>
    <mergeCell ref="F82:G82"/>
    <mergeCell ref="H82:J82"/>
    <mergeCell ref="B82:C83"/>
    <mergeCell ref="B39:O39"/>
    <mergeCell ref="D82:D83"/>
    <mergeCell ref="K82:M82"/>
    <mergeCell ref="F44:G44"/>
    <mergeCell ref="B21:B22"/>
    <mergeCell ref="C21:C22"/>
    <mergeCell ref="B53:C55"/>
    <mergeCell ref="D54:F54"/>
    <mergeCell ref="G54:I54"/>
  </mergeCells>
  <phoneticPr fontId="0" type="noConversion"/>
  <printOptions horizontalCentered="1"/>
  <pageMargins left="0.19685039370078741" right="0.19685039370078741" top="0.59055118110236227" bottom="0.48" header="0" footer="0"/>
  <pageSetup paperSize="9" scale="70" fitToHeight="2" orientation="landscape" horizontalDpi="300" verticalDpi="300" r:id="rId1"/>
  <headerFooter alignWithMargins="0">
    <oddFooter>&amp;L&amp;8&amp;F : &amp;A&amp;R&amp;8&amp;P/&amp;N</oddFooter>
  </headerFooter>
  <rowBreaks count="2" manualBreakCount="2">
    <brk id="37" max="14" man="1"/>
    <brk id="77" max="1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7">
    <tabColor indexed="10"/>
  </sheetPr>
  <dimension ref="B1:W100"/>
  <sheetViews>
    <sheetView showGridLines="0" view="pageBreakPreview" zoomScaleNormal="100" workbookViewId="0">
      <selection activeCell="A88" sqref="A88"/>
    </sheetView>
  </sheetViews>
  <sheetFormatPr baseColWidth="10" defaultColWidth="11.42578125" defaultRowHeight="11.25" customHeight="1"/>
  <cols>
    <col min="1" max="1" width="1.85546875" style="698" bestFit="1" customWidth="1"/>
    <col min="2" max="2" width="13.85546875" style="698" customWidth="1"/>
    <col min="3" max="3" width="50.85546875" style="698" customWidth="1"/>
    <col min="4" max="4" width="12.7109375" style="698" customWidth="1"/>
    <col min="5" max="5" width="11.7109375" style="698" customWidth="1"/>
    <col min="6" max="6" width="11" style="698" customWidth="1"/>
    <col min="7" max="10" width="10.7109375" style="698" customWidth="1"/>
    <col min="11" max="11" width="8.7109375" style="698" customWidth="1"/>
    <col min="12" max="12" width="11" style="698" customWidth="1"/>
    <col min="13" max="13" width="10.140625" style="698" customWidth="1"/>
    <col min="14" max="14" width="11.42578125" style="698"/>
    <col min="15" max="15" width="11.7109375" style="698" customWidth="1"/>
    <col min="16" max="16" width="9.7109375" style="698" customWidth="1"/>
    <col min="17" max="17" width="9" style="698" bestFit="1" customWidth="1"/>
    <col min="18" max="18" width="11" style="698" bestFit="1" customWidth="1"/>
    <col min="19" max="19" width="8.7109375" style="698" bestFit="1" customWidth="1"/>
    <col min="20" max="16384" width="11.42578125" style="698"/>
  </cols>
  <sheetData>
    <row r="1" spans="2:18" ht="11.25" customHeight="1">
      <c r="B1" s="698" t="s">
        <v>1816</v>
      </c>
      <c r="C1" s="698" t="s">
        <v>1817</v>
      </c>
      <c r="D1" s="699"/>
      <c r="E1" s="699"/>
      <c r="I1" s="700"/>
      <c r="J1" s="700"/>
      <c r="K1" s="700"/>
      <c r="L1" s="700"/>
    </row>
    <row r="2" spans="2:18" s="699" customFormat="1" ht="11.25" customHeight="1">
      <c r="B2" s="698" t="s">
        <v>1818</v>
      </c>
      <c r="C2" s="698" t="s">
        <v>1819</v>
      </c>
      <c r="I2" s="700"/>
      <c r="J2" s="700"/>
      <c r="K2" s="700"/>
      <c r="L2" s="700"/>
    </row>
    <row r="3" spans="2:18" s="699" customFormat="1" ht="11.25" customHeight="1">
      <c r="B3" s="698" t="s">
        <v>1820</v>
      </c>
      <c r="C3" s="698" t="s">
        <v>1821</v>
      </c>
      <c r="I3" s="700"/>
      <c r="J3" s="700"/>
      <c r="K3" s="700"/>
      <c r="L3" s="700"/>
    </row>
    <row r="4" spans="2:18" s="699" customFormat="1" ht="11.25" customHeight="1">
      <c r="B4" s="698"/>
      <c r="C4" s="698" t="s">
        <v>1822</v>
      </c>
      <c r="I4" s="700"/>
      <c r="J4" s="700"/>
      <c r="K4" s="700"/>
      <c r="L4" s="700"/>
    </row>
    <row r="5" spans="2:18" s="699" customFormat="1" ht="11.25" customHeight="1">
      <c r="B5" s="698" t="s">
        <v>1823</v>
      </c>
      <c r="C5" s="698" t="s">
        <v>1824</v>
      </c>
      <c r="I5" s="700"/>
      <c r="J5" s="700"/>
      <c r="K5" s="700"/>
      <c r="L5" s="700"/>
    </row>
    <row r="6" spans="2:18" s="699" customFormat="1" ht="11.25" customHeight="1">
      <c r="B6" s="698" t="s">
        <v>1825</v>
      </c>
      <c r="C6" s="701">
        <v>40451</v>
      </c>
      <c r="D6" s="3"/>
      <c r="E6" s="3"/>
      <c r="I6" s="700"/>
      <c r="J6" s="700"/>
      <c r="K6" s="700"/>
      <c r="L6" s="700"/>
    </row>
    <row r="9" spans="2:18" ht="18">
      <c r="B9" s="1687" t="s">
        <v>987</v>
      </c>
      <c r="C9" s="1687"/>
      <c r="D9" s="1687"/>
      <c r="E9" s="1687"/>
      <c r="F9" s="1687"/>
      <c r="G9" s="1687"/>
      <c r="H9" s="1687"/>
      <c r="I9" s="1687"/>
      <c r="J9" s="1687"/>
      <c r="K9" s="1687"/>
      <c r="L9" s="1687"/>
      <c r="M9" s="1687"/>
      <c r="N9" s="1687"/>
      <c r="O9" s="1687"/>
      <c r="P9" s="700"/>
      <c r="Q9" s="700"/>
      <c r="R9" s="700"/>
    </row>
    <row r="10" spans="2:18" ht="18">
      <c r="B10" s="1687" t="str">
        <f>+'Cemento Port I IU 21'!B8:O8</f>
        <v>VALORIZACION Nº 4 - MES DE DICIEMBRE 2021</v>
      </c>
      <c r="C10" s="1687"/>
      <c r="D10" s="1687"/>
      <c r="E10" s="1687"/>
      <c r="F10" s="1687"/>
      <c r="G10" s="1687"/>
      <c r="H10" s="1687"/>
      <c r="I10" s="1687"/>
      <c r="J10" s="1687"/>
      <c r="K10" s="1687"/>
      <c r="L10" s="1687"/>
      <c r="M10" s="1687"/>
      <c r="N10" s="1687"/>
      <c r="O10" s="1687"/>
      <c r="P10" s="700"/>
      <c r="Q10" s="700"/>
      <c r="R10" s="700"/>
    </row>
    <row r="11" spans="2:18" ht="15">
      <c r="B11" s="1707" t="s">
        <v>617</v>
      </c>
      <c r="C11" s="1707"/>
      <c r="D11" s="1707"/>
      <c r="E11" s="1707"/>
      <c r="F11" s="1707"/>
      <c r="G11" s="1707"/>
      <c r="H11" s="1707"/>
      <c r="I11" s="1707"/>
      <c r="J11" s="1707"/>
      <c r="K11" s="1707"/>
      <c r="L11" s="1707"/>
      <c r="M11" s="1707"/>
      <c r="N11" s="1707"/>
      <c r="O11" s="1707"/>
    </row>
    <row r="12" spans="2:18" ht="11.25" customHeight="1">
      <c r="B12" s="698" t="s">
        <v>988</v>
      </c>
      <c r="D12" s="702">
        <v>977773.08</v>
      </c>
      <c r="E12" s="698" t="s">
        <v>178</v>
      </c>
      <c r="I12" s="699" t="s">
        <v>179</v>
      </c>
      <c r="K12" s="699" t="s">
        <v>180</v>
      </c>
      <c r="M12" s="699"/>
    </row>
    <row r="13" spans="2:18" ht="11.25" customHeight="1">
      <c r="B13" s="698" t="s">
        <v>181</v>
      </c>
      <c r="D13" s="703" t="e">
        <f>+Ficha!#REF!</f>
        <v>#REF!</v>
      </c>
      <c r="E13" s="704"/>
      <c r="I13" s="698" t="s">
        <v>182</v>
      </c>
    </row>
    <row r="14" spans="2:18" ht="11.25" customHeight="1">
      <c r="B14" s="699" t="s">
        <v>183</v>
      </c>
      <c r="C14" s="699" t="s">
        <v>989</v>
      </c>
      <c r="E14" s="705"/>
      <c r="F14" s="706"/>
      <c r="I14" s="707" t="s">
        <v>185</v>
      </c>
      <c r="K14" s="698" t="s">
        <v>186</v>
      </c>
    </row>
    <row r="15" spans="2:18" ht="11.25" customHeight="1">
      <c r="B15" s="699" t="s">
        <v>187</v>
      </c>
      <c r="C15" s="708" t="s">
        <v>567</v>
      </c>
      <c r="E15" s="705"/>
      <c r="F15" s="706"/>
      <c r="I15" s="707" t="s">
        <v>188</v>
      </c>
      <c r="K15" s="698" t="s">
        <v>189</v>
      </c>
    </row>
    <row r="16" spans="2:18" ht="11.25" customHeight="1">
      <c r="B16" s="698" t="s">
        <v>190</v>
      </c>
      <c r="D16" s="709" t="e">
        <f>+K!#REF!</f>
        <v>#REF!</v>
      </c>
      <c r="I16" s="707" t="s">
        <v>191</v>
      </c>
      <c r="K16" s="698" t="s">
        <v>192</v>
      </c>
    </row>
    <row r="17" spans="2:23" ht="11.25" customHeight="1">
      <c r="B17" s="698" t="s">
        <v>990</v>
      </c>
      <c r="D17" s="709" t="e">
        <f>+K!#REF!</f>
        <v>#REF!</v>
      </c>
      <c r="E17" s="1008"/>
      <c r="I17" s="707" t="s">
        <v>193</v>
      </c>
      <c r="K17" s="698" t="s">
        <v>194</v>
      </c>
    </row>
    <row r="18" spans="2:23" ht="11.25" customHeight="1">
      <c r="I18" s="711" t="s">
        <v>195</v>
      </c>
      <c r="J18" s="712"/>
      <c r="K18" s="712" t="s">
        <v>196</v>
      </c>
      <c r="L18" s="712"/>
      <c r="M18" s="713">
        <v>1</v>
      </c>
      <c r="N18" s="714"/>
    </row>
    <row r="19" spans="2:23" ht="11.25" customHeight="1">
      <c r="B19" s="39" t="str">
        <f>+'Cemento Port I IU 21'!B17</f>
        <v>1.- CALCULO DE LA AMORTIZACION CON EL AVANCE DE LA VALORIZACION Nº 09 (MAR 21)</v>
      </c>
      <c r="K19" s="698" t="s">
        <v>197</v>
      </c>
    </row>
    <row r="20" spans="2:23" ht="11.25" customHeight="1">
      <c r="B20" s="715"/>
      <c r="C20" s="715"/>
      <c r="D20" s="715"/>
      <c r="E20" s="715"/>
      <c r="F20" s="715"/>
      <c r="G20" s="715"/>
      <c r="H20" s="715"/>
      <c r="I20" s="715"/>
      <c r="J20" s="715"/>
      <c r="K20" s="715"/>
      <c r="L20" s="715"/>
      <c r="M20" s="715"/>
      <c r="N20" s="715"/>
      <c r="O20" s="715"/>
    </row>
    <row r="21" spans="2:23" ht="11.25" customHeight="1">
      <c r="B21" s="1714" t="s">
        <v>198</v>
      </c>
      <c r="C21" s="1714" t="s">
        <v>199</v>
      </c>
      <c r="D21" s="1716" t="s">
        <v>601</v>
      </c>
      <c r="E21" s="1712" t="s">
        <v>200</v>
      </c>
      <c r="F21" s="1713"/>
      <c r="G21" s="1712" t="s">
        <v>201</v>
      </c>
      <c r="H21" s="1713"/>
      <c r="I21" s="1712" t="s">
        <v>202</v>
      </c>
      <c r="J21" s="1713"/>
      <c r="K21" s="1714" t="s">
        <v>203</v>
      </c>
      <c r="L21" s="1712" t="s">
        <v>204</v>
      </c>
      <c r="M21" s="1713"/>
      <c r="N21" s="1712" t="s">
        <v>423</v>
      </c>
      <c r="O21" s="1713"/>
      <c r="P21" s="700"/>
      <c r="Q21" s="1678" t="s">
        <v>205</v>
      </c>
      <c r="R21" s="1679"/>
      <c r="S21" s="1680"/>
      <c r="U21" s="1678" t="s">
        <v>331</v>
      </c>
      <c r="V21" s="1679"/>
      <c r="W21" s="1680"/>
    </row>
    <row r="22" spans="2:23" ht="21" customHeight="1">
      <c r="B22" s="1715"/>
      <c r="C22" s="1715"/>
      <c r="D22" s="1717"/>
      <c r="E22" s="1011" t="s">
        <v>206</v>
      </c>
      <c r="F22" s="1012" t="s">
        <v>207</v>
      </c>
      <c r="G22" s="1011" t="s">
        <v>452</v>
      </c>
      <c r="H22" s="1012" t="s">
        <v>208</v>
      </c>
      <c r="I22" s="1011" t="s">
        <v>452</v>
      </c>
      <c r="J22" s="1012" t="s">
        <v>208</v>
      </c>
      <c r="K22" s="1715"/>
      <c r="L22" s="1011" t="s">
        <v>467</v>
      </c>
      <c r="M22" s="1012" t="s">
        <v>468</v>
      </c>
      <c r="N22" s="1011" t="s">
        <v>209</v>
      </c>
      <c r="O22" s="1012" t="s">
        <v>210</v>
      </c>
      <c r="Q22" s="719" t="s">
        <v>211</v>
      </c>
      <c r="R22" s="720" t="s">
        <v>394</v>
      </c>
      <c r="S22" s="721" t="s">
        <v>451</v>
      </c>
      <c r="U22" s="719" t="s">
        <v>211</v>
      </c>
      <c r="V22" s="720" t="s">
        <v>394</v>
      </c>
      <c r="W22" s="721" t="s">
        <v>451</v>
      </c>
    </row>
    <row r="23" spans="2:23" ht="11.25" customHeight="1">
      <c r="B23" s="722" t="str">
        <f>+B$14</f>
        <v>Material:</v>
      </c>
      <c r="C23" s="723" t="str">
        <f>+C14</f>
        <v>ASFALTO LIQUIDO</v>
      </c>
      <c r="D23" s="724"/>
      <c r="E23" s="724"/>
      <c r="F23" s="725"/>
      <c r="G23" s="726"/>
      <c r="H23" s="727"/>
      <c r="I23" s="726"/>
      <c r="J23" s="728"/>
      <c r="K23" s="729"/>
      <c r="L23" s="724"/>
      <c r="M23" s="725"/>
      <c r="N23" s="730"/>
      <c r="O23" s="728"/>
      <c r="Q23" s="731"/>
      <c r="R23" s="732"/>
      <c r="S23" s="725"/>
      <c r="U23" s="731"/>
      <c r="V23" s="732"/>
      <c r="W23" s="725"/>
    </row>
    <row r="24" spans="2:23" ht="11.25" customHeight="1">
      <c r="B24" s="722" t="s">
        <v>212</v>
      </c>
      <c r="C24" s="733" t="s">
        <v>991</v>
      </c>
      <c r="D24" s="724"/>
      <c r="E24" s="724"/>
      <c r="F24" s="734"/>
      <c r="G24" s="726"/>
      <c r="H24" s="727"/>
      <c r="I24" s="726"/>
      <c r="J24" s="727"/>
      <c r="K24" s="729"/>
      <c r="L24" s="724"/>
      <c r="M24" s="725"/>
      <c r="N24" s="730"/>
      <c r="O24" s="728"/>
      <c r="Q24" s="724"/>
      <c r="R24" s="735"/>
      <c r="S24" s="725"/>
      <c r="U24" s="724"/>
      <c r="V24" s="735"/>
      <c r="W24" s="952">
        <v>977773.08</v>
      </c>
    </row>
    <row r="25" spans="2:23" ht="11.25" customHeight="1">
      <c r="B25" s="736" t="s">
        <v>37</v>
      </c>
      <c r="C25" s="1013" t="s">
        <v>38</v>
      </c>
      <c r="D25" s="738" t="s">
        <v>992</v>
      </c>
      <c r="E25" s="739">
        <v>1</v>
      </c>
      <c r="F25" s="740">
        <v>0.27500000000000002</v>
      </c>
      <c r="G25" s="741">
        <v>455097.18</v>
      </c>
      <c r="H25" s="742">
        <f>+ROUND(E25*F25*G25,2)</f>
        <v>125151.72</v>
      </c>
      <c r="I25" s="743">
        <f>LOOKUP(B$25,valoriz!$A$13:$A$242,valoriz!I$13:I$242)</f>
        <v>0</v>
      </c>
      <c r="J25" s="744">
        <f>+ROUND(E25*F25*I25,2)</f>
        <v>0</v>
      </c>
      <c r="K25" s="745">
        <v>6.88</v>
      </c>
      <c r="L25" s="746" t="e">
        <f>D$17</f>
        <v>#REF!</v>
      </c>
      <c r="M25" s="747" t="e">
        <f>D$16</f>
        <v>#REF!</v>
      </c>
      <c r="N25" s="748">
        <f>+ROUND(J25*K25*M$18,2)</f>
        <v>0</v>
      </c>
      <c r="O25" s="744" t="e">
        <f>+ROUND(J25*K25*L25*M$18/M25,2)</f>
        <v>#REF!</v>
      </c>
      <c r="Q25" s="828">
        <v>80783.399999999994</v>
      </c>
      <c r="R25" s="1014">
        <f>+J25+Q25</f>
        <v>80783.399999999994</v>
      </c>
      <c r="S25" s="891">
        <f>+IF((H25-R25)&lt;0,"BAD", H25-R25)</f>
        <v>44368.320000000007</v>
      </c>
      <c r="T25" s="751"/>
      <c r="U25" s="824" t="e">
        <f>+ROUND(Q25*$K25*$L25/$M25,2)</f>
        <v>#REF!</v>
      </c>
      <c r="V25" s="883" t="e">
        <f>+ROUND(R25*$K25*$L25/$M25,2)</f>
        <v>#REF!</v>
      </c>
      <c r="W25" s="1040"/>
    </row>
    <row r="26" spans="2:23" ht="11.25" customHeight="1" thickBot="1">
      <c r="B26" s="762"/>
      <c r="C26" s="1015"/>
      <c r="D26" s="764"/>
      <c r="E26" s="765"/>
      <c r="F26" s="766"/>
      <c r="G26" s="767"/>
      <c r="H26" s="768"/>
      <c r="I26" s="767"/>
      <c r="J26" s="769"/>
      <c r="K26" s="770"/>
      <c r="L26" s="771"/>
      <c r="M26" s="772"/>
      <c r="N26" s="773"/>
      <c r="O26" s="769"/>
      <c r="Q26" s="871">
        <f>SUM(Q25)</f>
        <v>80783.399999999994</v>
      </c>
      <c r="R26" s="896">
        <f>SUM(R25)</f>
        <v>80783.399999999994</v>
      </c>
      <c r="S26" s="897">
        <f>SUM(S25)</f>
        <v>44368.320000000007</v>
      </c>
      <c r="T26" s="751"/>
      <c r="U26" s="871" t="e">
        <f>SUM(U25)</f>
        <v>#REF!</v>
      </c>
      <c r="V26" s="896" t="e">
        <f>SUM(V25)</f>
        <v>#REF!</v>
      </c>
      <c r="W26" s="891" t="e">
        <f>+W24-V26</f>
        <v>#REF!</v>
      </c>
    </row>
    <row r="27" spans="2:23" ht="11.25" customHeight="1">
      <c r="B27" s="775"/>
      <c r="C27" s="776"/>
      <c r="D27" s="777"/>
      <c r="E27" s="777"/>
      <c r="F27" s="778"/>
      <c r="G27" s="779"/>
      <c r="H27" s="780">
        <f>SUM(H25:H26)</f>
        <v>125151.72</v>
      </c>
      <c r="I27" s="779"/>
      <c r="J27" s="780">
        <f>SUM(J25:J26)</f>
        <v>0</v>
      </c>
      <c r="K27" s="781"/>
      <c r="L27" s="777"/>
      <c r="M27" s="778"/>
      <c r="N27" s="782">
        <f>SUM(N25:N26)</f>
        <v>0</v>
      </c>
      <c r="O27" s="783" t="e">
        <f>SUM(O25:O26)</f>
        <v>#REF!</v>
      </c>
      <c r="Q27" s="1654" t="str">
        <f>+IF(SUM(R25:R25)&gt;J28,"Revisar Metrado","OK")</f>
        <v>OK</v>
      </c>
      <c r="R27" s="1719"/>
      <c r="S27" s="1655"/>
      <c r="U27" s="786" t="e">
        <f>+ROUND(Q26*$K25*$L25/$M25,2)</f>
        <v>#REF!</v>
      </c>
      <c r="V27" s="1053" t="e">
        <f>+O25+U27-0.01</f>
        <v>#REF!</v>
      </c>
      <c r="W27" s="1007"/>
    </row>
    <row r="28" spans="2:23" ht="11.25" customHeight="1">
      <c r="B28" s="784"/>
      <c r="C28" s="785"/>
      <c r="G28" s="786"/>
      <c r="H28" s="787" t="s">
        <v>214</v>
      </c>
      <c r="I28" s="788"/>
      <c r="J28" s="899">
        <v>108562</v>
      </c>
      <c r="K28" s="751"/>
    </row>
    <row r="29" spans="2:23" ht="11.25" customHeight="1">
      <c r="B29" s="784"/>
      <c r="C29" s="785"/>
      <c r="J29" s="806" t="s">
        <v>243</v>
      </c>
      <c r="K29" s="807"/>
      <c r="L29" s="807"/>
      <c r="M29" s="807"/>
      <c r="N29" s="808">
        <f>+N27</f>
        <v>0</v>
      </c>
      <c r="O29" s="809" t="e">
        <f>+O27</f>
        <v>#REF!</v>
      </c>
      <c r="P29" s="751"/>
      <c r="Q29" s="751"/>
    </row>
    <row r="30" spans="2:23" ht="11.25" customHeight="1">
      <c r="B30" s="784"/>
      <c r="C30" s="785"/>
      <c r="J30" s="810" t="s">
        <v>244</v>
      </c>
      <c r="K30" s="811"/>
      <c r="L30" s="811"/>
      <c r="M30" s="811"/>
      <c r="N30" s="808" t="e">
        <f>+IF(D$13&gt;C55,0,N29)</f>
        <v>#REF!</v>
      </c>
      <c r="O30" s="809" t="e">
        <f>+IF(D$13&gt;C54,0,O29)</f>
        <v>#REF!</v>
      </c>
    </row>
    <row r="31" spans="2:23" ht="11.25" customHeight="1">
      <c r="B31" s="784"/>
      <c r="C31" s="785"/>
      <c r="K31" s="751"/>
    </row>
    <row r="32" spans="2:23" ht="18">
      <c r="B32" s="1687" t="s">
        <v>993</v>
      </c>
      <c r="C32" s="1687"/>
      <c r="D32" s="1687"/>
      <c r="E32" s="1687"/>
      <c r="F32" s="1687"/>
      <c r="G32" s="1687"/>
      <c r="H32" s="1687"/>
      <c r="I32" s="1687"/>
      <c r="J32" s="1687"/>
      <c r="K32" s="1687"/>
      <c r="L32" s="1687"/>
      <c r="M32" s="1687"/>
      <c r="N32" s="1687"/>
      <c r="O32" s="1687"/>
    </row>
    <row r="34" spans="2:15" ht="11.25" customHeight="1">
      <c r="B34" s="699" t="str">
        <f>+B14</f>
        <v>Material:</v>
      </c>
      <c r="C34" s="698" t="str">
        <f>+C14</f>
        <v>ASFALTO LIQUIDO</v>
      </c>
    </row>
    <row r="35" spans="2:15" ht="11.25" customHeight="1">
      <c r="B35" s="699" t="str">
        <f>+B15</f>
        <v>Indice Unificado:</v>
      </c>
      <c r="C35" s="1016" t="str">
        <f>+C15</f>
        <v>13</v>
      </c>
      <c r="D35" s="705" t="s">
        <v>459</v>
      </c>
      <c r="E35" s="706"/>
      <c r="F35" s="1692" t="s">
        <v>451</v>
      </c>
      <c r="G35" s="1692"/>
    </row>
    <row r="36" spans="2:15" ht="11.25" customHeight="1">
      <c r="B36" s="698" t="str">
        <f>+B12</f>
        <v>Monto del Adelanto Especifico para ASFALTO LIQUIDO</v>
      </c>
      <c r="D36" s="702">
        <f>+D12</f>
        <v>977773.08</v>
      </c>
      <c r="E36" s="706"/>
      <c r="F36" s="1691" t="e">
        <f>+D36-I70</f>
        <v>#REF!</v>
      </c>
      <c r="G36" s="1691"/>
    </row>
    <row r="37" spans="2:15" ht="11.25" customHeight="1">
      <c r="B37" s="698" t="s">
        <v>246</v>
      </c>
      <c r="C37" s="812"/>
      <c r="D37" s="702" t="e">
        <f>ROUND(D36/D40*D39,2)</f>
        <v>#REF!</v>
      </c>
      <c r="E37" s="706"/>
      <c r="F37" s="1691" t="e">
        <f>+D37-F70</f>
        <v>#REF!</v>
      </c>
      <c r="G37" s="1691"/>
    </row>
    <row r="38" spans="2:15" ht="11.25" customHeight="1">
      <c r="B38" s="698" t="str">
        <f>+B13</f>
        <v xml:space="preserve">Fecha de Pago del Adelanto: </v>
      </c>
      <c r="D38" s="703" t="e">
        <f>+D13</f>
        <v>#REF!</v>
      </c>
      <c r="E38" s="706"/>
    </row>
    <row r="39" spans="2:15" ht="11.25" customHeight="1">
      <c r="B39" s="698" t="str">
        <f>+B16</f>
        <v>Indice INEI a la Fecha del P. Base   (Abril 2,009)</v>
      </c>
      <c r="D39" s="709" t="e">
        <f>+D16</f>
        <v>#REF!</v>
      </c>
      <c r="E39" s="121"/>
    </row>
    <row r="40" spans="2:15" ht="11.25" customHeight="1">
      <c r="B40" s="698" t="str">
        <f>+B17</f>
        <v>Indice INEI a la Fecha del Pago del Adelanto  (Setiembre 2,010)</v>
      </c>
      <c r="D40" s="709" t="e">
        <f>+D17</f>
        <v>#REF!</v>
      </c>
      <c r="E40" s="709"/>
    </row>
    <row r="41" spans="2:15" ht="11.25" customHeight="1">
      <c r="B41" s="698" t="s">
        <v>247</v>
      </c>
      <c r="D41" s="698">
        <v>7.0999999999999994E-2</v>
      </c>
    </row>
    <row r="42" spans="2:15" ht="11.25" customHeight="1">
      <c r="B42" s="698" t="s">
        <v>248</v>
      </c>
      <c r="D42" s="813">
        <v>9.8589999999999997E-2</v>
      </c>
    </row>
    <row r="44" spans="2:15" ht="11.25" customHeight="1">
      <c r="B44" s="814" t="s">
        <v>994</v>
      </c>
    </row>
    <row r="46" spans="2:15" ht="11.25" customHeight="1">
      <c r="B46" s="1708" t="s">
        <v>250</v>
      </c>
      <c r="C46" s="1709"/>
      <c r="D46" s="1712" t="s">
        <v>251</v>
      </c>
      <c r="E46" s="1718"/>
      <c r="F46" s="1718"/>
      <c r="G46" s="1718"/>
      <c r="H46" s="1718"/>
      <c r="I46" s="1713"/>
      <c r="L46" s="815"/>
      <c r="M46" s="815"/>
    </row>
    <row r="47" spans="2:15" ht="11.25" customHeight="1">
      <c r="B47" s="1720"/>
      <c r="C47" s="1721"/>
      <c r="D47" s="1712" t="s">
        <v>252</v>
      </c>
      <c r="E47" s="1718"/>
      <c r="F47" s="1713"/>
      <c r="G47" s="1712" t="s">
        <v>253</v>
      </c>
      <c r="H47" s="1718"/>
      <c r="I47" s="1713"/>
    </row>
    <row r="48" spans="2:15" ht="11.25" customHeight="1">
      <c r="B48" s="1710"/>
      <c r="C48" s="1711"/>
      <c r="D48" s="1009" t="s">
        <v>254</v>
      </c>
      <c r="E48" s="1017" t="s">
        <v>451</v>
      </c>
      <c r="F48" s="1010" t="s">
        <v>255</v>
      </c>
      <c r="G48" s="1009" t="s">
        <v>254</v>
      </c>
      <c r="H48" s="1017" t="s">
        <v>451</v>
      </c>
      <c r="I48" s="1010" t="s">
        <v>255</v>
      </c>
      <c r="O48" s="751"/>
    </row>
    <row r="49" spans="2:15" ht="11.25" customHeight="1">
      <c r="B49" s="817" t="str">
        <f>+'Cemento Port I IU 21'!B395</f>
        <v>VAL. 01</v>
      </c>
      <c r="C49" s="818">
        <f>+'Cemento Port I IU 21'!C395</f>
        <v>44500</v>
      </c>
      <c r="D49" s="819" t="e">
        <f>+D37</f>
        <v>#REF!</v>
      </c>
      <c r="E49" s="820" t="e">
        <f t="shared" ref="E49:E66" si="0">+D49-F49</f>
        <v>#REF!</v>
      </c>
      <c r="F49" s="821"/>
      <c r="G49" s="819">
        <f>+D36</f>
        <v>977773.08</v>
      </c>
      <c r="H49" s="820">
        <f t="shared" ref="H49:H66" si="1">+G49-I49</f>
        <v>977773.08</v>
      </c>
      <c r="I49" s="821"/>
      <c r="L49" s="751"/>
      <c r="O49" s="751"/>
    </row>
    <row r="50" spans="2:15" ht="11.25" customHeight="1">
      <c r="B50" s="822" t="str">
        <f>+'Cemento Port I IU 21'!B396</f>
        <v>VAL. 02</v>
      </c>
      <c r="C50" s="823">
        <f>+'Cemento Port I IU 21'!C396</f>
        <v>44530</v>
      </c>
      <c r="D50" s="824" t="e">
        <f>+D49</f>
        <v>#REF!</v>
      </c>
      <c r="E50" s="825" t="e">
        <f t="shared" si="0"/>
        <v>#REF!</v>
      </c>
      <c r="F50" s="744"/>
      <c r="G50" s="824">
        <f>+G49</f>
        <v>977773.08</v>
      </c>
      <c r="H50" s="825">
        <f t="shared" si="1"/>
        <v>977773.08</v>
      </c>
      <c r="I50" s="744"/>
      <c r="K50" s="751"/>
      <c r="L50" s="751"/>
      <c r="O50" s="751"/>
    </row>
    <row r="51" spans="2:15" ht="11.25" customHeight="1">
      <c r="B51" s="822" t="str">
        <f>+'Cemento Port I IU 21'!B397</f>
        <v>VAL. 03</v>
      </c>
      <c r="C51" s="823">
        <f>+'Cemento Port I IU 21'!C397</f>
        <v>44561</v>
      </c>
      <c r="D51" s="824" t="e">
        <f t="shared" ref="D51:D66" si="2">+E50</f>
        <v>#REF!</v>
      </c>
      <c r="E51" s="825" t="e">
        <f t="shared" si="0"/>
        <v>#REF!</v>
      </c>
      <c r="F51" s="744"/>
      <c r="G51" s="824">
        <f t="shared" ref="G51:G66" si="3">+H50</f>
        <v>977773.08</v>
      </c>
      <c r="H51" s="825">
        <f t="shared" si="1"/>
        <v>977773.08</v>
      </c>
      <c r="I51" s="744"/>
      <c r="L51" s="751"/>
      <c r="O51" s="751"/>
    </row>
    <row r="52" spans="2:15" ht="11.25" customHeight="1">
      <c r="B52" s="822" t="str">
        <f>+'Cemento Port I IU 21'!B398</f>
        <v>VAL. 04</v>
      </c>
      <c r="C52" s="823">
        <f>+'Cemento Port I IU 21'!C398</f>
        <v>44592</v>
      </c>
      <c r="D52" s="824" t="e">
        <f t="shared" si="2"/>
        <v>#REF!</v>
      </c>
      <c r="E52" s="825" t="e">
        <f t="shared" si="0"/>
        <v>#REF!</v>
      </c>
      <c r="F52" s="744"/>
      <c r="G52" s="824">
        <f t="shared" si="3"/>
        <v>977773.08</v>
      </c>
      <c r="H52" s="825">
        <f t="shared" si="1"/>
        <v>977773.08</v>
      </c>
      <c r="I52" s="744"/>
      <c r="L52" s="751"/>
      <c r="O52" s="751"/>
    </row>
    <row r="53" spans="2:15" ht="11.25" customHeight="1">
      <c r="B53" s="822" t="str">
        <f>+'Cemento Port I IU 21'!B399</f>
        <v>VAL. 05</v>
      </c>
      <c r="C53" s="823">
        <f>+'Cemento Port I IU 21'!C399</f>
        <v>44620</v>
      </c>
      <c r="D53" s="824" t="e">
        <f t="shared" si="2"/>
        <v>#REF!</v>
      </c>
      <c r="E53" s="825" t="e">
        <f t="shared" si="0"/>
        <v>#REF!</v>
      </c>
      <c r="F53" s="744"/>
      <c r="G53" s="824">
        <f t="shared" si="3"/>
        <v>977773.08</v>
      </c>
      <c r="H53" s="825">
        <f t="shared" si="1"/>
        <v>977773.08</v>
      </c>
      <c r="I53" s="744"/>
      <c r="L53" s="751"/>
      <c r="O53" s="751"/>
    </row>
    <row r="54" spans="2:15" ht="11.25" customHeight="1">
      <c r="B54" s="822" t="str">
        <f>+'Cemento Port I IU 21'!B400</f>
        <v>VAL. 06</v>
      </c>
      <c r="C54" s="823">
        <f>+'Cemento Port I IU 21'!C400</f>
        <v>0</v>
      </c>
      <c r="D54" s="824" t="e">
        <f t="shared" si="2"/>
        <v>#REF!</v>
      </c>
      <c r="E54" s="825" t="e">
        <f t="shared" si="0"/>
        <v>#REF!</v>
      </c>
      <c r="F54" s="744">
        <v>0</v>
      </c>
      <c r="G54" s="824">
        <f t="shared" si="3"/>
        <v>977773.08</v>
      </c>
      <c r="H54" s="825">
        <f t="shared" si="1"/>
        <v>977773.08</v>
      </c>
      <c r="I54" s="744">
        <v>0</v>
      </c>
      <c r="L54" s="751"/>
      <c r="O54" s="751"/>
    </row>
    <row r="55" spans="2:15" ht="11.25" customHeight="1">
      <c r="B55" s="822" t="str">
        <f>+'Cemento Port I IU 21'!B401</f>
        <v>VAL. 07</v>
      </c>
      <c r="C55" s="823" t="e">
        <f>+'Cemento Port I IU 21'!C401</f>
        <v>#REF!</v>
      </c>
      <c r="D55" s="824" t="e">
        <f t="shared" si="2"/>
        <v>#REF!</v>
      </c>
      <c r="E55" s="825" t="e">
        <f t="shared" si="0"/>
        <v>#REF!</v>
      </c>
      <c r="F55" s="744">
        <v>104656.08</v>
      </c>
      <c r="G55" s="824">
        <f t="shared" si="3"/>
        <v>977773.08</v>
      </c>
      <c r="H55" s="825">
        <f t="shared" si="1"/>
        <v>840768.12</v>
      </c>
      <c r="I55" s="744">
        <v>137004.96</v>
      </c>
      <c r="L55" s="751"/>
      <c r="O55" s="751"/>
    </row>
    <row r="56" spans="2:15" ht="11.25" customHeight="1">
      <c r="B56" s="822" t="str">
        <f>+'Cemento Port I IU 21'!B402</f>
        <v>VAL. 08</v>
      </c>
      <c r="C56" s="823" t="e">
        <f>+'Cemento Port I IU 21'!C402</f>
        <v>#REF!</v>
      </c>
      <c r="D56" s="824" t="e">
        <f t="shared" si="2"/>
        <v>#REF!</v>
      </c>
      <c r="E56" s="825" t="e">
        <f t="shared" si="0"/>
        <v>#REF!</v>
      </c>
      <c r="F56" s="744">
        <v>104232.96000000001</v>
      </c>
      <c r="G56" s="824">
        <f t="shared" si="3"/>
        <v>840768.12</v>
      </c>
      <c r="H56" s="825">
        <f t="shared" si="1"/>
        <v>704317.07000000007</v>
      </c>
      <c r="I56" s="744">
        <v>136451.04999999999</v>
      </c>
      <c r="L56" s="751"/>
      <c r="O56" s="751"/>
    </row>
    <row r="57" spans="2:15" ht="11.25" customHeight="1">
      <c r="B57" s="822" t="str">
        <f>+'Cemento Port I IU 21'!B403</f>
        <v>VAL. 09</v>
      </c>
      <c r="C57" s="823" t="e">
        <f>+'Cemento Port I IU 21'!C403</f>
        <v>#REF!</v>
      </c>
      <c r="D57" s="824" t="e">
        <f t="shared" si="2"/>
        <v>#REF!</v>
      </c>
      <c r="E57" s="825" t="e">
        <f t="shared" si="0"/>
        <v>#REF!</v>
      </c>
      <c r="F57" s="744">
        <v>91287.97</v>
      </c>
      <c r="G57" s="824">
        <f t="shared" si="3"/>
        <v>704317.07000000007</v>
      </c>
      <c r="H57" s="825">
        <f t="shared" si="1"/>
        <v>584812.27</v>
      </c>
      <c r="I57" s="744">
        <v>119504.8</v>
      </c>
      <c r="L57" s="751"/>
      <c r="O57" s="751"/>
    </row>
    <row r="58" spans="2:15" ht="11.25" customHeight="1">
      <c r="B58" s="822" t="str">
        <f>+'Cemento Port I IU 21'!B404</f>
        <v>VAL. 10</v>
      </c>
      <c r="C58" s="823" t="e">
        <f>+'Cemento Port I IU 21'!C404</f>
        <v>#REF!</v>
      </c>
      <c r="D58" s="824" t="e">
        <f t="shared" si="2"/>
        <v>#REF!</v>
      </c>
      <c r="E58" s="825" t="e">
        <f t="shared" si="0"/>
        <v>#REF!</v>
      </c>
      <c r="F58" s="744">
        <v>0</v>
      </c>
      <c r="G58" s="824">
        <f t="shared" si="3"/>
        <v>584812.27</v>
      </c>
      <c r="H58" s="825">
        <f t="shared" si="1"/>
        <v>584812.27</v>
      </c>
      <c r="I58" s="744">
        <v>0</v>
      </c>
      <c r="O58" s="751"/>
    </row>
    <row r="59" spans="2:15" ht="11.25" customHeight="1">
      <c r="B59" s="822" t="str">
        <f>+'Cemento Port I IU 21'!B405</f>
        <v>VAL. 11</v>
      </c>
      <c r="C59" s="823" t="e">
        <f>+'Cemento Port I IU 21'!C405</f>
        <v>#REF!</v>
      </c>
      <c r="D59" s="824" t="e">
        <f t="shared" si="2"/>
        <v>#REF!</v>
      </c>
      <c r="E59" s="825" t="e">
        <f t="shared" si="0"/>
        <v>#REF!</v>
      </c>
      <c r="F59" s="744">
        <v>0</v>
      </c>
      <c r="G59" s="824">
        <f t="shared" si="3"/>
        <v>584812.27</v>
      </c>
      <c r="H59" s="825">
        <f t="shared" si="1"/>
        <v>584812.27</v>
      </c>
      <c r="I59" s="744">
        <v>0</v>
      </c>
      <c r="O59" s="751"/>
    </row>
    <row r="60" spans="2:15" ht="11.25" customHeight="1">
      <c r="B60" s="822" t="str">
        <f>+'Cemento Port I IU 21'!B406</f>
        <v>VAL. 12</v>
      </c>
      <c r="C60" s="823" t="e">
        <f>+'Cemento Port I IU 21'!C406</f>
        <v>#REF!</v>
      </c>
      <c r="D60" s="824" t="e">
        <f t="shared" si="2"/>
        <v>#REF!</v>
      </c>
      <c r="E60" s="825" t="e">
        <f t="shared" si="0"/>
        <v>#REF!</v>
      </c>
      <c r="F60" s="744">
        <v>4650.1899999999996</v>
      </c>
      <c r="G60" s="824">
        <f t="shared" si="3"/>
        <v>584812.27</v>
      </c>
      <c r="H60" s="825">
        <f t="shared" si="1"/>
        <v>578724.72</v>
      </c>
      <c r="I60" s="744">
        <v>6087.55</v>
      </c>
      <c r="O60" s="751"/>
    </row>
    <row r="61" spans="2:15" ht="11.25" customHeight="1">
      <c r="B61" s="822" t="str">
        <f>+'Cemento Port I IU 21'!B407</f>
        <v>VAL. 13</v>
      </c>
      <c r="C61" s="823" t="e">
        <f>+'Cemento Port I IU 21'!C407</f>
        <v>#REF!</v>
      </c>
      <c r="D61" s="824" t="e">
        <f t="shared" si="2"/>
        <v>#REF!</v>
      </c>
      <c r="E61" s="825" t="e">
        <f t="shared" si="0"/>
        <v>#REF!</v>
      </c>
      <c r="F61" s="744">
        <v>50914.06</v>
      </c>
      <c r="G61" s="824">
        <f t="shared" si="3"/>
        <v>578724.72</v>
      </c>
      <c r="H61" s="825">
        <f t="shared" si="1"/>
        <v>512073.27999999997</v>
      </c>
      <c r="I61" s="744">
        <v>66651.44</v>
      </c>
      <c r="O61" s="751"/>
    </row>
    <row r="62" spans="2:15" ht="11.25" customHeight="1">
      <c r="B62" s="822" t="str">
        <f>+'Cemento Port I IU 21'!B408</f>
        <v>VAL. 14</v>
      </c>
      <c r="C62" s="823" t="e">
        <f>+'Cemento Port I IU 21'!C408</f>
        <v>#REF!</v>
      </c>
      <c r="D62" s="824" t="e">
        <f t="shared" si="2"/>
        <v>#REF!</v>
      </c>
      <c r="E62" s="825" t="e">
        <f t="shared" si="0"/>
        <v>#REF!</v>
      </c>
      <c r="F62" s="744">
        <v>52466.26</v>
      </c>
      <c r="G62" s="824">
        <f t="shared" si="3"/>
        <v>512073.27999999997</v>
      </c>
      <c r="H62" s="825">
        <f t="shared" si="1"/>
        <v>443389.86</v>
      </c>
      <c r="I62" s="744">
        <v>68683.42</v>
      </c>
      <c r="O62" s="751"/>
    </row>
    <row r="63" spans="2:15" ht="11.25" customHeight="1">
      <c r="B63" s="822" t="str">
        <f>+'Cemento Port I IU 21'!B409</f>
        <v>VAL. 15</v>
      </c>
      <c r="C63" s="823" t="e">
        <f>+'Cemento Port I IU 21'!C409</f>
        <v>#REF!</v>
      </c>
      <c r="D63" s="824" t="e">
        <f t="shared" si="2"/>
        <v>#REF!</v>
      </c>
      <c r="E63" s="825" t="e">
        <f t="shared" si="0"/>
        <v>#REF!</v>
      </c>
      <c r="F63" s="744">
        <v>147582.26</v>
      </c>
      <c r="G63" s="824">
        <f t="shared" si="3"/>
        <v>443389.86</v>
      </c>
      <c r="H63" s="825">
        <f t="shared" si="1"/>
        <v>250190.37999999998</v>
      </c>
      <c r="I63" s="744">
        <v>193199.48</v>
      </c>
      <c r="O63" s="751"/>
    </row>
    <row r="64" spans="2:15" ht="11.25" customHeight="1">
      <c r="B64" s="822" t="str">
        <f>+'Cemento Port I IU 21'!B410</f>
        <v>VAL. 16</v>
      </c>
      <c r="C64" s="823" t="e">
        <f>+'Cemento Port I IU 21'!C410</f>
        <v>#REF!</v>
      </c>
      <c r="D64" s="824" t="e">
        <f t="shared" si="2"/>
        <v>#REF!</v>
      </c>
      <c r="E64" s="825" t="e">
        <f t="shared" si="0"/>
        <v>#REF!</v>
      </c>
      <c r="F64" s="744" t="e">
        <f>+IF(D$13&gt;C64,0,N$30)</f>
        <v>#REF!</v>
      </c>
      <c r="G64" s="824">
        <f t="shared" si="3"/>
        <v>250190.37999999998</v>
      </c>
      <c r="H64" s="825" t="e">
        <f t="shared" si="1"/>
        <v>#REF!</v>
      </c>
      <c r="I64" s="744" t="e">
        <f>+IF(D$13&gt;C64,0,O$30)</f>
        <v>#REF!</v>
      </c>
      <c r="O64" s="751"/>
    </row>
    <row r="65" spans="2:18" ht="11.25" customHeight="1">
      <c r="B65" s="822" t="str">
        <f>+'Cemento Port I IU 21'!B411</f>
        <v>VAL. 17</v>
      </c>
      <c r="C65" s="823" t="e">
        <f>+'Cemento Port I IU 21'!C411</f>
        <v>#REF!</v>
      </c>
      <c r="D65" s="824" t="e">
        <f t="shared" si="2"/>
        <v>#REF!</v>
      </c>
      <c r="E65" s="825" t="e">
        <f t="shared" si="0"/>
        <v>#REF!</v>
      </c>
      <c r="F65" s="744"/>
      <c r="G65" s="824" t="e">
        <f t="shared" si="3"/>
        <v>#REF!</v>
      </c>
      <c r="H65" s="825" t="e">
        <f t="shared" si="1"/>
        <v>#REF!</v>
      </c>
      <c r="I65" s="744"/>
      <c r="J65" s="710"/>
      <c r="O65" s="751"/>
    </row>
    <row r="66" spans="2:18" ht="11.25" customHeight="1">
      <c r="B66" s="822" t="str">
        <f>+'Cemento Port I IU 21'!B412</f>
        <v>VAL. 18</v>
      </c>
      <c r="C66" s="823" t="e">
        <f>+'Cemento Port I IU 21'!C412</f>
        <v>#REF!</v>
      </c>
      <c r="D66" s="824" t="e">
        <f t="shared" si="2"/>
        <v>#REF!</v>
      </c>
      <c r="E66" s="825" t="e">
        <f t="shared" si="0"/>
        <v>#REF!</v>
      </c>
      <c r="F66" s="744"/>
      <c r="G66" s="824" t="e">
        <f t="shared" si="3"/>
        <v>#REF!</v>
      </c>
      <c r="H66" s="825" t="e">
        <f t="shared" si="1"/>
        <v>#REF!</v>
      </c>
      <c r="I66" s="744"/>
      <c r="J66" s="710"/>
      <c r="O66" s="751"/>
    </row>
    <row r="67" spans="2:18" ht="11.25" customHeight="1">
      <c r="B67" s="822"/>
      <c r="C67" s="823"/>
      <c r="D67" s="824"/>
      <c r="E67" s="825"/>
      <c r="F67" s="744"/>
      <c r="G67" s="824"/>
      <c r="H67" s="825"/>
      <c r="I67" s="744"/>
      <c r="J67" s="710"/>
      <c r="O67" s="751"/>
    </row>
    <row r="68" spans="2:18" ht="11.25" customHeight="1">
      <c r="B68" s="822"/>
      <c r="C68" s="823"/>
      <c r="D68" s="824"/>
      <c r="E68" s="825"/>
      <c r="F68" s="744"/>
      <c r="G68" s="824"/>
      <c r="H68" s="825"/>
      <c r="I68" s="744"/>
      <c r="J68" s="710"/>
      <c r="O68" s="751"/>
    </row>
    <row r="69" spans="2:18" ht="11.25" customHeight="1">
      <c r="B69" s="826"/>
      <c r="C69" s="827"/>
      <c r="D69" s="828"/>
      <c r="E69" s="829"/>
      <c r="F69" s="830"/>
      <c r="G69" s="828"/>
      <c r="H69" s="829"/>
      <c r="I69" s="830"/>
      <c r="O69" s="751"/>
    </row>
    <row r="70" spans="2:18" ht="11.25" customHeight="1">
      <c r="B70" s="700"/>
      <c r="C70" s="700"/>
      <c r="D70" s="831" t="s">
        <v>274</v>
      </c>
      <c r="E70" s="788"/>
      <c r="F70" s="832" t="e">
        <f>SUM(F49:F69)</f>
        <v>#REF!</v>
      </c>
      <c r="G70" s="786"/>
      <c r="H70" s="832"/>
      <c r="I70" s="833" t="e">
        <f>SUM(I49:I69)</f>
        <v>#REF!</v>
      </c>
      <c r="O70" s="751"/>
    </row>
    <row r="72" spans="2:18" ht="11.25" customHeight="1">
      <c r="B72" s="814" t="s">
        <v>995</v>
      </c>
    </row>
    <row r="73" spans="2:18" ht="11.25" customHeight="1">
      <c r="B73" s="834" t="s">
        <v>276</v>
      </c>
    </row>
    <row r="74" spans="2:18" ht="11.25" customHeight="1">
      <c r="B74" s="835" t="s">
        <v>277</v>
      </c>
      <c r="C74" s="715"/>
      <c r="D74" s="715"/>
      <c r="E74" s="715"/>
      <c r="F74" s="715"/>
      <c r="G74" s="715"/>
      <c r="H74" s="715"/>
      <c r="I74" s="715"/>
      <c r="J74" s="715"/>
      <c r="K74" s="715"/>
      <c r="L74" s="715"/>
      <c r="M74" s="715"/>
    </row>
    <row r="75" spans="2:18" ht="11.25" customHeight="1">
      <c r="B75" s="1708" t="s">
        <v>250</v>
      </c>
      <c r="C75" s="1709"/>
      <c r="D75" s="1708" t="s">
        <v>278</v>
      </c>
      <c r="E75" s="1714" t="s">
        <v>279</v>
      </c>
      <c r="F75" s="1712" t="s">
        <v>135</v>
      </c>
      <c r="G75" s="1713"/>
      <c r="H75" s="1723" t="s">
        <v>280</v>
      </c>
      <c r="I75" s="1724"/>
      <c r="J75" s="1725"/>
      <c r="K75" s="1708" t="s">
        <v>281</v>
      </c>
      <c r="L75" s="1726"/>
      <c r="M75" s="1709"/>
      <c r="N75" s="1714" t="s">
        <v>282</v>
      </c>
      <c r="P75" s="1654" t="s">
        <v>136</v>
      </c>
      <c r="Q75" s="1655"/>
    </row>
    <row r="76" spans="2:18" ht="11.25" customHeight="1">
      <c r="B76" s="1710"/>
      <c r="C76" s="1711"/>
      <c r="D76" s="1710"/>
      <c r="E76" s="1715"/>
      <c r="F76" s="1018" t="s">
        <v>283</v>
      </c>
      <c r="G76" s="1018" t="s">
        <v>385</v>
      </c>
      <c r="H76" s="1010" t="s">
        <v>254</v>
      </c>
      <c r="I76" s="1010" t="s">
        <v>284</v>
      </c>
      <c r="J76" s="1009" t="s">
        <v>451</v>
      </c>
      <c r="K76" s="1018" t="s">
        <v>468</v>
      </c>
      <c r="L76" s="1010" t="s">
        <v>467</v>
      </c>
      <c r="M76" s="1010" t="s">
        <v>285</v>
      </c>
      <c r="N76" s="1722"/>
      <c r="P76" s="838" t="s">
        <v>456</v>
      </c>
      <c r="Q76" s="839" t="s">
        <v>286</v>
      </c>
    </row>
    <row r="77" spans="2:18" ht="11.25" customHeight="1">
      <c r="B77" s="817" t="str">
        <f t="shared" ref="B77:C95" si="4">+B49</f>
        <v>VAL. 01</v>
      </c>
      <c r="C77" s="818">
        <f t="shared" si="4"/>
        <v>44500</v>
      </c>
      <c r="D77" s="824">
        <f>+'Cemento Port I IU 21'!D423</f>
        <v>78066.42</v>
      </c>
      <c r="E77" s="840">
        <f t="shared" ref="E77:E95" si="5">+H49</f>
        <v>977773.08</v>
      </c>
      <c r="F77" s="841">
        <f>+D41</f>
        <v>7.0999999999999994E-2</v>
      </c>
      <c r="G77" s="842">
        <f>+D42</f>
        <v>9.8589999999999997E-2</v>
      </c>
      <c r="H77" s="843" t="e">
        <f>+D37</f>
        <v>#REF!</v>
      </c>
      <c r="I77" s="744" t="e">
        <f>+IF(D$13&gt;C77,0,ROUND(D77*F77*G77,2))</f>
        <v>#REF!</v>
      </c>
      <c r="J77" s="824" t="e">
        <f>+H77-I77</f>
        <v>#REF!</v>
      </c>
      <c r="K77" s="843" t="e">
        <f>+D$39</f>
        <v>#REF!</v>
      </c>
      <c r="L77" s="744"/>
      <c r="M77" s="972"/>
      <c r="N77" s="1019" t="e">
        <f t="shared" ref="N77:N95" si="6">+ROUND(I77*(M77-L77)/K77,2)</f>
        <v>#REF!</v>
      </c>
      <c r="O77" s="751"/>
      <c r="P77" s="845">
        <v>40238</v>
      </c>
      <c r="Q77" s="846">
        <v>40299</v>
      </c>
      <c r="R77" s="698" t="s">
        <v>996</v>
      </c>
    </row>
    <row r="78" spans="2:18" ht="11.25" customHeight="1">
      <c r="B78" s="822" t="str">
        <f t="shared" si="4"/>
        <v>VAL. 02</v>
      </c>
      <c r="C78" s="823">
        <f t="shared" si="4"/>
        <v>44530</v>
      </c>
      <c r="D78" s="824">
        <f>+'Cemento Port I IU 21'!D424</f>
        <v>1302063.97</v>
      </c>
      <c r="E78" s="843">
        <f t="shared" si="5"/>
        <v>977773.08</v>
      </c>
      <c r="F78" s="841">
        <f t="shared" ref="F78:F95" si="7">+F77</f>
        <v>7.0999999999999994E-2</v>
      </c>
      <c r="G78" s="842">
        <f t="shared" ref="G78:G95" si="8">+G77</f>
        <v>9.8589999999999997E-2</v>
      </c>
      <c r="H78" s="843" t="e">
        <f t="shared" ref="H78:H95" si="9">+J77</f>
        <v>#REF!</v>
      </c>
      <c r="I78" s="744" t="e">
        <f t="shared" ref="I78:I95" si="10">+IF(D$13&gt;C78,0,IF(ROUND(D78*F78*G78,2)&gt;J77,J77,ROUND(D78*F78*G78,2)))</f>
        <v>#REF!</v>
      </c>
      <c r="J78" s="847" t="e">
        <f t="shared" ref="J78:J89" si="11">+ROUND(J77-I78,2)</f>
        <v>#REF!</v>
      </c>
      <c r="K78" s="843" t="e">
        <f t="shared" ref="K78:K95" si="12">+D$39</f>
        <v>#REF!</v>
      </c>
      <c r="L78" s="744"/>
      <c r="M78" s="972"/>
      <c r="N78" s="1019" t="e">
        <f t="shared" si="6"/>
        <v>#REF!</v>
      </c>
      <c r="O78" s="751"/>
      <c r="P78" s="845">
        <v>40269</v>
      </c>
      <c r="Q78" s="846">
        <v>40330</v>
      </c>
      <c r="R78" s="698" t="s">
        <v>996</v>
      </c>
    </row>
    <row r="79" spans="2:18" ht="11.25" customHeight="1">
      <c r="B79" s="822" t="str">
        <f t="shared" si="4"/>
        <v>VAL. 03</v>
      </c>
      <c r="C79" s="823">
        <f t="shared" si="4"/>
        <v>44561</v>
      </c>
      <c r="D79" s="824">
        <f>+'Cemento Port I IU 21'!D425</f>
        <v>1388847.16</v>
      </c>
      <c r="E79" s="843">
        <f t="shared" si="5"/>
        <v>977773.08</v>
      </c>
      <c r="F79" s="841">
        <f t="shared" si="7"/>
        <v>7.0999999999999994E-2</v>
      </c>
      <c r="G79" s="842">
        <f t="shared" si="8"/>
        <v>9.8589999999999997E-2</v>
      </c>
      <c r="H79" s="843" t="e">
        <f t="shared" si="9"/>
        <v>#REF!</v>
      </c>
      <c r="I79" s="744" t="e">
        <f t="shared" si="10"/>
        <v>#REF!</v>
      </c>
      <c r="J79" s="847" t="e">
        <f t="shared" si="11"/>
        <v>#REF!</v>
      </c>
      <c r="K79" s="843" t="e">
        <f t="shared" si="12"/>
        <v>#REF!</v>
      </c>
      <c r="L79" s="744"/>
      <c r="M79" s="972"/>
      <c r="N79" s="1019" t="e">
        <f t="shared" si="6"/>
        <v>#REF!</v>
      </c>
      <c r="O79" s="751"/>
      <c r="P79" s="845">
        <v>40299</v>
      </c>
      <c r="Q79" s="846">
        <v>40360</v>
      </c>
      <c r="R79" s="698" t="s">
        <v>996</v>
      </c>
    </row>
    <row r="80" spans="2:18" ht="11.25" customHeight="1">
      <c r="B80" s="822" t="str">
        <f t="shared" si="4"/>
        <v>VAL. 04</v>
      </c>
      <c r="C80" s="823">
        <f t="shared" si="4"/>
        <v>44592</v>
      </c>
      <c r="D80" s="824">
        <f>+'Cemento Port I IU 21'!D426</f>
        <v>0</v>
      </c>
      <c r="E80" s="843">
        <f t="shared" si="5"/>
        <v>977773.08</v>
      </c>
      <c r="F80" s="841">
        <f t="shared" si="7"/>
        <v>7.0999999999999994E-2</v>
      </c>
      <c r="G80" s="842">
        <f t="shared" si="8"/>
        <v>9.8589999999999997E-2</v>
      </c>
      <c r="H80" s="843" t="e">
        <f t="shared" si="9"/>
        <v>#REF!</v>
      </c>
      <c r="I80" s="744" t="e">
        <f t="shared" si="10"/>
        <v>#REF!</v>
      </c>
      <c r="J80" s="847" t="e">
        <f t="shared" si="11"/>
        <v>#REF!</v>
      </c>
      <c r="K80" s="843" t="e">
        <f t="shared" si="12"/>
        <v>#REF!</v>
      </c>
      <c r="L80" s="744"/>
      <c r="M80" s="972"/>
      <c r="N80" s="1019" t="e">
        <f t="shared" si="6"/>
        <v>#REF!</v>
      </c>
      <c r="O80" s="751"/>
      <c r="P80" s="845">
        <v>40330</v>
      </c>
      <c r="Q80" s="846">
        <v>40391</v>
      </c>
      <c r="R80" s="698" t="s">
        <v>996</v>
      </c>
    </row>
    <row r="81" spans="2:17" ht="11.25" customHeight="1">
      <c r="B81" s="822" t="str">
        <f t="shared" si="4"/>
        <v>VAL. 05</v>
      </c>
      <c r="C81" s="823">
        <f t="shared" si="4"/>
        <v>44620</v>
      </c>
      <c r="D81" s="824">
        <f>+'Cemento Port I IU 21'!D427</f>
        <v>0</v>
      </c>
      <c r="E81" s="843">
        <f t="shared" si="5"/>
        <v>977773.08</v>
      </c>
      <c r="F81" s="841">
        <f t="shared" si="7"/>
        <v>7.0999999999999994E-2</v>
      </c>
      <c r="G81" s="842">
        <f t="shared" si="8"/>
        <v>9.8589999999999997E-2</v>
      </c>
      <c r="H81" s="843" t="e">
        <f t="shared" si="9"/>
        <v>#REF!</v>
      </c>
      <c r="I81" s="744" t="e">
        <f t="shared" si="10"/>
        <v>#REF!</v>
      </c>
      <c r="J81" s="847" t="e">
        <f t="shared" si="11"/>
        <v>#REF!</v>
      </c>
      <c r="K81" s="843" t="e">
        <f t="shared" si="12"/>
        <v>#REF!</v>
      </c>
      <c r="L81" s="744"/>
      <c r="M81" s="972"/>
      <c r="N81" s="1019" t="e">
        <f>+ROUND(I81*(M81-L81)/K81,2)</f>
        <v>#REF!</v>
      </c>
      <c r="O81" s="751"/>
      <c r="P81" s="845">
        <v>40360</v>
      </c>
      <c r="Q81" s="846">
        <v>40422</v>
      </c>
    </row>
    <row r="82" spans="2:17" ht="11.25" customHeight="1">
      <c r="B82" s="822" t="str">
        <f t="shared" si="4"/>
        <v>VAL. 06</v>
      </c>
      <c r="C82" s="823">
        <f t="shared" si="4"/>
        <v>0</v>
      </c>
      <c r="D82" s="824">
        <f>+'Cemento Port I IU 21'!D428</f>
        <v>0</v>
      </c>
      <c r="E82" s="843">
        <f t="shared" si="5"/>
        <v>977773.08</v>
      </c>
      <c r="F82" s="841">
        <f t="shared" si="7"/>
        <v>7.0999999999999994E-2</v>
      </c>
      <c r="G82" s="842">
        <f t="shared" si="8"/>
        <v>9.8589999999999997E-2</v>
      </c>
      <c r="H82" s="843" t="e">
        <f t="shared" si="9"/>
        <v>#REF!</v>
      </c>
      <c r="I82" s="744" t="e">
        <f t="shared" si="10"/>
        <v>#REF!</v>
      </c>
      <c r="J82" s="847" t="e">
        <f t="shared" si="11"/>
        <v>#REF!</v>
      </c>
      <c r="K82" s="843" t="e">
        <f t="shared" si="12"/>
        <v>#REF!</v>
      </c>
      <c r="L82" s="744" t="e">
        <f>+D$40</f>
        <v>#REF!</v>
      </c>
      <c r="M82" s="744" t="e">
        <f>+K!#REF!</f>
        <v>#REF!</v>
      </c>
      <c r="N82" s="1019" t="e">
        <f t="shared" si="6"/>
        <v>#REF!</v>
      </c>
      <c r="O82" s="751"/>
      <c r="P82" s="845">
        <v>40391</v>
      </c>
      <c r="Q82" s="846">
        <v>40452</v>
      </c>
    </row>
    <row r="83" spans="2:17" ht="11.25" customHeight="1">
      <c r="B83" s="822" t="str">
        <f t="shared" si="4"/>
        <v>VAL. 07</v>
      </c>
      <c r="C83" s="823" t="e">
        <f t="shared" si="4"/>
        <v>#REF!</v>
      </c>
      <c r="D83" s="824" t="e">
        <f>+'Cemento Port I IU 21'!D429</f>
        <v>#REF!</v>
      </c>
      <c r="E83" s="843">
        <f t="shared" si="5"/>
        <v>840768.12</v>
      </c>
      <c r="F83" s="841">
        <f t="shared" si="7"/>
        <v>7.0999999999999994E-2</v>
      </c>
      <c r="G83" s="842">
        <f t="shared" si="8"/>
        <v>9.8589999999999997E-2</v>
      </c>
      <c r="H83" s="843" t="e">
        <f t="shared" si="9"/>
        <v>#REF!</v>
      </c>
      <c r="I83" s="744" t="e">
        <f t="shared" si="10"/>
        <v>#REF!</v>
      </c>
      <c r="J83" s="847" t="e">
        <f t="shared" si="11"/>
        <v>#REF!</v>
      </c>
      <c r="K83" s="843" t="e">
        <f t="shared" si="12"/>
        <v>#REF!</v>
      </c>
      <c r="L83" s="744" t="e">
        <f t="shared" ref="L83:L95" si="13">+D$40</f>
        <v>#REF!</v>
      </c>
      <c r="M83" s="744" t="e">
        <f>+K!#REF!</f>
        <v>#REF!</v>
      </c>
      <c r="N83" s="1019" t="e">
        <f t="shared" si="6"/>
        <v>#REF!</v>
      </c>
      <c r="O83" s="751"/>
      <c r="P83" s="845">
        <v>40422</v>
      </c>
      <c r="Q83" s="846">
        <v>40483</v>
      </c>
    </row>
    <row r="84" spans="2:17" ht="11.25" customHeight="1">
      <c r="B84" s="822" t="str">
        <f t="shared" si="4"/>
        <v>VAL. 08</v>
      </c>
      <c r="C84" s="823" t="e">
        <f t="shared" si="4"/>
        <v>#REF!</v>
      </c>
      <c r="D84" s="824" t="e">
        <f>+'Cemento Port I IU 21'!D430</f>
        <v>#REF!</v>
      </c>
      <c r="E84" s="849">
        <f t="shared" si="5"/>
        <v>704317.07000000007</v>
      </c>
      <c r="F84" s="841">
        <f t="shared" si="7"/>
        <v>7.0999999999999994E-2</v>
      </c>
      <c r="G84" s="842">
        <f t="shared" si="8"/>
        <v>9.8589999999999997E-2</v>
      </c>
      <c r="H84" s="843" t="e">
        <f t="shared" si="9"/>
        <v>#REF!</v>
      </c>
      <c r="I84" s="744" t="e">
        <f t="shared" si="10"/>
        <v>#REF!</v>
      </c>
      <c r="J84" s="847" t="e">
        <f t="shared" si="11"/>
        <v>#REF!</v>
      </c>
      <c r="K84" s="849" t="e">
        <f t="shared" si="12"/>
        <v>#REF!</v>
      </c>
      <c r="L84" s="852" t="e">
        <f t="shared" si="13"/>
        <v>#REF!</v>
      </c>
      <c r="M84" s="744" t="e">
        <f>+K!#REF!</f>
        <v>#REF!</v>
      </c>
      <c r="N84" s="1019" t="e">
        <f t="shared" si="6"/>
        <v>#REF!</v>
      </c>
      <c r="P84" s="845">
        <v>40452</v>
      </c>
      <c r="Q84" s="846">
        <v>40513</v>
      </c>
    </row>
    <row r="85" spans="2:17" ht="11.25" customHeight="1">
      <c r="B85" s="822" t="str">
        <f t="shared" si="4"/>
        <v>VAL. 09</v>
      </c>
      <c r="C85" s="823" t="e">
        <f t="shared" si="4"/>
        <v>#REF!</v>
      </c>
      <c r="D85" s="824" t="e">
        <f>+'Cemento Port I IU 21'!D431</f>
        <v>#REF!</v>
      </c>
      <c r="E85" s="849">
        <f t="shared" si="5"/>
        <v>584812.27</v>
      </c>
      <c r="F85" s="841">
        <f t="shared" si="7"/>
        <v>7.0999999999999994E-2</v>
      </c>
      <c r="G85" s="842">
        <f t="shared" si="8"/>
        <v>9.8589999999999997E-2</v>
      </c>
      <c r="H85" s="843" t="e">
        <f t="shared" si="9"/>
        <v>#REF!</v>
      </c>
      <c r="I85" s="744" t="e">
        <f t="shared" si="10"/>
        <v>#REF!</v>
      </c>
      <c r="J85" s="847" t="e">
        <f t="shared" si="11"/>
        <v>#REF!</v>
      </c>
      <c r="K85" s="849" t="e">
        <f t="shared" si="12"/>
        <v>#REF!</v>
      </c>
      <c r="L85" s="852" t="e">
        <f t="shared" si="13"/>
        <v>#REF!</v>
      </c>
      <c r="M85" s="744" t="e">
        <f>+K!#REF!</f>
        <v>#REF!</v>
      </c>
      <c r="N85" s="1019" t="e">
        <f t="shared" si="6"/>
        <v>#REF!</v>
      </c>
      <c r="P85" s="845">
        <v>40483</v>
      </c>
      <c r="Q85" s="846">
        <v>40544</v>
      </c>
    </row>
    <row r="86" spans="2:17" ht="11.25" customHeight="1">
      <c r="B86" s="822" t="str">
        <f t="shared" si="4"/>
        <v>VAL. 10</v>
      </c>
      <c r="C86" s="823" t="e">
        <f t="shared" si="4"/>
        <v>#REF!</v>
      </c>
      <c r="D86" s="824" t="e">
        <f>+'Cemento Port I IU 21'!D432</f>
        <v>#REF!</v>
      </c>
      <c r="E86" s="849">
        <f t="shared" si="5"/>
        <v>584812.27</v>
      </c>
      <c r="F86" s="841">
        <f t="shared" si="7"/>
        <v>7.0999999999999994E-2</v>
      </c>
      <c r="G86" s="842">
        <f t="shared" si="8"/>
        <v>9.8589999999999997E-2</v>
      </c>
      <c r="H86" s="843" t="e">
        <f t="shared" si="9"/>
        <v>#REF!</v>
      </c>
      <c r="I86" s="744" t="e">
        <f t="shared" si="10"/>
        <v>#REF!</v>
      </c>
      <c r="J86" s="847" t="e">
        <f t="shared" si="11"/>
        <v>#REF!</v>
      </c>
      <c r="K86" s="849" t="e">
        <f t="shared" si="12"/>
        <v>#REF!</v>
      </c>
      <c r="L86" s="852" t="e">
        <f t="shared" si="13"/>
        <v>#REF!</v>
      </c>
      <c r="M86" s="744" t="e">
        <f>+K!#REF!</f>
        <v>#REF!</v>
      </c>
      <c r="N86" s="1019" t="e">
        <f t="shared" si="6"/>
        <v>#REF!</v>
      </c>
      <c r="P86" s="845">
        <v>40513</v>
      </c>
      <c r="Q86" s="846">
        <v>40575</v>
      </c>
    </row>
    <row r="87" spans="2:17" ht="11.25" customHeight="1">
      <c r="B87" s="822" t="str">
        <f t="shared" si="4"/>
        <v>VAL. 11</v>
      </c>
      <c r="C87" s="823" t="e">
        <f t="shared" si="4"/>
        <v>#REF!</v>
      </c>
      <c r="D87" s="824" t="e">
        <f>+'Cemento Port I IU 21'!D433</f>
        <v>#REF!</v>
      </c>
      <c r="E87" s="849">
        <f t="shared" si="5"/>
        <v>584812.27</v>
      </c>
      <c r="F87" s="841">
        <f t="shared" si="7"/>
        <v>7.0999999999999994E-2</v>
      </c>
      <c r="G87" s="842">
        <f t="shared" si="8"/>
        <v>9.8589999999999997E-2</v>
      </c>
      <c r="H87" s="843" t="e">
        <f t="shared" si="9"/>
        <v>#REF!</v>
      </c>
      <c r="I87" s="744" t="e">
        <f>+IF(D$13&gt;C87,0,IF(ROUND(D87*F87*G87,2)&gt;J86,J86,ROUND(D87*F87*G87,2)))</f>
        <v>#REF!</v>
      </c>
      <c r="J87" s="847" t="e">
        <f t="shared" si="11"/>
        <v>#REF!</v>
      </c>
      <c r="K87" s="849" t="e">
        <f t="shared" si="12"/>
        <v>#REF!</v>
      </c>
      <c r="L87" s="852" t="e">
        <f t="shared" si="13"/>
        <v>#REF!</v>
      </c>
      <c r="M87" s="744" t="e">
        <f>+K!#REF!</f>
        <v>#REF!</v>
      </c>
      <c r="N87" s="1019" t="e">
        <f t="shared" si="6"/>
        <v>#REF!</v>
      </c>
      <c r="P87" s="845">
        <v>40544</v>
      </c>
      <c r="Q87" s="846">
        <v>40603</v>
      </c>
    </row>
    <row r="88" spans="2:17" ht="11.25" customHeight="1">
      <c r="B88" s="822" t="str">
        <f t="shared" si="4"/>
        <v>VAL. 12</v>
      </c>
      <c r="C88" s="823" t="e">
        <f t="shared" si="4"/>
        <v>#REF!</v>
      </c>
      <c r="D88" s="824" t="e">
        <f>+'Cemento Port I IU 21'!D434</f>
        <v>#REF!</v>
      </c>
      <c r="E88" s="849">
        <f t="shared" si="5"/>
        <v>578724.72</v>
      </c>
      <c r="F88" s="841">
        <f t="shared" si="7"/>
        <v>7.0999999999999994E-2</v>
      </c>
      <c r="G88" s="842">
        <f t="shared" si="8"/>
        <v>9.8589999999999997E-2</v>
      </c>
      <c r="H88" s="849" t="e">
        <f t="shared" si="9"/>
        <v>#REF!</v>
      </c>
      <c r="I88" s="744" t="e">
        <f t="shared" si="10"/>
        <v>#REF!</v>
      </c>
      <c r="J88" s="847" t="e">
        <f t="shared" si="11"/>
        <v>#REF!</v>
      </c>
      <c r="K88" s="849" t="e">
        <f t="shared" si="12"/>
        <v>#REF!</v>
      </c>
      <c r="L88" s="852" t="e">
        <f t="shared" si="13"/>
        <v>#REF!</v>
      </c>
      <c r="M88" s="744" t="e">
        <f>+K!#REF!</f>
        <v>#REF!</v>
      </c>
      <c r="N88" s="1019" t="e">
        <f t="shared" si="6"/>
        <v>#REF!</v>
      </c>
      <c r="P88" s="845">
        <v>40575</v>
      </c>
      <c r="Q88" s="846">
        <v>40634</v>
      </c>
    </row>
    <row r="89" spans="2:17" ht="11.25" customHeight="1">
      <c r="B89" s="822" t="str">
        <f t="shared" si="4"/>
        <v>VAL. 13</v>
      </c>
      <c r="C89" s="823" t="e">
        <f t="shared" si="4"/>
        <v>#REF!</v>
      </c>
      <c r="D89" s="824" t="e">
        <f>+'Cemento Port I IU 21'!D435</f>
        <v>#REF!</v>
      </c>
      <c r="E89" s="849">
        <f t="shared" si="5"/>
        <v>512073.27999999997</v>
      </c>
      <c r="F89" s="841">
        <f t="shared" si="7"/>
        <v>7.0999999999999994E-2</v>
      </c>
      <c r="G89" s="842">
        <f t="shared" si="8"/>
        <v>9.8589999999999997E-2</v>
      </c>
      <c r="H89" s="849" t="e">
        <f t="shared" si="9"/>
        <v>#REF!</v>
      </c>
      <c r="I89" s="744" t="e">
        <f t="shared" si="10"/>
        <v>#REF!</v>
      </c>
      <c r="J89" s="847" t="e">
        <f t="shared" si="11"/>
        <v>#REF!</v>
      </c>
      <c r="K89" s="849" t="e">
        <f t="shared" si="12"/>
        <v>#REF!</v>
      </c>
      <c r="L89" s="852" t="e">
        <f t="shared" si="13"/>
        <v>#REF!</v>
      </c>
      <c r="M89" s="744" t="e">
        <f>+K!#REF!</f>
        <v>#REF!</v>
      </c>
      <c r="N89" s="1019" t="e">
        <f t="shared" si="6"/>
        <v>#REF!</v>
      </c>
      <c r="P89" s="845">
        <v>40603</v>
      </c>
      <c r="Q89" s="846">
        <v>40664</v>
      </c>
    </row>
    <row r="90" spans="2:17" ht="11.25" customHeight="1">
      <c r="B90" s="822" t="str">
        <f t="shared" si="4"/>
        <v>VAL. 14</v>
      </c>
      <c r="C90" s="823" t="e">
        <f t="shared" si="4"/>
        <v>#REF!</v>
      </c>
      <c r="D90" s="824" t="e">
        <f>+'Cemento Port I IU 21'!D436</f>
        <v>#REF!</v>
      </c>
      <c r="E90" s="849">
        <f t="shared" si="5"/>
        <v>443389.86</v>
      </c>
      <c r="F90" s="841">
        <f t="shared" si="7"/>
        <v>7.0999999999999994E-2</v>
      </c>
      <c r="G90" s="842">
        <f t="shared" si="8"/>
        <v>9.8589999999999997E-2</v>
      </c>
      <c r="H90" s="849" t="e">
        <f t="shared" si="9"/>
        <v>#REF!</v>
      </c>
      <c r="I90" s="744" t="e">
        <f t="shared" si="10"/>
        <v>#REF!</v>
      </c>
      <c r="J90" s="847" t="e">
        <f t="shared" ref="J90:J95" si="14">+J89-I90</f>
        <v>#REF!</v>
      </c>
      <c r="K90" s="849" t="e">
        <f t="shared" si="12"/>
        <v>#REF!</v>
      </c>
      <c r="L90" s="852" t="e">
        <f t="shared" si="13"/>
        <v>#REF!</v>
      </c>
      <c r="M90" s="744" t="e">
        <f>+K!#REF!</f>
        <v>#REF!</v>
      </c>
      <c r="N90" s="1019" t="e">
        <f t="shared" si="6"/>
        <v>#REF!</v>
      </c>
      <c r="P90" s="845">
        <v>40634</v>
      </c>
      <c r="Q90" s="846">
        <v>40695</v>
      </c>
    </row>
    <row r="91" spans="2:17" ht="11.25" customHeight="1">
      <c r="B91" s="822" t="str">
        <f t="shared" si="4"/>
        <v>VAL. 15</v>
      </c>
      <c r="C91" s="823" t="e">
        <f t="shared" si="4"/>
        <v>#REF!</v>
      </c>
      <c r="D91" s="824" t="e">
        <f>+'Cemento Port I IU 21'!D437</f>
        <v>#REF!</v>
      </c>
      <c r="E91" s="849">
        <f t="shared" si="5"/>
        <v>250190.37999999998</v>
      </c>
      <c r="F91" s="841">
        <f t="shared" si="7"/>
        <v>7.0999999999999994E-2</v>
      </c>
      <c r="G91" s="842">
        <f t="shared" si="8"/>
        <v>9.8589999999999997E-2</v>
      </c>
      <c r="H91" s="849" t="e">
        <f t="shared" si="9"/>
        <v>#REF!</v>
      </c>
      <c r="I91" s="744" t="e">
        <f t="shared" si="10"/>
        <v>#REF!</v>
      </c>
      <c r="J91" s="847" t="e">
        <f t="shared" si="14"/>
        <v>#REF!</v>
      </c>
      <c r="K91" s="849" t="e">
        <f t="shared" si="12"/>
        <v>#REF!</v>
      </c>
      <c r="L91" s="852" t="e">
        <f t="shared" si="13"/>
        <v>#REF!</v>
      </c>
      <c r="M91" s="744" t="e">
        <f>+K!#REF!</f>
        <v>#REF!</v>
      </c>
      <c r="N91" s="1019" t="e">
        <f t="shared" si="6"/>
        <v>#REF!</v>
      </c>
      <c r="P91" s="845">
        <v>40664</v>
      </c>
      <c r="Q91" s="846">
        <v>40725</v>
      </c>
    </row>
    <row r="92" spans="2:17" ht="11.25" customHeight="1">
      <c r="B92" s="822" t="str">
        <f t="shared" si="4"/>
        <v>VAL. 16</v>
      </c>
      <c r="C92" s="823" t="e">
        <f t="shared" si="4"/>
        <v>#REF!</v>
      </c>
      <c r="D92" s="824" t="e">
        <f>+'Cemento Port I IU 21'!D438</f>
        <v>#REF!</v>
      </c>
      <c r="E92" s="849" t="e">
        <f t="shared" si="5"/>
        <v>#REF!</v>
      </c>
      <c r="F92" s="841">
        <f t="shared" si="7"/>
        <v>7.0999999999999994E-2</v>
      </c>
      <c r="G92" s="842">
        <f t="shared" si="8"/>
        <v>9.8589999999999997E-2</v>
      </c>
      <c r="H92" s="849" t="e">
        <f t="shared" si="9"/>
        <v>#REF!</v>
      </c>
      <c r="I92" s="744" t="e">
        <f t="shared" si="10"/>
        <v>#REF!</v>
      </c>
      <c r="J92" s="847" t="e">
        <f t="shared" si="14"/>
        <v>#REF!</v>
      </c>
      <c r="K92" s="849" t="e">
        <f t="shared" si="12"/>
        <v>#REF!</v>
      </c>
      <c r="L92" s="852" t="e">
        <f t="shared" si="13"/>
        <v>#REF!</v>
      </c>
      <c r="M92" s="972" t="e">
        <f>+K!#REF!</f>
        <v>#REF!</v>
      </c>
      <c r="N92" s="1019" t="e">
        <f>+ROUND(I92*(M92-L92)/K92,2)</f>
        <v>#REF!</v>
      </c>
      <c r="P92" s="845">
        <v>40695</v>
      </c>
      <c r="Q92" s="846">
        <v>40756</v>
      </c>
    </row>
    <row r="93" spans="2:17" ht="11.25" customHeight="1">
      <c r="B93" s="822" t="str">
        <f t="shared" si="4"/>
        <v>VAL. 17</v>
      </c>
      <c r="C93" s="823" t="e">
        <f t="shared" si="4"/>
        <v>#REF!</v>
      </c>
      <c r="D93" s="824" t="e">
        <f>+'Cemento Port I IU 21'!D439</f>
        <v>#REF!</v>
      </c>
      <c r="E93" s="849" t="e">
        <f t="shared" si="5"/>
        <v>#REF!</v>
      </c>
      <c r="F93" s="841">
        <f t="shared" si="7"/>
        <v>7.0999999999999994E-2</v>
      </c>
      <c r="G93" s="842">
        <f t="shared" si="8"/>
        <v>9.8589999999999997E-2</v>
      </c>
      <c r="H93" s="849" t="e">
        <f t="shared" si="9"/>
        <v>#REF!</v>
      </c>
      <c r="I93" s="744" t="e">
        <f t="shared" si="10"/>
        <v>#REF!</v>
      </c>
      <c r="J93" s="847" t="e">
        <f t="shared" si="14"/>
        <v>#REF!</v>
      </c>
      <c r="K93" s="849" t="e">
        <f t="shared" si="12"/>
        <v>#REF!</v>
      </c>
      <c r="L93" s="852" t="e">
        <f t="shared" si="13"/>
        <v>#REF!</v>
      </c>
      <c r="M93" s="849"/>
      <c r="N93" s="1019" t="e">
        <f t="shared" si="6"/>
        <v>#REF!</v>
      </c>
      <c r="P93" s="845">
        <v>40725</v>
      </c>
      <c r="Q93" s="846">
        <v>40787</v>
      </c>
    </row>
    <row r="94" spans="2:17" ht="11.25" customHeight="1">
      <c r="B94" s="822" t="str">
        <f t="shared" si="4"/>
        <v>VAL. 18</v>
      </c>
      <c r="C94" s="823" t="e">
        <f t="shared" si="4"/>
        <v>#REF!</v>
      </c>
      <c r="D94" s="824" t="e">
        <f>+'Cemento Port I IU 21'!D440</f>
        <v>#REF!</v>
      </c>
      <c r="E94" s="849" t="e">
        <f t="shared" si="5"/>
        <v>#REF!</v>
      </c>
      <c r="F94" s="841">
        <f t="shared" si="7"/>
        <v>7.0999999999999994E-2</v>
      </c>
      <c r="G94" s="842">
        <f t="shared" si="8"/>
        <v>9.8589999999999997E-2</v>
      </c>
      <c r="H94" s="849" t="e">
        <f t="shared" si="9"/>
        <v>#REF!</v>
      </c>
      <c r="I94" s="744" t="e">
        <f t="shared" si="10"/>
        <v>#REF!</v>
      </c>
      <c r="J94" s="847" t="e">
        <f t="shared" si="14"/>
        <v>#REF!</v>
      </c>
      <c r="K94" s="849" t="e">
        <f t="shared" si="12"/>
        <v>#REF!</v>
      </c>
      <c r="L94" s="852" t="e">
        <f t="shared" si="13"/>
        <v>#REF!</v>
      </c>
      <c r="M94" s="849"/>
      <c r="N94" s="1019" t="e">
        <f t="shared" si="6"/>
        <v>#REF!</v>
      </c>
      <c r="P94" s="845">
        <v>40756</v>
      </c>
      <c r="Q94" s="846">
        <v>40817</v>
      </c>
    </row>
    <row r="95" spans="2:17" ht="11.25" customHeight="1">
      <c r="B95" s="822">
        <f t="shared" si="4"/>
        <v>0</v>
      </c>
      <c r="C95" s="823">
        <f t="shared" si="4"/>
        <v>0</v>
      </c>
      <c r="D95" s="824">
        <f>+'Cemento Port I IU 21'!D441</f>
        <v>0</v>
      </c>
      <c r="E95" s="849">
        <f t="shared" si="5"/>
        <v>0</v>
      </c>
      <c r="F95" s="841">
        <f t="shared" si="7"/>
        <v>7.0999999999999994E-2</v>
      </c>
      <c r="G95" s="842">
        <f t="shared" si="8"/>
        <v>9.8589999999999997E-2</v>
      </c>
      <c r="H95" s="849" t="e">
        <f t="shared" si="9"/>
        <v>#REF!</v>
      </c>
      <c r="I95" s="744" t="e">
        <f t="shared" si="10"/>
        <v>#REF!</v>
      </c>
      <c r="J95" s="847" t="e">
        <f t="shared" si="14"/>
        <v>#REF!</v>
      </c>
      <c r="K95" s="849" t="e">
        <f t="shared" si="12"/>
        <v>#REF!</v>
      </c>
      <c r="L95" s="852" t="e">
        <f t="shared" si="13"/>
        <v>#REF!</v>
      </c>
      <c r="M95" s="849"/>
      <c r="N95" s="1019" t="e">
        <f t="shared" si="6"/>
        <v>#REF!</v>
      </c>
      <c r="P95" s="845">
        <v>40756</v>
      </c>
      <c r="Q95" s="846">
        <v>40817</v>
      </c>
    </row>
    <row r="96" spans="2:17" ht="11.25" customHeight="1">
      <c r="B96" s="858"/>
      <c r="C96" s="859"/>
      <c r="D96" s="860"/>
      <c r="E96" s="860"/>
      <c r="F96" s="861"/>
      <c r="G96" s="862"/>
      <c r="H96" s="860"/>
      <c r="I96" s="860"/>
      <c r="J96" s="828"/>
      <c r="K96" s="860"/>
      <c r="L96" s="830"/>
      <c r="M96" s="860"/>
      <c r="N96" s="863"/>
      <c r="P96" s="864"/>
      <c r="Q96" s="865"/>
    </row>
    <row r="97" spans="2:15" ht="11.25" customHeight="1">
      <c r="B97" s="774"/>
      <c r="C97" s="715"/>
      <c r="D97" s="866"/>
      <c r="E97" s="867"/>
      <c r="F97" s="868"/>
      <c r="G97" s="869"/>
      <c r="H97" s="869"/>
      <c r="I97" s="870" t="e">
        <f>SUM(I77:I96)</f>
        <v>#REF!</v>
      </c>
      <c r="J97" s="871"/>
      <c r="K97" s="869"/>
      <c r="L97" s="727"/>
      <c r="M97" s="727"/>
      <c r="N97" s="1020"/>
    </row>
    <row r="98" spans="2:15" ht="11.25" customHeight="1">
      <c r="L98" s="873" t="s">
        <v>274</v>
      </c>
      <c r="M98" s="874"/>
      <c r="N98" s="1021" t="e">
        <f>SUM(N77:N96)</f>
        <v>#REF!</v>
      </c>
      <c r="O98" s="751"/>
    </row>
    <row r="99" spans="2:15" ht="11.25" customHeight="1">
      <c r="I99" s="751"/>
      <c r="L99" s="876" t="s">
        <v>287</v>
      </c>
      <c r="M99" s="877"/>
      <c r="N99" s="1019">
        <v>66133.789999999994</v>
      </c>
    </row>
    <row r="100" spans="2:15" ht="11.25" customHeight="1">
      <c r="L100" s="879" t="s">
        <v>288</v>
      </c>
      <c r="M100" s="880"/>
      <c r="N100" s="1022" t="e">
        <f>N98-N99</f>
        <v>#REF!</v>
      </c>
      <c r="O100" s="751"/>
    </row>
  </sheetData>
  <mergeCells count="31">
    <mergeCell ref="P75:Q75"/>
    <mergeCell ref="N75:N76"/>
    <mergeCell ref="E75:E76"/>
    <mergeCell ref="F75:G75"/>
    <mergeCell ref="H75:J75"/>
    <mergeCell ref="K75:M75"/>
    <mergeCell ref="U21:W21"/>
    <mergeCell ref="G47:I47"/>
    <mergeCell ref="D46:I46"/>
    <mergeCell ref="F35:G35"/>
    <mergeCell ref="Q21:S21"/>
    <mergeCell ref="Q27:S27"/>
    <mergeCell ref="F37:G37"/>
    <mergeCell ref="B32:O32"/>
    <mergeCell ref="I21:J21"/>
    <mergeCell ref="N21:O21"/>
    <mergeCell ref="B46:C48"/>
    <mergeCell ref="F36:G36"/>
    <mergeCell ref="D47:F47"/>
    <mergeCell ref="B75:C76"/>
    <mergeCell ref="D75:D76"/>
    <mergeCell ref="B9:O9"/>
    <mergeCell ref="B10:O10"/>
    <mergeCell ref="E21:F21"/>
    <mergeCell ref="K21:K22"/>
    <mergeCell ref="B11:O11"/>
    <mergeCell ref="D21:D22"/>
    <mergeCell ref="B21:B22"/>
    <mergeCell ref="C21:C22"/>
    <mergeCell ref="L21:M21"/>
    <mergeCell ref="G21:H21"/>
  </mergeCells>
  <phoneticPr fontId="0" type="noConversion"/>
  <printOptions horizontalCentered="1"/>
  <pageMargins left="0.19685039370078741" right="0.19685039370078741" top="0.59055118110236227" bottom="0.86" header="0" footer="0"/>
  <pageSetup paperSize="9" scale="70" fitToHeight="2" orientation="landscape" verticalDpi="300" r:id="rId1"/>
  <headerFooter alignWithMargins="0"/>
  <rowBreaks count="2" manualBreakCount="2">
    <brk id="31" max="16383" man="1"/>
    <brk id="71" min="1" max="14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8">
    <tabColor indexed="10"/>
  </sheetPr>
  <dimension ref="B1:W100"/>
  <sheetViews>
    <sheetView showGridLines="0" view="pageBreakPreview" topLeftCell="A88" zoomScaleNormal="100" workbookViewId="0">
      <selection activeCell="A88" sqref="A88"/>
    </sheetView>
  </sheetViews>
  <sheetFormatPr baseColWidth="10" defaultColWidth="11.42578125" defaultRowHeight="11.25" customHeight="1"/>
  <cols>
    <col min="1" max="1" width="1.85546875" style="698" bestFit="1" customWidth="1"/>
    <col min="2" max="2" width="13.85546875" style="698" customWidth="1"/>
    <col min="3" max="3" width="50.85546875" style="698" customWidth="1"/>
    <col min="4" max="4" width="12.7109375" style="698" customWidth="1"/>
    <col min="5" max="5" width="11.7109375" style="698" customWidth="1"/>
    <col min="6" max="6" width="11" style="698" customWidth="1"/>
    <col min="7" max="10" width="10.7109375" style="698" customWidth="1"/>
    <col min="11" max="11" width="8.7109375" style="698" customWidth="1"/>
    <col min="12" max="12" width="11" style="698" customWidth="1"/>
    <col min="13" max="13" width="10.140625" style="698" customWidth="1"/>
    <col min="14" max="14" width="11.42578125" style="698"/>
    <col min="15" max="15" width="11.7109375" style="698" customWidth="1"/>
    <col min="16" max="16" width="9.7109375" style="698" customWidth="1"/>
    <col min="17" max="17" width="9" style="698" bestFit="1" customWidth="1"/>
    <col min="18" max="18" width="11" style="698" bestFit="1" customWidth="1"/>
    <col min="19" max="19" width="10" style="698" bestFit="1" customWidth="1"/>
    <col min="20" max="16384" width="11.42578125" style="698"/>
  </cols>
  <sheetData>
    <row r="1" spans="2:18" ht="11.25" customHeight="1">
      <c r="B1" s="698" t="s">
        <v>1816</v>
      </c>
      <c r="C1" s="698" t="s">
        <v>1817</v>
      </c>
      <c r="D1" s="699"/>
      <c r="E1" s="699"/>
      <c r="I1" s="700"/>
      <c r="J1" s="700"/>
      <c r="K1" s="700"/>
      <c r="L1" s="700"/>
    </row>
    <row r="2" spans="2:18" s="699" customFormat="1" ht="11.25" customHeight="1">
      <c r="B2" s="698" t="s">
        <v>1818</v>
      </c>
      <c r="C2" s="698" t="s">
        <v>1819</v>
      </c>
      <c r="I2" s="700"/>
      <c r="J2" s="700"/>
      <c r="K2" s="700"/>
      <c r="L2" s="700"/>
    </row>
    <row r="3" spans="2:18" s="699" customFormat="1" ht="11.25" customHeight="1">
      <c r="B3" s="698" t="s">
        <v>1820</v>
      </c>
      <c r="C3" s="698" t="s">
        <v>1821</v>
      </c>
      <c r="I3" s="700"/>
      <c r="J3" s="700"/>
      <c r="K3" s="700"/>
      <c r="L3" s="700"/>
    </row>
    <row r="4" spans="2:18" s="699" customFormat="1" ht="11.25" customHeight="1">
      <c r="B4" s="698"/>
      <c r="C4" s="698" t="s">
        <v>1822</v>
      </c>
      <c r="I4" s="700"/>
      <c r="J4" s="700"/>
      <c r="K4" s="700"/>
      <c r="L4" s="700"/>
    </row>
    <row r="5" spans="2:18" s="699" customFormat="1" ht="11.25" customHeight="1">
      <c r="B5" s="698" t="s">
        <v>1823</v>
      </c>
      <c r="C5" s="698" t="s">
        <v>1824</v>
      </c>
      <c r="I5" s="700"/>
      <c r="J5" s="700"/>
      <c r="K5" s="700"/>
      <c r="L5" s="700"/>
    </row>
    <row r="6" spans="2:18" s="699" customFormat="1" ht="11.25" customHeight="1">
      <c r="B6" s="698" t="s">
        <v>1825</v>
      </c>
      <c r="C6" s="701">
        <v>40451</v>
      </c>
      <c r="D6" s="3"/>
      <c r="E6" s="3"/>
      <c r="I6" s="700"/>
      <c r="J6" s="700"/>
      <c r="K6" s="700"/>
      <c r="L6" s="700"/>
    </row>
    <row r="9" spans="2:18" ht="18">
      <c r="B9" s="1687" t="str">
        <f>+'Asfalto IU 13'!B9:O9</f>
        <v>A M O R T I Z A C I O N     D E L     A D E L A N T O     P A R A     M A T E R I A L E S     Nº  02</v>
      </c>
      <c r="C9" s="1687"/>
      <c r="D9" s="1687"/>
      <c r="E9" s="1687"/>
      <c r="F9" s="1687"/>
      <c r="G9" s="1687"/>
      <c r="H9" s="1687"/>
      <c r="I9" s="1687"/>
      <c r="J9" s="1687"/>
      <c r="K9" s="1687"/>
      <c r="L9" s="1687"/>
      <c r="M9" s="1687"/>
      <c r="N9" s="1687"/>
      <c r="O9" s="1687"/>
      <c r="P9" s="700"/>
      <c r="Q9" s="700"/>
      <c r="R9" s="700"/>
    </row>
    <row r="10" spans="2:18" ht="18">
      <c r="B10" s="1687" t="str">
        <f>+'Cemento Port I IU 21'!B8:O8</f>
        <v>VALORIZACION Nº 4 - MES DE DICIEMBRE 2021</v>
      </c>
      <c r="C10" s="1687"/>
      <c r="D10" s="1687"/>
      <c r="E10" s="1687"/>
      <c r="F10" s="1687"/>
      <c r="G10" s="1687"/>
      <c r="H10" s="1687"/>
      <c r="I10" s="1687"/>
      <c r="J10" s="1687"/>
      <c r="K10" s="1687"/>
      <c r="L10" s="1687"/>
      <c r="M10" s="1687"/>
      <c r="N10" s="1687"/>
      <c r="O10" s="1687"/>
      <c r="P10" s="700"/>
      <c r="Q10" s="700"/>
      <c r="R10" s="700"/>
    </row>
    <row r="11" spans="2:18" ht="15">
      <c r="B11" s="1707" t="s">
        <v>617</v>
      </c>
      <c r="C11" s="1707"/>
      <c r="D11" s="1707"/>
      <c r="E11" s="1707"/>
      <c r="F11" s="1707"/>
      <c r="G11" s="1707"/>
      <c r="H11" s="1707"/>
      <c r="I11" s="1707"/>
      <c r="J11" s="1707"/>
      <c r="K11" s="1707"/>
      <c r="L11" s="1707"/>
      <c r="M11" s="1707"/>
      <c r="N11" s="1707"/>
      <c r="O11" s="1707"/>
    </row>
    <row r="12" spans="2:18" ht="11.25" customHeight="1">
      <c r="B12" s="698" t="s">
        <v>997</v>
      </c>
      <c r="D12" s="702">
        <v>5196212.3099999996</v>
      </c>
      <c r="E12" s="698" t="s">
        <v>178</v>
      </c>
      <c r="I12" s="699" t="s">
        <v>179</v>
      </c>
      <c r="K12" s="699" t="s">
        <v>180</v>
      </c>
      <c r="M12" s="699"/>
    </row>
    <row r="13" spans="2:18" ht="11.25" customHeight="1">
      <c r="B13" s="698" t="s">
        <v>181</v>
      </c>
      <c r="D13" s="703" t="e">
        <f>+'Asfalto IU 13'!D13</f>
        <v>#REF!</v>
      </c>
      <c r="E13" s="704"/>
      <c r="I13" s="698" t="s">
        <v>182</v>
      </c>
    </row>
    <row r="14" spans="2:18" ht="11.25" customHeight="1">
      <c r="B14" s="699" t="s">
        <v>183</v>
      </c>
      <c r="C14" s="699" t="s">
        <v>36</v>
      </c>
      <c r="E14" s="705"/>
      <c r="F14" s="706"/>
      <c r="I14" s="707" t="s">
        <v>185</v>
      </c>
      <c r="K14" s="698" t="s">
        <v>186</v>
      </c>
    </row>
    <row r="15" spans="2:18" ht="11.25" customHeight="1">
      <c r="B15" s="699" t="s">
        <v>187</v>
      </c>
      <c r="C15" s="708" t="s">
        <v>998</v>
      </c>
      <c r="E15" s="705"/>
      <c r="F15" s="706"/>
      <c r="I15" s="707" t="s">
        <v>188</v>
      </c>
      <c r="K15" s="698" t="s">
        <v>189</v>
      </c>
    </row>
    <row r="16" spans="2:18" ht="11.25" customHeight="1">
      <c r="B16" s="698" t="s">
        <v>190</v>
      </c>
      <c r="D16" s="709" t="str">
        <f>+K!K16</f>
        <v>707.99</v>
      </c>
      <c r="I16" s="707" t="s">
        <v>191</v>
      </c>
      <c r="K16" s="698" t="s">
        <v>192</v>
      </c>
    </row>
    <row r="17" spans="2:23" ht="11.25" customHeight="1">
      <c r="B17" s="698" t="s">
        <v>990</v>
      </c>
      <c r="D17" s="709" t="e">
        <f>+K!#REF!</f>
        <v>#REF!</v>
      </c>
      <c r="E17" s="1008">
        <f>+'Asfalto IU 13'!E17</f>
        <v>0</v>
      </c>
      <c r="I17" s="707" t="s">
        <v>193</v>
      </c>
      <c r="K17" s="698" t="s">
        <v>194</v>
      </c>
    </row>
    <row r="18" spans="2:23" ht="11.25" customHeight="1">
      <c r="I18" s="711" t="s">
        <v>195</v>
      </c>
      <c r="J18" s="712"/>
      <c r="K18" s="712" t="s">
        <v>196</v>
      </c>
      <c r="L18" s="712"/>
      <c r="M18" s="713">
        <v>1</v>
      </c>
      <c r="N18" s="714"/>
    </row>
    <row r="19" spans="2:23" ht="11.25" customHeight="1">
      <c r="B19" s="39" t="str">
        <f>+'Asfalto IU 13'!B19</f>
        <v>1.- CALCULO DE LA AMORTIZACION CON EL AVANCE DE LA VALORIZACION Nº 09 (MAR 21)</v>
      </c>
      <c r="K19" s="698" t="s">
        <v>197</v>
      </c>
    </row>
    <row r="20" spans="2:23" ht="11.25" customHeight="1">
      <c r="B20" s="715"/>
      <c r="C20" s="715"/>
      <c r="D20" s="715"/>
      <c r="E20" s="715"/>
      <c r="F20" s="715"/>
      <c r="G20" s="715"/>
      <c r="H20" s="715"/>
      <c r="I20" s="715"/>
      <c r="J20" s="715"/>
      <c r="K20" s="715"/>
      <c r="L20" s="715"/>
      <c r="M20" s="715"/>
      <c r="N20" s="715"/>
      <c r="O20" s="715"/>
    </row>
    <row r="21" spans="2:23" ht="11.25" customHeight="1">
      <c r="B21" s="1714" t="s">
        <v>198</v>
      </c>
      <c r="C21" s="1714" t="s">
        <v>199</v>
      </c>
      <c r="D21" s="1716" t="s">
        <v>601</v>
      </c>
      <c r="E21" s="1712" t="s">
        <v>200</v>
      </c>
      <c r="F21" s="1713"/>
      <c r="G21" s="1712" t="s">
        <v>201</v>
      </c>
      <c r="H21" s="1713"/>
      <c r="I21" s="1712" t="s">
        <v>202</v>
      </c>
      <c r="J21" s="1713"/>
      <c r="K21" s="1714" t="s">
        <v>203</v>
      </c>
      <c r="L21" s="1712" t="s">
        <v>204</v>
      </c>
      <c r="M21" s="1713"/>
      <c r="N21" s="1712" t="s">
        <v>423</v>
      </c>
      <c r="O21" s="1713"/>
      <c r="P21" s="700"/>
      <c r="Q21" s="1695" t="s">
        <v>205</v>
      </c>
      <c r="R21" s="1696"/>
      <c r="S21" s="1697"/>
      <c r="T21" s="710"/>
      <c r="U21" s="1695" t="s">
        <v>331</v>
      </c>
      <c r="V21" s="1696"/>
      <c r="W21" s="1697"/>
    </row>
    <row r="22" spans="2:23" ht="21" customHeight="1">
      <c r="B22" s="1715"/>
      <c r="C22" s="1715"/>
      <c r="D22" s="1717"/>
      <c r="E22" s="1011" t="s">
        <v>206</v>
      </c>
      <c r="F22" s="1012" t="s">
        <v>207</v>
      </c>
      <c r="G22" s="1011" t="s">
        <v>452</v>
      </c>
      <c r="H22" s="1012" t="s">
        <v>208</v>
      </c>
      <c r="I22" s="1011" t="s">
        <v>452</v>
      </c>
      <c r="J22" s="1012" t="s">
        <v>208</v>
      </c>
      <c r="K22" s="1715"/>
      <c r="L22" s="1011" t="s">
        <v>467</v>
      </c>
      <c r="M22" s="1012" t="s">
        <v>468</v>
      </c>
      <c r="N22" s="1011" t="s">
        <v>209</v>
      </c>
      <c r="O22" s="1012" t="s">
        <v>210</v>
      </c>
      <c r="Q22" s="954" t="s">
        <v>211</v>
      </c>
      <c r="R22" s="955" t="s">
        <v>394</v>
      </c>
      <c r="S22" s="956" t="s">
        <v>451</v>
      </c>
      <c r="T22" s="710"/>
      <c r="U22" s="954" t="s">
        <v>211</v>
      </c>
      <c r="V22" s="955" t="s">
        <v>394</v>
      </c>
      <c r="W22" s="956" t="s">
        <v>451</v>
      </c>
    </row>
    <row r="23" spans="2:23" ht="11.25" customHeight="1">
      <c r="B23" s="722" t="str">
        <f>+B$14</f>
        <v>Material:</v>
      </c>
      <c r="C23" s="723" t="str">
        <f>+C14</f>
        <v>CEMENTO ASFALTICO</v>
      </c>
      <c r="D23" s="724"/>
      <c r="E23" s="724"/>
      <c r="F23" s="725"/>
      <c r="G23" s="726"/>
      <c r="H23" s="727"/>
      <c r="I23" s="726"/>
      <c r="J23" s="728"/>
      <c r="K23" s="729"/>
      <c r="L23" s="724"/>
      <c r="M23" s="725"/>
      <c r="N23" s="730"/>
      <c r="O23" s="728"/>
      <c r="Q23" s="957"/>
      <c r="R23" s="958"/>
      <c r="S23" s="959"/>
      <c r="T23" s="710"/>
      <c r="U23" s="957"/>
      <c r="V23" s="958"/>
      <c r="W23" s="959"/>
    </row>
    <row r="24" spans="2:23" ht="11.25" customHeight="1">
      <c r="B24" s="722" t="s">
        <v>212</v>
      </c>
      <c r="C24" s="733" t="s">
        <v>999</v>
      </c>
      <c r="D24" s="724"/>
      <c r="E24" s="724"/>
      <c r="F24" s="734"/>
      <c r="G24" s="726"/>
      <c r="H24" s="727"/>
      <c r="I24" s="726"/>
      <c r="J24" s="727"/>
      <c r="K24" s="729"/>
      <c r="L24" s="724"/>
      <c r="M24" s="725"/>
      <c r="N24" s="730"/>
      <c r="O24" s="728"/>
      <c r="Q24" s="960"/>
      <c r="R24" s="961"/>
      <c r="S24" s="959"/>
      <c r="T24" s="710"/>
      <c r="U24" s="960"/>
      <c r="V24" s="961"/>
      <c r="W24" s="963">
        <v>5196212.3099999996</v>
      </c>
    </row>
    <row r="25" spans="2:23" ht="11.25" customHeight="1">
      <c r="B25" s="796" t="s">
        <v>35</v>
      </c>
      <c r="C25" s="1023" t="s">
        <v>36</v>
      </c>
      <c r="D25" s="738" t="s">
        <v>992</v>
      </c>
      <c r="E25" s="739">
        <v>1</v>
      </c>
      <c r="F25" s="740">
        <v>0.27500000000000002</v>
      </c>
      <c r="G25" s="741">
        <v>4594777</v>
      </c>
      <c r="H25" s="742">
        <f>+ROUND(E25*F25*G25,2)</f>
        <v>1263563.68</v>
      </c>
      <c r="I25" s="743">
        <f>LOOKUP(B$25,valoriz!$A$13:$A$242,valoriz!I$13:I$242)</f>
        <v>0</v>
      </c>
      <c r="J25" s="972">
        <v>0</v>
      </c>
      <c r="K25" s="745">
        <v>5.96</v>
      </c>
      <c r="L25" s="746" t="e">
        <f>D$17</f>
        <v>#REF!</v>
      </c>
      <c r="M25" s="747" t="str">
        <f>D$16</f>
        <v>707.99</v>
      </c>
      <c r="N25" s="971">
        <f>+ROUND(J25*K25*M$18,2)+0.01</f>
        <v>0.01</v>
      </c>
      <c r="O25" s="972" t="e">
        <f>+ROUND(J25*K25*L25*M$18/M25,2)+0.01</f>
        <v>#REF!</v>
      </c>
      <c r="Q25" s="1144">
        <v>651732</v>
      </c>
      <c r="R25" s="1145">
        <f>+J25+Q25</f>
        <v>651732</v>
      </c>
      <c r="S25" s="1146">
        <f>+IF((H25-R25)&lt;0,"BAD", H25-R25)</f>
        <v>611831.67999999993</v>
      </c>
      <c r="T25" s="964"/>
      <c r="U25" s="965" t="e">
        <f>+ROUND(Q25*$K25*$L25/$M25,2)</f>
        <v>#REF!</v>
      </c>
      <c r="V25" s="966" t="e">
        <f>+ROUND(R25*$K25*$L25/$M25,2)</f>
        <v>#REF!</v>
      </c>
      <c r="W25" s="1147"/>
    </row>
    <row r="26" spans="2:23" ht="11.25" customHeight="1" thickBot="1">
      <c r="B26" s="762"/>
      <c r="C26" s="1024"/>
      <c r="D26" s="764"/>
      <c r="E26" s="765"/>
      <c r="F26" s="766"/>
      <c r="G26" s="767"/>
      <c r="H26" s="768"/>
      <c r="I26" s="767"/>
      <c r="J26" s="769"/>
      <c r="K26" s="770"/>
      <c r="L26" s="771"/>
      <c r="M26" s="772"/>
      <c r="N26" s="773"/>
      <c r="O26" s="769"/>
      <c r="Q26" s="1057">
        <f>SUM(Q25)</f>
        <v>651732</v>
      </c>
      <c r="R26" s="969">
        <f>SUM(R25)</f>
        <v>651732</v>
      </c>
      <c r="S26" s="970">
        <f>SUM(S25)</f>
        <v>611831.67999999993</v>
      </c>
      <c r="T26" s="964"/>
      <c r="U26" s="1057" t="e">
        <f>SUM(U25)</f>
        <v>#REF!</v>
      </c>
      <c r="V26" s="969" t="e">
        <f>SUM(V25)</f>
        <v>#REF!</v>
      </c>
      <c r="W26" s="1146" t="e">
        <f>+W24-V26</f>
        <v>#REF!</v>
      </c>
    </row>
    <row r="27" spans="2:23" ht="11.25" customHeight="1">
      <c r="B27" s="775"/>
      <c r="C27" s="776"/>
      <c r="D27" s="777"/>
      <c r="E27" s="777"/>
      <c r="F27" s="778"/>
      <c r="G27" s="779"/>
      <c r="H27" s="780">
        <f>SUM(H25:H26)</f>
        <v>1263563.68</v>
      </c>
      <c r="I27" s="779"/>
      <c r="J27" s="780">
        <f>SUM(J25:J26)</f>
        <v>0</v>
      </c>
      <c r="K27" s="781"/>
      <c r="L27" s="777" t="s">
        <v>589</v>
      </c>
      <c r="M27" s="778"/>
      <c r="N27" s="782">
        <f>SUM(N25:N26)</f>
        <v>0.01</v>
      </c>
      <c r="O27" s="783" t="e">
        <f>SUM(O25:O26)</f>
        <v>#REF!</v>
      </c>
      <c r="Q27" s="1698" t="str">
        <f>+IF(SUM(R25:R25)&gt;J28,"Revisar Metrado","OK")</f>
        <v>OK</v>
      </c>
      <c r="R27" s="1699"/>
      <c r="S27" s="1700"/>
      <c r="T27" s="710"/>
      <c r="U27" s="1051" t="e">
        <f>+ROUND(Q26*$K25*$L25/$M25,2)</f>
        <v>#REF!</v>
      </c>
      <c r="V27" s="991" t="e">
        <f>+O25+U27-0.01</f>
        <v>#REF!</v>
      </c>
      <c r="W27" s="1087"/>
    </row>
    <row r="28" spans="2:23" ht="11.25" customHeight="1">
      <c r="B28" s="784"/>
      <c r="C28" s="785"/>
      <c r="G28" s="786"/>
      <c r="H28" s="787" t="s">
        <v>214</v>
      </c>
      <c r="I28" s="788"/>
      <c r="J28" s="899">
        <v>651732</v>
      </c>
      <c r="K28" s="751"/>
    </row>
    <row r="29" spans="2:23" ht="11.25" customHeight="1">
      <c r="B29" s="784"/>
      <c r="C29" s="785"/>
      <c r="J29" s="806" t="s">
        <v>243</v>
      </c>
      <c r="K29" s="807"/>
      <c r="L29" s="807"/>
      <c r="M29" s="807"/>
      <c r="N29" s="808">
        <f>+N27</f>
        <v>0.01</v>
      </c>
      <c r="O29" s="809" t="e">
        <f>+O27</f>
        <v>#REF!</v>
      </c>
      <c r="P29" s="751"/>
      <c r="Q29" s="751"/>
    </row>
    <row r="30" spans="2:23" ht="11.25" customHeight="1">
      <c r="B30" s="784"/>
      <c r="C30" s="785"/>
      <c r="J30" s="810" t="s">
        <v>244</v>
      </c>
      <c r="K30" s="811"/>
      <c r="L30" s="811"/>
      <c r="M30" s="811"/>
      <c r="N30" s="808" t="e">
        <f>+IF(D$13&gt;C54,0,N29)</f>
        <v>#REF!</v>
      </c>
      <c r="O30" s="809" t="e">
        <f>+IF(D$13&gt;C54,0,O29)</f>
        <v>#REF!</v>
      </c>
    </row>
    <row r="31" spans="2:23" ht="11.25" customHeight="1">
      <c r="B31" s="784"/>
      <c r="C31" s="785"/>
      <c r="K31" s="751"/>
    </row>
    <row r="32" spans="2:23" ht="18">
      <c r="B32" s="1687" t="s">
        <v>993</v>
      </c>
      <c r="C32" s="1687"/>
      <c r="D32" s="1687"/>
      <c r="E32" s="1687"/>
      <c r="F32" s="1687"/>
      <c r="G32" s="1687"/>
      <c r="H32" s="1687"/>
      <c r="I32" s="1687"/>
      <c r="J32" s="1687"/>
      <c r="K32" s="1687"/>
      <c r="L32" s="1687"/>
      <c r="M32" s="1687"/>
      <c r="N32" s="1687"/>
      <c r="O32" s="1687"/>
    </row>
    <row r="34" spans="2:15" ht="11.25" customHeight="1">
      <c r="B34" s="699" t="str">
        <f>+B14</f>
        <v>Material:</v>
      </c>
      <c r="C34" s="698" t="str">
        <f>+C14</f>
        <v>CEMENTO ASFALTICO</v>
      </c>
    </row>
    <row r="35" spans="2:15" ht="11.25" customHeight="1">
      <c r="B35" s="699" t="str">
        <f>+B15</f>
        <v>Indice Unificado:</v>
      </c>
      <c r="C35" s="1016" t="str">
        <f>+C15</f>
        <v>20</v>
      </c>
      <c r="D35" s="705" t="s">
        <v>459</v>
      </c>
      <c r="E35" s="706"/>
      <c r="F35" s="1692" t="s">
        <v>451</v>
      </c>
      <c r="G35" s="1692"/>
    </row>
    <row r="36" spans="2:15" ht="11.25" customHeight="1">
      <c r="B36" s="698" t="str">
        <f>+B12</f>
        <v>Monto del Adelanto Especifico para CEMENTO ASFALTICO</v>
      </c>
      <c r="D36" s="702">
        <f>+D12</f>
        <v>5196212.3099999996</v>
      </c>
      <c r="E36" s="706"/>
      <c r="F36" s="1691">
        <f>+D36-I70</f>
        <v>9.9999997764825821E-3</v>
      </c>
      <c r="G36" s="1691"/>
    </row>
    <row r="37" spans="2:15" ht="11.25" customHeight="1">
      <c r="B37" s="698" t="s">
        <v>246</v>
      </c>
      <c r="C37" s="812"/>
      <c r="D37" s="702" t="e">
        <f>ROUND(D36/D40*D39,2)</f>
        <v>#REF!</v>
      </c>
      <c r="E37" s="706"/>
      <c r="F37" s="1691" t="e">
        <f>+D37-F70</f>
        <v>#REF!</v>
      </c>
      <c r="G37" s="1691"/>
    </row>
    <row r="38" spans="2:15" ht="11.25" customHeight="1">
      <c r="B38" s="698" t="str">
        <f>+B13</f>
        <v xml:space="preserve">Fecha de Pago del Adelanto: </v>
      </c>
      <c r="D38" s="703" t="e">
        <f>+D13</f>
        <v>#REF!</v>
      </c>
      <c r="E38" s="706"/>
    </row>
    <row r="39" spans="2:15" ht="11.25" customHeight="1">
      <c r="B39" s="698" t="str">
        <f>+B16</f>
        <v>Indice INEI a la Fecha del P. Base   (Abril 2,009)</v>
      </c>
      <c r="D39" s="709" t="str">
        <f>+D16</f>
        <v>707.99</v>
      </c>
      <c r="E39" s="121"/>
    </row>
    <row r="40" spans="2:15" ht="11.25" customHeight="1">
      <c r="B40" s="698" t="str">
        <f>+B17</f>
        <v>Indice INEI a la Fecha del Pago del Adelanto  (Setiembre 2,010)</v>
      </c>
      <c r="D40" s="709" t="e">
        <f>+D17</f>
        <v>#REF!</v>
      </c>
      <c r="E40" s="709"/>
    </row>
    <row r="41" spans="2:15" ht="11.25" customHeight="1">
      <c r="B41" s="698" t="s">
        <v>247</v>
      </c>
      <c r="D41" s="698">
        <v>6.3E-2</v>
      </c>
    </row>
    <row r="42" spans="2:15" ht="11.25" customHeight="1">
      <c r="B42" s="698" t="s">
        <v>248</v>
      </c>
      <c r="D42" s="813">
        <v>1</v>
      </c>
    </row>
    <row r="44" spans="2:15" ht="11.25" customHeight="1">
      <c r="B44" s="814" t="str">
        <f>+'Asfalto IU 13'!B44</f>
        <v>AMORTIZACION DEL ADELANTO DE MATERIALES Nº 02</v>
      </c>
    </row>
    <row r="46" spans="2:15" ht="11.25" customHeight="1">
      <c r="B46" s="1708" t="s">
        <v>250</v>
      </c>
      <c r="C46" s="1709"/>
      <c r="D46" s="1712" t="s">
        <v>251</v>
      </c>
      <c r="E46" s="1718"/>
      <c r="F46" s="1718"/>
      <c r="G46" s="1718"/>
      <c r="H46" s="1718"/>
      <c r="I46" s="1713"/>
      <c r="L46" s="815"/>
      <c r="M46" s="815"/>
    </row>
    <row r="47" spans="2:15" ht="11.25" customHeight="1">
      <c r="B47" s="1720"/>
      <c r="C47" s="1721"/>
      <c r="D47" s="1712" t="s">
        <v>252</v>
      </c>
      <c r="E47" s="1718"/>
      <c r="F47" s="1713"/>
      <c r="G47" s="1712" t="s">
        <v>253</v>
      </c>
      <c r="H47" s="1718"/>
      <c r="I47" s="1713"/>
    </row>
    <row r="48" spans="2:15" ht="11.25" customHeight="1">
      <c r="B48" s="1710"/>
      <c r="C48" s="1711"/>
      <c r="D48" s="1009" t="s">
        <v>254</v>
      </c>
      <c r="E48" s="1017" t="s">
        <v>451</v>
      </c>
      <c r="F48" s="1010" t="s">
        <v>255</v>
      </c>
      <c r="G48" s="1009" t="s">
        <v>254</v>
      </c>
      <c r="H48" s="1017" t="s">
        <v>451</v>
      </c>
      <c r="I48" s="1010" t="s">
        <v>255</v>
      </c>
      <c r="O48" s="751"/>
    </row>
    <row r="49" spans="2:15" ht="11.25" customHeight="1">
      <c r="B49" s="817" t="str">
        <f>+'Cemento Port I IU 21'!B395</f>
        <v>VAL. 01</v>
      </c>
      <c r="C49" s="818">
        <f>+'Cemento Port I IU 21'!C395</f>
        <v>44500</v>
      </c>
      <c r="D49" s="819" t="e">
        <f>+D37</f>
        <v>#REF!</v>
      </c>
      <c r="E49" s="820" t="e">
        <f t="shared" ref="E49:E67" si="0">+D49-F49</f>
        <v>#REF!</v>
      </c>
      <c r="F49" s="821"/>
      <c r="G49" s="819">
        <f>+D36</f>
        <v>5196212.3099999996</v>
      </c>
      <c r="H49" s="820">
        <f t="shared" ref="H49:H67" si="1">+G49-I49</f>
        <v>5196212.3099999996</v>
      </c>
      <c r="I49" s="821"/>
      <c r="L49" s="751"/>
      <c r="O49" s="751"/>
    </row>
    <row r="50" spans="2:15" ht="11.25" customHeight="1">
      <c r="B50" s="822" t="str">
        <f>+'Cemento Port I IU 21'!B396</f>
        <v>VAL. 02</v>
      </c>
      <c r="C50" s="823">
        <f>+'Cemento Port I IU 21'!C396</f>
        <v>44530</v>
      </c>
      <c r="D50" s="824" t="e">
        <f>+D49</f>
        <v>#REF!</v>
      </c>
      <c r="E50" s="825" t="e">
        <f t="shared" si="0"/>
        <v>#REF!</v>
      </c>
      <c r="F50" s="744"/>
      <c r="G50" s="824">
        <f>+G49</f>
        <v>5196212.3099999996</v>
      </c>
      <c r="H50" s="825">
        <f t="shared" si="1"/>
        <v>5196212.3099999996</v>
      </c>
      <c r="I50" s="744"/>
      <c r="K50" s="751"/>
      <c r="L50" s="751"/>
      <c r="O50" s="751"/>
    </row>
    <row r="51" spans="2:15" ht="11.25" customHeight="1">
      <c r="B51" s="822" t="str">
        <f>+'Cemento Port I IU 21'!B397</f>
        <v>VAL. 03</v>
      </c>
      <c r="C51" s="823">
        <f>+'Cemento Port I IU 21'!C397</f>
        <v>44561</v>
      </c>
      <c r="D51" s="824" t="e">
        <f t="shared" ref="D51:D67" si="2">+E50</f>
        <v>#REF!</v>
      </c>
      <c r="E51" s="825" t="e">
        <f t="shared" si="0"/>
        <v>#REF!</v>
      </c>
      <c r="F51" s="744"/>
      <c r="G51" s="824">
        <f t="shared" ref="G51:G67" si="3">+H50</f>
        <v>5196212.3099999996</v>
      </c>
      <c r="H51" s="825">
        <f t="shared" si="1"/>
        <v>5196212.3099999996</v>
      </c>
      <c r="I51" s="744"/>
      <c r="L51" s="751"/>
      <c r="O51" s="751"/>
    </row>
    <row r="52" spans="2:15" ht="11.25" customHeight="1">
      <c r="B52" s="822" t="str">
        <f>+'Cemento Port I IU 21'!B398</f>
        <v>VAL. 04</v>
      </c>
      <c r="C52" s="823">
        <f>+'Cemento Port I IU 21'!C398</f>
        <v>44592</v>
      </c>
      <c r="D52" s="824" t="e">
        <f t="shared" si="2"/>
        <v>#REF!</v>
      </c>
      <c r="E52" s="825" t="e">
        <f t="shared" si="0"/>
        <v>#REF!</v>
      </c>
      <c r="F52" s="744"/>
      <c r="G52" s="824">
        <f t="shared" si="3"/>
        <v>5196212.3099999996</v>
      </c>
      <c r="H52" s="825">
        <f t="shared" si="1"/>
        <v>5196212.3099999996</v>
      </c>
      <c r="I52" s="744"/>
      <c r="L52" s="751"/>
      <c r="O52" s="751"/>
    </row>
    <row r="53" spans="2:15" ht="11.25" customHeight="1">
      <c r="B53" s="822" t="str">
        <f>+'Cemento Port I IU 21'!B399</f>
        <v>VAL. 05</v>
      </c>
      <c r="C53" s="823">
        <f>+'Cemento Port I IU 21'!C399</f>
        <v>44620</v>
      </c>
      <c r="D53" s="824" t="e">
        <f t="shared" si="2"/>
        <v>#REF!</v>
      </c>
      <c r="E53" s="825" t="e">
        <f t="shared" si="0"/>
        <v>#REF!</v>
      </c>
      <c r="F53" s="744"/>
      <c r="G53" s="824">
        <f t="shared" si="3"/>
        <v>5196212.3099999996</v>
      </c>
      <c r="H53" s="825">
        <f t="shared" si="1"/>
        <v>5196212.3099999996</v>
      </c>
      <c r="I53" s="744"/>
      <c r="L53" s="751"/>
      <c r="O53" s="751"/>
    </row>
    <row r="54" spans="2:15" ht="11.25" customHeight="1">
      <c r="B54" s="822" t="str">
        <f>+'Cemento Port I IU 21'!B400</f>
        <v>VAL. 06</v>
      </c>
      <c r="C54" s="823">
        <f>+'Cemento Port I IU 21'!C400</f>
        <v>0</v>
      </c>
      <c r="D54" s="824" t="e">
        <f t="shared" si="2"/>
        <v>#REF!</v>
      </c>
      <c r="E54" s="825" t="e">
        <f t="shared" si="0"/>
        <v>#REF!</v>
      </c>
      <c r="F54" s="744">
        <v>0</v>
      </c>
      <c r="G54" s="824">
        <f t="shared" si="3"/>
        <v>5196212.3099999996</v>
      </c>
      <c r="H54" s="825">
        <f t="shared" si="1"/>
        <v>5196212.3099999996</v>
      </c>
      <c r="I54" s="744">
        <v>0</v>
      </c>
      <c r="L54" s="751"/>
      <c r="O54" s="751"/>
    </row>
    <row r="55" spans="2:15" ht="11.25" customHeight="1">
      <c r="B55" s="822" t="str">
        <f>+'Cemento Port I IU 21'!B401</f>
        <v>VAL. 07</v>
      </c>
      <c r="C55" s="823" t="e">
        <f>+'Cemento Port I IU 21'!C401</f>
        <v>#REF!</v>
      </c>
      <c r="D55" s="824" t="e">
        <f t="shared" si="2"/>
        <v>#REF!</v>
      </c>
      <c r="E55" s="825" t="e">
        <f t="shared" si="0"/>
        <v>#REF!</v>
      </c>
      <c r="F55" s="744">
        <v>0</v>
      </c>
      <c r="G55" s="824">
        <f t="shared" si="3"/>
        <v>5196212.3099999996</v>
      </c>
      <c r="H55" s="825">
        <f t="shared" si="1"/>
        <v>5196212.3099999996</v>
      </c>
      <c r="I55" s="744">
        <v>0</v>
      </c>
      <c r="L55" s="751"/>
      <c r="O55" s="751"/>
    </row>
    <row r="56" spans="2:15" ht="11.25" customHeight="1">
      <c r="B56" s="822" t="str">
        <f>+'Cemento Port I IU 21'!B402</f>
        <v>VAL. 08</v>
      </c>
      <c r="C56" s="823" t="e">
        <f>+'Cemento Port I IU 21'!C402</f>
        <v>#REF!</v>
      </c>
      <c r="D56" s="824" t="e">
        <f t="shared" si="2"/>
        <v>#REF!</v>
      </c>
      <c r="E56" s="825" t="e">
        <f t="shared" si="0"/>
        <v>#REF!</v>
      </c>
      <c r="F56" s="744">
        <v>1261404.44</v>
      </c>
      <c r="G56" s="824">
        <f t="shared" si="3"/>
        <v>5196212.3099999996</v>
      </c>
      <c r="H56" s="825">
        <f t="shared" si="1"/>
        <v>3508781.6499999994</v>
      </c>
      <c r="I56" s="744">
        <v>1687430.66</v>
      </c>
      <c r="L56" s="751"/>
      <c r="O56" s="751"/>
    </row>
    <row r="57" spans="2:15" ht="11.25" customHeight="1">
      <c r="B57" s="822" t="str">
        <f>+'Cemento Port I IU 21'!B403</f>
        <v>VAL. 09</v>
      </c>
      <c r="C57" s="823" t="e">
        <f>+'Cemento Port I IU 21'!C403</f>
        <v>#REF!</v>
      </c>
      <c r="D57" s="824" t="e">
        <f t="shared" si="2"/>
        <v>#REF!</v>
      </c>
      <c r="E57" s="825" t="e">
        <f t="shared" si="0"/>
        <v>#REF!</v>
      </c>
      <c r="F57" s="744">
        <v>1043256.16</v>
      </c>
      <c r="G57" s="824">
        <f t="shared" si="3"/>
        <v>3508781.6499999994</v>
      </c>
      <c r="H57" s="825">
        <f t="shared" si="1"/>
        <v>2113176.5699999994</v>
      </c>
      <c r="I57" s="744">
        <v>1395605.08</v>
      </c>
      <c r="L57" s="751"/>
      <c r="O57" s="751"/>
    </row>
    <row r="58" spans="2:15" ht="11.25" customHeight="1">
      <c r="B58" s="822" t="str">
        <f>+'Cemento Port I IU 21'!B404</f>
        <v>VAL. 10</v>
      </c>
      <c r="C58" s="823" t="e">
        <f>+'Cemento Port I IU 21'!C404</f>
        <v>#REF!</v>
      </c>
      <c r="D58" s="824" t="e">
        <f t="shared" si="2"/>
        <v>#REF!</v>
      </c>
      <c r="E58" s="825" t="e">
        <f t="shared" si="0"/>
        <v>#REF!</v>
      </c>
      <c r="F58" s="744">
        <v>0</v>
      </c>
      <c r="G58" s="824">
        <f t="shared" si="3"/>
        <v>2113176.5699999994</v>
      </c>
      <c r="H58" s="825">
        <f t="shared" si="1"/>
        <v>2113176.5699999994</v>
      </c>
      <c r="I58" s="744">
        <v>0</v>
      </c>
      <c r="O58" s="751"/>
    </row>
    <row r="59" spans="2:15" ht="11.25" customHeight="1">
      <c r="B59" s="822" t="str">
        <f>+'Cemento Port I IU 21'!B405</f>
        <v>VAL. 11</v>
      </c>
      <c r="C59" s="823" t="e">
        <f>+'Cemento Port I IU 21'!C405</f>
        <v>#REF!</v>
      </c>
      <c r="D59" s="824" t="e">
        <f t="shared" si="2"/>
        <v>#REF!</v>
      </c>
      <c r="E59" s="825" t="e">
        <f t="shared" si="0"/>
        <v>#REF!</v>
      </c>
      <c r="F59" s="744">
        <v>0</v>
      </c>
      <c r="G59" s="824">
        <f t="shared" si="3"/>
        <v>2113176.5699999994</v>
      </c>
      <c r="H59" s="825">
        <f t="shared" si="1"/>
        <v>2113176.5699999994</v>
      </c>
      <c r="I59" s="744">
        <v>0</v>
      </c>
      <c r="O59" s="751"/>
    </row>
    <row r="60" spans="2:15" ht="11.25" customHeight="1">
      <c r="B60" s="822" t="str">
        <f>+'Cemento Port I IU 21'!B406</f>
        <v>VAL. 12</v>
      </c>
      <c r="C60" s="823" t="e">
        <f>+'Cemento Port I IU 21'!C406</f>
        <v>#REF!</v>
      </c>
      <c r="D60" s="824" t="e">
        <f t="shared" si="2"/>
        <v>#REF!</v>
      </c>
      <c r="E60" s="825" t="e">
        <f t="shared" si="0"/>
        <v>#REF!</v>
      </c>
      <c r="F60" s="744">
        <v>0</v>
      </c>
      <c r="G60" s="824">
        <f t="shared" si="3"/>
        <v>2113176.5699999994</v>
      </c>
      <c r="H60" s="825">
        <f t="shared" si="1"/>
        <v>2113176.5699999994</v>
      </c>
      <c r="I60" s="744">
        <v>0</v>
      </c>
      <c r="O60" s="751"/>
    </row>
    <row r="61" spans="2:15" ht="11.25" customHeight="1">
      <c r="B61" s="822" t="str">
        <f>+'Cemento Port I IU 21'!B407</f>
        <v>VAL. 13</v>
      </c>
      <c r="C61" s="823" t="e">
        <f>+'Cemento Port I IU 21'!C407</f>
        <v>#REF!</v>
      </c>
      <c r="D61" s="824" t="e">
        <f t="shared" si="2"/>
        <v>#REF!</v>
      </c>
      <c r="E61" s="825" t="e">
        <f t="shared" si="0"/>
        <v>#REF!</v>
      </c>
      <c r="F61" s="744">
        <v>0</v>
      </c>
      <c r="G61" s="824">
        <f t="shared" si="3"/>
        <v>2113176.5699999994</v>
      </c>
      <c r="H61" s="825">
        <f t="shared" si="1"/>
        <v>2113176.5699999994</v>
      </c>
      <c r="I61" s="744">
        <v>0</v>
      </c>
      <c r="O61" s="751"/>
    </row>
    <row r="62" spans="2:15" ht="11.25" customHeight="1">
      <c r="B62" s="822" t="str">
        <f>+'Cemento Port I IU 21'!B408</f>
        <v>VAL. 14</v>
      </c>
      <c r="C62" s="823" t="e">
        <f>+'Cemento Port I IU 21'!C408</f>
        <v>#REF!</v>
      </c>
      <c r="D62" s="824" t="e">
        <f t="shared" si="2"/>
        <v>#REF!</v>
      </c>
      <c r="E62" s="825" t="e">
        <f t="shared" si="0"/>
        <v>#REF!</v>
      </c>
      <c r="F62" s="744">
        <v>990615.83</v>
      </c>
      <c r="G62" s="824">
        <f t="shared" si="3"/>
        <v>2113176.5699999994</v>
      </c>
      <c r="H62" s="825">
        <f t="shared" si="1"/>
        <v>787990.54999999935</v>
      </c>
      <c r="I62" s="744">
        <v>1325186.02</v>
      </c>
      <c r="O62" s="751"/>
    </row>
    <row r="63" spans="2:15" ht="11.25" customHeight="1">
      <c r="B63" s="822" t="str">
        <f>+'Cemento Port I IU 21'!B409</f>
        <v>VAL. 15</v>
      </c>
      <c r="C63" s="823" t="e">
        <f>+'Cemento Port I IU 21'!C409</f>
        <v>#REF!</v>
      </c>
      <c r="D63" s="824" t="e">
        <f t="shared" si="2"/>
        <v>#REF!</v>
      </c>
      <c r="E63" s="825" t="e">
        <f t="shared" si="0"/>
        <v>#REF!</v>
      </c>
      <c r="F63" s="744">
        <v>589046.29</v>
      </c>
      <c r="G63" s="824">
        <f t="shared" si="3"/>
        <v>787990.54999999935</v>
      </c>
      <c r="H63" s="825">
        <v>9.9999993108212948E-3</v>
      </c>
      <c r="I63" s="1143">
        <v>787990.54</v>
      </c>
      <c r="O63" s="751"/>
    </row>
    <row r="64" spans="2:15" ht="11.25" customHeight="1">
      <c r="B64" s="822" t="str">
        <f>+'Cemento Port I IU 21'!B410</f>
        <v>VAL. 16</v>
      </c>
      <c r="C64" s="823" t="e">
        <f>+'Cemento Port I IU 21'!C410</f>
        <v>#REF!</v>
      </c>
      <c r="D64" s="824" t="e">
        <f t="shared" si="2"/>
        <v>#REF!</v>
      </c>
      <c r="E64" s="825" t="e">
        <f t="shared" si="0"/>
        <v>#REF!</v>
      </c>
      <c r="F64" s="744" t="e">
        <f>+IF(D$13&gt;C64,0,IF(D64&gt;N31,N$30,D64))</f>
        <v>#REF!</v>
      </c>
      <c r="G64" s="824">
        <f t="shared" si="3"/>
        <v>9.9999993108212948E-3</v>
      </c>
      <c r="H64" s="825">
        <f>+G64-I64</f>
        <v>9.9999993108212948E-3</v>
      </c>
      <c r="I64" s="744"/>
      <c r="O64" s="751"/>
    </row>
    <row r="65" spans="2:18" ht="11.25" customHeight="1">
      <c r="B65" s="822" t="str">
        <f>+'Cemento Port I IU 21'!B411</f>
        <v>VAL. 17</v>
      </c>
      <c r="C65" s="823" t="e">
        <f>+'Cemento Port I IU 21'!C411</f>
        <v>#REF!</v>
      </c>
      <c r="D65" s="824" t="e">
        <f t="shared" si="2"/>
        <v>#REF!</v>
      </c>
      <c r="E65" s="825" t="e">
        <f t="shared" si="0"/>
        <v>#REF!</v>
      </c>
      <c r="F65" s="744"/>
      <c r="G65" s="824">
        <f t="shared" si="3"/>
        <v>9.9999993108212948E-3</v>
      </c>
      <c r="H65" s="825">
        <f t="shared" si="1"/>
        <v>9.9999993108212948E-3</v>
      </c>
      <c r="I65" s="744"/>
      <c r="J65" s="710"/>
      <c r="O65" s="751"/>
    </row>
    <row r="66" spans="2:18" ht="11.25" customHeight="1">
      <c r="B66" s="822" t="str">
        <f>+'Cemento Port I IU 21'!B412</f>
        <v>VAL. 18</v>
      </c>
      <c r="C66" s="823" t="e">
        <f>+'Cemento Port I IU 21'!C412</f>
        <v>#REF!</v>
      </c>
      <c r="D66" s="824" t="e">
        <f t="shared" si="2"/>
        <v>#REF!</v>
      </c>
      <c r="E66" s="825" t="e">
        <f t="shared" si="0"/>
        <v>#REF!</v>
      </c>
      <c r="F66" s="744"/>
      <c r="G66" s="824">
        <f t="shared" si="3"/>
        <v>9.9999993108212948E-3</v>
      </c>
      <c r="H66" s="825">
        <f t="shared" si="1"/>
        <v>9.9999993108212948E-3</v>
      </c>
      <c r="I66" s="744"/>
      <c r="J66" s="710"/>
      <c r="O66" s="751"/>
    </row>
    <row r="67" spans="2:18" ht="11.25" customHeight="1">
      <c r="B67" s="822">
        <f>+'Cemento Port I IU 21'!B413</f>
        <v>0</v>
      </c>
      <c r="C67" s="823">
        <f>+'Cemento Port I IU 21'!C413</f>
        <v>0</v>
      </c>
      <c r="D67" s="824" t="e">
        <f t="shared" si="2"/>
        <v>#REF!</v>
      </c>
      <c r="E67" s="825" t="e">
        <f t="shared" si="0"/>
        <v>#REF!</v>
      </c>
      <c r="F67" s="744"/>
      <c r="G67" s="824">
        <f t="shared" si="3"/>
        <v>9.9999993108212948E-3</v>
      </c>
      <c r="H67" s="825">
        <f t="shared" si="1"/>
        <v>9.9999993108212948E-3</v>
      </c>
      <c r="I67" s="744"/>
      <c r="J67" s="710"/>
      <c r="O67" s="751"/>
    </row>
    <row r="68" spans="2:18" ht="11.25" customHeight="1">
      <c r="B68" s="822"/>
      <c r="C68" s="823"/>
      <c r="D68" s="824"/>
      <c r="E68" s="825"/>
      <c r="F68" s="744"/>
      <c r="G68" s="824"/>
      <c r="H68" s="825"/>
      <c r="I68" s="744"/>
      <c r="J68" s="710"/>
      <c r="O68" s="751"/>
    </row>
    <row r="69" spans="2:18" ht="11.25" customHeight="1">
      <c r="B69" s="826"/>
      <c r="C69" s="827"/>
      <c r="D69" s="828"/>
      <c r="E69" s="829"/>
      <c r="F69" s="830"/>
      <c r="G69" s="828"/>
      <c r="H69" s="829"/>
      <c r="I69" s="830"/>
      <c r="O69" s="751"/>
    </row>
    <row r="70" spans="2:18" ht="11.25" customHeight="1">
      <c r="B70" s="700"/>
      <c r="C70" s="700"/>
      <c r="D70" s="831" t="s">
        <v>274</v>
      </c>
      <c r="E70" s="788"/>
      <c r="F70" s="832" t="e">
        <f>SUM(F49:F69)</f>
        <v>#REF!</v>
      </c>
      <c r="G70" s="786"/>
      <c r="H70" s="832"/>
      <c r="I70" s="833">
        <f>SUM(I49:I69)</f>
        <v>5196212.3</v>
      </c>
      <c r="O70" s="751"/>
    </row>
    <row r="72" spans="2:18" ht="11.25" customHeight="1">
      <c r="B72" s="814" t="str">
        <f>+'Asfalto IU 13'!B72</f>
        <v>DEDUCCION POR REAJUSTE QUE NO CORRESPONDE DEL ADELANTO DE MATERIALES Nº 02</v>
      </c>
    </row>
    <row r="73" spans="2:18" ht="11.25" customHeight="1">
      <c r="B73" s="834" t="s">
        <v>276</v>
      </c>
    </row>
    <row r="74" spans="2:18" ht="11.25" customHeight="1">
      <c r="B74" s="835" t="s">
        <v>277</v>
      </c>
      <c r="C74" s="715"/>
      <c r="D74" s="715"/>
      <c r="E74" s="715"/>
      <c r="F74" s="715"/>
      <c r="G74" s="715"/>
      <c r="H74" s="715"/>
      <c r="I74" s="715"/>
      <c r="J74" s="715"/>
      <c r="K74" s="715"/>
      <c r="L74" s="715"/>
      <c r="M74" s="715"/>
    </row>
    <row r="75" spans="2:18" ht="11.25" customHeight="1">
      <c r="B75" s="1708" t="s">
        <v>250</v>
      </c>
      <c r="C75" s="1709"/>
      <c r="D75" s="1708" t="s">
        <v>278</v>
      </c>
      <c r="E75" s="1714" t="s">
        <v>279</v>
      </c>
      <c r="F75" s="1712" t="s">
        <v>135</v>
      </c>
      <c r="G75" s="1713"/>
      <c r="H75" s="1723" t="s">
        <v>280</v>
      </c>
      <c r="I75" s="1724"/>
      <c r="J75" s="1725"/>
      <c r="K75" s="1708" t="s">
        <v>281</v>
      </c>
      <c r="L75" s="1726"/>
      <c r="M75" s="1709"/>
      <c r="N75" s="1714" t="s">
        <v>282</v>
      </c>
      <c r="P75" s="1654" t="s">
        <v>136</v>
      </c>
      <c r="Q75" s="1655"/>
    </row>
    <row r="76" spans="2:18" ht="11.25" customHeight="1">
      <c r="B76" s="1710"/>
      <c r="C76" s="1711"/>
      <c r="D76" s="1710"/>
      <c r="E76" s="1715"/>
      <c r="F76" s="1018" t="s">
        <v>283</v>
      </c>
      <c r="G76" s="1018" t="s">
        <v>385</v>
      </c>
      <c r="H76" s="1010" t="s">
        <v>254</v>
      </c>
      <c r="I76" s="1010" t="s">
        <v>284</v>
      </c>
      <c r="J76" s="1009" t="s">
        <v>451</v>
      </c>
      <c r="K76" s="1018" t="s">
        <v>468</v>
      </c>
      <c r="L76" s="1010" t="s">
        <v>467</v>
      </c>
      <c r="M76" s="1010" t="s">
        <v>285</v>
      </c>
      <c r="N76" s="1722"/>
      <c r="P76" s="838" t="s">
        <v>456</v>
      </c>
      <c r="Q76" s="839" t="s">
        <v>286</v>
      </c>
    </row>
    <row r="77" spans="2:18" ht="11.25" customHeight="1">
      <c r="B77" s="817" t="str">
        <f t="shared" ref="B77:C95" si="4">+B49</f>
        <v>VAL. 01</v>
      </c>
      <c r="C77" s="818">
        <f t="shared" si="4"/>
        <v>44500</v>
      </c>
      <c r="D77" s="824">
        <f>+'Cemento Port I IU 21'!D423</f>
        <v>78066.42</v>
      </c>
      <c r="E77" s="840">
        <f t="shared" ref="E77:E95" si="5">+H49</f>
        <v>5196212.3099999996</v>
      </c>
      <c r="F77" s="841">
        <f>+D41</f>
        <v>6.3E-2</v>
      </c>
      <c r="G77" s="842">
        <f>+D42</f>
        <v>1</v>
      </c>
      <c r="H77" s="843" t="e">
        <f>+D37</f>
        <v>#REF!</v>
      </c>
      <c r="I77" s="744" t="e">
        <f>+IF(D$13&gt;C77,0,ROUND(D77*F77*G77,2))</f>
        <v>#REF!</v>
      </c>
      <c r="J77" s="824" t="e">
        <f>+H77-I77</f>
        <v>#REF!</v>
      </c>
      <c r="K77" s="843" t="str">
        <f t="shared" ref="K77:K95" si="6">+D$39</f>
        <v>707.99</v>
      </c>
      <c r="L77" s="744"/>
      <c r="M77" s="744"/>
      <c r="N77" s="1019" t="e">
        <f t="shared" ref="N77:N95" si="7">+ROUND(I77*(M77-L77)/K77,2)</f>
        <v>#REF!</v>
      </c>
      <c r="O77" s="751"/>
      <c r="P77" s="845">
        <v>40238</v>
      </c>
      <c r="Q77" s="846">
        <v>40299</v>
      </c>
      <c r="R77" s="698" t="s">
        <v>996</v>
      </c>
    </row>
    <row r="78" spans="2:18" ht="11.25" customHeight="1">
      <c r="B78" s="822" t="str">
        <f t="shared" si="4"/>
        <v>VAL. 02</v>
      </c>
      <c r="C78" s="823">
        <f t="shared" si="4"/>
        <v>44530</v>
      </c>
      <c r="D78" s="824">
        <f>+'Cemento Port I IU 21'!D424</f>
        <v>1302063.97</v>
      </c>
      <c r="E78" s="843">
        <f t="shared" si="5"/>
        <v>5196212.3099999996</v>
      </c>
      <c r="F78" s="841">
        <f t="shared" ref="F78:F95" si="8">+F77</f>
        <v>6.3E-2</v>
      </c>
      <c r="G78" s="842">
        <f t="shared" ref="G78:G95" si="9">+G77</f>
        <v>1</v>
      </c>
      <c r="H78" s="843" t="e">
        <f t="shared" ref="H78:H95" si="10">+J77</f>
        <v>#REF!</v>
      </c>
      <c r="I78" s="744" t="e">
        <f t="shared" ref="I78:I95" si="11">+IF(D$13&gt;C78,0,IF(ROUND(D78*F78*G78,2)&gt;J77,J77,ROUND(D78*F78*G78,2)))</f>
        <v>#REF!</v>
      </c>
      <c r="J78" s="847" t="e">
        <f t="shared" ref="J78:J89" si="12">+ROUND(J77-I78,2)</f>
        <v>#REF!</v>
      </c>
      <c r="K78" s="843" t="str">
        <f t="shared" si="6"/>
        <v>707.99</v>
      </c>
      <c r="L78" s="744"/>
      <c r="M78" s="744"/>
      <c r="N78" s="1019" t="e">
        <f t="shared" si="7"/>
        <v>#REF!</v>
      </c>
      <c r="O78" s="751"/>
      <c r="P78" s="845">
        <v>40269</v>
      </c>
      <c r="Q78" s="846">
        <v>40330</v>
      </c>
      <c r="R78" s="698" t="s">
        <v>996</v>
      </c>
    </row>
    <row r="79" spans="2:18" ht="11.25" customHeight="1">
      <c r="B79" s="822" t="str">
        <f t="shared" si="4"/>
        <v>VAL. 03</v>
      </c>
      <c r="C79" s="823">
        <f t="shared" si="4"/>
        <v>44561</v>
      </c>
      <c r="D79" s="824">
        <f>+'Cemento Port I IU 21'!D425</f>
        <v>1388847.16</v>
      </c>
      <c r="E79" s="843">
        <f t="shared" si="5"/>
        <v>5196212.3099999996</v>
      </c>
      <c r="F79" s="841">
        <f t="shared" si="8"/>
        <v>6.3E-2</v>
      </c>
      <c r="G79" s="842">
        <f t="shared" si="9"/>
        <v>1</v>
      </c>
      <c r="H79" s="843" t="e">
        <f t="shared" si="10"/>
        <v>#REF!</v>
      </c>
      <c r="I79" s="744" t="e">
        <f t="shared" si="11"/>
        <v>#REF!</v>
      </c>
      <c r="J79" s="847" t="e">
        <f t="shared" si="12"/>
        <v>#REF!</v>
      </c>
      <c r="K79" s="843" t="str">
        <f t="shared" si="6"/>
        <v>707.99</v>
      </c>
      <c r="L79" s="744"/>
      <c r="M79" s="744"/>
      <c r="N79" s="1019" t="e">
        <f t="shared" si="7"/>
        <v>#REF!</v>
      </c>
      <c r="O79" s="751"/>
      <c r="P79" s="845">
        <v>40299</v>
      </c>
      <c r="Q79" s="846">
        <v>40360</v>
      </c>
      <c r="R79" s="698" t="s">
        <v>996</v>
      </c>
    </row>
    <row r="80" spans="2:18" ht="11.25" customHeight="1">
      <c r="B80" s="822" t="str">
        <f t="shared" si="4"/>
        <v>VAL. 04</v>
      </c>
      <c r="C80" s="823">
        <f t="shared" si="4"/>
        <v>44592</v>
      </c>
      <c r="D80" s="824">
        <f>+'Cemento Port I IU 21'!D426</f>
        <v>0</v>
      </c>
      <c r="E80" s="843">
        <f t="shared" si="5"/>
        <v>5196212.3099999996</v>
      </c>
      <c r="F80" s="841">
        <f t="shared" si="8"/>
        <v>6.3E-2</v>
      </c>
      <c r="G80" s="842">
        <f t="shared" si="9"/>
        <v>1</v>
      </c>
      <c r="H80" s="843" t="e">
        <f t="shared" si="10"/>
        <v>#REF!</v>
      </c>
      <c r="I80" s="744" t="e">
        <f t="shared" si="11"/>
        <v>#REF!</v>
      </c>
      <c r="J80" s="847" t="e">
        <f t="shared" si="12"/>
        <v>#REF!</v>
      </c>
      <c r="K80" s="843" t="str">
        <f t="shared" si="6"/>
        <v>707.99</v>
      </c>
      <c r="L80" s="744"/>
      <c r="M80" s="744"/>
      <c r="N80" s="1019" t="e">
        <f t="shared" si="7"/>
        <v>#REF!</v>
      </c>
      <c r="O80" s="751"/>
      <c r="P80" s="845">
        <v>40330</v>
      </c>
      <c r="Q80" s="846">
        <v>40391</v>
      </c>
      <c r="R80" s="698" t="s">
        <v>996</v>
      </c>
    </row>
    <row r="81" spans="2:17" ht="11.25" customHeight="1">
      <c r="B81" s="822" t="str">
        <f t="shared" si="4"/>
        <v>VAL. 05</v>
      </c>
      <c r="C81" s="823">
        <f t="shared" si="4"/>
        <v>44620</v>
      </c>
      <c r="D81" s="824">
        <f>+'Cemento Port I IU 21'!D427</f>
        <v>0</v>
      </c>
      <c r="E81" s="843">
        <f t="shared" si="5"/>
        <v>5196212.3099999996</v>
      </c>
      <c r="F81" s="841">
        <f t="shared" si="8"/>
        <v>6.3E-2</v>
      </c>
      <c r="G81" s="842">
        <f t="shared" si="9"/>
        <v>1</v>
      </c>
      <c r="H81" s="843" t="e">
        <f t="shared" si="10"/>
        <v>#REF!</v>
      </c>
      <c r="I81" s="744" t="e">
        <f t="shared" si="11"/>
        <v>#REF!</v>
      </c>
      <c r="J81" s="847" t="e">
        <f t="shared" si="12"/>
        <v>#REF!</v>
      </c>
      <c r="K81" s="843" t="str">
        <f t="shared" si="6"/>
        <v>707.99</v>
      </c>
      <c r="L81" s="744"/>
      <c r="M81" s="744"/>
      <c r="N81" s="1019" t="e">
        <f t="shared" si="7"/>
        <v>#REF!</v>
      </c>
      <c r="O81" s="751"/>
      <c r="P81" s="845">
        <v>40360</v>
      </c>
      <c r="Q81" s="846">
        <v>40422</v>
      </c>
    </row>
    <row r="82" spans="2:17" ht="11.25" customHeight="1">
      <c r="B82" s="822" t="str">
        <f t="shared" si="4"/>
        <v>VAL. 06</v>
      </c>
      <c r="C82" s="823">
        <f t="shared" si="4"/>
        <v>0</v>
      </c>
      <c r="D82" s="824">
        <f>+'Cemento Port I IU 21'!D428</f>
        <v>0</v>
      </c>
      <c r="E82" s="843">
        <f t="shared" si="5"/>
        <v>5196212.3099999996</v>
      </c>
      <c r="F82" s="841">
        <f t="shared" si="8"/>
        <v>6.3E-2</v>
      </c>
      <c r="G82" s="842">
        <f t="shared" si="9"/>
        <v>1</v>
      </c>
      <c r="H82" s="843" t="e">
        <f t="shared" si="10"/>
        <v>#REF!</v>
      </c>
      <c r="I82" s="744" t="e">
        <f t="shared" si="11"/>
        <v>#REF!</v>
      </c>
      <c r="J82" s="847" t="e">
        <f t="shared" si="12"/>
        <v>#REF!</v>
      </c>
      <c r="K82" s="843" t="str">
        <f t="shared" si="6"/>
        <v>707.99</v>
      </c>
      <c r="L82" s="744" t="e">
        <f t="shared" ref="L82:L95" si="13">+D$40</f>
        <v>#REF!</v>
      </c>
      <c r="M82" s="744" t="e">
        <f>+K!#REF!</f>
        <v>#REF!</v>
      </c>
      <c r="N82" s="1019" t="e">
        <f t="shared" si="7"/>
        <v>#REF!</v>
      </c>
      <c r="O82" s="751"/>
      <c r="P82" s="845">
        <v>40391</v>
      </c>
      <c r="Q82" s="846">
        <v>40452</v>
      </c>
    </row>
    <row r="83" spans="2:17" ht="11.25" customHeight="1">
      <c r="B83" s="822" t="str">
        <f t="shared" si="4"/>
        <v>VAL. 07</v>
      </c>
      <c r="C83" s="823" t="e">
        <f t="shared" si="4"/>
        <v>#REF!</v>
      </c>
      <c r="D83" s="824" t="e">
        <f>+'Cemento Port I IU 21'!D429</f>
        <v>#REF!</v>
      </c>
      <c r="E83" s="843">
        <f t="shared" si="5"/>
        <v>5196212.3099999996</v>
      </c>
      <c r="F83" s="841">
        <f t="shared" si="8"/>
        <v>6.3E-2</v>
      </c>
      <c r="G83" s="842">
        <f t="shared" si="9"/>
        <v>1</v>
      </c>
      <c r="H83" s="843" t="e">
        <f t="shared" si="10"/>
        <v>#REF!</v>
      </c>
      <c r="I83" s="744" t="e">
        <f t="shared" si="11"/>
        <v>#REF!</v>
      </c>
      <c r="J83" s="847" t="e">
        <f t="shared" si="12"/>
        <v>#REF!</v>
      </c>
      <c r="K83" s="843" t="str">
        <f t="shared" si="6"/>
        <v>707.99</v>
      </c>
      <c r="L83" s="744" t="e">
        <f t="shared" si="13"/>
        <v>#REF!</v>
      </c>
      <c r="M83" s="744" t="e">
        <f>+K!#REF!</f>
        <v>#REF!</v>
      </c>
      <c r="N83" s="1019" t="e">
        <f t="shared" si="7"/>
        <v>#REF!</v>
      </c>
      <c r="O83" s="751"/>
      <c r="P83" s="845">
        <v>40422</v>
      </c>
      <c r="Q83" s="846">
        <v>40483</v>
      </c>
    </row>
    <row r="84" spans="2:17" ht="11.25" customHeight="1">
      <c r="B84" s="822" t="str">
        <f t="shared" si="4"/>
        <v>VAL. 08</v>
      </c>
      <c r="C84" s="823" t="e">
        <f t="shared" si="4"/>
        <v>#REF!</v>
      </c>
      <c r="D84" s="824" t="e">
        <f>+'Cemento Port I IU 21'!D430</f>
        <v>#REF!</v>
      </c>
      <c r="E84" s="849">
        <f t="shared" si="5"/>
        <v>3508781.6499999994</v>
      </c>
      <c r="F84" s="841">
        <f t="shared" si="8"/>
        <v>6.3E-2</v>
      </c>
      <c r="G84" s="842">
        <f t="shared" si="9"/>
        <v>1</v>
      </c>
      <c r="H84" s="843" t="e">
        <f t="shared" si="10"/>
        <v>#REF!</v>
      </c>
      <c r="I84" s="744" t="e">
        <f t="shared" si="11"/>
        <v>#REF!</v>
      </c>
      <c r="J84" s="847" t="e">
        <f t="shared" si="12"/>
        <v>#REF!</v>
      </c>
      <c r="K84" s="849" t="str">
        <f t="shared" si="6"/>
        <v>707.99</v>
      </c>
      <c r="L84" s="852" t="e">
        <f t="shared" si="13"/>
        <v>#REF!</v>
      </c>
      <c r="M84" s="744" t="e">
        <f>+K!#REF!</f>
        <v>#REF!</v>
      </c>
      <c r="N84" s="1019" t="e">
        <f t="shared" si="7"/>
        <v>#REF!</v>
      </c>
      <c r="P84" s="845">
        <v>40452</v>
      </c>
      <c r="Q84" s="846">
        <v>40513</v>
      </c>
    </row>
    <row r="85" spans="2:17" ht="11.25" customHeight="1">
      <c r="B85" s="822" t="str">
        <f t="shared" si="4"/>
        <v>VAL. 09</v>
      </c>
      <c r="C85" s="823" t="e">
        <f t="shared" si="4"/>
        <v>#REF!</v>
      </c>
      <c r="D85" s="824" t="e">
        <f>+'Cemento Port I IU 21'!D431</f>
        <v>#REF!</v>
      </c>
      <c r="E85" s="849">
        <f t="shared" si="5"/>
        <v>2113176.5699999994</v>
      </c>
      <c r="F85" s="841">
        <f t="shared" si="8"/>
        <v>6.3E-2</v>
      </c>
      <c r="G85" s="842">
        <f t="shared" si="9"/>
        <v>1</v>
      </c>
      <c r="H85" s="843" t="e">
        <f t="shared" si="10"/>
        <v>#REF!</v>
      </c>
      <c r="I85" s="744" t="e">
        <f t="shared" si="11"/>
        <v>#REF!</v>
      </c>
      <c r="J85" s="847" t="e">
        <f t="shared" si="12"/>
        <v>#REF!</v>
      </c>
      <c r="K85" s="849" t="str">
        <f t="shared" si="6"/>
        <v>707.99</v>
      </c>
      <c r="L85" s="852" t="e">
        <f t="shared" si="13"/>
        <v>#REF!</v>
      </c>
      <c r="M85" s="744" t="e">
        <f>+K!#REF!</f>
        <v>#REF!</v>
      </c>
      <c r="N85" s="1019" t="e">
        <f t="shared" si="7"/>
        <v>#REF!</v>
      </c>
      <c r="P85" s="845">
        <v>40483</v>
      </c>
      <c r="Q85" s="846">
        <v>40544</v>
      </c>
    </row>
    <row r="86" spans="2:17" ht="11.25" customHeight="1">
      <c r="B86" s="822" t="str">
        <f t="shared" si="4"/>
        <v>VAL. 10</v>
      </c>
      <c r="C86" s="823" t="e">
        <f t="shared" si="4"/>
        <v>#REF!</v>
      </c>
      <c r="D86" s="824" t="e">
        <f>+'Cemento Port I IU 21'!D432</f>
        <v>#REF!</v>
      </c>
      <c r="E86" s="849">
        <f t="shared" si="5"/>
        <v>2113176.5699999994</v>
      </c>
      <c r="F86" s="841">
        <f t="shared" si="8"/>
        <v>6.3E-2</v>
      </c>
      <c r="G86" s="842">
        <f t="shared" si="9"/>
        <v>1</v>
      </c>
      <c r="H86" s="843" t="e">
        <f t="shared" si="10"/>
        <v>#REF!</v>
      </c>
      <c r="I86" s="744" t="e">
        <f t="shared" si="11"/>
        <v>#REF!</v>
      </c>
      <c r="J86" s="847" t="e">
        <f t="shared" si="12"/>
        <v>#REF!</v>
      </c>
      <c r="K86" s="849" t="str">
        <f t="shared" si="6"/>
        <v>707.99</v>
      </c>
      <c r="L86" s="852" t="e">
        <f t="shared" si="13"/>
        <v>#REF!</v>
      </c>
      <c r="M86" s="744" t="e">
        <f>+K!#REF!</f>
        <v>#REF!</v>
      </c>
      <c r="N86" s="1019" t="e">
        <f t="shared" si="7"/>
        <v>#REF!</v>
      </c>
      <c r="P86" s="845">
        <v>40513</v>
      </c>
      <c r="Q86" s="846">
        <v>40575</v>
      </c>
    </row>
    <row r="87" spans="2:17" ht="11.25" customHeight="1">
      <c r="B87" s="822" t="str">
        <f t="shared" si="4"/>
        <v>VAL. 11</v>
      </c>
      <c r="C87" s="823" t="e">
        <f t="shared" si="4"/>
        <v>#REF!</v>
      </c>
      <c r="D87" s="824" t="e">
        <f>+'Cemento Port I IU 21'!D433</f>
        <v>#REF!</v>
      </c>
      <c r="E87" s="849">
        <f t="shared" si="5"/>
        <v>2113176.5699999994</v>
      </c>
      <c r="F87" s="841">
        <f t="shared" si="8"/>
        <v>6.3E-2</v>
      </c>
      <c r="G87" s="842">
        <f t="shared" si="9"/>
        <v>1</v>
      </c>
      <c r="H87" s="843" t="e">
        <f t="shared" si="10"/>
        <v>#REF!</v>
      </c>
      <c r="I87" s="744" t="e">
        <f t="shared" si="11"/>
        <v>#REF!</v>
      </c>
      <c r="J87" s="847" t="e">
        <f t="shared" si="12"/>
        <v>#REF!</v>
      </c>
      <c r="K87" s="849" t="str">
        <f t="shared" si="6"/>
        <v>707.99</v>
      </c>
      <c r="L87" s="852" t="e">
        <f t="shared" si="13"/>
        <v>#REF!</v>
      </c>
      <c r="M87" s="744" t="e">
        <f>+K!#REF!</f>
        <v>#REF!</v>
      </c>
      <c r="N87" s="1019" t="e">
        <f t="shared" si="7"/>
        <v>#REF!</v>
      </c>
      <c r="P87" s="845">
        <v>40544</v>
      </c>
      <c r="Q87" s="846">
        <v>40603</v>
      </c>
    </row>
    <row r="88" spans="2:17" ht="11.25" customHeight="1">
      <c r="B88" s="822" t="str">
        <f t="shared" si="4"/>
        <v>VAL. 12</v>
      </c>
      <c r="C88" s="823" t="e">
        <f t="shared" si="4"/>
        <v>#REF!</v>
      </c>
      <c r="D88" s="824" t="e">
        <f>+'Cemento Port I IU 21'!D434</f>
        <v>#REF!</v>
      </c>
      <c r="E88" s="849">
        <f t="shared" si="5"/>
        <v>2113176.5699999994</v>
      </c>
      <c r="F88" s="841">
        <f t="shared" si="8"/>
        <v>6.3E-2</v>
      </c>
      <c r="G88" s="842">
        <f t="shared" si="9"/>
        <v>1</v>
      </c>
      <c r="H88" s="849" t="e">
        <f t="shared" si="10"/>
        <v>#REF!</v>
      </c>
      <c r="I88" s="744" t="e">
        <f t="shared" si="11"/>
        <v>#REF!</v>
      </c>
      <c r="J88" s="847" t="e">
        <f t="shared" si="12"/>
        <v>#REF!</v>
      </c>
      <c r="K88" s="849" t="str">
        <f t="shared" si="6"/>
        <v>707.99</v>
      </c>
      <c r="L88" s="852" t="e">
        <f t="shared" si="13"/>
        <v>#REF!</v>
      </c>
      <c r="M88" s="744" t="e">
        <f>+K!#REF!</f>
        <v>#REF!</v>
      </c>
      <c r="N88" s="1019" t="e">
        <f t="shared" si="7"/>
        <v>#REF!</v>
      </c>
      <c r="P88" s="845">
        <v>40575</v>
      </c>
      <c r="Q88" s="846">
        <v>40634</v>
      </c>
    </row>
    <row r="89" spans="2:17" ht="11.25" customHeight="1">
      <c r="B89" s="822" t="str">
        <f t="shared" si="4"/>
        <v>VAL. 13</v>
      </c>
      <c r="C89" s="823" t="e">
        <f t="shared" si="4"/>
        <v>#REF!</v>
      </c>
      <c r="D89" s="824" t="e">
        <f>+'Cemento Port I IU 21'!D435</f>
        <v>#REF!</v>
      </c>
      <c r="E89" s="849">
        <f t="shared" si="5"/>
        <v>2113176.5699999994</v>
      </c>
      <c r="F89" s="841">
        <f t="shared" si="8"/>
        <v>6.3E-2</v>
      </c>
      <c r="G89" s="842">
        <f t="shared" si="9"/>
        <v>1</v>
      </c>
      <c r="H89" s="849" t="e">
        <f t="shared" si="10"/>
        <v>#REF!</v>
      </c>
      <c r="I89" s="744" t="e">
        <f t="shared" si="11"/>
        <v>#REF!</v>
      </c>
      <c r="J89" s="847" t="e">
        <f t="shared" si="12"/>
        <v>#REF!</v>
      </c>
      <c r="K89" s="849" t="str">
        <f t="shared" si="6"/>
        <v>707.99</v>
      </c>
      <c r="L89" s="852" t="e">
        <f t="shared" si="13"/>
        <v>#REF!</v>
      </c>
      <c r="M89" s="744" t="e">
        <f>+K!#REF!</f>
        <v>#REF!</v>
      </c>
      <c r="N89" s="1019" t="e">
        <f t="shared" si="7"/>
        <v>#REF!</v>
      </c>
      <c r="P89" s="845">
        <v>40603</v>
      </c>
      <c r="Q89" s="846">
        <v>40664</v>
      </c>
    </row>
    <row r="90" spans="2:17" ht="11.25" customHeight="1">
      <c r="B90" s="822" t="str">
        <f t="shared" si="4"/>
        <v>VAL. 14</v>
      </c>
      <c r="C90" s="823" t="e">
        <f t="shared" si="4"/>
        <v>#REF!</v>
      </c>
      <c r="D90" s="824" t="e">
        <f>+'Cemento Port I IU 21'!D436</f>
        <v>#REF!</v>
      </c>
      <c r="E90" s="849">
        <f t="shared" si="5"/>
        <v>787990.54999999935</v>
      </c>
      <c r="F90" s="841">
        <f t="shared" si="8"/>
        <v>6.3E-2</v>
      </c>
      <c r="G90" s="842">
        <f t="shared" si="9"/>
        <v>1</v>
      </c>
      <c r="H90" s="849" t="e">
        <f t="shared" si="10"/>
        <v>#REF!</v>
      </c>
      <c r="I90" s="744" t="e">
        <f t="shared" si="11"/>
        <v>#REF!</v>
      </c>
      <c r="J90" s="847" t="e">
        <f t="shared" ref="J90:J95" si="14">+J89-I90</f>
        <v>#REF!</v>
      </c>
      <c r="K90" s="849" t="str">
        <f t="shared" si="6"/>
        <v>707.99</v>
      </c>
      <c r="L90" s="852" t="e">
        <f t="shared" si="13"/>
        <v>#REF!</v>
      </c>
      <c r="M90" s="744" t="e">
        <f>+K!#REF!</f>
        <v>#REF!</v>
      </c>
      <c r="N90" s="1019" t="e">
        <f t="shared" si="7"/>
        <v>#REF!</v>
      </c>
      <c r="P90" s="845">
        <v>40634</v>
      </c>
      <c r="Q90" s="846">
        <v>40695</v>
      </c>
    </row>
    <row r="91" spans="2:17" ht="11.25" customHeight="1">
      <c r="B91" s="822" t="str">
        <f t="shared" si="4"/>
        <v>VAL. 15</v>
      </c>
      <c r="C91" s="823" t="e">
        <f t="shared" si="4"/>
        <v>#REF!</v>
      </c>
      <c r="D91" s="824" t="e">
        <f>+'Cemento Port I IU 21'!D437</f>
        <v>#REF!</v>
      </c>
      <c r="E91" s="849">
        <f t="shared" si="5"/>
        <v>9.9999993108212948E-3</v>
      </c>
      <c r="F91" s="841">
        <f t="shared" si="8"/>
        <v>6.3E-2</v>
      </c>
      <c r="G91" s="842">
        <f t="shared" si="9"/>
        <v>1</v>
      </c>
      <c r="H91" s="849" t="e">
        <f t="shared" si="10"/>
        <v>#REF!</v>
      </c>
      <c r="I91" s="744" t="e">
        <f t="shared" si="11"/>
        <v>#REF!</v>
      </c>
      <c r="J91" s="847" t="e">
        <f t="shared" si="14"/>
        <v>#REF!</v>
      </c>
      <c r="K91" s="849" t="str">
        <f t="shared" si="6"/>
        <v>707.99</v>
      </c>
      <c r="L91" s="852" t="e">
        <f t="shared" si="13"/>
        <v>#REF!</v>
      </c>
      <c r="M91" s="744" t="e">
        <f>+K!#REF!</f>
        <v>#REF!</v>
      </c>
      <c r="N91" s="1019" t="e">
        <f t="shared" si="7"/>
        <v>#REF!</v>
      </c>
      <c r="P91" s="845">
        <v>40664</v>
      </c>
      <c r="Q91" s="846">
        <v>40725</v>
      </c>
    </row>
    <row r="92" spans="2:17" ht="11.25" customHeight="1">
      <c r="B92" s="822" t="str">
        <f t="shared" si="4"/>
        <v>VAL. 16</v>
      </c>
      <c r="C92" s="823" t="e">
        <f t="shared" si="4"/>
        <v>#REF!</v>
      </c>
      <c r="D92" s="824" t="e">
        <f>+'Cemento Port I IU 21'!D438</f>
        <v>#REF!</v>
      </c>
      <c r="E92" s="849">
        <f t="shared" si="5"/>
        <v>9.9999993108212948E-3</v>
      </c>
      <c r="F92" s="841">
        <f t="shared" si="8"/>
        <v>6.3E-2</v>
      </c>
      <c r="G92" s="842">
        <f t="shared" si="9"/>
        <v>1</v>
      </c>
      <c r="H92" s="849" t="e">
        <f t="shared" si="10"/>
        <v>#REF!</v>
      </c>
      <c r="I92" s="744" t="e">
        <f t="shared" si="11"/>
        <v>#REF!</v>
      </c>
      <c r="J92" s="847" t="e">
        <f t="shared" si="14"/>
        <v>#REF!</v>
      </c>
      <c r="K92" s="849" t="str">
        <f t="shared" si="6"/>
        <v>707.99</v>
      </c>
      <c r="L92" s="852" t="e">
        <f t="shared" si="13"/>
        <v>#REF!</v>
      </c>
      <c r="M92" s="972" t="e">
        <f>+K!#REF!</f>
        <v>#REF!</v>
      </c>
      <c r="N92" s="1019" t="e">
        <f t="shared" si="7"/>
        <v>#REF!</v>
      </c>
      <c r="P92" s="845">
        <v>40695</v>
      </c>
      <c r="Q92" s="846">
        <v>40756</v>
      </c>
    </row>
    <row r="93" spans="2:17" ht="11.25" customHeight="1">
      <c r="B93" s="822" t="str">
        <f t="shared" si="4"/>
        <v>VAL. 17</v>
      </c>
      <c r="C93" s="823" t="e">
        <f t="shared" si="4"/>
        <v>#REF!</v>
      </c>
      <c r="D93" s="824" t="e">
        <f>+'Cemento Port I IU 21'!D439</f>
        <v>#REF!</v>
      </c>
      <c r="E93" s="849">
        <f t="shared" si="5"/>
        <v>9.9999993108212948E-3</v>
      </c>
      <c r="F93" s="841">
        <f t="shared" si="8"/>
        <v>6.3E-2</v>
      </c>
      <c r="G93" s="842">
        <f t="shared" si="9"/>
        <v>1</v>
      </c>
      <c r="H93" s="849" t="e">
        <f t="shared" si="10"/>
        <v>#REF!</v>
      </c>
      <c r="I93" s="744" t="e">
        <f t="shared" si="11"/>
        <v>#REF!</v>
      </c>
      <c r="J93" s="847" t="e">
        <f t="shared" si="14"/>
        <v>#REF!</v>
      </c>
      <c r="K93" s="849" t="str">
        <f t="shared" si="6"/>
        <v>707.99</v>
      </c>
      <c r="L93" s="852" t="e">
        <f t="shared" si="13"/>
        <v>#REF!</v>
      </c>
      <c r="M93" s="849"/>
      <c r="N93" s="1019" t="e">
        <f t="shared" si="7"/>
        <v>#REF!</v>
      </c>
      <c r="P93" s="845">
        <v>40725</v>
      </c>
      <c r="Q93" s="846">
        <v>40787</v>
      </c>
    </row>
    <row r="94" spans="2:17" ht="11.25" customHeight="1">
      <c r="B94" s="822" t="str">
        <f t="shared" si="4"/>
        <v>VAL. 18</v>
      </c>
      <c r="C94" s="823" t="e">
        <f t="shared" si="4"/>
        <v>#REF!</v>
      </c>
      <c r="D94" s="824" t="e">
        <f>+'Cemento Port I IU 21'!D440</f>
        <v>#REF!</v>
      </c>
      <c r="E94" s="849">
        <f t="shared" si="5"/>
        <v>9.9999993108212948E-3</v>
      </c>
      <c r="F94" s="841">
        <f t="shared" si="8"/>
        <v>6.3E-2</v>
      </c>
      <c r="G94" s="842">
        <f t="shared" si="9"/>
        <v>1</v>
      </c>
      <c r="H94" s="849" t="e">
        <f t="shared" si="10"/>
        <v>#REF!</v>
      </c>
      <c r="I94" s="744" t="e">
        <f t="shared" si="11"/>
        <v>#REF!</v>
      </c>
      <c r="J94" s="847" t="e">
        <f t="shared" si="14"/>
        <v>#REF!</v>
      </c>
      <c r="K94" s="849" t="str">
        <f t="shared" si="6"/>
        <v>707.99</v>
      </c>
      <c r="L94" s="852" t="e">
        <f t="shared" si="13"/>
        <v>#REF!</v>
      </c>
      <c r="M94" s="849"/>
      <c r="N94" s="1019" t="e">
        <f t="shared" si="7"/>
        <v>#REF!</v>
      </c>
      <c r="P94" s="845">
        <v>40756</v>
      </c>
      <c r="Q94" s="846">
        <v>40817</v>
      </c>
    </row>
    <row r="95" spans="2:17" ht="11.25" customHeight="1">
      <c r="B95" s="822">
        <f t="shared" si="4"/>
        <v>0</v>
      </c>
      <c r="C95" s="823">
        <f t="shared" si="4"/>
        <v>0</v>
      </c>
      <c r="D95" s="824">
        <f>+'Cemento Port I IU 21'!D441</f>
        <v>0</v>
      </c>
      <c r="E95" s="849">
        <f t="shared" si="5"/>
        <v>9.9999993108212948E-3</v>
      </c>
      <c r="F95" s="841">
        <f t="shared" si="8"/>
        <v>6.3E-2</v>
      </c>
      <c r="G95" s="842">
        <f t="shared" si="9"/>
        <v>1</v>
      </c>
      <c r="H95" s="849" t="e">
        <f t="shared" si="10"/>
        <v>#REF!</v>
      </c>
      <c r="I95" s="744" t="e">
        <f t="shared" si="11"/>
        <v>#REF!</v>
      </c>
      <c r="J95" s="847" t="e">
        <f t="shared" si="14"/>
        <v>#REF!</v>
      </c>
      <c r="K95" s="849" t="str">
        <f t="shared" si="6"/>
        <v>707.99</v>
      </c>
      <c r="L95" s="852" t="e">
        <f t="shared" si="13"/>
        <v>#REF!</v>
      </c>
      <c r="M95" s="849"/>
      <c r="N95" s="1019" t="e">
        <f t="shared" si="7"/>
        <v>#REF!</v>
      </c>
      <c r="P95" s="845">
        <v>40756</v>
      </c>
      <c r="Q95" s="846">
        <v>40817</v>
      </c>
    </row>
    <row r="96" spans="2:17" ht="11.25" customHeight="1">
      <c r="B96" s="858"/>
      <c r="C96" s="859"/>
      <c r="D96" s="860"/>
      <c r="E96" s="860"/>
      <c r="F96" s="861"/>
      <c r="G96" s="862"/>
      <c r="H96" s="860"/>
      <c r="I96" s="860"/>
      <c r="J96" s="828"/>
      <c r="K96" s="860"/>
      <c r="L96" s="830"/>
      <c r="M96" s="860"/>
      <c r="N96" s="863"/>
      <c r="P96" s="864"/>
      <c r="Q96" s="865"/>
    </row>
    <row r="97" spans="2:15" ht="11.25" customHeight="1">
      <c r="B97" s="774"/>
      <c r="C97" s="715"/>
      <c r="D97" s="866"/>
      <c r="E97" s="867"/>
      <c r="F97" s="868"/>
      <c r="G97" s="869"/>
      <c r="H97" s="869"/>
      <c r="I97" s="870" t="e">
        <f>SUM(I77:I96)</f>
        <v>#REF!</v>
      </c>
      <c r="J97" s="871"/>
      <c r="K97" s="869"/>
      <c r="L97" s="727"/>
      <c r="M97" s="727"/>
      <c r="N97" s="1020"/>
    </row>
    <row r="98" spans="2:15" ht="11.25" customHeight="1">
      <c r="L98" s="873" t="s">
        <v>274</v>
      </c>
      <c r="M98" s="874"/>
      <c r="N98" s="1021" t="e">
        <f>SUM(N77:N96)</f>
        <v>#REF!</v>
      </c>
      <c r="O98" s="751"/>
    </row>
    <row r="99" spans="2:15" ht="11.25" customHeight="1">
      <c r="I99" s="751"/>
      <c r="L99" s="876" t="s">
        <v>287</v>
      </c>
      <c r="M99" s="877"/>
      <c r="N99" s="1019">
        <v>628653.72</v>
      </c>
    </row>
    <row r="100" spans="2:15" ht="11.25" customHeight="1">
      <c r="L100" s="879" t="s">
        <v>288</v>
      </c>
      <c r="M100" s="880"/>
      <c r="N100" s="1022" t="e">
        <f>N98-N99</f>
        <v>#REF!</v>
      </c>
      <c r="O100" s="751"/>
    </row>
  </sheetData>
  <mergeCells count="31">
    <mergeCell ref="B9:O9"/>
    <mergeCell ref="B10:O10"/>
    <mergeCell ref="E21:F21"/>
    <mergeCell ref="K21:K22"/>
    <mergeCell ref="B11:O11"/>
    <mergeCell ref="G21:H21"/>
    <mergeCell ref="B21:B22"/>
    <mergeCell ref="U21:W21"/>
    <mergeCell ref="Q21:S21"/>
    <mergeCell ref="Q27:S27"/>
    <mergeCell ref="I21:J21"/>
    <mergeCell ref="G47:I47"/>
    <mergeCell ref="F37:G37"/>
    <mergeCell ref="L21:M21"/>
    <mergeCell ref="F36:G36"/>
    <mergeCell ref="F35:G35"/>
    <mergeCell ref="D47:F47"/>
    <mergeCell ref="D46:I46"/>
    <mergeCell ref="P75:Q75"/>
    <mergeCell ref="N21:O21"/>
    <mergeCell ref="B32:O32"/>
    <mergeCell ref="D75:D76"/>
    <mergeCell ref="D21:D22"/>
    <mergeCell ref="B46:C48"/>
    <mergeCell ref="C21:C22"/>
    <mergeCell ref="K75:M75"/>
    <mergeCell ref="H75:J75"/>
    <mergeCell ref="E75:E76"/>
    <mergeCell ref="N75:N76"/>
    <mergeCell ref="B75:C76"/>
    <mergeCell ref="F75:G75"/>
  </mergeCells>
  <phoneticPr fontId="0" type="noConversion"/>
  <printOptions horizontalCentered="1"/>
  <pageMargins left="0.19685039370078741" right="0.19685039370078741" top="0.59055118110236227" bottom="0.19685039370078741" header="0" footer="0"/>
  <pageSetup paperSize="9" scale="70" fitToHeight="2" orientation="landscape" verticalDpi="300" r:id="rId1"/>
  <headerFooter alignWithMargins="0"/>
  <rowBreaks count="2" manualBreakCount="2">
    <brk id="31" max="16383" man="1"/>
    <brk id="71" min="1" max="14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24">
    <tabColor indexed="10"/>
  </sheetPr>
  <dimension ref="B1:W124"/>
  <sheetViews>
    <sheetView showGridLines="0" view="pageBreakPreview" topLeftCell="A87" zoomScaleNormal="100" workbookViewId="0">
      <selection activeCell="A88" sqref="A88"/>
    </sheetView>
  </sheetViews>
  <sheetFormatPr baseColWidth="10" defaultColWidth="11.42578125" defaultRowHeight="11.25" customHeight="1"/>
  <cols>
    <col min="1" max="1" width="1.85546875" style="698" bestFit="1" customWidth="1"/>
    <col min="2" max="2" width="13.42578125" style="698" customWidth="1"/>
    <col min="3" max="3" width="50.85546875" style="698" customWidth="1"/>
    <col min="4" max="4" width="12.7109375" style="698" customWidth="1"/>
    <col min="5" max="5" width="11.7109375" style="698" customWidth="1"/>
    <col min="6" max="6" width="11" style="698" customWidth="1"/>
    <col min="7" max="10" width="10.7109375" style="698" customWidth="1"/>
    <col min="11" max="11" width="8.7109375" style="698" customWidth="1"/>
    <col min="12" max="12" width="11" style="698" customWidth="1"/>
    <col min="13" max="13" width="10.140625" style="698" customWidth="1"/>
    <col min="14" max="14" width="11.42578125" style="698"/>
    <col min="15" max="15" width="11.7109375" style="698" customWidth="1"/>
    <col min="16" max="16" width="9.7109375" style="698" customWidth="1"/>
    <col min="17" max="17" width="9" style="698" bestFit="1" customWidth="1"/>
    <col min="18" max="18" width="11" style="698" bestFit="1" customWidth="1"/>
    <col min="19" max="19" width="8.7109375" style="698" bestFit="1" customWidth="1"/>
    <col min="20" max="16384" width="11.42578125" style="698"/>
  </cols>
  <sheetData>
    <row r="1" spans="2:18" ht="11.25" customHeight="1">
      <c r="B1" s="698" t="s">
        <v>1816</v>
      </c>
      <c r="C1" s="698" t="s">
        <v>1817</v>
      </c>
      <c r="D1" s="699"/>
      <c r="E1" s="699"/>
      <c r="I1" s="700"/>
      <c r="J1" s="700"/>
      <c r="K1" s="700"/>
      <c r="L1" s="700"/>
    </row>
    <row r="2" spans="2:18" s="699" customFormat="1" ht="11.25" customHeight="1">
      <c r="B2" s="698" t="s">
        <v>1818</v>
      </c>
      <c r="C2" s="698" t="s">
        <v>1819</v>
      </c>
      <c r="I2" s="700"/>
      <c r="J2" s="700"/>
      <c r="K2" s="700"/>
      <c r="L2" s="700"/>
    </row>
    <row r="3" spans="2:18" s="699" customFormat="1" ht="11.25" customHeight="1">
      <c r="B3" s="698" t="s">
        <v>1820</v>
      </c>
      <c r="C3" s="698" t="s">
        <v>1821</v>
      </c>
      <c r="I3" s="700"/>
      <c r="J3" s="700"/>
      <c r="K3" s="700"/>
      <c r="L3" s="700"/>
    </row>
    <row r="4" spans="2:18" s="699" customFormat="1" ht="11.25" customHeight="1">
      <c r="B4" s="698"/>
      <c r="C4" s="698" t="s">
        <v>1822</v>
      </c>
      <c r="I4" s="700"/>
      <c r="J4" s="700"/>
      <c r="K4" s="700"/>
      <c r="L4" s="700"/>
    </row>
    <row r="5" spans="2:18" s="699" customFormat="1" ht="11.25" customHeight="1">
      <c r="B5" s="698" t="s">
        <v>1823</v>
      </c>
      <c r="C5" s="698" t="s">
        <v>1824</v>
      </c>
      <c r="I5" s="700"/>
      <c r="J5" s="700"/>
      <c r="K5" s="700"/>
      <c r="L5" s="700"/>
    </row>
    <row r="6" spans="2:18" s="699" customFormat="1" ht="11.25" customHeight="1">
      <c r="B6" s="698" t="s">
        <v>1825</v>
      </c>
      <c r="C6" s="701">
        <v>40451</v>
      </c>
      <c r="D6"/>
      <c r="E6"/>
      <c r="I6" s="700"/>
      <c r="J6" s="700"/>
      <c r="K6" s="700"/>
      <c r="L6" s="700"/>
    </row>
    <row r="9" spans="2:18" ht="18">
      <c r="B9" s="1687" t="str">
        <f>+'Asfalto IU 13'!B9:O9</f>
        <v>A M O R T I Z A C I O N     D E L     A D E L A N T O     P A R A     M A T E R I A L E S     Nº  02</v>
      </c>
      <c r="C9" s="1687"/>
      <c r="D9" s="1687"/>
      <c r="E9" s="1687"/>
      <c r="F9" s="1687"/>
      <c r="G9" s="1687"/>
      <c r="H9" s="1687"/>
      <c r="I9" s="1687"/>
      <c r="J9" s="1687"/>
      <c r="K9" s="1687"/>
      <c r="L9" s="1687"/>
      <c r="M9" s="1687"/>
      <c r="N9" s="1687"/>
      <c r="O9" s="1687"/>
      <c r="P9" s="700"/>
      <c r="Q9" s="700"/>
      <c r="R9" s="700"/>
    </row>
    <row r="10" spans="2:18" ht="18">
      <c r="B10" s="1687" t="str">
        <f>+'Cemento Port I IU 21'!B8:O8</f>
        <v>VALORIZACION Nº 4 - MES DE DICIEMBRE 2021</v>
      </c>
      <c r="C10" s="1687"/>
      <c r="D10" s="1687"/>
      <c r="E10" s="1687"/>
      <c r="F10" s="1687"/>
      <c r="G10" s="1687"/>
      <c r="H10" s="1687"/>
      <c r="I10" s="1687"/>
      <c r="J10" s="1687"/>
      <c r="K10" s="1687"/>
      <c r="L10" s="1687"/>
      <c r="M10" s="1687"/>
      <c r="N10" s="1687"/>
      <c r="O10" s="1687"/>
      <c r="P10" s="700"/>
      <c r="Q10" s="700"/>
      <c r="R10" s="700"/>
    </row>
    <row r="11" spans="2:18" ht="15">
      <c r="B11" s="1707" t="s">
        <v>617</v>
      </c>
      <c r="C11" s="1707"/>
      <c r="D11" s="1707"/>
      <c r="E11" s="1707"/>
      <c r="F11" s="1707"/>
      <c r="G11" s="1707"/>
      <c r="H11" s="1707"/>
      <c r="I11" s="1707"/>
      <c r="J11" s="1707"/>
      <c r="K11" s="1707"/>
      <c r="L11" s="1707"/>
      <c r="M11" s="1707"/>
      <c r="N11" s="1707"/>
      <c r="O11" s="1707"/>
      <c r="P11" s="700"/>
      <c r="Q11" s="700"/>
      <c r="R11" s="700"/>
    </row>
    <row r="12" spans="2:18" ht="11.25" customHeight="1">
      <c r="B12" s="698" t="s">
        <v>289</v>
      </c>
      <c r="D12" s="702">
        <v>1596102.03</v>
      </c>
      <c r="E12" s="698" t="s">
        <v>178</v>
      </c>
      <c r="I12" s="699" t="s">
        <v>179</v>
      </c>
      <c r="K12" s="699" t="s">
        <v>180</v>
      </c>
      <c r="M12" s="699"/>
    </row>
    <row r="13" spans="2:18" ht="11.25" customHeight="1">
      <c r="B13" s="698" t="s">
        <v>290</v>
      </c>
      <c r="D13" s="703" t="e">
        <f>+'Asfalto IU 13'!D13</f>
        <v>#REF!</v>
      </c>
      <c r="E13" s="704"/>
      <c r="I13" s="698" t="s">
        <v>182</v>
      </c>
    </row>
    <row r="14" spans="2:18" ht="11.25" customHeight="1">
      <c r="B14" s="699" t="s">
        <v>183</v>
      </c>
      <c r="C14" s="699" t="s">
        <v>430</v>
      </c>
      <c r="E14" s="705"/>
      <c r="F14" s="706"/>
      <c r="I14" s="707" t="s">
        <v>185</v>
      </c>
      <c r="K14" s="698" t="s">
        <v>186</v>
      </c>
    </row>
    <row r="15" spans="2:18" ht="11.25" customHeight="1">
      <c r="B15" s="699" t="s">
        <v>187</v>
      </c>
      <c r="C15" s="708" t="s">
        <v>520</v>
      </c>
      <c r="E15" s="705"/>
      <c r="F15" s="706"/>
      <c r="I15" s="707" t="s">
        <v>188</v>
      </c>
      <c r="K15" s="698" t="s">
        <v>189</v>
      </c>
    </row>
    <row r="16" spans="2:18" ht="11.25" customHeight="1">
      <c r="B16" s="698" t="str">
        <f>+'Asfalto IU 13'!B16</f>
        <v>Indice INEI a la Fecha del P. Base   (Abril 2,009)</v>
      </c>
      <c r="D16" s="709" t="e">
        <f>+K!#REF!</f>
        <v>#REF!</v>
      </c>
      <c r="I16" s="707" t="s">
        <v>191</v>
      </c>
      <c r="K16" s="698" t="s">
        <v>192</v>
      </c>
    </row>
    <row r="17" spans="2:23" ht="11.25" customHeight="1">
      <c r="B17" s="698" t="str">
        <f>+'Asfalto IU 13'!B17</f>
        <v>Indice INEI a la Fecha del Pago del Adelanto  (Setiembre 2,010)</v>
      </c>
      <c r="D17" s="709" t="e">
        <f>+K!#REF!</f>
        <v>#REF!</v>
      </c>
      <c r="E17" s="1008">
        <f>+'Asfalto IU 13'!E17</f>
        <v>0</v>
      </c>
      <c r="I17" s="707" t="s">
        <v>193</v>
      </c>
      <c r="K17" s="698" t="s">
        <v>194</v>
      </c>
    </row>
    <row r="18" spans="2:23" ht="11.25" customHeight="1">
      <c r="I18" s="711" t="s">
        <v>195</v>
      </c>
      <c r="J18" s="712"/>
      <c r="K18" s="712" t="s">
        <v>196</v>
      </c>
      <c r="L18" s="712"/>
      <c r="M18" s="713">
        <v>1</v>
      </c>
    </row>
    <row r="19" spans="2:23" ht="11.25" customHeight="1">
      <c r="B19" s="39" t="s">
        <v>1826</v>
      </c>
      <c r="K19" s="698" t="s">
        <v>197</v>
      </c>
    </row>
    <row r="20" spans="2:23" ht="11.25" customHeight="1">
      <c r="B20" s="1025"/>
      <c r="C20" s="1026"/>
      <c r="D20" s="715"/>
      <c r="E20" s="715"/>
      <c r="F20" s="715"/>
      <c r="G20" s="715"/>
      <c r="H20" s="715"/>
      <c r="I20" s="715"/>
      <c r="J20" s="715"/>
      <c r="K20" s="715"/>
      <c r="L20" s="715"/>
      <c r="M20" s="715"/>
      <c r="N20" s="715"/>
      <c r="O20" s="715"/>
    </row>
    <row r="21" spans="2:23" ht="11.25" customHeight="1">
      <c r="B21" s="1714" t="s">
        <v>198</v>
      </c>
      <c r="C21" s="1714" t="s">
        <v>199</v>
      </c>
      <c r="D21" s="1716" t="s">
        <v>601</v>
      </c>
      <c r="E21" s="1712" t="s">
        <v>200</v>
      </c>
      <c r="F21" s="1713"/>
      <c r="G21" s="1712" t="s">
        <v>201</v>
      </c>
      <c r="H21" s="1713"/>
      <c r="I21" s="1712" t="s">
        <v>202</v>
      </c>
      <c r="J21" s="1713"/>
      <c r="K21" s="1714" t="s">
        <v>203</v>
      </c>
      <c r="L21" s="1712" t="s">
        <v>204</v>
      </c>
      <c r="M21" s="1713"/>
      <c r="N21" s="1712" t="s">
        <v>423</v>
      </c>
      <c r="O21" s="1713"/>
      <c r="P21" s="700"/>
      <c r="Q21" s="1695" t="s">
        <v>205</v>
      </c>
      <c r="R21" s="1696"/>
      <c r="S21" s="1697"/>
      <c r="T21" s="710"/>
      <c r="U21" s="1695" t="s">
        <v>331</v>
      </c>
      <c r="V21" s="1696"/>
      <c r="W21" s="1697"/>
    </row>
    <row r="22" spans="2:23" ht="20.25" customHeight="1">
      <c r="B22" s="1715"/>
      <c r="C22" s="1715"/>
      <c r="D22" s="1717"/>
      <c r="E22" s="1011" t="s">
        <v>206</v>
      </c>
      <c r="F22" s="1012" t="s">
        <v>207</v>
      </c>
      <c r="G22" s="1011" t="s">
        <v>452</v>
      </c>
      <c r="H22" s="1012" t="s">
        <v>208</v>
      </c>
      <c r="I22" s="1011" t="s">
        <v>452</v>
      </c>
      <c r="J22" s="1012" t="s">
        <v>208</v>
      </c>
      <c r="K22" s="1715"/>
      <c r="L22" s="1011" t="s">
        <v>467</v>
      </c>
      <c r="M22" s="1012" t="s">
        <v>468</v>
      </c>
      <c r="N22" s="1011" t="s">
        <v>209</v>
      </c>
      <c r="O22" s="1012" t="s">
        <v>210</v>
      </c>
      <c r="Q22" s="954" t="s">
        <v>211</v>
      </c>
      <c r="R22" s="955" t="s">
        <v>394</v>
      </c>
      <c r="S22" s="956" t="s">
        <v>451</v>
      </c>
      <c r="T22" s="710"/>
      <c r="U22" s="954" t="s">
        <v>211</v>
      </c>
      <c r="V22" s="955" t="s">
        <v>394</v>
      </c>
      <c r="W22" s="956" t="s">
        <v>451</v>
      </c>
    </row>
    <row r="23" spans="2:23" ht="11.25" customHeight="1">
      <c r="B23" s="722" t="str">
        <f>+B$14</f>
        <v>Material:</v>
      </c>
      <c r="C23" s="723" t="str">
        <f>+C14</f>
        <v>CEMENTO PORTLAND TIPO I</v>
      </c>
      <c r="D23" s="724"/>
      <c r="E23" s="724"/>
      <c r="F23" s="725"/>
      <c r="G23" s="726"/>
      <c r="H23" s="727"/>
      <c r="I23" s="726"/>
      <c r="J23" s="728"/>
      <c r="K23" s="729"/>
      <c r="L23" s="724"/>
      <c r="M23" s="725"/>
      <c r="N23" s="730"/>
      <c r="O23" s="728"/>
      <c r="Q23" s="957"/>
      <c r="R23" s="958"/>
      <c r="S23" s="959"/>
      <c r="T23" s="710"/>
      <c r="U23" s="957"/>
      <c r="V23" s="958"/>
      <c r="W23" s="959"/>
    </row>
    <row r="24" spans="2:23" ht="11.25" customHeight="1">
      <c r="B24" s="722" t="s">
        <v>212</v>
      </c>
      <c r="C24" s="733" t="s">
        <v>430</v>
      </c>
      <c r="D24" s="724"/>
      <c r="E24" s="724"/>
      <c r="F24" s="734"/>
      <c r="G24" s="726"/>
      <c r="H24" s="727"/>
      <c r="I24" s="726"/>
      <c r="J24" s="727"/>
      <c r="K24" s="729"/>
      <c r="L24" s="724"/>
      <c r="M24" s="725"/>
      <c r="N24" s="730"/>
      <c r="O24" s="728"/>
      <c r="Q24" s="960"/>
      <c r="R24" s="961"/>
      <c r="S24" s="959"/>
      <c r="T24" s="710"/>
      <c r="U24" s="960"/>
      <c r="V24" s="961"/>
      <c r="W24" s="963">
        <v>1596102.03</v>
      </c>
    </row>
    <row r="25" spans="2:23" ht="11.25" customHeight="1">
      <c r="B25" s="736" t="s">
        <v>43</v>
      </c>
      <c r="C25" s="1013" t="s">
        <v>44</v>
      </c>
      <c r="D25" s="738" t="s">
        <v>291</v>
      </c>
      <c r="E25" s="739">
        <v>1</v>
      </c>
      <c r="F25" s="740">
        <v>11.5</v>
      </c>
      <c r="G25" s="741">
        <v>524.91999999999996</v>
      </c>
      <c r="H25" s="742">
        <f t="shared" ref="H25:H49" si="0">+ROUND(E25*F25*G25,2)</f>
        <v>6036.58</v>
      </c>
      <c r="I25" s="1059">
        <f>LOOKUP(B25,valoriz!$A$13:$A$242,valoriz!I$13:I$242)</f>
        <v>0</v>
      </c>
      <c r="J25" s="744">
        <f>+ROUND(E25*F25*I25,2)</f>
        <v>0</v>
      </c>
      <c r="K25" s="745">
        <v>21.41</v>
      </c>
      <c r="L25" s="746" t="e">
        <f t="shared" ref="L25:L49" si="1">D$17</f>
        <v>#REF!</v>
      </c>
      <c r="M25" s="747" t="e">
        <f t="shared" ref="M25:M49" si="2">D$16</f>
        <v>#REF!</v>
      </c>
      <c r="N25" s="748">
        <f>+ROUND(J25*K25*M$18,2)</f>
        <v>0</v>
      </c>
      <c r="O25" s="882" t="e">
        <f t="shared" ref="O25:O49" si="3">+ROUND(J25*K25*L25*M$18/M25,2)</f>
        <v>#REF!</v>
      </c>
      <c r="Q25" s="965">
        <v>3979.24</v>
      </c>
      <c r="R25" s="966">
        <f t="shared" ref="R25:R49" si="4">+J25+Q25</f>
        <v>3979.24</v>
      </c>
      <c r="S25" s="967">
        <f t="shared" ref="S25:S49" si="5">+IF((H25-R25)&lt;0,"BAD", H25-R25)</f>
        <v>2057.34</v>
      </c>
      <c r="T25" s="964"/>
      <c r="U25" s="965" t="e">
        <f>+ROUND(Q25*$K25*$L25/$M25,2)</f>
        <v>#REF!</v>
      </c>
      <c r="V25" s="966" t="e">
        <f>+ROUND(R25*$K25*$L25/$M25,2)</f>
        <v>#REF!</v>
      </c>
      <c r="W25" s="1147"/>
    </row>
    <row r="26" spans="2:23" ht="11.25" customHeight="1">
      <c r="B26" s="736" t="s">
        <v>45</v>
      </c>
      <c r="C26" s="1013" t="s">
        <v>46</v>
      </c>
      <c r="D26" s="738" t="s">
        <v>291</v>
      </c>
      <c r="E26" s="739">
        <v>1</v>
      </c>
      <c r="F26" s="740">
        <v>9</v>
      </c>
      <c r="G26" s="741">
        <v>2464.37</v>
      </c>
      <c r="H26" s="742">
        <f t="shared" si="0"/>
        <v>22179.33</v>
      </c>
      <c r="I26" s="1059">
        <f>LOOKUP(B26,valoriz!$A$13:$A$242,valoriz!I$13:I$242)</f>
        <v>0</v>
      </c>
      <c r="J26" s="744">
        <f>+ROUND(E26*F26*I26,2)</f>
        <v>0</v>
      </c>
      <c r="K26" s="745">
        <f t="shared" ref="K26:K49" si="6">+K25</f>
        <v>21.41</v>
      </c>
      <c r="L26" s="746" t="e">
        <f t="shared" si="1"/>
        <v>#REF!</v>
      </c>
      <c r="M26" s="747" t="e">
        <f t="shared" si="2"/>
        <v>#REF!</v>
      </c>
      <c r="N26" s="748">
        <f t="shared" ref="N26:N49" si="7">+ROUND(J26*K26*M$18,2)</f>
        <v>0</v>
      </c>
      <c r="O26" s="882" t="e">
        <f t="shared" si="3"/>
        <v>#REF!</v>
      </c>
      <c r="Q26" s="965">
        <v>10469.34</v>
      </c>
      <c r="R26" s="966">
        <f t="shared" si="4"/>
        <v>10469.34</v>
      </c>
      <c r="S26" s="967">
        <f t="shared" si="5"/>
        <v>11709.990000000002</v>
      </c>
      <c r="T26" s="964"/>
      <c r="U26" s="965" t="e">
        <f t="shared" ref="U26:U49" si="8">+ROUND(Q26*$K26*$L26/$M26,2)</f>
        <v>#REF!</v>
      </c>
      <c r="V26" s="966" t="e">
        <f t="shared" ref="V26:V48" si="9">+ROUND(R26*$K26*$L26/$M26,2)</f>
        <v>#REF!</v>
      </c>
      <c r="W26" s="1147"/>
    </row>
    <row r="27" spans="2:23" ht="11.25" customHeight="1">
      <c r="B27" s="736" t="s">
        <v>47</v>
      </c>
      <c r="C27" s="1013" t="s">
        <v>48</v>
      </c>
      <c r="D27" s="738" t="s">
        <v>291</v>
      </c>
      <c r="E27" s="739">
        <v>1</v>
      </c>
      <c r="F27" s="740">
        <v>7.5</v>
      </c>
      <c r="G27" s="741">
        <v>1247.03</v>
      </c>
      <c r="H27" s="742">
        <f t="shared" si="0"/>
        <v>9352.73</v>
      </c>
      <c r="I27" s="1059">
        <f>LOOKUP(B27,valoriz!$A$13:$A$242,valoriz!I$13:I$242)</f>
        <v>0</v>
      </c>
      <c r="J27" s="744">
        <f>+ROUND(E27*F27*I27,2)</f>
        <v>0</v>
      </c>
      <c r="K27" s="745">
        <f t="shared" si="6"/>
        <v>21.41</v>
      </c>
      <c r="L27" s="746" t="e">
        <f t="shared" si="1"/>
        <v>#REF!</v>
      </c>
      <c r="M27" s="747" t="e">
        <f t="shared" si="2"/>
        <v>#REF!</v>
      </c>
      <c r="N27" s="748">
        <f t="shared" si="7"/>
        <v>0</v>
      </c>
      <c r="O27" s="882" t="e">
        <f t="shared" si="3"/>
        <v>#REF!</v>
      </c>
      <c r="Q27" s="965">
        <v>5260.59</v>
      </c>
      <c r="R27" s="966">
        <f t="shared" si="4"/>
        <v>5260.59</v>
      </c>
      <c r="S27" s="967">
        <f t="shared" si="5"/>
        <v>4092.1399999999994</v>
      </c>
      <c r="T27" s="964"/>
      <c r="U27" s="965" t="e">
        <f t="shared" si="8"/>
        <v>#REF!</v>
      </c>
      <c r="V27" s="966" t="e">
        <f t="shared" si="9"/>
        <v>#REF!</v>
      </c>
      <c r="W27" s="1147"/>
    </row>
    <row r="28" spans="2:23" ht="11.25" customHeight="1">
      <c r="B28" s="736" t="s">
        <v>49</v>
      </c>
      <c r="C28" s="1013" t="s">
        <v>50</v>
      </c>
      <c r="D28" s="738" t="s">
        <v>291</v>
      </c>
      <c r="E28" s="739">
        <v>1</v>
      </c>
      <c r="F28" s="740">
        <v>5</v>
      </c>
      <c r="G28" s="741">
        <v>264.64</v>
      </c>
      <c r="H28" s="742">
        <f t="shared" si="0"/>
        <v>1323.2</v>
      </c>
      <c r="I28" s="1059">
        <f>LOOKUP(B28,valoriz!$A$13:$A$242,valoriz!I$13:I$242)</f>
        <v>0</v>
      </c>
      <c r="J28" s="744">
        <f>+ROUND(E28*F28*I28,2)</f>
        <v>0</v>
      </c>
      <c r="K28" s="745">
        <f t="shared" si="6"/>
        <v>21.41</v>
      </c>
      <c r="L28" s="746" t="e">
        <f t="shared" si="1"/>
        <v>#REF!</v>
      </c>
      <c r="M28" s="747" t="e">
        <f t="shared" si="2"/>
        <v>#REF!</v>
      </c>
      <c r="N28" s="748">
        <f t="shared" si="7"/>
        <v>0</v>
      </c>
      <c r="O28" s="882" t="e">
        <f t="shared" si="3"/>
        <v>#REF!</v>
      </c>
      <c r="Q28" s="965">
        <v>670.35</v>
      </c>
      <c r="R28" s="966">
        <f t="shared" si="4"/>
        <v>670.35</v>
      </c>
      <c r="S28" s="967">
        <f t="shared" si="5"/>
        <v>652.85</v>
      </c>
      <c r="T28" s="964"/>
      <c r="U28" s="965" t="e">
        <f t="shared" si="8"/>
        <v>#REF!</v>
      </c>
      <c r="V28" s="966" t="e">
        <f t="shared" si="9"/>
        <v>#REF!</v>
      </c>
      <c r="W28" s="1147"/>
    </row>
    <row r="29" spans="2:23" ht="11.25" customHeight="1">
      <c r="B29" s="757" t="s">
        <v>51</v>
      </c>
      <c r="C29" s="1013" t="s">
        <v>52</v>
      </c>
      <c r="D29" s="738" t="s">
        <v>291</v>
      </c>
      <c r="E29" s="739">
        <v>0.8</v>
      </c>
      <c r="F29" s="740">
        <v>7.5</v>
      </c>
      <c r="G29" s="741">
        <v>1054.8399999999999</v>
      </c>
      <c r="H29" s="742">
        <f t="shared" si="0"/>
        <v>6329.04</v>
      </c>
      <c r="I29" s="743">
        <f>LOOKUP(B29,valoriz!$A$13:$A$242,valoriz!I$13:I$242)</f>
        <v>0</v>
      </c>
      <c r="J29" s="744">
        <f t="shared" ref="J29:J49" si="10">+ROUND(E29*F29*I29,2)</f>
        <v>0</v>
      </c>
      <c r="K29" s="745">
        <f t="shared" si="6"/>
        <v>21.41</v>
      </c>
      <c r="L29" s="746" t="e">
        <f t="shared" si="1"/>
        <v>#REF!</v>
      </c>
      <c r="M29" s="747" t="e">
        <f t="shared" si="2"/>
        <v>#REF!</v>
      </c>
      <c r="N29" s="748">
        <f>+ROUND(J29*K29*M$18,2)</f>
        <v>0</v>
      </c>
      <c r="O29" s="882" t="e">
        <f t="shared" si="3"/>
        <v>#REF!</v>
      </c>
      <c r="Q29" s="965">
        <v>3825.78</v>
      </c>
      <c r="R29" s="966">
        <f t="shared" si="4"/>
        <v>3825.78</v>
      </c>
      <c r="S29" s="967">
        <f t="shared" si="5"/>
        <v>2503.2599999999998</v>
      </c>
      <c r="T29" s="964"/>
      <c r="U29" s="965" t="e">
        <f t="shared" si="8"/>
        <v>#REF!</v>
      </c>
      <c r="V29" s="966" t="e">
        <f t="shared" si="9"/>
        <v>#REF!</v>
      </c>
      <c r="W29" s="1147"/>
    </row>
    <row r="30" spans="2:23" ht="11.25" customHeight="1">
      <c r="B30" s="757" t="s">
        <v>57</v>
      </c>
      <c r="C30" s="1013" t="s">
        <v>58</v>
      </c>
      <c r="D30" s="738" t="s">
        <v>174</v>
      </c>
      <c r="E30" s="739">
        <v>0.189</v>
      </c>
      <c r="F30" s="740">
        <v>7</v>
      </c>
      <c r="G30" s="741">
        <v>4206</v>
      </c>
      <c r="H30" s="742">
        <f t="shared" si="0"/>
        <v>5564.54</v>
      </c>
      <c r="I30" s="743">
        <f>LOOKUP(B30,valoriz!$A$13:$A$242,valoriz!I$13:I$242)</f>
        <v>0</v>
      </c>
      <c r="J30" s="744">
        <f t="shared" si="10"/>
        <v>0</v>
      </c>
      <c r="K30" s="745">
        <f t="shared" si="6"/>
        <v>21.41</v>
      </c>
      <c r="L30" s="746" t="e">
        <f t="shared" si="1"/>
        <v>#REF!</v>
      </c>
      <c r="M30" s="747" t="e">
        <f t="shared" si="2"/>
        <v>#REF!</v>
      </c>
      <c r="N30" s="748">
        <f t="shared" si="7"/>
        <v>0</v>
      </c>
      <c r="O30" s="882" t="e">
        <f t="shared" si="3"/>
        <v>#REF!</v>
      </c>
      <c r="Q30" s="965">
        <v>5298.62</v>
      </c>
      <c r="R30" s="966">
        <f t="shared" si="4"/>
        <v>5298.62</v>
      </c>
      <c r="S30" s="967">
        <f t="shared" si="5"/>
        <v>265.92000000000007</v>
      </c>
      <c r="T30" s="964"/>
      <c r="U30" s="965" t="e">
        <f t="shared" si="8"/>
        <v>#REF!</v>
      </c>
      <c r="V30" s="966" t="e">
        <f t="shared" si="9"/>
        <v>#REF!</v>
      </c>
      <c r="W30" s="1147"/>
    </row>
    <row r="31" spans="2:23" ht="11.25" customHeight="1">
      <c r="B31" s="757" t="s">
        <v>59</v>
      </c>
      <c r="C31" s="1013" t="s">
        <v>60</v>
      </c>
      <c r="D31" s="738" t="s">
        <v>174</v>
      </c>
      <c r="E31" s="739">
        <v>0.17199999999999999</v>
      </c>
      <c r="F31" s="740">
        <v>7</v>
      </c>
      <c r="G31" s="754">
        <v>3942</v>
      </c>
      <c r="H31" s="742">
        <f t="shared" si="0"/>
        <v>4746.17</v>
      </c>
      <c r="I31" s="743">
        <f>LOOKUP(B31,valoriz!$A$13:$A$242,valoriz!I$13:I$242)</f>
        <v>0</v>
      </c>
      <c r="J31" s="744">
        <f t="shared" si="10"/>
        <v>0</v>
      </c>
      <c r="K31" s="745">
        <f t="shared" si="6"/>
        <v>21.41</v>
      </c>
      <c r="L31" s="746" t="e">
        <f t="shared" si="1"/>
        <v>#REF!</v>
      </c>
      <c r="M31" s="747" t="e">
        <f t="shared" si="2"/>
        <v>#REF!</v>
      </c>
      <c r="N31" s="748">
        <f t="shared" si="7"/>
        <v>0</v>
      </c>
      <c r="O31" s="882" t="e">
        <f t="shared" si="3"/>
        <v>#REF!</v>
      </c>
      <c r="Q31" s="965">
        <v>-139.13</v>
      </c>
      <c r="R31" s="966">
        <f t="shared" si="4"/>
        <v>-139.13</v>
      </c>
      <c r="S31" s="967">
        <f t="shared" si="5"/>
        <v>4885.3</v>
      </c>
      <c r="T31" s="964"/>
      <c r="U31" s="965" t="e">
        <f t="shared" si="8"/>
        <v>#REF!</v>
      </c>
      <c r="V31" s="966" t="e">
        <f t="shared" si="9"/>
        <v>#REF!</v>
      </c>
      <c r="W31" s="1147"/>
    </row>
    <row r="32" spans="2:23" ht="11.25" customHeight="1">
      <c r="B32" s="757" t="s">
        <v>61</v>
      </c>
      <c r="C32" s="1013" t="s">
        <v>62</v>
      </c>
      <c r="D32" s="738" t="s">
        <v>174</v>
      </c>
      <c r="E32" s="739">
        <v>0.188</v>
      </c>
      <c r="F32" s="740">
        <v>7</v>
      </c>
      <c r="G32" s="754">
        <v>41679.79</v>
      </c>
      <c r="H32" s="742">
        <f t="shared" si="0"/>
        <v>54850.6</v>
      </c>
      <c r="I32" s="743">
        <f>LOOKUP(B32,valoriz!$A$13:$A$242,valoriz!I$13:I$242)</f>
        <v>0</v>
      </c>
      <c r="J32" s="972">
        <f>+ROUND(E32*F32*I32,2)-5583.5496</f>
        <v>-5583.5496000000003</v>
      </c>
      <c r="K32" s="745">
        <f t="shared" si="6"/>
        <v>21.41</v>
      </c>
      <c r="L32" s="746" t="e">
        <f t="shared" si="1"/>
        <v>#REF!</v>
      </c>
      <c r="M32" s="747" t="e">
        <f t="shared" si="2"/>
        <v>#REF!</v>
      </c>
      <c r="N32" s="748">
        <f t="shared" si="7"/>
        <v>-119543.8</v>
      </c>
      <c r="O32" s="882" t="e">
        <f t="shared" si="3"/>
        <v>#REF!</v>
      </c>
      <c r="Q32" s="965">
        <v>27356.74</v>
      </c>
      <c r="R32" s="966">
        <f t="shared" si="4"/>
        <v>21773.190399999999</v>
      </c>
      <c r="S32" s="967">
        <f t="shared" si="5"/>
        <v>33077.409599999999</v>
      </c>
      <c r="T32" s="964"/>
      <c r="U32" s="965" t="e">
        <f t="shared" si="8"/>
        <v>#REF!</v>
      </c>
      <c r="V32" s="966" t="e">
        <f t="shared" si="9"/>
        <v>#REF!</v>
      </c>
      <c r="W32" s="1147"/>
    </row>
    <row r="33" spans="2:23" ht="11.25" customHeight="1">
      <c r="B33" s="736" t="s">
        <v>63</v>
      </c>
      <c r="C33" s="1013" t="s">
        <v>64</v>
      </c>
      <c r="D33" s="755" t="s">
        <v>174</v>
      </c>
      <c r="E33" s="739">
        <v>0.18</v>
      </c>
      <c r="F33" s="740">
        <v>7</v>
      </c>
      <c r="G33" s="754">
        <v>4324.7</v>
      </c>
      <c r="H33" s="742">
        <f t="shared" si="0"/>
        <v>5449.12</v>
      </c>
      <c r="I33" s="743">
        <f>LOOKUP(B33,valoriz!$A$13:$A$242,valoriz!I$13:I$242)</f>
        <v>0</v>
      </c>
      <c r="J33" s="744">
        <f t="shared" si="10"/>
        <v>0</v>
      </c>
      <c r="K33" s="745">
        <f t="shared" si="6"/>
        <v>21.41</v>
      </c>
      <c r="L33" s="746" t="e">
        <f t="shared" si="1"/>
        <v>#REF!</v>
      </c>
      <c r="M33" s="747" t="e">
        <f t="shared" si="2"/>
        <v>#REF!</v>
      </c>
      <c r="N33" s="748">
        <f t="shared" si="7"/>
        <v>0</v>
      </c>
      <c r="O33" s="882" t="e">
        <f t="shared" si="3"/>
        <v>#REF!</v>
      </c>
      <c r="Q33" s="965">
        <v>5449.12</v>
      </c>
      <c r="R33" s="966">
        <f t="shared" si="4"/>
        <v>5449.12</v>
      </c>
      <c r="S33" s="967">
        <f t="shared" si="5"/>
        <v>0</v>
      </c>
      <c r="T33" s="964"/>
      <c r="U33" s="965" t="e">
        <f t="shared" si="8"/>
        <v>#REF!</v>
      </c>
      <c r="V33" s="966" t="e">
        <f t="shared" si="9"/>
        <v>#REF!</v>
      </c>
      <c r="W33" s="1147"/>
    </row>
    <row r="34" spans="2:23" ht="11.25" customHeight="1">
      <c r="B34" s="736" t="s">
        <v>65</v>
      </c>
      <c r="C34" s="1013" t="s">
        <v>66</v>
      </c>
      <c r="D34" s="755" t="s">
        <v>174</v>
      </c>
      <c r="E34" s="739">
        <v>0.155</v>
      </c>
      <c r="F34" s="740">
        <v>7</v>
      </c>
      <c r="G34" s="754">
        <v>93</v>
      </c>
      <c r="H34" s="742">
        <f t="shared" si="0"/>
        <v>100.91</v>
      </c>
      <c r="I34" s="743">
        <f>LOOKUP(B34,valoriz!$A$13:$A$242,valoriz!I$13:I$242)</f>
        <v>0</v>
      </c>
      <c r="J34" s="744">
        <f t="shared" si="10"/>
        <v>0</v>
      </c>
      <c r="K34" s="745">
        <f t="shared" si="6"/>
        <v>21.41</v>
      </c>
      <c r="L34" s="746" t="e">
        <f t="shared" si="1"/>
        <v>#REF!</v>
      </c>
      <c r="M34" s="747" t="e">
        <f t="shared" si="2"/>
        <v>#REF!</v>
      </c>
      <c r="N34" s="748">
        <f t="shared" si="7"/>
        <v>0</v>
      </c>
      <c r="O34" s="882" t="e">
        <f t="shared" si="3"/>
        <v>#REF!</v>
      </c>
      <c r="Q34" s="965">
        <v>51</v>
      </c>
      <c r="R34" s="966">
        <f t="shared" si="4"/>
        <v>51</v>
      </c>
      <c r="S34" s="967">
        <f t="shared" si="5"/>
        <v>49.91</v>
      </c>
      <c r="T34" s="964"/>
      <c r="U34" s="965" t="e">
        <f t="shared" si="8"/>
        <v>#REF!</v>
      </c>
      <c r="V34" s="966" t="e">
        <f t="shared" si="9"/>
        <v>#REF!</v>
      </c>
      <c r="W34" s="1147"/>
    </row>
    <row r="35" spans="2:23" ht="11.25" customHeight="1">
      <c r="B35" s="736" t="s">
        <v>67</v>
      </c>
      <c r="C35" s="1013" t="s">
        <v>68</v>
      </c>
      <c r="D35" s="755" t="s">
        <v>174</v>
      </c>
      <c r="E35" s="739">
        <v>0.313</v>
      </c>
      <c r="F35" s="740">
        <v>7</v>
      </c>
      <c r="G35" s="754">
        <v>212</v>
      </c>
      <c r="H35" s="742">
        <f t="shared" si="0"/>
        <v>464.49</v>
      </c>
      <c r="I35" s="743">
        <f>LOOKUP(B35,valoriz!$A$13:$A$242,valoriz!I$13:I$242)</f>
        <v>0</v>
      </c>
      <c r="J35" s="744">
        <f t="shared" si="10"/>
        <v>0</v>
      </c>
      <c r="K35" s="745">
        <f t="shared" si="6"/>
        <v>21.41</v>
      </c>
      <c r="L35" s="746" t="e">
        <f t="shared" si="1"/>
        <v>#REF!</v>
      </c>
      <c r="M35" s="747" t="e">
        <f t="shared" si="2"/>
        <v>#REF!</v>
      </c>
      <c r="N35" s="748">
        <f t="shared" si="7"/>
        <v>0</v>
      </c>
      <c r="O35" s="882" t="e">
        <f t="shared" si="3"/>
        <v>#REF!</v>
      </c>
      <c r="Q35" s="965">
        <v>464.49</v>
      </c>
      <c r="R35" s="966">
        <f t="shared" si="4"/>
        <v>464.49</v>
      </c>
      <c r="S35" s="967">
        <f t="shared" si="5"/>
        <v>0</v>
      </c>
      <c r="T35" s="964"/>
      <c r="U35" s="965" t="e">
        <f t="shared" si="8"/>
        <v>#REF!</v>
      </c>
      <c r="V35" s="966" t="e">
        <f t="shared" si="9"/>
        <v>#REF!</v>
      </c>
      <c r="W35" s="1147"/>
    </row>
    <row r="36" spans="2:23" ht="11.25" customHeight="1">
      <c r="B36" s="757" t="s">
        <v>69</v>
      </c>
      <c r="C36" s="1027" t="s">
        <v>70</v>
      </c>
      <c r="D36" s="755" t="s">
        <v>174</v>
      </c>
      <c r="E36" s="739">
        <v>0.17</v>
      </c>
      <c r="F36" s="740">
        <v>7</v>
      </c>
      <c r="G36" s="754">
        <v>90</v>
      </c>
      <c r="H36" s="742">
        <f t="shared" si="0"/>
        <v>107.1</v>
      </c>
      <c r="I36" s="743">
        <f>LOOKUP(B36,valoriz!$A$13:$A$242,valoriz!I$13:I$242)</f>
        <v>0</v>
      </c>
      <c r="J36" s="744">
        <f t="shared" si="10"/>
        <v>0</v>
      </c>
      <c r="K36" s="745">
        <f t="shared" si="6"/>
        <v>21.41</v>
      </c>
      <c r="L36" s="746" t="e">
        <f t="shared" si="1"/>
        <v>#REF!</v>
      </c>
      <c r="M36" s="747" t="e">
        <f t="shared" si="2"/>
        <v>#REF!</v>
      </c>
      <c r="N36" s="748">
        <f t="shared" si="7"/>
        <v>0</v>
      </c>
      <c r="O36" s="882" t="e">
        <f t="shared" si="3"/>
        <v>#REF!</v>
      </c>
      <c r="Q36" s="965">
        <v>0</v>
      </c>
      <c r="R36" s="966">
        <f t="shared" si="4"/>
        <v>0</v>
      </c>
      <c r="S36" s="967">
        <f t="shared" si="5"/>
        <v>107.1</v>
      </c>
      <c r="T36" s="964"/>
      <c r="U36" s="965" t="e">
        <f t="shared" si="8"/>
        <v>#REF!</v>
      </c>
      <c r="V36" s="966" t="e">
        <f t="shared" si="9"/>
        <v>#REF!</v>
      </c>
      <c r="W36" s="1147"/>
    </row>
    <row r="37" spans="2:23" ht="11.25" customHeight="1">
      <c r="B37" s="757" t="s">
        <v>71</v>
      </c>
      <c r="C37" s="1027" t="s">
        <v>72</v>
      </c>
      <c r="D37" s="755" t="s">
        <v>174</v>
      </c>
      <c r="E37" s="739">
        <v>0.16200000000000001</v>
      </c>
      <c r="F37" s="740">
        <v>7</v>
      </c>
      <c r="G37" s="754">
        <v>4332.3</v>
      </c>
      <c r="H37" s="742">
        <f t="shared" si="0"/>
        <v>4912.83</v>
      </c>
      <c r="I37" s="743">
        <f>LOOKUP(B37,valoriz!$A$13:$A$242,valoriz!I$13:I$242)</f>
        <v>0</v>
      </c>
      <c r="J37" s="744">
        <f t="shared" si="10"/>
        <v>0</v>
      </c>
      <c r="K37" s="745">
        <f t="shared" si="6"/>
        <v>21.41</v>
      </c>
      <c r="L37" s="746" t="e">
        <f t="shared" si="1"/>
        <v>#REF!</v>
      </c>
      <c r="M37" s="747" t="e">
        <f t="shared" si="2"/>
        <v>#REF!</v>
      </c>
      <c r="N37" s="748">
        <f t="shared" si="7"/>
        <v>0</v>
      </c>
      <c r="O37" s="882" t="e">
        <f t="shared" si="3"/>
        <v>#REF!</v>
      </c>
      <c r="Q37" s="965">
        <v>2186.92</v>
      </c>
      <c r="R37" s="966">
        <f t="shared" si="4"/>
        <v>2186.92</v>
      </c>
      <c r="S37" s="967">
        <f t="shared" si="5"/>
        <v>2725.91</v>
      </c>
      <c r="T37" s="964"/>
      <c r="U37" s="965" t="e">
        <f t="shared" si="8"/>
        <v>#REF!</v>
      </c>
      <c r="V37" s="966" t="e">
        <f t="shared" si="9"/>
        <v>#REF!</v>
      </c>
      <c r="W37" s="1147"/>
    </row>
    <row r="38" spans="2:23" ht="11.25" customHeight="1">
      <c r="B38" s="757" t="s">
        <v>73</v>
      </c>
      <c r="C38" s="1027" t="s">
        <v>74</v>
      </c>
      <c r="D38" s="738" t="s">
        <v>174</v>
      </c>
      <c r="E38" s="739">
        <v>0.09</v>
      </c>
      <c r="F38" s="740">
        <v>7</v>
      </c>
      <c r="G38" s="754">
        <v>1965</v>
      </c>
      <c r="H38" s="742">
        <f t="shared" si="0"/>
        <v>1237.95</v>
      </c>
      <c r="I38" s="743">
        <f>LOOKUP(B38,valoriz!$A$13:$A$242,valoriz!I$13:I$242)</f>
        <v>0</v>
      </c>
      <c r="J38" s="744">
        <f t="shared" si="10"/>
        <v>0</v>
      </c>
      <c r="K38" s="745">
        <f t="shared" si="6"/>
        <v>21.41</v>
      </c>
      <c r="L38" s="746" t="e">
        <f t="shared" si="1"/>
        <v>#REF!</v>
      </c>
      <c r="M38" s="747" t="e">
        <f t="shared" si="2"/>
        <v>#REF!</v>
      </c>
      <c r="N38" s="748">
        <f t="shared" si="7"/>
        <v>0</v>
      </c>
      <c r="O38" s="882" t="e">
        <f t="shared" si="3"/>
        <v>#REF!</v>
      </c>
      <c r="Q38" s="965">
        <v>247.59</v>
      </c>
      <c r="R38" s="966">
        <f t="shared" si="4"/>
        <v>247.59</v>
      </c>
      <c r="S38" s="967">
        <f t="shared" si="5"/>
        <v>990.36</v>
      </c>
      <c r="T38" s="964"/>
      <c r="U38" s="965" t="e">
        <f t="shared" si="8"/>
        <v>#REF!</v>
      </c>
      <c r="V38" s="966" t="e">
        <f t="shared" si="9"/>
        <v>#REF!</v>
      </c>
      <c r="W38" s="1147"/>
    </row>
    <row r="39" spans="2:23" ht="11.25" customHeight="1">
      <c r="B39" s="757" t="s">
        <v>75</v>
      </c>
      <c r="C39" s="1027" t="s">
        <v>76</v>
      </c>
      <c r="D39" s="738" t="s">
        <v>174</v>
      </c>
      <c r="E39" s="739">
        <v>8.2000000000000003E-2</v>
      </c>
      <c r="F39" s="740">
        <v>7</v>
      </c>
      <c r="G39" s="752">
        <v>215</v>
      </c>
      <c r="H39" s="742">
        <f t="shared" si="0"/>
        <v>123.41</v>
      </c>
      <c r="I39" s="743">
        <f>LOOKUP(B39,valoriz!$A$13:$A$242,valoriz!I$13:I$242)</f>
        <v>0</v>
      </c>
      <c r="J39" s="744">
        <f t="shared" si="10"/>
        <v>0</v>
      </c>
      <c r="K39" s="745">
        <f t="shared" si="6"/>
        <v>21.41</v>
      </c>
      <c r="L39" s="746" t="e">
        <f t="shared" si="1"/>
        <v>#REF!</v>
      </c>
      <c r="M39" s="747" t="e">
        <f t="shared" si="2"/>
        <v>#REF!</v>
      </c>
      <c r="N39" s="748">
        <f t="shared" si="7"/>
        <v>0</v>
      </c>
      <c r="O39" s="882" t="e">
        <f t="shared" si="3"/>
        <v>#REF!</v>
      </c>
      <c r="Q39" s="965">
        <v>0</v>
      </c>
      <c r="R39" s="966">
        <f t="shared" si="4"/>
        <v>0</v>
      </c>
      <c r="S39" s="967">
        <f t="shared" si="5"/>
        <v>123.41</v>
      </c>
      <c r="T39" s="964"/>
      <c r="U39" s="965" t="e">
        <f t="shared" si="8"/>
        <v>#REF!</v>
      </c>
      <c r="V39" s="966" t="e">
        <f t="shared" si="9"/>
        <v>#REF!</v>
      </c>
      <c r="W39" s="1147"/>
    </row>
    <row r="40" spans="2:23" ht="11.25" customHeight="1">
      <c r="B40" s="757" t="s">
        <v>77</v>
      </c>
      <c r="C40" s="1027" t="s">
        <v>78</v>
      </c>
      <c r="D40" s="755" t="s">
        <v>174</v>
      </c>
      <c r="E40" s="739">
        <v>7.0000000000000007E-2</v>
      </c>
      <c r="F40" s="740">
        <v>7</v>
      </c>
      <c r="G40" s="754">
        <v>1676</v>
      </c>
      <c r="H40" s="742">
        <f t="shared" si="0"/>
        <v>821.24</v>
      </c>
      <c r="I40" s="743">
        <f>LOOKUP(B40,valoriz!$A$13:$A$242,valoriz!I$13:I$242)</f>
        <v>0</v>
      </c>
      <c r="J40" s="744">
        <f t="shared" si="10"/>
        <v>0</v>
      </c>
      <c r="K40" s="745">
        <f t="shared" si="6"/>
        <v>21.41</v>
      </c>
      <c r="L40" s="746" t="e">
        <f t="shared" si="1"/>
        <v>#REF!</v>
      </c>
      <c r="M40" s="747" t="e">
        <f t="shared" si="2"/>
        <v>#REF!</v>
      </c>
      <c r="N40" s="748">
        <f t="shared" si="7"/>
        <v>0</v>
      </c>
      <c r="O40" s="882" t="e">
        <f t="shared" si="3"/>
        <v>#REF!</v>
      </c>
      <c r="Q40" s="965">
        <v>406.7</v>
      </c>
      <c r="R40" s="966">
        <f t="shared" si="4"/>
        <v>406.7</v>
      </c>
      <c r="S40" s="967">
        <f t="shared" si="5"/>
        <v>414.54</v>
      </c>
      <c r="T40" s="964"/>
      <c r="U40" s="965" t="e">
        <f t="shared" si="8"/>
        <v>#REF!</v>
      </c>
      <c r="V40" s="966" t="e">
        <f t="shared" si="9"/>
        <v>#REF!</v>
      </c>
      <c r="W40" s="1147"/>
    </row>
    <row r="41" spans="2:23" ht="11.25" customHeight="1">
      <c r="B41" s="757" t="s">
        <v>79</v>
      </c>
      <c r="C41" s="1027" t="s">
        <v>80</v>
      </c>
      <c r="D41" s="755" t="s">
        <v>174</v>
      </c>
      <c r="E41" s="739">
        <v>8.2000000000000003E-2</v>
      </c>
      <c r="F41" s="740">
        <v>7</v>
      </c>
      <c r="G41" s="754">
        <v>348</v>
      </c>
      <c r="H41" s="742">
        <f t="shared" si="0"/>
        <v>199.75</v>
      </c>
      <c r="I41" s="743">
        <f>LOOKUP(B41,valoriz!$A$13:$A$242,valoriz!I$13:I$242)</f>
        <v>0</v>
      </c>
      <c r="J41" s="744">
        <f t="shared" si="10"/>
        <v>0</v>
      </c>
      <c r="K41" s="745">
        <f t="shared" si="6"/>
        <v>21.41</v>
      </c>
      <c r="L41" s="746" t="e">
        <f t="shared" si="1"/>
        <v>#REF!</v>
      </c>
      <c r="M41" s="747" t="e">
        <f t="shared" si="2"/>
        <v>#REF!</v>
      </c>
      <c r="N41" s="748">
        <f t="shared" si="7"/>
        <v>0</v>
      </c>
      <c r="O41" s="882" t="e">
        <f t="shared" si="3"/>
        <v>#REF!</v>
      </c>
      <c r="Q41" s="965">
        <v>0</v>
      </c>
      <c r="R41" s="966">
        <f t="shared" si="4"/>
        <v>0</v>
      </c>
      <c r="S41" s="967">
        <f t="shared" si="5"/>
        <v>199.75</v>
      </c>
      <c r="T41" s="964"/>
      <c r="U41" s="965" t="e">
        <f t="shared" si="8"/>
        <v>#REF!</v>
      </c>
      <c r="V41" s="966" t="e">
        <f t="shared" si="9"/>
        <v>#REF!</v>
      </c>
      <c r="W41" s="1147"/>
    </row>
    <row r="42" spans="2:23" ht="11.25" customHeight="1">
      <c r="B42" s="757" t="s">
        <v>81</v>
      </c>
      <c r="C42" s="1027" t="s">
        <v>82</v>
      </c>
      <c r="D42" s="755" t="s">
        <v>601</v>
      </c>
      <c r="E42" s="739">
        <v>0.21</v>
      </c>
      <c r="F42" s="740">
        <v>7</v>
      </c>
      <c r="G42" s="754">
        <v>60</v>
      </c>
      <c r="H42" s="742">
        <f t="shared" si="0"/>
        <v>88.2</v>
      </c>
      <c r="I42" s="743">
        <f>LOOKUP(B42,valoriz!$A$13:$A$242,valoriz!I$13:I$242)</f>
        <v>0</v>
      </c>
      <c r="J42" s="744">
        <f t="shared" si="10"/>
        <v>0</v>
      </c>
      <c r="K42" s="745">
        <f t="shared" si="6"/>
        <v>21.41</v>
      </c>
      <c r="L42" s="746" t="e">
        <f t="shared" si="1"/>
        <v>#REF!</v>
      </c>
      <c r="M42" s="747" t="e">
        <f t="shared" si="2"/>
        <v>#REF!</v>
      </c>
      <c r="N42" s="748">
        <f t="shared" si="7"/>
        <v>0</v>
      </c>
      <c r="O42" s="882" t="e">
        <f t="shared" si="3"/>
        <v>#REF!</v>
      </c>
      <c r="Q42" s="965">
        <v>36.75</v>
      </c>
      <c r="R42" s="966">
        <f t="shared" si="4"/>
        <v>36.75</v>
      </c>
      <c r="S42" s="967">
        <f t="shared" si="5"/>
        <v>51.45</v>
      </c>
      <c r="T42" s="964"/>
      <c r="U42" s="965" t="e">
        <f t="shared" si="8"/>
        <v>#REF!</v>
      </c>
      <c r="V42" s="966" t="e">
        <f t="shared" si="9"/>
        <v>#REF!</v>
      </c>
      <c r="W42" s="1147"/>
    </row>
    <row r="43" spans="2:23" ht="11.25" customHeight="1">
      <c r="B43" s="757" t="s">
        <v>83</v>
      </c>
      <c r="C43" s="1027" t="s">
        <v>84</v>
      </c>
      <c r="D43" s="755" t="s">
        <v>174</v>
      </c>
      <c r="E43" s="739">
        <v>0.15</v>
      </c>
      <c r="F43" s="740">
        <v>7</v>
      </c>
      <c r="G43" s="754">
        <v>279</v>
      </c>
      <c r="H43" s="742">
        <f t="shared" si="0"/>
        <v>292.95</v>
      </c>
      <c r="I43" s="743">
        <f>LOOKUP(B43,valoriz!$A$13:$A$242,valoriz!I$13:I$242)</f>
        <v>0</v>
      </c>
      <c r="J43" s="744">
        <f t="shared" si="10"/>
        <v>0</v>
      </c>
      <c r="K43" s="745">
        <f t="shared" si="6"/>
        <v>21.41</v>
      </c>
      <c r="L43" s="746" t="e">
        <f t="shared" si="1"/>
        <v>#REF!</v>
      </c>
      <c r="M43" s="747" t="e">
        <f t="shared" si="2"/>
        <v>#REF!</v>
      </c>
      <c r="N43" s="748">
        <f t="shared" si="7"/>
        <v>0</v>
      </c>
      <c r="O43" s="882" t="e">
        <f t="shared" si="3"/>
        <v>#REF!</v>
      </c>
      <c r="Q43" s="965">
        <v>184.8</v>
      </c>
      <c r="R43" s="966">
        <f t="shared" si="4"/>
        <v>184.8</v>
      </c>
      <c r="S43" s="967">
        <f t="shared" si="5"/>
        <v>108.14999999999998</v>
      </c>
      <c r="T43" s="964"/>
      <c r="U43" s="965" t="e">
        <f t="shared" si="8"/>
        <v>#REF!</v>
      </c>
      <c r="V43" s="966" t="e">
        <f t="shared" si="9"/>
        <v>#REF!</v>
      </c>
      <c r="W43" s="1147"/>
    </row>
    <row r="44" spans="2:23" ht="11.25" customHeight="1">
      <c r="B44" s="757" t="s">
        <v>85</v>
      </c>
      <c r="C44" s="1027" t="s">
        <v>86</v>
      </c>
      <c r="D44" s="755" t="s">
        <v>174</v>
      </c>
      <c r="E44" s="739">
        <v>0.12</v>
      </c>
      <c r="F44" s="740">
        <v>7</v>
      </c>
      <c r="G44" s="754">
        <v>93</v>
      </c>
      <c r="H44" s="742">
        <f t="shared" si="0"/>
        <v>78.12</v>
      </c>
      <c r="I44" s="743">
        <f>LOOKUP(B44,valoriz!$A$13:$A$242,valoriz!I$13:I$242)</f>
        <v>0</v>
      </c>
      <c r="J44" s="744">
        <f t="shared" si="10"/>
        <v>0</v>
      </c>
      <c r="K44" s="745">
        <f t="shared" si="6"/>
        <v>21.41</v>
      </c>
      <c r="L44" s="746" t="e">
        <f t="shared" si="1"/>
        <v>#REF!</v>
      </c>
      <c r="M44" s="747" t="e">
        <f t="shared" si="2"/>
        <v>#REF!</v>
      </c>
      <c r="N44" s="748">
        <f t="shared" si="7"/>
        <v>0</v>
      </c>
      <c r="O44" s="882" t="e">
        <f t="shared" si="3"/>
        <v>#REF!</v>
      </c>
      <c r="Q44" s="965">
        <v>52.08</v>
      </c>
      <c r="R44" s="966">
        <f t="shared" si="4"/>
        <v>52.08</v>
      </c>
      <c r="S44" s="967">
        <f t="shared" si="5"/>
        <v>26.040000000000006</v>
      </c>
      <c r="T44" s="964"/>
      <c r="U44" s="965" t="e">
        <f t="shared" si="8"/>
        <v>#REF!</v>
      </c>
      <c r="V44" s="966" t="e">
        <f t="shared" si="9"/>
        <v>#REF!</v>
      </c>
      <c r="W44" s="1147"/>
    </row>
    <row r="45" spans="2:23" ht="11.25" customHeight="1">
      <c r="B45" s="757" t="s">
        <v>87</v>
      </c>
      <c r="C45" s="1027" t="s">
        <v>88</v>
      </c>
      <c r="D45" s="755" t="s">
        <v>173</v>
      </c>
      <c r="E45" s="739">
        <v>7.0000000000000007E-2</v>
      </c>
      <c r="F45" s="740">
        <v>7</v>
      </c>
      <c r="G45" s="754">
        <v>2317.2199999999998</v>
      </c>
      <c r="H45" s="742">
        <f t="shared" si="0"/>
        <v>1135.44</v>
      </c>
      <c r="I45" s="743">
        <f>LOOKUP(B45,valoriz!$A$13:$A$242,valoriz!I$13:I$242)</f>
        <v>0</v>
      </c>
      <c r="J45" s="744">
        <f t="shared" si="10"/>
        <v>0</v>
      </c>
      <c r="K45" s="745">
        <f t="shared" si="6"/>
        <v>21.41</v>
      </c>
      <c r="L45" s="746" t="e">
        <f t="shared" si="1"/>
        <v>#REF!</v>
      </c>
      <c r="M45" s="747" t="e">
        <f t="shared" si="2"/>
        <v>#REF!</v>
      </c>
      <c r="N45" s="748">
        <f t="shared" si="7"/>
        <v>0</v>
      </c>
      <c r="O45" s="882" t="e">
        <f t="shared" si="3"/>
        <v>#REF!</v>
      </c>
      <c r="Q45" s="965">
        <v>1110.06</v>
      </c>
      <c r="R45" s="966">
        <f t="shared" si="4"/>
        <v>1110.06</v>
      </c>
      <c r="S45" s="967">
        <f t="shared" si="5"/>
        <v>25.380000000000109</v>
      </c>
      <c r="T45" s="964"/>
      <c r="U45" s="965" t="e">
        <f t="shared" si="8"/>
        <v>#REF!</v>
      </c>
      <c r="V45" s="966" t="e">
        <f t="shared" si="9"/>
        <v>#REF!</v>
      </c>
      <c r="W45" s="1147"/>
    </row>
    <row r="46" spans="2:23" ht="11.25" customHeight="1">
      <c r="B46" s="757" t="s">
        <v>89</v>
      </c>
      <c r="C46" s="1027" t="s">
        <v>90</v>
      </c>
      <c r="D46" s="755" t="s">
        <v>173</v>
      </c>
      <c r="E46" s="739">
        <v>0.2</v>
      </c>
      <c r="F46" s="740">
        <v>7</v>
      </c>
      <c r="G46" s="754">
        <v>350.11</v>
      </c>
      <c r="H46" s="759">
        <f t="shared" si="0"/>
        <v>490.15</v>
      </c>
      <c r="I46" s="743">
        <f>LOOKUP(B46,valoriz!$A$13:$A$242,valoriz!I$13:I$242)</f>
        <v>0</v>
      </c>
      <c r="J46" s="744">
        <f t="shared" si="10"/>
        <v>0</v>
      </c>
      <c r="K46" s="745">
        <f t="shared" si="6"/>
        <v>21.41</v>
      </c>
      <c r="L46" s="746" t="e">
        <f t="shared" si="1"/>
        <v>#REF!</v>
      </c>
      <c r="M46" s="747" t="e">
        <f t="shared" si="2"/>
        <v>#REF!</v>
      </c>
      <c r="N46" s="748">
        <f t="shared" si="7"/>
        <v>0</v>
      </c>
      <c r="O46" s="882" t="e">
        <f t="shared" si="3"/>
        <v>#REF!</v>
      </c>
      <c r="Q46" s="965">
        <v>416.71</v>
      </c>
      <c r="R46" s="966">
        <f t="shared" si="4"/>
        <v>416.71</v>
      </c>
      <c r="S46" s="967">
        <f t="shared" si="5"/>
        <v>73.44</v>
      </c>
      <c r="T46" s="964"/>
      <c r="U46" s="965" t="e">
        <f t="shared" si="8"/>
        <v>#REF!</v>
      </c>
      <c r="V46" s="966" t="e">
        <f t="shared" si="9"/>
        <v>#REF!</v>
      </c>
      <c r="W46" s="1147"/>
    </row>
    <row r="47" spans="2:23" ht="11.25" customHeight="1">
      <c r="B47" s="757" t="s">
        <v>91</v>
      </c>
      <c r="C47" s="1027" t="s">
        <v>92</v>
      </c>
      <c r="D47" s="755" t="s">
        <v>173</v>
      </c>
      <c r="E47" s="739">
        <v>0.11</v>
      </c>
      <c r="F47" s="740">
        <v>7</v>
      </c>
      <c r="G47" s="760">
        <v>6590</v>
      </c>
      <c r="H47" s="761">
        <f t="shared" si="0"/>
        <v>5074.3</v>
      </c>
      <c r="I47" s="743">
        <f>LOOKUP(B47,valoriz!$A$13:$A$242,valoriz!I$13:I$242)</f>
        <v>0</v>
      </c>
      <c r="J47" s="972">
        <v>0</v>
      </c>
      <c r="K47" s="745">
        <f t="shared" si="6"/>
        <v>21.41</v>
      </c>
      <c r="L47" s="746" t="e">
        <f t="shared" si="1"/>
        <v>#REF!</v>
      </c>
      <c r="M47" s="747" t="e">
        <f t="shared" si="2"/>
        <v>#REF!</v>
      </c>
      <c r="N47" s="748">
        <f t="shared" si="7"/>
        <v>0</v>
      </c>
      <c r="O47" s="882" t="e">
        <f t="shared" si="3"/>
        <v>#REF!</v>
      </c>
      <c r="Q47" s="965">
        <v>2231.46</v>
      </c>
      <c r="R47" s="966">
        <f t="shared" si="4"/>
        <v>2231.46</v>
      </c>
      <c r="S47" s="967">
        <f t="shared" si="5"/>
        <v>2842.84</v>
      </c>
      <c r="T47" s="964"/>
      <c r="U47" s="965" t="e">
        <f t="shared" si="8"/>
        <v>#REF!</v>
      </c>
      <c r="V47" s="966" t="e">
        <f t="shared" si="9"/>
        <v>#REF!</v>
      </c>
      <c r="W47" s="1147"/>
    </row>
    <row r="48" spans="2:23" ht="11.25" customHeight="1">
      <c r="B48" s="757" t="s">
        <v>118</v>
      </c>
      <c r="C48" s="1027" t="s">
        <v>119</v>
      </c>
      <c r="D48" s="755" t="s">
        <v>174</v>
      </c>
      <c r="E48" s="739">
        <v>1</v>
      </c>
      <c r="F48" s="740">
        <v>0.3</v>
      </c>
      <c r="G48" s="760">
        <v>55</v>
      </c>
      <c r="H48" s="761">
        <f t="shared" si="0"/>
        <v>16.5</v>
      </c>
      <c r="I48" s="743">
        <f>LOOKUP(B48,valoriz!$A$13:$A$242,valoriz!I$13:I$242)</f>
        <v>0</v>
      </c>
      <c r="J48" s="744">
        <f t="shared" si="10"/>
        <v>0</v>
      </c>
      <c r="K48" s="745">
        <f t="shared" si="6"/>
        <v>21.41</v>
      </c>
      <c r="L48" s="746" t="e">
        <f t="shared" si="1"/>
        <v>#REF!</v>
      </c>
      <c r="M48" s="747" t="e">
        <f t="shared" si="2"/>
        <v>#REF!</v>
      </c>
      <c r="N48" s="748">
        <f t="shared" si="7"/>
        <v>0</v>
      </c>
      <c r="O48" s="882" t="e">
        <f t="shared" si="3"/>
        <v>#REF!</v>
      </c>
      <c r="Q48" s="965">
        <v>0</v>
      </c>
      <c r="R48" s="966">
        <f t="shared" si="4"/>
        <v>0</v>
      </c>
      <c r="S48" s="967">
        <f t="shared" si="5"/>
        <v>16.5</v>
      </c>
      <c r="T48" s="964"/>
      <c r="U48" s="965" t="e">
        <f t="shared" si="8"/>
        <v>#REF!</v>
      </c>
      <c r="V48" s="966" t="e">
        <f t="shared" si="9"/>
        <v>#REF!</v>
      </c>
      <c r="W48" s="1147"/>
    </row>
    <row r="49" spans="2:23" ht="11.25" customHeight="1">
      <c r="B49" s="736"/>
      <c r="C49" s="1013"/>
      <c r="D49" s="738" t="s">
        <v>174</v>
      </c>
      <c r="E49" s="739">
        <f>0.32*0.8</f>
        <v>0.25600000000000001</v>
      </c>
      <c r="F49" s="740">
        <v>7.5</v>
      </c>
      <c r="G49" s="741">
        <v>55</v>
      </c>
      <c r="H49" s="742">
        <f t="shared" si="0"/>
        <v>105.6</v>
      </c>
      <c r="I49" s="743">
        <f>LOOKUP(B48,valoriz!$A$13:$A$242,valoriz!I$13:I$242)</f>
        <v>0</v>
      </c>
      <c r="J49" s="744">
        <f t="shared" si="10"/>
        <v>0</v>
      </c>
      <c r="K49" s="745">
        <f t="shared" si="6"/>
        <v>21.41</v>
      </c>
      <c r="L49" s="746" t="e">
        <f t="shared" si="1"/>
        <v>#REF!</v>
      </c>
      <c r="M49" s="747" t="e">
        <f t="shared" si="2"/>
        <v>#REF!</v>
      </c>
      <c r="N49" s="748">
        <f t="shared" si="7"/>
        <v>0</v>
      </c>
      <c r="O49" s="882" t="e">
        <f t="shared" si="3"/>
        <v>#REF!</v>
      </c>
      <c r="Q49" s="1144">
        <v>0</v>
      </c>
      <c r="R49" s="1145">
        <f t="shared" si="4"/>
        <v>0</v>
      </c>
      <c r="S49" s="1146">
        <f t="shared" si="5"/>
        <v>105.6</v>
      </c>
      <c r="T49" s="964"/>
      <c r="U49" s="965" t="e">
        <f t="shared" si="8"/>
        <v>#REF!</v>
      </c>
      <c r="V49" s="966" t="e">
        <f>+ROUND(R49*$K49*$L49/$M49,2)</f>
        <v>#REF!</v>
      </c>
      <c r="W49" s="1147"/>
    </row>
    <row r="50" spans="2:23" ht="11.25" customHeight="1">
      <c r="B50" s="884"/>
      <c r="C50" s="1028"/>
      <c r="D50" s="885"/>
      <c r="E50" s="886"/>
      <c r="F50" s="887"/>
      <c r="G50" s="888"/>
      <c r="H50" s="889"/>
      <c r="I50" s="890"/>
      <c r="J50" s="891"/>
      <c r="K50" s="892"/>
      <c r="L50" s="893"/>
      <c r="M50" s="894"/>
      <c r="N50" s="895"/>
      <c r="O50" s="891"/>
      <c r="Q50" s="1057">
        <f>SUM(Q25:Q49)</f>
        <v>69559.210000000006</v>
      </c>
      <c r="R50" s="969">
        <f>SUM(R25:R49)</f>
        <v>63975.660399999986</v>
      </c>
      <c r="S50" s="970">
        <f>SUM(S25:S49)</f>
        <v>67104.589600000007</v>
      </c>
      <c r="T50" s="964"/>
      <c r="U50" s="1057"/>
      <c r="V50" s="969"/>
      <c r="W50" s="970" t="e">
        <f>+W24-V51</f>
        <v>#REF!</v>
      </c>
    </row>
    <row r="51" spans="2:23" ht="11.25" customHeight="1">
      <c r="B51" s="775"/>
      <c r="C51" s="776"/>
      <c r="D51" s="777"/>
      <c r="E51" s="777"/>
      <c r="F51" s="778"/>
      <c r="G51" s="779"/>
      <c r="H51" s="898">
        <f>SUM(H25:H50)</f>
        <v>131080.25</v>
      </c>
      <c r="I51" s="779"/>
      <c r="J51" s="898">
        <f>SUM(J25:J50)</f>
        <v>-5583.5496000000003</v>
      </c>
      <c r="K51" s="781"/>
      <c r="L51" s="777" t="s">
        <v>589</v>
      </c>
      <c r="M51" s="778"/>
      <c r="N51" s="782">
        <f>SUM(N25:N50)</f>
        <v>-119543.8</v>
      </c>
      <c r="O51" s="782" t="e">
        <f>SUM(O25:O50)</f>
        <v>#REF!</v>
      </c>
      <c r="Q51" s="1654" t="str">
        <f>+IF(R50&gt;21807,"Amortizar",IF(R50&gt;J52,"Revisar Metrado","OK"))</f>
        <v>Amortizar</v>
      </c>
      <c r="R51" s="1719"/>
      <c r="S51" s="1655"/>
      <c r="U51" s="953" t="e">
        <f>SUM(U25:U50)</f>
        <v>#REF!</v>
      </c>
      <c r="V51" s="832" t="e">
        <f>+O53+U51+0.03</f>
        <v>#REF!</v>
      </c>
    </row>
    <row r="52" spans="2:23" ht="11.25" customHeight="1">
      <c r="B52" s="784"/>
      <c r="C52" s="785"/>
      <c r="G52" s="786"/>
      <c r="H52" s="787" t="s">
        <v>214</v>
      </c>
      <c r="I52" s="788"/>
      <c r="J52" s="899">
        <v>73024</v>
      </c>
      <c r="K52" s="751"/>
      <c r="R52" s="751"/>
    </row>
    <row r="53" spans="2:23" ht="11.25" customHeight="1">
      <c r="B53" s="784"/>
      <c r="C53" s="785"/>
      <c r="J53" s="806" t="s">
        <v>243</v>
      </c>
      <c r="K53" s="874"/>
      <c r="L53" s="874"/>
      <c r="M53" s="807"/>
      <c r="N53" s="1029">
        <f>+N51</f>
        <v>-119543.8</v>
      </c>
      <c r="O53" s="272" t="e">
        <f>+O51</f>
        <v>#REF!</v>
      </c>
    </row>
    <row r="54" spans="2:23" ht="11.25" customHeight="1">
      <c r="B54" s="784"/>
      <c r="C54" s="785"/>
      <c r="J54" s="810" t="s">
        <v>244</v>
      </c>
      <c r="K54" s="788"/>
      <c r="L54" s="788"/>
      <c r="M54" s="788"/>
      <c r="N54" s="808" t="e">
        <f>+IF(D$13&gt;C78,0,N53)</f>
        <v>#REF!</v>
      </c>
      <c r="O54" s="809" t="e">
        <f>+IF(D$13&gt;C78,0,O53)</f>
        <v>#REF!</v>
      </c>
    </row>
    <row r="55" spans="2:23" ht="11.25" customHeight="1">
      <c r="B55" s="784"/>
      <c r="C55" s="785"/>
      <c r="K55" s="751"/>
      <c r="L55" s="39"/>
      <c r="M55" s="39"/>
      <c r="N55" s="172"/>
      <c r="O55" s="172"/>
    </row>
    <row r="56" spans="2:23" ht="18">
      <c r="B56" s="1687" t="str">
        <f>+'Asfalto IU 13'!B32:O32</f>
        <v>C O N T R O L   D E L   A D E L A N T O   P A R A   M A T E R I A L E S   Nº 02</v>
      </c>
      <c r="C56" s="1687"/>
      <c r="D56" s="1687"/>
      <c r="E56" s="1687"/>
      <c r="F56" s="1687"/>
      <c r="G56" s="1687"/>
      <c r="H56" s="1687"/>
      <c r="I56" s="1687"/>
      <c r="J56" s="1687"/>
      <c r="K56" s="1687"/>
      <c r="L56" s="1687"/>
      <c r="M56" s="1687"/>
      <c r="N56" s="1687"/>
      <c r="O56" s="1687"/>
    </row>
    <row r="58" spans="2:23" ht="11.25" customHeight="1">
      <c r="B58" s="699" t="str">
        <f>+B14</f>
        <v>Material:</v>
      </c>
      <c r="C58" s="698" t="str">
        <f>+C14</f>
        <v>CEMENTO PORTLAND TIPO I</v>
      </c>
    </row>
    <row r="59" spans="2:23" ht="11.25" customHeight="1">
      <c r="B59" s="699" t="str">
        <f>+B15</f>
        <v>Indice Unificado:</v>
      </c>
      <c r="C59" s="698" t="str">
        <f>+C15</f>
        <v>21</v>
      </c>
      <c r="D59" s="705" t="s">
        <v>459</v>
      </c>
      <c r="E59" s="706"/>
      <c r="F59" s="1692" t="s">
        <v>451</v>
      </c>
      <c r="G59" s="1692"/>
    </row>
    <row r="60" spans="2:23" ht="11.25" customHeight="1">
      <c r="B60" s="698" t="str">
        <f>+B12</f>
        <v>Monto del Adelanto Especifico para CEMENTO PORTLAND TIPO I</v>
      </c>
      <c r="D60" s="702">
        <f>+D12</f>
        <v>1596102.03</v>
      </c>
      <c r="E60" s="706"/>
      <c r="F60" s="1691" t="e">
        <f>+D60-I94</f>
        <v>#REF!</v>
      </c>
      <c r="G60" s="1691"/>
      <c r="H60" s="900"/>
    </row>
    <row r="61" spans="2:23" ht="11.25" customHeight="1">
      <c r="B61" s="698" t="s">
        <v>246</v>
      </c>
      <c r="C61" s="812"/>
      <c r="D61" s="702" t="e">
        <f>ROUND(D60/D64*D63,2)</f>
        <v>#REF!</v>
      </c>
      <c r="E61" s="706"/>
      <c r="F61" s="1691" t="e">
        <f>+D61-F94</f>
        <v>#REF!</v>
      </c>
      <c r="G61" s="1691"/>
    </row>
    <row r="62" spans="2:23" ht="11.25" customHeight="1">
      <c r="B62" s="698" t="str">
        <f>+B13</f>
        <v xml:space="preserve">Fecha de Pago del Adelanto  : </v>
      </c>
      <c r="D62" s="703" t="e">
        <f>+D13</f>
        <v>#REF!</v>
      </c>
      <c r="E62" s="706"/>
    </row>
    <row r="63" spans="2:23" ht="11.25" customHeight="1">
      <c r="B63" s="698" t="str">
        <f>+B16</f>
        <v>Indice INEI a la Fecha del P. Base   (Abril 2,009)</v>
      </c>
      <c r="D63" s="709" t="e">
        <f>+D16</f>
        <v>#REF!</v>
      </c>
      <c r="E63" s="121"/>
    </row>
    <row r="64" spans="2:23" ht="11.25" customHeight="1">
      <c r="B64" s="698" t="str">
        <f>+B17</f>
        <v>Indice INEI a la Fecha del Pago del Adelanto  (Setiembre 2,010)</v>
      </c>
      <c r="D64" s="709" t="e">
        <f>+D17</f>
        <v>#REF!</v>
      </c>
      <c r="E64" s="709"/>
    </row>
    <row r="65" spans="2:15" ht="11.25" customHeight="1">
      <c r="B65" s="698" t="s">
        <v>247</v>
      </c>
      <c r="D65" s="698">
        <v>5.8999999999999997E-2</v>
      </c>
    </row>
    <row r="66" spans="2:15" ht="11.25" customHeight="1">
      <c r="B66" s="698" t="s">
        <v>248</v>
      </c>
      <c r="D66" s="813">
        <v>0.49153000000000002</v>
      </c>
    </row>
    <row r="68" spans="2:15" ht="11.25" customHeight="1">
      <c r="B68" s="814" t="str">
        <f>+'Asfalto IU 13'!B44</f>
        <v>AMORTIZACION DEL ADELANTO DE MATERIALES Nº 02</v>
      </c>
    </row>
    <row r="70" spans="2:15" ht="11.25" customHeight="1">
      <c r="B70" s="1708" t="s">
        <v>250</v>
      </c>
      <c r="C70" s="1709"/>
      <c r="D70" s="1712" t="s">
        <v>251</v>
      </c>
      <c r="E70" s="1718"/>
      <c r="F70" s="1718"/>
      <c r="G70" s="1718"/>
      <c r="H70" s="1718"/>
      <c r="I70" s="1713"/>
      <c r="L70" s="815"/>
      <c r="M70" s="815"/>
    </row>
    <row r="71" spans="2:15" ht="11.25" customHeight="1">
      <c r="B71" s="1720"/>
      <c r="C71" s="1721"/>
      <c r="D71" s="1712" t="s">
        <v>252</v>
      </c>
      <c r="E71" s="1718"/>
      <c r="F71" s="1713"/>
      <c r="G71" s="1712" t="s">
        <v>253</v>
      </c>
      <c r="H71" s="1718"/>
      <c r="I71" s="1713"/>
    </row>
    <row r="72" spans="2:15" ht="11.25" customHeight="1">
      <c r="B72" s="1710"/>
      <c r="C72" s="1711"/>
      <c r="D72" s="1009" t="s">
        <v>254</v>
      </c>
      <c r="E72" s="1017" t="s">
        <v>451</v>
      </c>
      <c r="F72" s="1010" t="s">
        <v>255</v>
      </c>
      <c r="G72" s="1009" t="s">
        <v>254</v>
      </c>
      <c r="H72" s="1017" t="s">
        <v>451</v>
      </c>
      <c r="I72" s="1010" t="s">
        <v>255</v>
      </c>
      <c r="O72" s="751"/>
    </row>
    <row r="73" spans="2:15" ht="11.25" customHeight="1">
      <c r="B73" s="817" t="s">
        <v>256</v>
      </c>
      <c r="C73" s="818">
        <v>40298</v>
      </c>
      <c r="D73" s="819" t="e">
        <f>+D61</f>
        <v>#REF!</v>
      </c>
      <c r="E73" s="820" t="e">
        <f t="shared" ref="E73:E91" si="11">+D73-F73</f>
        <v>#REF!</v>
      </c>
      <c r="F73" s="821"/>
      <c r="G73" s="819">
        <f>+D60</f>
        <v>1596102.03</v>
      </c>
      <c r="H73" s="820">
        <f t="shared" ref="H73:H91" si="12">+G73-I73</f>
        <v>1596102.03</v>
      </c>
      <c r="I73" s="821"/>
      <c r="O73" s="751"/>
    </row>
    <row r="74" spans="2:15" ht="11.25" customHeight="1">
      <c r="B74" s="822" t="s">
        <v>257</v>
      </c>
      <c r="C74" s="823">
        <v>40329</v>
      </c>
      <c r="D74" s="824" t="e">
        <f>+D73</f>
        <v>#REF!</v>
      </c>
      <c r="E74" s="825" t="e">
        <f t="shared" si="11"/>
        <v>#REF!</v>
      </c>
      <c r="F74" s="744"/>
      <c r="G74" s="824">
        <f>+G73</f>
        <v>1596102.03</v>
      </c>
      <c r="H74" s="825">
        <f t="shared" si="12"/>
        <v>1596102.03</v>
      </c>
      <c r="I74" s="744"/>
      <c r="O74" s="751"/>
    </row>
    <row r="75" spans="2:15" ht="11.25" customHeight="1">
      <c r="B75" s="822" t="s">
        <v>258</v>
      </c>
      <c r="C75" s="823">
        <v>40359</v>
      </c>
      <c r="D75" s="824" t="e">
        <f t="shared" ref="D75:D91" si="13">+E74</f>
        <v>#REF!</v>
      </c>
      <c r="E75" s="825" t="e">
        <f t="shared" si="11"/>
        <v>#REF!</v>
      </c>
      <c r="F75" s="744"/>
      <c r="G75" s="824">
        <f t="shared" ref="G75:G91" si="14">+H74</f>
        <v>1596102.03</v>
      </c>
      <c r="H75" s="825">
        <f t="shared" si="12"/>
        <v>1596102.03</v>
      </c>
      <c r="I75" s="744"/>
      <c r="O75" s="751"/>
    </row>
    <row r="76" spans="2:15" ht="11.25" customHeight="1">
      <c r="B76" s="822" t="s">
        <v>259</v>
      </c>
      <c r="C76" s="823">
        <v>40390</v>
      </c>
      <c r="D76" s="824" t="e">
        <f t="shared" si="13"/>
        <v>#REF!</v>
      </c>
      <c r="E76" s="825" t="e">
        <f t="shared" si="11"/>
        <v>#REF!</v>
      </c>
      <c r="F76" s="744"/>
      <c r="G76" s="824">
        <f t="shared" si="14"/>
        <v>1596102.03</v>
      </c>
      <c r="H76" s="825">
        <f t="shared" si="12"/>
        <v>1596102.03</v>
      </c>
      <c r="I76" s="744"/>
      <c r="O76" s="751"/>
    </row>
    <row r="77" spans="2:15" ht="11.25" customHeight="1">
      <c r="B77" s="822" t="s">
        <v>260</v>
      </c>
      <c r="C77" s="823">
        <v>40421</v>
      </c>
      <c r="D77" s="824" t="e">
        <f t="shared" si="13"/>
        <v>#REF!</v>
      </c>
      <c r="E77" s="825" t="e">
        <f t="shared" si="11"/>
        <v>#REF!</v>
      </c>
      <c r="F77" s="744"/>
      <c r="G77" s="824">
        <f t="shared" si="14"/>
        <v>1596102.03</v>
      </c>
      <c r="H77" s="825">
        <f t="shared" si="12"/>
        <v>1596102.03</v>
      </c>
      <c r="I77" s="744"/>
      <c r="O77" s="751"/>
    </row>
    <row r="78" spans="2:15" ht="11.25" customHeight="1">
      <c r="B78" s="822" t="s">
        <v>261</v>
      </c>
      <c r="C78" s="823">
        <v>40451</v>
      </c>
      <c r="D78" s="824" t="e">
        <f t="shared" si="13"/>
        <v>#REF!</v>
      </c>
      <c r="E78" s="825" t="e">
        <f t="shared" si="11"/>
        <v>#REF!</v>
      </c>
      <c r="F78" s="744">
        <v>0</v>
      </c>
      <c r="G78" s="824">
        <f t="shared" si="14"/>
        <v>1596102.03</v>
      </c>
      <c r="H78" s="825">
        <f t="shared" si="12"/>
        <v>1596102.03</v>
      </c>
      <c r="I78" s="744">
        <v>0</v>
      </c>
      <c r="O78" s="751"/>
    </row>
    <row r="79" spans="2:15" ht="11.25" customHeight="1">
      <c r="B79" s="822" t="s">
        <v>262</v>
      </c>
      <c r="C79" s="823">
        <v>40482</v>
      </c>
      <c r="D79" s="824" t="e">
        <f t="shared" si="13"/>
        <v>#REF!</v>
      </c>
      <c r="E79" s="825" t="e">
        <f t="shared" si="11"/>
        <v>#REF!</v>
      </c>
      <c r="F79" s="744">
        <v>62885.020000000004</v>
      </c>
      <c r="G79" s="824">
        <f t="shared" si="14"/>
        <v>1596102.03</v>
      </c>
      <c r="H79" s="825">
        <f t="shared" si="12"/>
        <v>1531903.42</v>
      </c>
      <c r="I79" s="744">
        <v>64198.610000000008</v>
      </c>
      <c r="O79" s="751"/>
    </row>
    <row r="80" spans="2:15" ht="11.25" customHeight="1">
      <c r="B80" s="822" t="s">
        <v>263</v>
      </c>
      <c r="C80" s="823">
        <v>40512</v>
      </c>
      <c r="D80" s="824" t="e">
        <f t="shared" si="13"/>
        <v>#REF!</v>
      </c>
      <c r="E80" s="825" t="e">
        <f t="shared" si="11"/>
        <v>#REF!</v>
      </c>
      <c r="F80" s="744">
        <v>423985.65</v>
      </c>
      <c r="G80" s="824">
        <f t="shared" si="14"/>
        <v>1531903.42</v>
      </c>
      <c r="H80" s="825">
        <f t="shared" si="12"/>
        <v>1099061.2799999998</v>
      </c>
      <c r="I80" s="744">
        <v>432842.14</v>
      </c>
      <c r="O80" s="751"/>
    </row>
    <row r="81" spans="2:15" ht="11.25" customHeight="1">
      <c r="B81" s="822" t="s">
        <v>264</v>
      </c>
      <c r="C81" s="823">
        <v>40543</v>
      </c>
      <c r="D81" s="824" t="e">
        <f t="shared" si="13"/>
        <v>#REF!</v>
      </c>
      <c r="E81" s="825" t="e">
        <f t="shared" si="11"/>
        <v>#REF!</v>
      </c>
      <c r="F81" s="744">
        <v>285723.52000000002</v>
      </c>
      <c r="G81" s="824">
        <f t="shared" si="14"/>
        <v>1099061.2799999998</v>
      </c>
      <c r="H81" s="825">
        <f t="shared" si="12"/>
        <v>807369.38999999978</v>
      </c>
      <c r="I81" s="744">
        <v>291691.89</v>
      </c>
      <c r="O81" s="751"/>
    </row>
    <row r="82" spans="2:15" ht="11.25" customHeight="1">
      <c r="B82" s="822" t="s">
        <v>265</v>
      </c>
      <c r="C82" s="823">
        <v>40574</v>
      </c>
      <c r="D82" s="824" t="e">
        <f t="shared" si="13"/>
        <v>#REF!</v>
      </c>
      <c r="E82" s="825" t="e">
        <f t="shared" si="11"/>
        <v>#REF!</v>
      </c>
      <c r="F82" s="744">
        <v>152765.07</v>
      </c>
      <c r="G82" s="824">
        <f t="shared" si="14"/>
        <v>807369.38999999978</v>
      </c>
      <c r="H82" s="825">
        <f t="shared" si="12"/>
        <v>651413.2899999998</v>
      </c>
      <c r="I82" s="744">
        <v>155956.1</v>
      </c>
      <c r="O82" s="751"/>
    </row>
    <row r="83" spans="2:15" ht="11.25" customHeight="1">
      <c r="B83" s="822" t="s">
        <v>266</v>
      </c>
      <c r="C83" s="823">
        <v>40602</v>
      </c>
      <c r="D83" s="824" t="e">
        <f t="shared" si="13"/>
        <v>#REF!</v>
      </c>
      <c r="E83" s="825" t="e">
        <f t="shared" si="11"/>
        <v>#REF!</v>
      </c>
      <c r="F83" s="744">
        <v>85784.73</v>
      </c>
      <c r="G83" s="824">
        <f t="shared" si="14"/>
        <v>651413.2899999998</v>
      </c>
      <c r="H83" s="825">
        <f t="shared" si="12"/>
        <v>563836.63999999978</v>
      </c>
      <c r="I83" s="744">
        <v>87576.65</v>
      </c>
      <c r="O83" s="751"/>
    </row>
    <row r="84" spans="2:15" ht="11.25" customHeight="1">
      <c r="B84" s="822" t="s">
        <v>267</v>
      </c>
      <c r="C84" s="823">
        <v>40633</v>
      </c>
      <c r="D84" s="824" t="e">
        <f t="shared" si="13"/>
        <v>#REF!</v>
      </c>
      <c r="E84" s="825" t="e">
        <f t="shared" si="11"/>
        <v>#REF!</v>
      </c>
      <c r="F84" s="744">
        <v>76179.350000000006</v>
      </c>
      <c r="G84" s="824">
        <f t="shared" si="14"/>
        <v>563836.63999999978</v>
      </c>
      <c r="H84" s="825">
        <f t="shared" si="12"/>
        <v>486066.00999999978</v>
      </c>
      <c r="I84" s="744">
        <v>77770.63</v>
      </c>
      <c r="O84" s="751"/>
    </row>
    <row r="85" spans="2:15" ht="11.25" customHeight="1">
      <c r="B85" s="822" t="s">
        <v>268</v>
      </c>
      <c r="C85" s="823">
        <v>40663</v>
      </c>
      <c r="D85" s="824" t="e">
        <f t="shared" si="13"/>
        <v>#REF!</v>
      </c>
      <c r="E85" s="825" t="e">
        <f t="shared" si="11"/>
        <v>#REF!</v>
      </c>
      <c r="F85" s="744">
        <v>92092.77</v>
      </c>
      <c r="G85" s="824">
        <f t="shared" si="14"/>
        <v>486066.00999999978</v>
      </c>
      <c r="H85" s="825">
        <f t="shared" si="12"/>
        <v>392049.55999999976</v>
      </c>
      <c r="I85" s="744">
        <v>94016.45</v>
      </c>
      <c r="O85" s="751"/>
    </row>
    <row r="86" spans="2:15" ht="11.25" customHeight="1">
      <c r="B86" s="822" t="s">
        <v>269</v>
      </c>
      <c r="C86" s="823">
        <v>40694</v>
      </c>
      <c r="D86" s="824" t="e">
        <f t="shared" si="13"/>
        <v>#REF!</v>
      </c>
      <c r="E86" s="825" t="e">
        <f t="shared" si="11"/>
        <v>#REF!</v>
      </c>
      <c r="F86" s="744">
        <v>108746.97</v>
      </c>
      <c r="G86" s="824">
        <f t="shared" si="14"/>
        <v>392049.55999999976</v>
      </c>
      <c r="H86" s="825">
        <f t="shared" si="12"/>
        <v>281031.01999999979</v>
      </c>
      <c r="I86" s="744">
        <v>111018.54</v>
      </c>
      <c r="O86" s="751"/>
    </row>
    <row r="87" spans="2:15" ht="11.25" customHeight="1">
      <c r="B87" s="822" t="s">
        <v>270</v>
      </c>
      <c r="C87" s="823">
        <v>40724</v>
      </c>
      <c r="D87" s="824" t="e">
        <f t="shared" si="13"/>
        <v>#REF!</v>
      </c>
      <c r="E87" s="825" t="e">
        <f t="shared" si="11"/>
        <v>#REF!</v>
      </c>
      <c r="F87" s="744">
        <v>201099.64</v>
      </c>
      <c r="G87" s="824">
        <f t="shared" si="14"/>
        <v>281031.01999999979</v>
      </c>
      <c r="H87" s="825">
        <f t="shared" si="12"/>
        <v>75730.699999999779</v>
      </c>
      <c r="I87" s="744">
        <v>205300.32</v>
      </c>
      <c r="O87" s="751"/>
    </row>
    <row r="88" spans="2:15" ht="11.25" customHeight="1">
      <c r="B88" s="822" t="s">
        <v>271</v>
      </c>
      <c r="C88" s="823">
        <v>40755</v>
      </c>
      <c r="D88" s="824" t="e">
        <f t="shared" si="13"/>
        <v>#REF!</v>
      </c>
      <c r="E88" s="825" t="e">
        <f t="shared" si="11"/>
        <v>#REF!</v>
      </c>
      <c r="F88" s="744" t="e">
        <f>+IF(D$13&gt;C88,0,IF(D88&gt;N54,N$37,D88))</f>
        <v>#REF!</v>
      </c>
      <c r="G88" s="824">
        <f t="shared" si="14"/>
        <v>75730.699999999779</v>
      </c>
      <c r="H88" s="825" t="e">
        <f t="shared" si="12"/>
        <v>#REF!</v>
      </c>
      <c r="I88" s="744" t="e">
        <f>+IF(D$13&gt;C88,0,IF(G88&gt;O54,O$37,G88))</f>
        <v>#REF!</v>
      </c>
      <c r="O88" s="751"/>
    </row>
    <row r="89" spans="2:15" ht="11.25" customHeight="1">
      <c r="B89" s="822" t="s">
        <v>272</v>
      </c>
      <c r="C89" s="823">
        <v>40786</v>
      </c>
      <c r="D89" s="824" t="e">
        <f t="shared" si="13"/>
        <v>#REF!</v>
      </c>
      <c r="E89" s="825" t="e">
        <f t="shared" si="11"/>
        <v>#REF!</v>
      </c>
      <c r="F89" s="744"/>
      <c r="G89" s="824" t="e">
        <f t="shared" si="14"/>
        <v>#REF!</v>
      </c>
      <c r="H89" s="825" t="e">
        <f t="shared" si="12"/>
        <v>#REF!</v>
      </c>
      <c r="I89" s="744"/>
      <c r="O89" s="751"/>
    </row>
    <row r="90" spans="2:15" ht="11.25" customHeight="1">
      <c r="B90" s="822" t="s">
        <v>273</v>
      </c>
      <c r="C90" s="823">
        <v>40816</v>
      </c>
      <c r="D90" s="824" t="e">
        <f t="shared" si="13"/>
        <v>#REF!</v>
      </c>
      <c r="E90" s="825" t="e">
        <f t="shared" si="11"/>
        <v>#REF!</v>
      </c>
      <c r="F90" s="744"/>
      <c r="G90" s="824" t="e">
        <f t="shared" si="14"/>
        <v>#REF!</v>
      </c>
      <c r="H90" s="825" t="e">
        <f t="shared" si="12"/>
        <v>#REF!</v>
      </c>
      <c r="I90" s="744"/>
      <c r="O90" s="751"/>
    </row>
    <row r="91" spans="2:15" ht="11.25" customHeight="1">
      <c r="B91" s="822" t="s">
        <v>1014</v>
      </c>
      <c r="C91" s="823">
        <v>40826</v>
      </c>
      <c r="D91" s="824" t="e">
        <f t="shared" si="13"/>
        <v>#REF!</v>
      </c>
      <c r="E91" s="825" t="e">
        <f t="shared" si="11"/>
        <v>#REF!</v>
      </c>
      <c r="F91" s="744"/>
      <c r="G91" s="824" t="e">
        <f t="shared" si="14"/>
        <v>#REF!</v>
      </c>
      <c r="H91" s="825" t="e">
        <f t="shared" si="12"/>
        <v>#REF!</v>
      </c>
      <c r="I91" s="744"/>
      <c r="O91" s="751"/>
    </row>
    <row r="92" spans="2:15" ht="11.25" customHeight="1">
      <c r="B92" s="822"/>
      <c r="C92" s="823"/>
      <c r="D92" s="824"/>
      <c r="E92" s="825"/>
      <c r="F92" s="744"/>
      <c r="G92" s="824"/>
      <c r="H92" s="825"/>
      <c r="I92" s="744"/>
      <c r="O92" s="751"/>
    </row>
    <row r="93" spans="2:15" ht="11.25" customHeight="1">
      <c r="B93" s="826"/>
      <c r="C93" s="827"/>
      <c r="D93" s="828"/>
      <c r="E93" s="829"/>
      <c r="F93" s="830"/>
      <c r="G93" s="828"/>
      <c r="H93" s="829"/>
      <c r="I93" s="830"/>
      <c r="O93" s="751"/>
    </row>
    <row r="94" spans="2:15" ht="11.25" customHeight="1">
      <c r="B94" s="700"/>
      <c r="C94" s="700"/>
      <c r="D94" s="831" t="s">
        <v>274</v>
      </c>
      <c r="E94" s="788"/>
      <c r="F94" s="832" t="e">
        <f>SUM(F73:F93)</f>
        <v>#REF!</v>
      </c>
      <c r="G94" s="786"/>
      <c r="H94" s="832"/>
      <c r="I94" s="833" t="e">
        <f>SUM(I73:I93)</f>
        <v>#REF!</v>
      </c>
      <c r="O94" s="751"/>
    </row>
    <row r="96" spans="2:15" ht="11.25" customHeight="1">
      <c r="B96" s="814" t="str">
        <f>+'Asfalto IU 13'!B72</f>
        <v>DEDUCCION POR REAJUSTE QUE NO CORRESPONDE DEL ADELANTO DE MATERIALES Nº 02</v>
      </c>
    </row>
    <row r="97" spans="2:18" ht="11.25" customHeight="1">
      <c r="B97" s="834" t="s">
        <v>276</v>
      </c>
    </row>
    <row r="98" spans="2:18" ht="11.25" customHeight="1">
      <c r="B98" s="835" t="s">
        <v>277</v>
      </c>
      <c r="C98" s="715"/>
      <c r="D98" s="715"/>
      <c r="E98" s="715"/>
      <c r="F98" s="715"/>
      <c r="G98" s="715"/>
      <c r="H98" s="715"/>
      <c r="I98" s="715"/>
      <c r="J98" s="715"/>
      <c r="K98" s="715"/>
      <c r="L98" s="715"/>
      <c r="M98" s="715"/>
    </row>
    <row r="99" spans="2:18" ht="11.25" customHeight="1">
      <c r="B99" s="1708" t="s">
        <v>250</v>
      </c>
      <c r="C99" s="1709"/>
      <c r="D99" s="1708" t="s">
        <v>278</v>
      </c>
      <c r="E99" s="1714" t="s">
        <v>279</v>
      </c>
      <c r="F99" s="1712" t="s">
        <v>135</v>
      </c>
      <c r="G99" s="1713"/>
      <c r="H99" s="1723" t="s">
        <v>280</v>
      </c>
      <c r="I99" s="1724"/>
      <c r="J99" s="1725"/>
      <c r="K99" s="1708" t="s">
        <v>281</v>
      </c>
      <c r="L99" s="1726"/>
      <c r="M99" s="1709"/>
      <c r="N99" s="1714" t="s">
        <v>282</v>
      </c>
      <c r="P99" s="1654" t="s">
        <v>136</v>
      </c>
      <c r="Q99" s="1655"/>
    </row>
    <row r="100" spans="2:18" ht="11.25" customHeight="1">
      <c r="B100" s="1710"/>
      <c r="C100" s="1711"/>
      <c r="D100" s="1710"/>
      <c r="E100" s="1715"/>
      <c r="F100" s="1018" t="s">
        <v>283</v>
      </c>
      <c r="G100" s="1018" t="s">
        <v>385</v>
      </c>
      <c r="H100" s="1010" t="s">
        <v>254</v>
      </c>
      <c r="I100" s="1010" t="s">
        <v>284</v>
      </c>
      <c r="J100" s="1009" t="s">
        <v>451</v>
      </c>
      <c r="K100" s="1018" t="s">
        <v>468</v>
      </c>
      <c r="L100" s="1010" t="s">
        <v>467</v>
      </c>
      <c r="M100" s="1010" t="s">
        <v>285</v>
      </c>
      <c r="N100" s="1722"/>
      <c r="P100" s="838" t="s">
        <v>456</v>
      </c>
      <c r="Q100" s="839" t="s">
        <v>286</v>
      </c>
    </row>
    <row r="101" spans="2:18" ht="11.25" customHeight="1">
      <c r="B101" s="822" t="str">
        <f t="shared" ref="B101:C119" si="15">+B73</f>
        <v>VAL. 01</v>
      </c>
      <c r="C101" s="901">
        <f t="shared" si="15"/>
        <v>40298</v>
      </c>
      <c r="D101" s="824">
        <f>+'Cemento Port I IU 21'!D423</f>
        <v>78066.42</v>
      </c>
      <c r="E101" s="840">
        <f t="shared" ref="E101:E119" si="16">+H73</f>
        <v>1596102.03</v>
      </c>
      <c r="F101" s="841">
        <f>+D65</f>
        <v>5.8999999999999997E-2</v>
      </c>
      <c r="G101" s="842">
        <f>+D66</f>
        <v>0.49153000000000002</v>
      </c>
      <c r="H101" s="843" t="e">
        <f>+D61</f>
        <v>#REF!</v>
      </c>
      <c r="I101" s="744" t="e">
        <f>+IF(D$13&gt;C101,0,ROUND(D101*F101*G101,2))</f>
        <v>#REF!</v>
      </c>
      <c r="J101" s="824" t="e">
        <f>+H101-I101</f>
        <v>#REF!</v>
      </c>
      <c r="K101" s="843" t="e">
        <f t="shared" ref="K101:K119" si="17">+D$63</f>
        <v>#REF!</v>
      </c>
      <c r="L101" s="744"/>
      <c r="M101" s="744"/>
      <c r="N101" s="1019" t="e">
        <f t="shared" ref="N101:N119" si="18">+ROUND(I101*(M101-L101)/K101,2)</f>
        <v>#REF!</v>
      </c>
      <c r="O101" s="902"/>
      <c r="P101" s="845">
        <v>40238</v>
      </c>
      <c r="Q101" s="845">
        <v>40299</v>
      </c>
      <c r="R101" s="698" t="s">
        <v>996</v>
      </c>
    </row>
    <row r="102" spans="2:18" ht="11.25" customHeight="1">
      <c r="B102" s="822" t="str">
        <f t="shared" si="15"/>
        <v>VAL. 02</v>
      </c>
      <c r="C102" s="901">
        <f t="shared" si="15"/>
        <v>40329</v>
      </c>
      <c r="D102" s="824">
        <f>+'Cemento Port I IU 21'!D424</f>
        <v>1302063.97</v>
      </c>
      <c r="E102" s="843">
        <f t="shared" si="16"/>
        <v>1596102.03</v>
      </c>
      <c r="F102" s="841">
        <f t="shared" ref="F102:F119" si="19">+F101</f>
        <v>5.8999999999999997E-2</v>
      </c>
      <c r="G102" s="842">
        <f t="shared" ref="G102:G119" si="20">+G101</f>
        <v>0.49153000000000002</v>
      </c>
      <c r="H102" s="843" t="e">
        <f t="shared" ref="H102:H119" si="21">+J101</f>
        <v>#REF!</v>
      </c>
      <c r="I102" s="744" t="e">
        <f t="shared" ref="I102:I119" si="22">+IF(D$13&gt;C102,0,IF(ROUND(D102*F102*G102,2)&gt;J101,J101,ROUND(D102*F102*G102,2)))</f>
        <v>#REF!</v>
      </c>
      <c r="J102" s="824" t="e">
        <f>+H102-I102</f>
        <v>#REF!</v>
      </c>
      <c r="K102" s="843" t="e">
        <f t="shared" si="17"/>
        <v>#REF!</v>
      </c>
      <c r="L102" s="744"/>
      <c r="M102" s="744"/>
      <c r="N102" s="1019" t="e">
        <f t="shared" si="18"/>
        <v>#REF!</v>
      </c>
      <c r="O102" s="902"/>
      <c r="P102" s="845">
        <v>40269</v>
      </c>
      <c r="Q102" s="845">
        <v>40330</v>
      </c>
      <c r="R102" s="698" t="s">
        <v>996</v>
      </c>
    </row>
    <row r="103" spans="2:18" ht="11.25" customHeight="1">
      <c r="B103" s="822" t="str">
        <f t="shared" si="15"/>
        <v>VAL. 03</v>
      </c>
      <c r="C103" s="901">
        <f t="shared" si="15"/>
        <v>40359</v>
      </c>
      <c r="D103" s="824">
        <f>+'Cemento Port I IU 21'!D425</f>
        <v>1388847.16</v>
      </c>
      <c r="E103" s="843">
        <f t="shared" si="16"/>
        <v>1596102.03</v>
      </c>
      <c r="F103" s="841">
        <f t="shared" si="19"/>
        <v>5.8999999999999997E-2</v>
      </c>
      <c r="G103" s="842">
        <f t="shared" si="20"/>
        <v>0.49153000000000002</v>
      </c>
      <c r="H103" s="843" t="e">
        <f t="shared" si="21"/>
        <v>#REF!</v>
      </c>
      <c r="I103" s="744" t="e">
        <f t="shared" si="22"/>
        <v>#REF!</v>
      </c>
      <c r="J103" s="824" t="e">
        <f t="shared" ref="J103:J119" si="23">+J102-I103</f>
        <v>#REF!</v>
      </c>
      <c r="K103" s="843" t="e">
        <f t="shared" si="17"/>
        <v>#REF!</v>
      </c>
      <c r="L103" s="744"/>
      <c r="M103" s="744"/>
      <c r="N103" s="1019" t="e">
        <f t="shared" si="18"/>
        <v>#REF!</v>
      </c>
      <c r="O103" s="902"/>
      <c r="P103" s="845">
        <v>40299</v>
      </c>
      <c r="Q103" s="845">
        <v>40360</v>
      </c>
      <c r="R103" s="698" t="s">
        <v>996</v>
      </c>
    </row>
    <row r="104" spans="2:18" ht="11.25" customHeight="1">
      <c r="B104" s="822" t="str">
        <f t="shared" si="15"/>
        <v>VAL. 04</v>
      </c>
      <c r="C104" s="901">
        <f t="shared" si="15"/>
        <v>40390</v>
      </c>
      <c r="D104" s="824">
        <f>+'Cemento Port I IU 21'!D426</f>
        <v>0</v>
      </c>
      <c r="E104" s="843">
        <f t="shared" si="16"/>
        <v>1596102.03</v>
      </c>
      <c r="F104" s="841">
        <f t="shared" si="19"/>
        <v>5.8999999999999997E-2</v>
      </c>
      <c r="G104" s="842">
        <f t="shared" si="20"/>
        <v>0.49153000000000002</v>
      </c>
      <c r="H104" s="843" t="e">
        <f t="shared" si="21"/>
        <v>#REF!</v>
      </c>
      <c r="I104" s="744" t="e">
        <f t="shared" si="22"/>
        <v>#REF!</v>
      </c>
      <c r="J104" s="824" t="e">
        <f t="shared" si="23"/>
        <v>#REF!</v>
      </c>
      <c r="K104" s="843" t="e">
        <f t="shared" si="17"/>
        <v>#REF!</v>
      </c>
      <c r="L104" s="744"/>
      <c r="M104" s="744"/>
      <c r="N104" s="1019" t="e">
        <f t="shared" si="18"/>
        <v>#REF!</v>
      </c>
      <c r="P104" s="845">
        <v>40330</v>
      </c>
      <c r="Q104" s="845">
        <v>40391</v>
      </c>
      <c r="R104" s="698" t="s">
        <v>996</v>
      </c>
    </row>
    <row r="105" spans="2:18" ht="11.25" customHeight="1">
      <c r="B105" s="822" t="str">
        <f t="shared" si="15"/>
        <v>VAL. 05</v>
      </c>
      <c r="C105" s="901">
        <f t="shared" si="15"/>
        <v>40421</v>
      </c>
      <c r="D105" s="824">
        <f>+'Cemento Port I IU 21'!D427</f>
        <v>0</v>
      </c>
      <c r="E105" s="843">
        <f t="shared" si="16"/>
        <v>1596102.03</v>
      </c>
      <c r="F105" s="841">
        <f t="shared" si="19"/>
        <v>5.8999999999999997E-2</v>
      </c>
      <c r="G105" s="842">
        <f t="shared" si="20"/>
        <v>0.49153000000000002</v>
      </c>
      <c r="H105" s="843" t="e">
        <f t="shared" si="21"/>
        <v>#REF!</v>
      </c>
      <c r="I105" s="744" t="e">
        <f t="shared" si="22"/>
        <v>#REF!</v>
      </c>
      <c r="J105" s="824" t="e">
        <f t="shared" si="23"/>
        <v>#REF!</v>
      </c>
      <c r="K105" s="843" t="e">
        <f t="shared" si="17"/>
        <v>#REF!</v>
      </c>
      <c r="L105" s="744"/>
      <c r="M105" s="744"/>
      <c r="N105" s="1019" t="e">
        <f t="shared" si="18"/>
        <v>#REF!</v>
      </c>
      <c r="P105" s="845">
        <v>40360</v>
      </c>
      <c r="Q105" s="845">
        <v>40422</v>
      </c>
    </row>
    <row r="106" spans="2:18" ht="11.25" customHeight="1">
      <c r="B106" s="822" t="str">
        <f t="shared" si="15"/>
        <v>VAL. 06</v>
      </c>
      <c r="C106" s="901">
        <f t="shared" si="15"/>
        <v>40451</v>
      </c>
      <c r="D106" s="824">
        <f>+'Cemento Port I IU 21'!D428</f>
        <v>0</v>
      </c>
      <c r="E106" s="843">
        <f t="shared" si="16"/>
        <v>1596102.03</v>
      </c>
      <c r="F106" s="841">
        <f t="shared" si="19"/>
        <v>5.8999999999999997E-2</v>
      </c>
      <c r="G106" s="842">
        <f t="shared" si="20"/>
        <v>0.49153000000000002</v>
      </c>
      <c r="H106" s="843" t="e">
        <f t="shared" si="21"/>
        <v>#REF!</v>
      </c>
      <c r="I106" s="744" t="e">
        <f t="shared" si="22"/>
        <v>#REF!</v>
      </c>
      <c r="J106" s="824" t="e">
        <f t="shared" si="23"/>
        <v>#REF!</v>
      </c>
      <c r="K106" s="843" t="e">
        <f t="shared" si="17"/>
        <v>#REF!</v>
      </c>
      <c r="L106" s="744" t="e">
        <f t="shared" ref="L106:L119" si="24">+D$64</f>
        <v>#REF!</v>
      </c>
      <c r="M106" s="744" t="e">
        <f>+K!#REF!</f>
        <v>#REF!</v>
      </c>
      <c r="N106" s="1019" t="e">
        <f>+ROUND(I106*(M106-L106)/K106,2)</f>
        <v>#REF!</v>
      </c>
      <c r="P106" s="845">
        <v>40391</v>
      </c>
      <c r="Q106" s="845">
        <v>40452</v>
      </c>
    </row>
    <row r="107" spans="2:18" ht="11.25" customHeight="1">
      <c r="B107" s="822" t="str">
        <f t="shared" si="15"/>
        <v>VAL. 07</v>
      </c>
      <c r="C107" s="901">
        <f t="shared" si="15"/>
        <v>40482</v>
      </c>
      <c r="D107" s="824" t="e">
        <f>+'Cemento Port I IU 21'!D429</f>
        <v>#REF!</v>
      </c>
      <c r="E107" s="843">
        <f t="shared" si="16"/>
        <v>1531903.42</v>
      </c>
      <c r="F107" s="841">
        <f t="shared" si="19"/>
        <v>5.8999999999999997E-2</v>
      </c>
      <c r="G107" s="842">
        <f t="shared" si="20"/>
        <v>0.49153000000000002</v>
      </c>
      <c r="H107" s="843" t="e">
        <f t="shared" si="21"/>
        <v>#REF!</v>
      </c>
      <c r="I107" s="744" t="e">
        <f t="shared" si="22"/>
        <v>#REF!</v>
      </c>
      <c r="J107" s="824" t="e">
        <f t="shared" si="23"/>
        <v>#REF!</v>
      </c>
      <c r="K107" s="843" t="e">
        <f t="shared" si="17"/>
        <v>#REF!</v>
      </c>
      <c r="L107" s="744" t="e">
        <f t="shared" si="24"/>
        <v>#REF!</v>
      </c>
      <c r="M107" s="744" t="e">
        <f>+K!#REF!</f>
        <v>#REF!</v>
      </c>
      <c r="N107" s="1019" t="e">
        <f t="shared" si="18"/>
        <v>#REF!</v>
      </c>
      <c r="P107" s="845">
        <v>40422</v>
      </c>
      <c r="Q107" s="845">
        <v>40483</v>
      </c>
    </row>
    <row r="108" spans="2:18" ht="11.25" customHeight="1">
      <c r="B108" s="822" t="str">
        <f t="shared" si="15"/>
        <v>VAL. 08</v>
      </c>
      <c r="C108" s="901">
        <f t="shared" si="15"/>
        <v>40512</v>
      </c>
      <c r="D108" s="824" t="e">
        <f>+'Cemento Port I IU 21'!D430</f>
        <v>#REF!</v>
      </c>
      <c r="E108" s="849">
        <f t="shared" si="16"/>
        <v>1099061.2799999998</v>
      </c>
      <c r="F108" s="841">
        <f t="shared" si="19"/>
        <v>5.8999999999999997E-2</v>
      </c>
      <c r="G108" s="842">
        <f t="shared" si="20"/>
        <v>0.49153000000000002</v>
      </c>
      <c r="H108" s="849" t="e">
        <f t="shared" si="21"/>
        <v>#REF!</v>
      </c>
      <c r="I108" s="744" t="e">
        <f t="shared" si="22"/>
        <v>#REF!</v>
      </c>
      <c r="J108" s="847" t="e">
        <f t="shared" si="23"/>
        <v>#REF!</v>
      </c>
      <c r="K108" s="849" t="e">
        <f t="shared" si="17"/>
        <v>#REF!</v>
      </c>
      <c r="L108" s="852" t="e">
        <f t="shared" si="24"/>
        <v>#REF!</v>
      </c>
      <c r="M108" s="744" t="e">
        <f>+K!#REF!</f>
        <v>#REF!</v>
      </c>
      <c r="N108" s="1019" t="e">
        <f t="shared" si="18"/>
        <v>#REF!</v>
      </c>
      <c r="P108" s="845">
        <v>40452</v>
      </c>
      <c r="Q108" s="845">
        <v>40513</v>
      </c>
    </row>
    <row r="109" spans="2:18" ht="11.25" customHeight="1">
      <c r="B109" s="822" t="str">
        <f t="shared" si="15"/>
        <v>VAL. 09</v>
      </c>
      <c r="C109" s="901">
        <f t="shared" si="15"/>
        <v>40543</v>
      </c>
      <c r="D109" s="824" t="e">
        <f>+'Cemento Port I IU 21'!D431</f>
        <v>#REF!</v>
      </c>
      <c r="E109" s="849">
        <f t="shared" si="16"/>
        <v>807369.38999999978</v>
      </c>
      <c r="F109" s="841">
        <f t="shared" si="19"/>
        <v>5.8999999999999997E-2</v>
      </c>
      <c r="G109" s="842">
        <f t="shared" si="20"/>
        <v>0.49153000000000002</v>
      </c>
      <c r="H109" s="849" t="e">
        <f t="shared" si="21"/>
        <v>#REF!</v>
      </c>
      <c r="I109" s="744" t="e">
        <f t="shared" si="22"/>
        <v>#REF!</v>
      </c>
      <c r="J109" s="847" t="e">
        <f t="shared" si="23"/>
        <v>#REF!</v>
      </c>
      <c r="K109" s="849" t="e">
        <f t="shared" si="17"/>
        <v>#REF!</v>
      </c>
      <c r="L109" s="852" t="e">
        <f t="shared" si="24"/>
        <v>#REF!</v>
      </c>
      <c r="M109" s="744" t="e">
        <f>+K!#REF!</f>
        <v>#REF!</v>
      </c>
      <c r="N109" s="1019" t="e">
        <f t="shared" si="18"/>
        <v>#REF!</v>
      </c>
      <c r="P109" s="845">
        <v>40483</v>
      </c>
      <c r="Q109" s="845">
        <v>40544</v>
      </c>
    </row>
    <row r="110" spans="2:18" ht="11.25" customHeight="1">
      <c r="B110" s="822" t="str">
        <f t="shared" si="15"/>
        <v>VAL. 10</v>
      </c>
      <c r="C110" s="901">
        <f t="shared" si="15"/>
        <v>40574</v>
      </c>
      <c r="D110" s="824" t="e">
        <f>+'Cemento Port I IU 21'!D432</f>
        <v>#REF!</v>
      </c>
      <c r="E110" s="849">
        <f t="shared" si="16"/>
        <v>651413.2899999998</v>
      </c>
      <c r="F110" s="841">
        <f t="shared" si="19"/>
        <v>5.8999999999999997E-2</v>
      </c>
      <c r="G110" s="842">
        <f t="shared" si="20"/>
        <v>0.49153000000000002</v>
      </c>
      <c r="H110" s="849" t="e">
        <f t="shared" si="21"/>
        <v>#REF!</v>
      </c>
      <c r="I110" s="744" t="e">
        <f t="shared" si="22"/>
        <v>#REF!</v>
      </c>
      <c r="J110" s="847" t="e">
        <f t="shared" si="23"/>
        <v>#REF!</v>
      </c>
      <c r="K110" s="849" t="e">
        <f t="shared" si="17"/>
        <v>#REF!</v>
      </c>
      <c r="L110" s="852" t="e">
        <f t="shared" si="24"/>
        <v>#REF!</v>
      </c>
      <c r="M110" s="744" t="e">
        <f>+K!#REF!</f>
        <v>#REF!</v>
      </c>
      <c r="N110" s="1019" t="e">
        <f t="shared" si="18"/>
        <v>#REF!</v>
      </c>
      <c r="P110" s="845">
        <v>40513</v>
      </c>
      <c r="Q110" s="845">
        <v>40575</v>
      </c>
    </row>
    <row r="111" spans="2:18" ht="11.25" customHeight="1">
      <c r="B111" s="822" t="str">
        <f t="shared" si="15"/>
        <v>VAL. 11</v>
      </c>
      <c r="C111" s="901">
        <f t="shared" si="15"/>
        <v>40602</v>
      </c>
      <c r="D111" s="824" t="e">
        <f>+'Cemento Port I IU 21'!D433</f>
        <v>#REF!</v>
      </c>
      <c r="E111" s="849">
        <f t="shared" si="16"/>
        <v>563836.63999999978</v>
      </c>
      <c r="F111" s="841">
        <f t="shared" si="19"/>
        <v>5.8999999999999997E-2</v>
      </c>
      <c r="G111" s="842">
        <f t="shared" si="20"/>
        <v>0.49153000000000002</v>
      </c>
      <c r="H111" s="849" t="e">
        <f t="shared" si="21"/>
        <v>#REF!</v>
      </c>
      <c r="I111" s="744" t="e">
        <f t="shared" si="22"/>
        <v>#REF!</v>
      </c>
      <c r="J111" s="847" t="e">
        <f t="shared" si="23"/>
        <v>#REF!</v>
      </c>
      <c r="K111" s="849" t="e">
        <f t="shared" si="17"/>
        <v>#REF!</v>
      </c>
      <c r="L111" s="852" t="e">
        <f t="shared" si="24"/>
        <v>#REF!</v>
      </c>
      <c r="M111" s="744" t="e">
        <f>+K!#REF!</f>
        <v>#REF!</v>
      </c>
      <c r="N111" s="1019" t="e">
        <f t="shared" si="18"/>
        <v>#REF!</v>
      </c>
      <c r="P111" s="845">
        <v>40544</v>
      </c>
      <c r="Q111" s="845">
        <v>40603</v>
      </c>
    </row>
    <row r="112" spans="2:18" ht="11.25" customHeight="1">
      <c r="B112" s="822" t="str">
        <f t="shared" si="15"/>
        <v>VAL. 12</v>
      </c>
      <c r="C112" s="901">
        <f t="shared" si="15"/>
        <v>40633</v>
      </c>
      <c r="D112" s="824" t="e">
        <f>+'Cemento Port I IU 21'!D434</f>
        <v>#REF!</v>
      </c>
      <c r="E112" s="843">
        <f t="shared" si="16"/>
        <v>486066.00999999978</v>
      </c>
      <c r="F112" s="841">
        <f t="shared" si="19"/>
        <v>5.8999999999999997E-2</v>
      </c>
      <c r="G112" s="842">
        <f t="shared" si="20"/>
        <v>0.49153000000000002</v>
      </c>
      <c r="H112" s="843" t="e">
        <f t="shared" si="21"/>
        <v>#REF!</v>
      </c>
      <c r="I112" s="744" t="e">
        <f t="shared" si="22"/>
        <v>#REF!</v>
      </c>
      <c r="J112" s="824" t="e">
        <f t="shared" si="23"/>
        <v>#REF!</v>
      </c>
      <c r="K112" s="843" t="e">
        <f t="shared" si="17"/>
        <v>#REF!</v>
      </c>
      <c r="L112" s="744" t="e">
        <f t="shared" si="24"/>
        <v>#REF!</v>
      </c>
      <c r="M112" s="744" t="e">
        <f>+K!#REF!</f>
        <v>#REF!</v>
      </c>
      <c r="N112" s="1019" t="e">
        <f t="shared" si="18"/>
        <v>#REF!</v>
      </c>
      <c r="P112" s="845">
        <v>40575</v>
      </c>
      <c r="Q112" s="845">
        <v>40634</v>
      </c>
    </row>
    <row r="113" spans="2:17" ht="11.25" customHeight="1">
      <c r="B113" s="822" t="str">
        <f t="shared" si="15"/>
        <v>VAL. 13</v>
      </c>
      <c r="C113" s="901">
        <f t="shared" si="15"/>
        <v>40663</v>
      </c>
      <c r="D113" s="824" t="e">
        <f>+'Cemento Port I IU 21'!D435</f>
        <v>#REF!</v>
      </c>
      <c r="E113" s="843">
        <f t="shared" si="16"/>
        <v>392049.55999999976</v>
      </c>
      <c r="F113" s="841">
        <f t="shared" si="19"/>
        <v>5.8999999999999997E-2</v>
      </c>
      <c r="G113" s="842">
        <f t="shared" si="20"/>
        <v>0.49153000000000002</v>
      </c>
      <c r="H113" s="843" t="e">
        <f t="shared" si="21"/>
        <v>#REF!</v>
      </c>
      <c r="I113" s="744" t="e">
        <f t="shared" si="22"/>
        <v>#REF!</v>
      </c>
      <c r="J113" s="824" t="e">
        <f t="shared" si="23"/>
        <v>#REF!</v>
      </c>
      <c r="K113" s="843" t="e">
        <f t="shared" si="17"/>
        <v>#REF!</v>
      </c>
      <c r="L113" s="744" t="e">
        <f t="shared" si="24"/>
        <v>#REF!</v>
      </c>
      <c r="M113" s="744" t="e">
        <f>+K!#REF!</f>
        <v>#REF!</v>
      </c>
      <c r="N113" s="1019" t="e">
        <f t="shared" si="18"/>
        <v>#REF!</v>
      </c>
      <c r="P113" s="845">
        <v>40603</v>
      </c>
      <c r="Q113" s="845">
        <v>40664</v>
      </c>
    </row>
    <row r="114" spans="2:17" ht="11.25" customHeight="1">
      <c r="B114" s="822" t="str">
        <f t="shared" si="15"/>
        <v>VAL. 14</v>
      </c>
      <c r="C114" s="901">
        <f t="shared" si="15"/>
        <v>40694</v>
      </c>
      <c r="D114" s="824" t="e">
        <f>+'Cemento Port I IU 21'!D436</f>
        <v>#REF!</v>
      </c>
      <c r="E114" s="843">
        <f t="shared" si="16"/>
        <v>281031.01999999979</v>
      </c>
      <c r="F114" s="841">
        <f t="shared" si="19"/>
        <v>5.8999999999999997E-2</v>
      </c>
      <c r="G114" s="842">
        <f t="shared" si="20"/>
        <v>0.49153000000000002</v>
      </c>
      <c r="H114" s="843" t="e">
        <f t="shared" si="21"/>
        <v>#REF!</v>
      </c>
      <c r="I114" s="744" t="e">
        <f t="shared" si="22"/>
        <v>#REF!</v>
      </c>
      <c r="J114" s="824" t="e">
        <f t="shared" si="23"/>
        <v>#REF!</v>
      </c>
      <c r="K114" s="843" t="e">
        <f t="shared" si="17"/>
        <v>#REF!</v>
      </c>
      <c r="L114" s="744" t="e">
        <f t="shared" si="24"/>
        <v>#REF!</v>
      </c>
      <c r="M114" s="744" t="e">
        <f>+K!#REF!</f>
        <v>#REF!</v>
      </c>
      <c r="N114" s="1019" t="e">
        <f t="shared" si="18"/>
        <v>#REF!</v>
      </c>
      <c r="P114" s="845">
        <v>40634</v>
      </c>
      <c r="Q114" s="845">
        <v>40695</v>
      </c>
    </row>
    <row r="115" spans="2:17" ht="11.25" customHeight="1">
      <c r="B115" s="822" t="str">
        <f t="shared" si="15"/>
        <v>VAL. 15</v>
      </c>
      <c r="C115" s="901">
        <f t="shared" si="15"/>
        <v>40724</v>
      </c>
      <c r="D115" s="824" t="e">
        <f>+'Cemento Port I IU 21'!D437</f>
        <v>#REF!</v>
      </c>
      <c r="E115" s="843">
        <f t="shared" si="16"/>
        <v>75730.699999999779</v>
      </c>
      <c r="F115" s="841">
        <f t="shared" si="19"/>
        <v>5.8999999999999997E-2</v>
      </c>
      <c r="G115" s="842">
        <f t="shared" si="20"/>
        <v>0.49153000000000002</v>
      </c>
      <c r="H115" s="843" t="e">
        <f t="shared" si="21"/>
        <v>#REF!</v>
      </c>
      <c r="I115" s="744" t="e">
        <f t="shared" si="22"/>
        <v>#REF!</v>
      </c>
      <c r="J115" s="824" t="e">
        <f t="shared" si="23"/>
        <v>#REF!</v>
      </c>
      <c r="K115" s="843" t="e">
        <f t="shared" si="17"/>
        <v>#REF!</v>
      </c>
      <c r="L115" s="744" t="e">
        <f t="shared" si="24"/>
        <v>#REF!</v>
      </c>
      <c r="M115" s="744" t="e">
        <f>+K!#REF!</f>
        <v>#REF!</v>
      </c>
      <c r="N115" s="1019" t="e">
        <f t="shared" si="18"/>
        <v>#REF!</v>
      </c>
      <c r="P115" s="845">
        <v>40664</v>
      </c>
      <c r="Q115" s="845">
        <v>40725</v>
      </c>
    </row>
    <row r="116" spans="2:17" ht="11.25" customHeight="1">
      <c r="B116" s="822" t="str">
        <f t="shared" si="15"/>
        <v>VAL. 16</v>
      </c>
      <c r="C116" s="901">
        <f t="shared" si="15"/>
        <v>40755</v>
      </c>
      <c r="D116" s="824" t="e">
        <f>+'Cemento Port I IU 21'!D438</f>
        <v>#REF!</v>
      </c>
      <c r="E116" s="843" t="e">
        <f t="shared" si="16"/>
        <v>#REF!</v>
      </c>
      <c r="F116" s="841">
        <f t="shared" si="19"/>
        <v>5.8999999999999997E-2</v>
      </c>
      <c r="G116" s="842">
        <f t="shared" si="20"/>
        <v>0.49153000000000002</v>
      </c>
      <c r="H116" s="843" t="e">
        <f t="shared" si="21"/>
        <v>#REF!</v>
      </c>
      <c r="I116" s="744" t="e">
        <f t="shared" si="22"/>
        <v>#REF!</v>
      </c>
      <c r="J116" s="824" t="e">
        <f t="shared" si="23"/>
        <v>#REF!</v>
      </c>
      <c r="K116" s="843" t="e">
        <f t="shared" si="17"/>
        <v>#REF!</v>
      </c>
      <c r="L116" s="744" t="e">
        <f t="shared" si="24"/>
        <v>#REF!</v>
      </c>
      <c r="M116" s="972" t="e">
        <f>+K!#REF!</f>
        <v>#REF!</v>
      </c>
      <c r="N116" s="1019" t="e">
        <f t="shared" si="18"/>
        <v>#REF!</v>
      </c>
      <c r="P116" s="845">
        <v>40695</v>
      </c>
      <c r="Q116" s="845">
        <v>40756</v>
      </c>
    </row>
    <row r="117" spans="2:17" ht="11.25" customHeight="1">
      <c r="B117" s="822" t="str">
        <f t="shared" si="15"/>
        <v>VAL. 17</v>
      </c>
      <c r="C117" s="901">
        <f t="shared" si="15"/>
        <v>40786</v>
      </c>
      <c r="D117" s="824" t="e">
        <f>+'Cemento Port I IU 21'!D439</f>
        <v>#REF!</v>
      </c>
      <c r="E117" s="843" t="e">
        <f t="shared" si="16"/>
        <v>#REF!</v>
      </c>
      <c r="F117" s="841">
        <f t="shared" si="19"/>
        <v>5.8999999999999997E-2</v>
      </c>
      <c r="G117" s="842">
        <f t="shared" si="20"/>
        <v>0.49153000000000002</v>
      </c>
      <c r="H117" s="843" t="e">
        <f t="shared" si="21"/>
        <v>#REF!</v>
      </c>
      <c r="I117" s="744" t="e">
        <f t="shared" si="22"/>
        <v>#REF!</v>
      </c>
      <c r="J117" s="824" t="e">
        <f t="shared" si="23"/>
        <v>#REF!</v>
      </c>
      <c r="K117" s="843" t="e">
        <f t="shared" si="17"/>
        <v>#REF!</v>
      </c>
      <c r="L117" s="744" t="e">
        <f t="shared" si="24"/>
        <v>#REF!</v>
      </c>
      <c r="M117" s="843">
        <v>0</v>
      </c>
      <c r="N117" s="1019" t="e">
        <f t="shared" si="18"/>
        <v>#REF!</v>
      </c>
      <c r="P117" s="845">
        <v>40725</v>
      </c>
      <c r="Q117" s="845">
        <v>40787</v>
      </c>
    </row>
    <row r="118" spans="2:17" ht="11.25" customHeight="1">
      <c r="B118" s="822" t="str">
        <f t="shared" si="15"/>
        <v>VAL. 18</v>
      </c>
      <c r="C118" s="901">
        <f t="shared" si="15"/>
        <v>40816</v>
      </c>
      <c r="D118" s="824" t="e">
        <f>+'Cemento Port I IU 21'!D440</f>
        <v>#REF!</v>
      </c>
      <c r="E118" s="843" t="e">
        <f t="shared" si="16"/>
        <v>#REF!</v>
      </c>
      <c r="F118" s="841">
        <f t="shared" si="19"/>
        <v>5.8999999999999997E-2</v>
      </c>
      <c r="G118" s="842">
        <f t="shared" si="20"/>
        <v>0.49153000000000002</v>
      </c>
      <c r="H118" s="843" t="e">
        <f t="shared" si="21"/>
        <v>#REF!</v>
      </c>
      <c r="I118" s="744" t="e">
        <f t="shared" si="22"/>
        <v>#REF!</v>
      </c>
      <c r="J118" s="824" t="e">
        <f t="shared" si="23"/>
        <v>#REF!</v>
      </c>
      <c r="K118" s="843" t="e">
        <f t="shared" si="17"/>
        <v>#REF!</v>
      </c>
      <c r="L118" s="744" t="e">
        <f t="shared" si="24"/>
        <v>#REF!</v>
      </c>
      <c r="M118" s="843">
        <v>0</v>
      </c>
      <c r="N118" s="1019" t="e">
        <f t="shared" si="18"/>
        <v>#REF!</v>
      </c>
      <c r="P118" s="845">
        <v>40756</v>
      </c>
      <c r="Q118" s="845">
        <v>40817</v>
      </c>
    </row>
    <row r="119" spans="2:17" ht="11.25" customHeight="1">
      <c r="B119" s="822" t="str">
        <f t="shared" si="15"/>
        <v>VAL. 19</v>
      </c>
      <c r="C119" s="901">
        <f t="shared" si="15"/>
        <v>40826</v>
      </c>
      <c r="D119" s="824">
        <f>+'Cemento Port I IU 21'!D441</f>
        <v>0</v>
      </c>
      <c r="E119" s="843" t="e">
        <f t="shared" si="16"/>
        <v>#REF!</v>
      </c>
      <c r="F119" s="841">
        <f t="shared" si="19"/>
        <v>5.8999999999999997E-2</v>
      </c>
      <c r="G119" s="842">
        <f t="shared" si="20"/>
        <v>0.49153000000000002</v>
      </c>
      <c r="H119" s="843" t="e">
        <f t="shared" si="21"/>
        <v>#REF!</v>
      </c>
      <c r="I119" s="744" t="e">
        <f t="shared" si="22"/>
        <v>#REF!</v>
      </c>
      <c r="J119" s="824" t="e">
        <f t="shared" si="23"/>
        <v>#REF!</v>
      </c>
      <c r="K119" s="843" t="e">
        <f t="shared" si="17"/>
        <v>#REF!</v>
      </c>
      <c r="L119" s="744" t="e">
        <f t="shared" si="24"/>
        <v>#REF!</v>
      </c>
      <c r="M119" s="843">
        <v>0</v>
      </c>
      <c r="N119" s="1019" t="e">
        <f t="shared" si="18"/>
        <v>#REF!</v>
      </c>
      <c r="P119" s="845">
        <v>40756</v>
      </c>
      <c r="Q119" s="845">
        <v>40817</v>
      </c>
    </row>
    <row r="120" spans="2:17" ht="11.25" customHeight="1">
      <c r="B120" s="822"/>
      <c r="C120" s="901"/>
      <c r="D120" s="860"/>
      <c r="E120" s="860"/>
      <c r="F120" s="861"/>
      <c r="G120" s="862"/>
      <c r="H120" s="860"/>
      <c r="I120" s="860"/>
      <c r="J120" s="828"/>
      <c r="K120" s="860"/>
      <c r="L120" s="830"/>
      <c r="M120" s="860"/>
      <c r="N120" s="863"/>
      <c r="P120" s="864"/>
      <c r="Q120" s="865"/>
    </row>
    <row r="121" spans="2:17" ht="11.25" customHeight="1">
      <c r="B121" s="774"/>
      <c r="C121" s="715"/>
      <c r="D121" s="866"/>
      <c r="E121" s="867"/>
      <c r="F121" s="868"/>
      <c r="G121" s="869"/>
      <c r="H121" s="869"/>
      <c r="I121" s="870" t="e">
        <f>SUM(I101:I120)</f>
        <v>#REF!</v>
      </c>
      <c r="J121" s="871"/>
      <c r="K121" s="869"/>
      <c r="L121" s="727"/>
      <c r="M121" s="727"/>
      <c r="N121" s="1020"/>
    </row>
    <row r="122" spans="2:17" ht="11.25" customHeight="1">
      <c r="L122" s="873" t="s">
        <v>274</v>
      </c>
      <c r="M122" s="874"/>
      <c r="N122" s="1021" t="e">
        <f>SUM(N101:N120)</f>
        <v>#REF!</v>
      </c>
    </row>
    <row r="123" spans="2:17" ht="11.25" customHeight="1">
      <c r="L123" s="876" t="s">
        <v>287</v>
      </c>
      <c r="M123" s="877"/>
      <c r="N123" s="1019">
        <v>-3455.09</v>
      </c>
    </row>
    <row r="124" spans="2:17" ht="11.25" customHeight="1">
      <c r="L124" s="879" t="s">
        <v>288</v>
      </c>
      <c r="M124" s="880"/>
      <c r="N124" s="1022" t="e">
        <f>N122-N123</f>
        <v>#REF!</v>
      </c>
    </row>
  </sheetData>
  <mergeCells count="31">
    <mergeCell ref="U21:W21"/>
    <mergeCell ref="N21:O21"/>
    <mergeCell ref="G21:H21"/>
    <mergeCell ref="Q21:S21"/>
    <mergeCell ref="B56:O56"/>
    <mergeCell ref="L21:M21"/>
    <mergeCell ref="Q51:S51"/>
    <mergeCell ref="P99:Q99"/>
    <mergeCell ref="N99:N100"/>
    <mergeCell ref="F99:G99"/>
    <mergeCell ref="D71:F71"/>
    <mergeCell ref="D99:D100"/>
    <mergeCell ref="G71:I71"/>
    <mergeCell ref="K99:M99"/>
    <mergeCell ref="B9:O9"/>
    <mergeCell ref="B10:O10"/>
    <mergeCell ref="E21:F21"/>
    <mergeCell ref="K21:K22"/>
    <mergeCell ref="B11:O11"/>
    <mergeCell ref="F60:G60"/>
    <mergeCell ref="B21:B22"/>
    <mergeCell ref="B99:C100"/>
    <mergeCell ref="H99:J99"/>
    <mergeCell ref="C21:C22"/>
    <mergeCell ref="D70:I70"/>
    <mergeCell ref="D21:D22"/>
    <mergeCell ref="B70:C72"/>
    <mergeCell ref="E99:E100"/>
    <mergeCell ref="F59:G59"/>
    <mergeCell ref="I21:J21"/>
    <mergeCell ref="F61:G61"/>
  </mergeCells>
  <phoneticPr fontId="0" type="noConversion"/>
  <printOptions horizontalCentered="1"/>
  <pageMargins left="0.19685039370078741" right="0.19685039370078741" top="0.43" bottom="0.19685039370078741" header="0" footer="0"/>
  <pageSetup paperSize="9" scale="59" fitToHeight="2" orientation="landscape" verticalDpi="300" r:id="rId1"/>
  <headerFooter alignWithMargins="0"/>
  <rowBreaks count="1" manualBreakCount="1">
    <brk id="55" min="1" max="14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5">
    <tabColor indexed="10"/>
  </sheetPr>
  <dimension ref="B1:W317"/>
  <sheetViews>
    <sheetView showGridLines="0" view="pageBreakPreview" topLeftCell="A303" zoomScaleNormal="100" workbookViewId="0">
      <selection activeCell="A303" sqref="A303"/>
    </sheetView>
  </sheetViews>
  <sheetFormatPr baseColWidth="10" defaultColWidth="11.42578125" defaultRowHeight="11.25" customHeight="1"/>
  <cols>
    <col min="1" max="1" width="1.85546875" style="698" bestFit="1" customWidth="1"/>
    <col min="2" max="2" width="13.5703125" style="698" customWidth="1"/>
    <col min="3" max="3" width="50.85546875" style="698" customWidth="1"/>
    <col min="4" max="4" width="12.7109375" style="698" customWidth="1"/>
    <col min="5" max="5" width="11.7109375" style="698" customWidth="1"/>
    <col min="6" max="6" width="11" style="698" customWidth="1"/>
    <col min="7" max="10" width="10.7109375" style="698" customWidth="1"/>
    <col min="11" max="11" width="8.7109375" style="698" customWidth="1"/>
    <col min="12" max="12" width="11" style="698" customWidth="1"/>
    <col min="13" max="13" width="10.140625" style="698" customWidth="1"/>
    <col min="14" max="14" width="12.7109375" style="698" bestFit="1" customWidth="1"/>
    <col min="15" max="16" width="9.7109375" style="698" customWidth="1"/>
    <col min="17" max="17" width="9" style="751" bestFit="1" customWidth="1"/>
    <col min="18" max="18" width="11" style="698" bestFit="1" customWidth="1"/>
    <col min="19" max="19" width="10" style="698" bestFit="1" customWidth="1"/>
    <col min="20" max="20" width="14.28515625" style="698" bestFit="1" customWidth="1"/>
    <col min="21" max="16384" width="11.42578125" style="698"/>
  </cols>
  <sheetData>
    <row r="1" spans="2:20" ht="11.25" customHeight="1">
      <c r="B1" s="698" t="s">
        <v>1816</v>
      </c>
      <c r="C1" s="698" t="s">
        <v>1817</v>
      </c>
      <c r="D1" s="699"/>
      <c r="E1" s="699"/>
      <c r="I1" s="700"/>
      <c r="J1" s="700"/>
      <c r="K1" s="700"/>
      <c r="L1" s="700"/>
    </row>
    <row r="2" spans="2:20" s="699" customFormat="1" ht="11.25" customHeight="1">
      <c r="B2" s="698" t="s">
        <v>1818</v>
      </c>
      <c r="C2" s="698" t="s">
        <v>1819</v>
      </c>
      <c r="I2" s="700"/>
      <c r="J2" s="700"/>
      <c r="K2" s="700"/>
      <c r="L2" s="700"/>
      <c r="Q2" s="805"/>
    </row>
    <row r="3" spans="2:20" s="699" customFormat="1" ht="11.25" customHeight="1">
      <c r="B3" s="698" t="s">
        <v>1820</v>
      </c>
      <c r="C3" s="698" t="s">
        <v>1821</v>
      </c>
      <c r="I3" s="700"/>
      <c r="J3" s="700"/>
      <c r="K3" s="700"/>
      <c r="L3" s="700"/>
      <c r="Q3" s="805"/>
    </row>
    <row r="4" spans="2:20" s="699" customFormat="1" ht="11.25" customHeight="1">
      <c r="B4" s="698"/>
      <c r="C4" s="698" t="s">
        <v>1822</v>
      </c>
      <c r="I4" s="700"/>
      <c r="J4" s="700"/>
      <c r="K4" s="700"/>
      <c r="L4" s="700"/>
      <c r="Q4" s="805"/>
      <c r="R4"/>
      <c r="S4"/>
      <c r="T4"/>
    </row>
    <row r="5" spans="2:20" s="699" customFormat="1" ht="11.25" customHeight="1">
      <c r="B5" s="698" t="s">
        <v>1823</v>
      </c>
      <c r="C5" s="698" t="s">
        <v>1824</v>
      </c>
      <c r="I5" s="700"/>
      <c r="J5" s="700"/>
      <c r="K5" s="700"/>
      <c r="L5" s="700"/>
      <c r="Q5" s="805"/>
      <c r="R5"/>
      <c r="S5"/>
      <c r="T5"/>
    </row>
    <row r="6" spans="2:20" s="699" customFormat="1" ht="11.25" customHeight="1">
      <c r="B6" s="698" t="s">
        <v>1825</v>
      </c>
      <c r="C6" s="701">
        <v>40451</v>
      </c>
      <c r="I6" s="700"/>
      <c r="J6" s="700"/>
      <c r="K6" s="700"/>
      <c r="L6" s="700"/>
      <c r="Q6" s="805"/>
      <c r="R6"/>
      <c r="S6"/>
      <c r="T6"/>
    </row>
    <row r="7" spans="2:20" ht="11.25" customHeight="1">
      <c r="R7"/>
      <c r="S7"/>
      <c r="T7"/>
    </row>
    <row r="8" spans="2:20" ht="11.25" customHeight="1">
      <c r="R8"/>
      <c r="S8"/>
      <c r="T8"/>
    </row>
    <row r="9" spans="2:20" ht="18">
      <c r="B9" s="1687" t="str">
        <f>+'Asfalto IU 13'!B9:O9</f>
        <v>A M O R T I Z A C I O N     D E L     A D E L A N T O     P A R A     M A T E R I A L E S     Nº  02</v>
      </c>
      <c r="C9" s="1687"/>
      <c r="D9" s="1687"/>
      <c r="E9" s="1687"/>
      <c r="F9" s="1687"/>
      <c r="G9" s="1687"/>
      <c r="H9" s="1687"/>
      <c r="I9" s="1687"/>
      <c r="J9" s="1687"/>
      <c r="K9" s="1687"/>
      <c r="L9" s="1687"/>
      <c r="M9" s="1687"/>
      <c r="N9" s="1687"/>
      <c r="O9" s="1687"/>
      <c r="P9" s="700"/>
      <c r="Q9" s="940"/>
      <c r="R9"/>
      <c r="S9"/>
      <c r="T9"/>
    </row>
    <row r="10" spans="2:20" ht="18">
      <c r="B10" s="1687" t="str">
        <f>+'Asfalto IU 13'!B10:O10</f>
        <v>VALORIZACION Nº 4 - MES DE DICIEMBRE 2021</v>
      </c>
      <c r="C10" s="1687"/>
      <c r="D10" s="1687"/>
      <c r="E10" s="1687"/>
      <c r="F10" s="1687"/>
      <c r="G10" s="1687"/>
      <c r="H10" s="1687"/>
      <c r="I10" s="1687"/>
      <c r="J10" s="1687"/>
      <c r="K10" s="1687"/>
      <c r="L10" s="1687"/>
      <c r="M10" s="1687"/>
      <c r="N10" s="1687"/>
      <c r="O10" s="1687"/>
      <c r="P10" s="700"/>
      <c r="Q10" s="940"/>
      <c r="R10"/>
      <c r="S10"/>
      <c r="T10"/>
    </row>
    <row r="11" spans="2:20" ht="15">
      <c r="B11" s="1707" t="s">
        <v>617</v>
      </c>
      <c r="C11" s="1707"/>
      <c r="D11" s="1707"/>
      <c r="E11" s="1707"/>
      <c r="F11" s="1707"/>
      <c r="G11" s="1707"/>
      <c r="H11" s="1707"/>
      <c r="I11" s="1707"/>
      <c r="J11" s="1707"/>
      <c r="K11" s="1707"/>
      <c r="L11" s="1707"/>
      <c r="M11" s="1707"/>
      <c r="N11" s="1707"/>
      <c r="O11" s="1707"/>
      <c r="R11"/>
      <c r="S11"/>
      <c r="T11"/>
    </row>
    <row r="12" spans="2:20" ht="11.25" customHeight="1">
      <c r="B12" s="698" t="s">
        <v>292</v>
      </c>
      <c r="D12" s="702">
        <v>1027941.63</v>
      </c>
      <c r="E12" s="698" t="s">
        <v>178</v>
      </c>
      <c r="I12" s="699" t="s">
        <v>179</v>
      </c>
      <c r="K12" s="699" t="s">
        <v>180</v>
      </c>
      <c r="M12" s="699"/>
      <c r="R12"/>
      <c r="S12"/>
      <c r="T12"/>
    </row>
    <row r="13" spans="2:20" ht="11.25" customHeight="1">
      <c r="B13" s="698" t="s">
        <v>290</v>
      </c>
      <c r="D13" s="703" t="e">
        <f>+'Asfalto IU 13'!D13</f>
        <v>#REF!</v>
      </c>
      <c r="E13" s="704"/>
      <c r="I13" s="698" t="s">
        <v>182</v>
      </c>
      <c r="R13"/>
      <c r="S13"/>
      <c r="T13"/>
    </row>
    <row r="14" spans="2:20" ht="11.25" customHeight="1">
      <c r="B14" s="699" t="s">
        <v>183</v>
      </c>
      <c r="C14" s="699" t="s">
        <v>293</v>
      </c>
      <c r="E14" s="705"/>
      <c r="F14" s="706"/>
      <c r="I14" s="707" t="s">
        <v>185</v>
      </c>
      <c r="K14" s="698" t="s">
        <v>186</v>
      </c>
    </row>
    <row r="15" spans="2:20" ht="11.25" customHeight="1">
      <c r="B15" s="699" t="s">
        <v>187</v>
      </c>
      <c r="C15" s="708" t="s">
        <v>294</v>
      </c>
      <c r="E15" s="705"/>
      <c r="F15" s="706"/>
      <c r="I15" s="707" t="s">
        <v>188</v>
      </c>
      <c r="K15" s="698" t="s">
        <v>189</v>
      </c>
    </row>
    <row r="16" spans="2:20" ht="11.25" customHeight="1">
      <c r="B16" s="698" t="s">
        <v>190</v>
      </c>
      <c r="D16" s="709" t="str">
        <f>+K!K17</f>
        <v>347.73</v>
      </c>
      <c r="I16" s="707" t="s">
        <v>191</v>
      </c>
      <c r="K16" s="698" t="s">
        <v>192</v>
      </c>
    </row>
    <row r="17" spans="2:23" ht="11.25" customHeight="1">
      <c r="B17" s="698" t="str">
        <f>+'Asfalto IU 13'!B17</f>
        <v>Indice INEI a la Fecha del Pago del Adelanto  (Setiembre 2,010)</v>
      </c>
      <c r="D17" s="709" t="e">
        <f>+K!#REF!</f>
        <v>#REF!</v>
      </c>
      <c r="E17" s="1008">
        <f>+'Asfalto IU 13'!E17</f>
        <v>0</v>
      </c>
      <c r="I17" s="707" t="s">
        <v>193</v>
      </c>
      <c r="K17" s="698" t="s">
        <v>194</v>
      </c>
    </row>
    <row r="18" spans="2:23" ht="11.25" customHeight="1">
      <c r="I18" s="711" t="s">
        <v>195</v>
      </c>
      <c r="J18" s="712"/>
      <c r="K18" s="712" t="s">
        <v>196</v>
      </c>
      <c r="L18" s="712"/>
      <c r="M18" s="713">
        <v>1</v>
      </c>
    </row>
    <row r="19" spans="2:23" ht="11.25" customHeight="1">
      <c r="B19" s="39" t="s">
        <v>1826</v>
      </c>
      <c r="K19" s="698" t="s">
        <v>197</v>
      </c>
    </row>
    <row r="20" spans="2:23" ht="11.25" customHeight="1">
      <c r="B20" s="715"/>
      <c r="C20" s="715"/>
      <c r="D20" s="715"/>
      <c r="E20" s="715"/>
      <c r="F20" s="715"/>
      <c r="G20" s="715"/>
      <c r="H20" s="715"/>
      <c r="I20" s="715"/>
      <c r="J20" s="715"/>
      <c r="K20" s="715"/>
      <c r="L20" s="715"/>
      <c r="M20" s="715"/>
      <c r="N20" s="715"/>
      <c r="O20" s="715"/>
    </row>
    <row r="21" spans="2:23" ht="11.25" customHeight="1">
      <c r="B21" s="1714" t="s">
        <v>198</v>
      </c>
      <c r="C21" s="1714" t="s">
        <v>199</v>
      </c>
      <c r="D21" s="1716" t="s">
        <v>601</v>
      </c>
      <c r="E21" s="1712" t="s">
        <v>200</v>
      </c>
      <c r="F21" s="1713"/>
      <c r="G21" s="1712" t="s">
        <v>201</v>
      </c>
      <c r="H21" s="1713"/>
      <c r="I21" s="1712" t="s">
        <v>202</v>
      </c>
      <c r="J21" s="1713"/>
      <c r="K21" s="1714" t="s">
        <v>203</v>
      </c>
      <c r="L21" s="1712" t="s">
        <v>204</v>
      </c>
      <c r="M21" s="1713"/>
      <c r="N21" s="1712" t="s">
        <v>423</v>
      </c>
      <c r="O21" s="1713"/>
      <c r="P21" s="700"/>
      <c r="Q21" s="1695" t="s">
        <v>205</v>
      </c>
      <c r="R21" s="1696"/>
      <c r="S21" s="1697"/>
      <c r="T21" s="710"/>
      <c r="U21" s="1695" t="s">
        <v>331</v>
      </c>
      <c r="V21" s="1696"/>
      <c r="W21" s="1697"/>
    </row>
    <row r="22" spans="2:23" ht="20.100000000000001" customHeight="1">
      <c r="B22" s="1715"/>
      <c r="C22" s="1715"/>
      <c r="D22" s="1717"/>
      <c r="E22" s="1011" t="s">
        <v>206</v>
      </c>
      <c r="F22" s="1012" t="s">
        <v>207</v>
      </c>
      <c r="G22" s="1011" t="s">
        <v>452</v>
      </c>
      <c r="H22" s="1012" t="s">
        <v>208</v>
      </c>
      <c r="I22" s="1011" t="s">
        <v>452</v>
      </c>
      <c r="J22" s="1012" t="s">
        <v>208</v>
      </c>
      <c r="K22" s="1715"/>
      <c r="L22" s="1011" t="s">
        <v>467</v>
      </c>
      <c r="M22" s="1012" t="s">
        <v>468</v>
      </c>
      <c r="N22" s="1011" t="s">
        <v>209</v>
      </c>
      <c r="O22" s="1012" t="s">
        <v>210</v>
      </c>
      <c r="Q22" s="1149" t="s">
        <v>211</v>
      </c>
      <c r="R22" s="955" t="s">
        <v>394</v>
      </c>
      <c r="S22" s="956" t="s">
        <v>451</v>
      </c>
      <c r="T22" s="710"/>
      <c r="U22" s="954" t="s">
        <v>211</v>
      </c>
      <c r="V22" s="955" t="s">
        <v>394</v>
      </c>
      <c r="W22" s="956" t="s">
        <v>451</v>
      </c>
    </row>
    <row r="23" spans="2:23" ht="11.25" customHeight="1">
      <c r="B23" s="722" t="str">
        <f>+B$14</f>
        <v>Material:</v>
      </c>
      <c r="C23" s="723" t="str">
        <f>+C14</f>
        <v>DÓLAR MAS NFLACION MERCADO USA</v>
      </c>
      <c r="D23" s="724"/>
      <c r="E23" s="724"/>
      <c r="F23" s="725"/>
      <c r="G23" s="726"/>
      <c r="H23" s="727"/>
      <c r="I23" s="726"/>
      <c r="J23" s="728"/>
      <c r="K23" s="729"/>
      <c r="L23" s="724"/>
      <c r="M23" s="725"/>
      <c r="N23" s="730"/>
      <c r="O23" s="728"/>
      <c r="Q23" s="1150"/>
      <c r="R23" s="958"/>
      <c r="S23" s="959"/>
      <c r="T23" s="710"/>
      <c r="U23" s="1150"/>
      <c r="V23" s="958"/>
      <c r="W23" s="959"/>
    </row>
    <row r="24" spans="2:23" ht="11.25" customHeight="1">
      <c r="B24" s="722" t="s">
        <v>212</v>
      </c>
      <c r="C24" s="733" t="s">
        <v>883</v>
      </c>
      <c r="D24" s="724"/>
      <c r="E24" s="724"/>
      <c r="F24" s="734"/>
      <c r="G24" s="726"/>
      <c r="H24" s="727"/>
      <c r="I24" s="726"/>
      <c r="J24" s="727"/>
      <c r="K24" s="729"/>
      <c r="L24" s="724"/>
      <c r="M24" s="725"/>
      <c r="N24" s="730"/>
      <c r="O24" s="728"/>
      <c r="Q24" s="1070"/>
      <c r="R24" s="961"/>
      <c r="S24" s="959"/>
      <c r="T24" s="710"/>
      <c r="U24" s="1070"/>
      <c r="V24" s="961"/>
      <c r="W24" s="963">
        <v>339529.95</v>
      </c>
    </row>
    <row r="25" spans="2:23" ht="11.25" customHeight="1">
      <c r="B25" s="796" t="s">
        <v>39</v>
      </c>
      <c r="C25" s="1023" t="s">
        <v>40</v>
      </c>
      <c r="D25" s="738" t="s">
        <v>175</v>
      </c>
      <c r="E25" s="739">
        <v>1</v>
      </c>
      <c r="F25" s="740">
        <v>1</v>
      </c>
      <c r="G25" s="1032">
        <v>1341540.73</v>
      </c>
      <c r="H25" s="759">
        <f>+ROUND(E25*F25*G25,2)</f>
        <v>1341540.73</v>
      </c>
      <c r="I25" s="743">
        <f>LOOKUP(B25,valoriz!$A$13:$A$242,valoriz!I$13:I$242)</f>
        <v>0</v>
      </c>
      <c r="J25" s="972">
        <v>0</v>
      </c>
      <c r="K25" s="745">
        <v>0.52</v>
      </c>
      <c r="L25" s="746" t="e">
        <f>D$17</f>
        <v>#REF!</v>
      </c>
      <c r="M25" s="747" t="str">
        <f>D$16</f>
        <v>347.73</v>
      </c>
      <c r="N25" s="748">
        <f>+ROUND(J25*K25*M$18,2)</f>
        <v>0</v>
      </c>
      <c r="O25" s="744" t="e">
        <f>+ROUND(J25*K25*L25*M$18/M25,2)</f>
        <v>#REF!</v>
      </c>
      <c r="Q25" s="1144">
        <v>703434.56</v>
      </c>
      <c r="R25" s="1145">
        <f>+J25+Q25</f>
        <v>703434.56</v>
      </c>
      <c r="S25" s="1146">
        <f>+IF((H25-R25)&lt;0,"BAD", H25-R25)</f>
        <v>638106.16999999993</v>
      </c>
      <c r="T25" s="710"/>
      <c r="U25" s="965" t="e">
        <f>+ROUND(Q25*$K25*$L25/$M25,2)</f>
        <v>#REF!</v>
      </c>
      <c r="V25" s="966" t="e">
        <f>+ROUND(R25*$K25*$L25/$M25,2)</f>
        <v>#REF!</v>
      </c>
      <c r="W25" s="1147"/>
    </row>
    <row r="26" spans="2:23" ht="11.25" customHeight="1" thickBot="1">
      <c r="B26" s="762"/>
      <c r="C26" s="1024"/>
      <c r="D26" s="764"/>
      <c r="E26" s="765"/>
      <c r="F26" s="766"/>
      <c r="G26" s="767"/>
      <c r="H26" s="768"/>
      <c r="I26" s="767"/>
      <c r="J26" s="769"/>
      <c r="K26" s="770"/>
      <c r="L26" s="771"/>
      <c r="M26" s="772"/>
      <c r="N26" s="773"/>
      <c r="O26" s="769"/>
      <c r="Q26" s="1057">
        <f>SUM(Q25)</f>
        <v>703434.56</v>
      </c>
      <c r="R26" s="969">
        <f>SUM(R25)</f>
        <v>703434.56</v>
      </c>
      <c r="S26" s="970">
        <f>SUM(S25)</f>
        <v>638106.16999999993</v>
      </c>
      <c r="T26" s="1148"/>
      <c r="U26" s="1057" t="e">
        <f>SUM(U25)</f>
        <v>#REF!</v>
      </c>
      <c r="V26" s="969" t="e">
        <f>SUM(V25)</f>
        <v>#REF!</v>
      </c>
      <c r="W26" s="1146" t="e">
        <f>+W24-V27</f>
        <v>#REF!</v>
      </c>
    </row>
    <row r="27" spans="2:23" ht="11.25" customHeight="1">
      <c r="B27" s="775"/>
      <c r="C27" s="776"/>
      <c r="D27" s="777"/>
      <c r="E27" s="777"/>
      <c r="F27" s="778"/>
      <c r="G27" s="779"/>
      <c r="H27" s="780">
        <f>SUM(H25:H26)</f>
        <v>1341540.73</v>
      </c>
      <c r="I27" s="779"/>
      <c r="J27" s="780">
        <f>SUM(J25:J26)</f>
        <v>0</v>
      </c>
      <c r="K27" s="781"/>
      <c r="L27" s="777" t="s">
        <v>589</v>
      </c>
      <c r="M27" s="778"/>
      <c r="N27" s="782">
        <f>SUM(N25:N26)</f>
        <v>0</v>
      </c>
      <c r="O27" s="783" t="e">
        <f>SUM(O25:O26)</f>
        <v>#REF!</v>
      </c>
      <c r="Q27" s="1698" t="str">
        <f>+IF(SUM(R25:R25)&gt;J28,"Revisar Metrado","OK")</f>
        <v>Revisar Metrado</v>
      </c>
      <c r="R27" s="1699"/>
      <c r="S27" s="1700"/>
      <c r="T27" s="1148"/>
      <c r="U27" s="1058" t="e">
        <f>+ROUND(Q26*$K25*$L25/$M25,2)</f>
        <v>#REF!</v>
      </c>
      <c r="V27" s="1151" t="e">
        <f>+O27+U27-0.01</f>
        <v>#REF!</v>
      </c>
      <c r="W27" s="1152"/>
    </row>
    <row r="28" spans="2:23" ht="11.25" customHeight="1">
      <c r="B28" s="784"/>
      <c r="C28" s="785"/>
      <c r="G28" s="786"/>
      <c r="H28" s="787" t="s">
        <v>214</v>
      </c>
      <c r="I28" s="788"/>
      <c r="J28" s="899">
        <v>691953</v>
      </c>
      <c r="K28" s="751"/>
      <c r="R28"/>
      <c r="S28"/>
      <c r="T28"/>
      <c r="U28" s="751"/>
      <c r="V28"/>
      <c r="W28"/>
    </row>
    <row r="29" spans="2:23" ht="11.25" customHeight="1">
      <c r="B29" s="790"/>
      <c r="C29" s="791"/>
      <c r="D29" s="121"/>
      <c r="E29" s="792"/>
      <c r="F29" s="792"/>
      <c r="G29" s="793"/>
      <c r="H29" s="793"/>
      <c r="I29" s="793"/>
      <c r="J29" s="751"/>
      <c r="K29" s="709"/>
      <c r="M29" s="709"/>
      <c r="N29" s="709"/>
      <c r="O29" s="751"/>
      <c r="P29" s="751"/>
      <c r="R29"/>
      <c r="S29"/>
      <c r="T29"/>
      <c r="U29" s="751"/>
      <c r="V29"/>
      <c r="W29"/>
    </row>
    <row r="30" spans="2:23" ht="11.25" customHeight="1">
      <c r="B30" s="1714" t="s">
        <v>198</v>
      </c>
      <c r="C30" s="1714" t="s">
        <v>199</v>
      </c>
      <c r="D30" s="1716" t="s">
        <v>601</v>
      </c>
      <c r="E30" s="1712" t="s">
        <v>200</v>
      </c>
      <c r="F30" s="1713"/>
      <c r="G30" s="1712" t="s">
        <v>201</v>
      </c>
      <c r="H30" s="1713"/>
      <c r="I30" s="1712" t="s">
        <v>202</v>
      </c>
      <c r="J30" s="1713"/>
      <c r="K30" s="1714" t="s">
        <v>203</v>
      </c>
      <c r="L30" s="1712" t="s">
        <v>204</v>
      </c>
      <c r="M30" s="1713"/>
      <c r="N30" s="1712" t="s">
        <v>423</v>
      </c>
      <c r="O30" s="1713"/>
      <c r="P30" s="700"/>
      <c r="Q30" s="1678" t="s">
        <v>205</v>
      </c>
      <c r="R30" s="1679"/>
      <c r="S30" s="1680"/>
      <c r="T30"/>
      <c r="U30" s="1678" t="s">
        <v>331</v>
      </c>
      <c r="V30" s="1679"/>
      <c r="W30" s="1680"/>
    </row>
    <row r="31" spans="2:23" ht="20.100000000000001" customHeight="1">
      <c r="B31" s="1715"/>
      <c r="C31" s="1715"/>
      <c r="D31" s="1717"/>
      <c r="E31" s="1011" t="s">
        <v>206</v>
      </c>
      <c r="F31" s="1012" t="s">
        <v>207</v>
      </c>
      <c r="G31" s="1011" t="s">
        <v>452</v>
      </c>
      <c r="H31" s="1012" t="s">
        <v>208</v>
      </c>
      <c r="I31" s="1011" t="s">
        <v>452</v>
      </c>
      <c r="J31" s="1012" t="s">
        <v>208</v>
      </c>
      <c r="K31" s="1715"/>
      <c r="L31" s="1011" t="s">
        <v>467</v>
      </c>
      <c r="M31" s="1012" t="s">
        <v>468</v>
      </c>
      <c r="N31" s="1011" t="s">
        <v>209</v>
      </c>
      <c r="O31" s="1012" t="s">
        <v>210</v>
      </c>
      <c r="Q31" s="1030" t="s">
        <v>211</v>
      </c>
      <c r="R31" s="720" t="s">
        <v>394</v>
      </c>
      <c r="S31" s="721" t="s">
        <v>451</v>
      </c>
      <c r="T31"/>
      <c r="U31" s="719" t="s">
        <v>211</v>
      </c>
      <c r="V31" s="720" t="s">
        <v>394</v>
      </c>
      <c r="W31" s="721" t="s">
        <v>451</v>
      </c>
    </row>
    <row r="32" spans="2:23" ht="11.25" customHeight="1">
      <c r="B32" s="722" t="str">
        <f>+B$14</f>
        <v>Material:</v>
      </c>
      <c r="C32" s="728"/>
      <c r="D32" s="724"/>
      <c r="E32" s="730"/>
      <c r="G32" s="726"/>
      <c r="H32" s="727"/>
      <c r="I32" s="726"/>
      <c r="J32" s="728"/>
      <c r="K32" s="729"/>
      <c r="L32" s="724"/>
      <c r="M32" s="725"/>
      <c r="N32" s="730"/>
      <c r="O32" s="728"/>
      <c r="Q32" s="1031"/>
      <c r="R32" s="732"/>
      <c r="S32" s="725"/>
      <c r="T32"/>
      <c r="U32" s="1031"/>
      <c r="V32" s="732"/>
      <c r="W32" s="725"/>
    </row>
    <row r="33" spans="2:23" ht="11.25" customHeight="1">
      <c r="B33" s="722" t="s">
        <v>212</v>
      </c>
      <c r="C33" s="733" t="s">
        <v>1000</v>
      </c>
      <c r="D33" s="724"/>
      <c r="E33" s="730"/>
      <c r="F33" s="802"/>
      <c r="G33" s="726"/>
      <c r="H33" s="727"/>
      <c r="I33" s="726"/>
      <c r="J33" s="727"/>
      <c r="K33" s="729"/>
      <c r="L33" s="724"/>
      <c r="M33" s="725"/>
      <c r="N33" s="794"/>
      <c r="O33" s="795"/>
      <c r="Q33" s="951"/>
      <c r="R33" s="735"/>
      <c r="S33" s="725"/>
      <c r="T33"/>
      <c r="U33" s="1070">
        <v>1357.89</v>
      </c>
      <c r="V33" s="962">
        <f>+U33</f>
        <v>1357.89</v>
      </c>
      <c r="W33" s="952">
        <v>40389.11</v>
      </c>
    </row>
    <row r="34" spans="2:23" ht="11.25" customHeight="1">
      <c r="B34" s="796" t="s">
        <v>53</v>
      </c>
      <c r="C34" s="1023" t="s">
        <v>54</v>
      </c>
      <c r="D34" s="738" t="s">
        <v>173</v>
      </c>
      <c r="E34" s="739">
        <v>1</v>
      </c>
      <c r="F34" s="740">
        <v>5.1999999999999998E-2</v>
      </c>
      <c r="G34" s="797">
        <v>18363.259999999998</v>
      </c>
      <c r="H34" s="742">
        <f t="shared" ref="H34:H51" si="0">+ROUND(E34*F34*G34,2)</f>
        <v>954.89</v>
      </c>
      <c r="I34" s="743">
        <f>LOOKUP(B34,valoriz!$A$13:$A$242,valoriz!I$13:I$242)</f>
        <v>0</v>
      </c>
      <c r="J34" s="744">
        <f t="shared" ref="J34:J51" si="1">+ROUND(E34*F34*I34,2)</f>
        <v>0</v>
      </c>
      <c r="K34" s="745">
        <v>27.09</v>
      </c>
      <c r="L34" s="746" t="e">
        <f t="shared" ref="L34:L51" si="2">D$17</f>
        <v>#REF!</v>
      </c>
      <c r="M34" s="747" t="str">
        <f t="shared" ref="M34:M51" si="3">D$16</f>
        <v>347.73</v>
      </c>
      <c r="N34" s="748">
        <f t="shared" ref="N34:N51" si="4">+ROUND(J34*K34*M$18,2)</f>
        <v>0</v>
      </c>
      <c r="O34" s="744" t="e">
        <f t="shared" ref="O34:O51" si="5">+ROUND(J34*K34*L34*M$18/M34,2)</f>
        <v>#REF!</v>
      </c>
      <c r="Q34" s="824">
        <v>777.61</v>
      </c>
      <c r="R34" s="883">
        <f t="shared" ref="R34:R51" si="6">+J34+Q34</f>
        <v>777.61</v>
      </c>
      <c r="S34" s="882">
        <f t="shared" ref="S34:S51" si="7">+IF((H34-R34)&lt;0,"BAD", H34-R34)</f>
        <v>177.27999999999997</v>
      </c>
      <c r="T34"/>
      <c r="U34" s="824" t="e">
        <f t="shared" ref="U34:U51" si="8">+ROUND(Q34*$K34*$L34/$M34,2)</f>
        <v>#REF!</v>
      </c>
      <c r="V34" s="883" t="e">
        <f t="shared" ref="V34:V51" si="9">+ROUND(R34*$K34*$L34/$M34,2)</f>
        <v>#REF!</v>
      </c>
      <c r="W34" s="882"/>
    </row>
    <row r="35" spans="2:23" ht="11.25" customHeight="1">
      <c r="B35" s="757" t="s">
        <v>57</v>
      </c>
      <c r="C35" s="1013" t="s">
        <v>58</v>
      </c>
      <c r="D35" s="738" t="s">
        <v>174</v>
      </c>
      <c r="E35" s="739">
        <v>0.30399999999999999</v>
      </c>
      <c r="F35" s="740">
        <v>0.06</v>
      </c>
      <c r="G35" s="741">
        <v>4206</v>
      </c>
      <c r="H35" s="759">
        <f t="shared" si="0"/>
        <v>76.72</v>
      </c>
      <c r="I35" s="743">
        <f>LOOKUP(B35,valoriz!$A$13:$A$242,valoriz!I$13:I$242)</f>
        <v>0</v>
      </c>
      <c r="J35" s="744">
        <f t="shared" si="1"/>
        <v>0</v>
      </c>
      <c r="K35" s="745">
        <f t="shared" ref="K35:K49" si="10">+K34</f>
        <v>27.09</v>
      </c>
      <c r="L35" s="746" t="e">
        <f t="shared" si="2"/>
        <v>#REF!</v>
      </c>
      <c r="M35" s="747" t="str">
        <f t="shared" si="3"/>
        <v>347.73</v>
      </c>
      <c r="N35" s="748">
        <f t="shared" si="4"/>
        <v>0</v>
      </c>
      <c r="O35" s="744" t="e">
        <f t="shared" si="5"/>
        <v>#REF!</v>
      </c>
      <c r="Q35" s="965">
        <v>73.06</v>
      </c>
      <c r="R35" s="966">
        <f t="shared" si="6"/>
        <v>73.06</v>
      </c>
      <c r="S35" s="882">
        <f t="shared" si="7"/>
        <v>3.6599999999999966</v>
      </c>
      <c r="T35" s="751"/>
      <c r="U35" s="824" t="e">
        <f t="shared" si="8"/>
        <v>#REF!</v>
      </c>
      <c r="V35" s="883" t="e">
        <f t="shared" si="9"/>
        <v>#REF!</v>
      </c>
      <c r="W35" s="882"/>
    </row>
    <row r="36" spans="2:23" ht="11.25" customHeight="1">
      <c r="B36" s="757" t="s">
        <v>59</v>
      </c>
      <c r="C36" s="1013" t="s">
        <v>60</v>
      </c>
      <c r="D36" s="738" t="s">
        <v>174</v>
      </c>
      <c r="E36" s="739">
        <v>0.06</v>
      </c>
      <c r="F36" s="740">
        <v>0.06</v>
      </c>
      <c r="G36" s="754">
        <v>3942</v>
      </c>
      <c r="H36" s="759">
        <f t="shared" si="0"/>
        <v>14.19</v>
      </c>
      <c r="I36" s="743">
        <f>LOOKUP(B36,valoriz!$A$13:$A$242,valoriz!I$13:I$242)</f>
        <v>0</v>
      </c>
      <c r="J36" s="744">
        <f t="shared" si="1"/>
        <v>0</v>
      </c>
      <c r="K36" s="745">
        <f t="shared" si="10"/>
        <v>27.09</v>
      </c>
      <c r="L36" s="746" t="e">
        <f t="shared" si="2"/>
        <v>#REF!</v>
      </c>
      <c r="M36" s="747" t="str">
        <f t="shared" si="3"/>
        <v>347.73</v>
      </c>
      <c r="N36" s="748">
        <f t="shared" si="4"/>
        <v>0</v>
      </c>
      <c r="O36" s="744" t="e">
        <f t="shared" si="5"/>
        <v>#REF!</v>
      </c>
      <c r="Q36" s="824">
        <v>8.4499999999999993</v>
      </c>
      <c r="R36" s="883">
        <f t="shared" si="6"/>
        <v>8.4499999999999993</v>
      </c>
      <c r="S36" s="882">
        <f t="shared" si="7"/>
        <v>5.74</v>
      </c>
      <c r="T36" s="751"/>
      <c r="U36" s="824" t="e">
        <f t="shared" si="8"/>
        <v>#REF!</v>
      </c>
      <c r="V36" s="883" t="e">
        <f t="shared" si="9"/>
        <v>#REF!</v>
      </c>
      <c r="W36" s="882"/>
    </row>
    <row r="37" spans="2:23" ht="11.25" customHeight="1">
      <c r="B37" s="757" t="s">
        <v>61</v>
      </c>
      <c r="C37" s="1013" t="s">
        <v>62</v>
      </c>
      <c r="D37" s="738" t="s">
        <v>174</v>
      </c>
      <c r="E37" s="739">
        <v>0.05</v>
      </c>
      <c r="F37" s="740">
        <v>0.06</v>
      </c>
      <c r="G37" s="754">
        <v>41679.79</v>
      </c>
      <c r="H37" s="759">
        <f t="shared" si="0"/>
        <v>125.04</v>
      </c>
      <c r="I37" s="743">
        <f>LOOKUP(B37,valoriz!$A$13:$A$242,valoriz!I$13:I$242)</f>
        <v>0</v>
      </c>
      <c r="J37" s="744">
        <f t="shared" si="1"/>
        <v>0</v>
      </c>
      <c r="K37" s="745">
        <f t="shared" si="10"/>
        <v>27.09</v>
      </c>
      <c r="L37" s="746" t="e">
        <f t="shared" si="2"/>
        <v>#REF!</v>
      </c>
      <c r="M37" s="747" t="str">
        <f t="shared" si="3"/>
        <v>347.73</v>
      </c>
      <c r="N37" s="748">
        <f t="shared" si="4"/>
        <v>0</v>
      </c>
      <c r="O37" s="744" t="e">
        <f t="shared" si="5"/>
        <v>#REF!</v>
      </c>
      <c r="Q37" s="824">
        <v>62.36</v>
      </c>
      <c r="R37" s="883">
        <f t="shared" si="6"/>
        <v>62.36</v>
      </c>
      <c r="S37" s="882">
        <f t="shared" si="7"/>
        <v>62.680000000000007</v>
      </c>
      <c r="T37" s="751"/>
      <c r="U37" s="824" t="e">
        <f t="shared" si="8"/>
        <v>#REF!</v>
      </c>
      <c r="V37" s="883" t="e">
        <f t="shared" si="9"/>
        <v>#REF!</v>
      </c>
      <c r="W37" s="882"/>
    </row>
    <row r="38" spans="2:23" ht="11.25" customHeight="1">
      <c r="B38" s="736" t="s">
        <v>63</v>
      </c>
      <c r="C38" s="1013" t="s">
        <v>64</v>
      </c>
      <c r="D38" s="755" t="s">
        <v>174</v>
      </c>
      <c r="E38" s="739">
        <v>0.5</v>
      </c>
      <c r="F38" s="740">
        <v>0.06</v>
      </c>
      <c r="G38" s="754">
        <v>4324.7</v>
      </c>
      <c r="H38" s="759">
        <f t="shared" si="0"/>
        <v>129.74</v>
      </c>
      <c r="I38" s="743">
        <f>LOOKUP(B38,valoriz!$A$13:$A$242,valoriz!I$13:I$242)</f>
        <v>0</v>
      </c>
      <c r="J38" s="744">
        <f t="shared" si="1"/>
        <v>0</v>
      </c>
      <c r="K38" s="745">
        <f t="shared" si="10"/>
        <v>27.09</v>
      </c>
      <c r="L38" s="746" t="e">
        <f t="shared" si="2"/>
        <v>#REF!</v>
      </c>
      <c r="M38" s="747" t="str">
        <f t="shared" si="3"/>
        <v>347.73</v>
      </c>
      <c r="N38" s="748">
        <f t="shared" si="4"/>
        <v>0</v>
      </c>
      <c r="O38" s="744" t="e">
        <f t="shared" si="5"/>
        <v>#REF!</v>
      </c>
      <c r="Q38" s="824">
        <v>76.22</v>
      </c>
      <c r="R38" s="883">
        <f t="shared" si="6"/>
        <v>76.22</v>
      </c>
      <c r="S38" s="882">
        <f t="shared" si="7"/>
        <v>53.52000000000001</v>
      </c>
      <c r="T38" s="751"/>
      <c r="U38" s="824" t="e">
        <f t="shared" si="8"/>
        <v>#REF!</v>
      </c>
      <c r="V38" s="883" t="e">
        <f t="shared" si="9"/>
        <v>#REF!</v>
      </c>
      <c r="W38" s="882"/>
    </row>
    <row r="39" spans="2:23" ht="11.25" customHeight="1">
      <c r="B39" s="736" t="s">
        <v>65</v>
      </c>
      <c r="C39" s="1013" t="s">
        <v>66</v>
      </c>
      <c r="D39" s="755" t="s">
        <v>174</v>
      </c>
      <c r="E39" s="739">
        <v>1.1200000000000001</v>
      </c>
      <c r="F39" s="740">
        <v>0.06</v>
      </c>
      <c r="G39" s="754">
        <v>93</v>
      </c>
      <c r="H39" s="759">
        <f t="shared" si="0"/>
        <v>6.25</v>
      </c>
      <c r="I39" s="743">
        <f>LOOKUP(B39,valoriz!$A$13:$A$242,valoriz!I$13:I$242)</f>
        <v>0</v>
      </c>
      <c r="J39" s="744">
        <f t="shared" si="1"/>
        <v>0</v>
      </c>
      <c r="K39" s="745">
        <f t="shared" si="10"/>
        <v>27.09</v>
      </c>
      <c r="L39" s="746" t="e">
        <f t="shared" si="2"/>
        <v>#REF!</v>
      </c>
      <c r="M39" s="747" t="str">
        <f t="shared" si="3"/>
        <v>347.73</v>
      </c>
      <c r="N39" s="748">
        <f t="shared" si="4"/>
        <v>0</v>
      </c>
      <c r="O39" s="744" t="e">
        <f t="shared" si="5"/>
        <v>#REF!</v>
      </c>
      <c r="Q39" s="824">
        <v>3.16</v>
      </c>
      <c r="R39" s="883">
        <f t="shared" si="6"/>
        <v>3.16</v>
      </c>
      <c r="S39" s="882">
        <f t="shared" si="7"/>
        <v>3.09</v>
      </c>
      <c r="T39" s="751"/>
      <c r="U39" s="824" t="e">
        <f t="shared" si="8"/>
        <v>#REF!</v>
      </c>
      <c r="V39" s="883" t="e">
        <f t="shared" si="9"/>
        <v>#REF!</v>
      </c>
      <c r="W39" s="882"/>
    </row>
    <row r="40" spans="2:23" ht="11.25" customHeight="1">
      <c r="B40" s="736" t="s">
        <v>67</v>
      </c>
      <c r="C40" s="1013" t="s">
        <v>68</v>
      </c>
      <c r="D40" s="755" t="s">
        <v>174</v>
      </c>
      <c r="E40" s="739">
        <v>0.3</v>
      </c>
      <c r="F40" s="740">
        <v>0.06</v>
      </c>
      <c r="G40" s="754">
        <v>212</v>
      </c>
      <c r="H40" s="759">
        <f t="shared" si="0"/>
        <v>3.82</v>
      </c>
      <c r="I40" s="743">
        <f>LOOKUP(B40,valoriz!$A$13:$A$242,valoriz!I$13:I$242)</f>
        <v>0</v>
      </c>
      <c r="J40" s="744">
        <f t="shared" si="1"/>
        <v>0</v>
      </c>
      <c r="K40" s="745">
        <f t="shared" si="10"/>
        <v>27.09</v>
      </c>
      <c r="L40" s="746" t="e">
        <f t="shared" si="2"/>
        <v>#REF!</v>
      </c>
      <c r="M40" s="747" t="str">
        <f t="shared" si="3"/>
        <v>347.73</v>
      </c>
      <c r="N40" s="748">
        <f t="shared" si="4"/>
        <v>0</v>
      </c>
      <c r="O40" s="744" t="e">
        <f t="shared" si="5"/>
        <v>#REF!</v>
      </c>
      <c r="Q40" s="824">
        <v>3.82</v>
      </c>
      <c r="R40" s="883">
        <f t="shared" si="6"/>
        <v>3.82</v>
      </c>
      <c r="S40" s="882">
        <f t="shared" si="7"/>
        <v>0</v>
      </c>
      <c r="T40" s="751"/>
      <c r="U40" s="824" t="e">
        <f t="shared" si="8"/>
        <v>#REF!</v>
      </c>
      <c r="V40" s="883" t="e">
        <f t="shared" si="9"/>
        <v>#REF!</v>
      </c>
      <c r="W40" s="882"/>
    </row>
    <row r="41" spans="2:23" ht="11.25" customHeight="1">
      <c r="B41" s="757" t="s">
        <v>69</v>
      </c>
      <c r="C41" s="1027" t="s">
        <v>70</v>
      </c>
      <c r="D41" s="755" t="s">
        <v>174</v>
      </c>
      <c r="E41" s="739">
        <v>1</v>
      </c>
      <c r="F41" s="740">
        <v>0.06</v>
      </c>
      <c r="G41" s="754">
        <v>90</v>
      </c>
      <c r="H41" s="759">
        <f t="shared" si="0"/>
        <v>5.4</v>
      </c>
      <c r="I41" s="743">
        <f>LOOKUP(B41,valoriz!$A$13:$A$242,valoriz!I$13:I$242)</f>
        <v>0</v>
      </c>
      <c r="J41" s="744">
        <f t="shared" si="1"/>
        <v>0</v>
      </c>
      <c r="K41" s="745">
        <f t="shared" si="10"/>
        <v>27.09</v>
      </c>
      <c r="L41" s="746" t="e">
        <f t="shared" si="2"/>
        <v>#REF!</v>
      </c>
      <c r="M41" s="747" t="str">
        <f t="shared" si="3"/>
        <v>347.73</v>
      </c>
      <c r="N41" s="748">
        <f t="shared" si="4"/>
        <v>0</v>
      </c>
      <c r="O41" s="744" t="e">
        <f t="shared" si="5"/>
        <v>#REF!</v>
      </c>
      <c r="Q41" s="824">
        <v>0</v>
      </c>
      <c r="R41" s="883">
        <f t="shared" si="6"/>
        <v>0</v>
      </c>
      <c r="S41" s="882">
        <f t="shared" si="7"/>
        <v>5.4</v>
      </c>
      <c r="T41" s="751"/>
      <c r="U41" s="824" t="e">
        <f t="shared" si="8"/>
        <v>#REF!</v>
      </c>
      <c r="V41" s="883" t="e">
        <f t="shared" si="9"/>
        <v>#REF!</v>
      </c>
      <c r="W41" s="882"/>
    </row>
    <row r="42" spans="2:23" ht="11.25" customHeight="1">
      <c r="B42" s="757" t="s">
        <v>71</v>
      </c>
      <c r="C42" s="1027" t="s">
        <v>72</v>
      </c>
      <c r="D42" s="755" t="s">
        <v>174</v>
      </c>
      <c r="E42" s="739">
        <v>0.30399999999999999</v>
      </c>
      <c r="F42" s="740">
        <v>0.06</v>
      </c>
      <c r="G42" s="754">
        <v>4332.3</v>
      </c>
      <c r="H42" s="759">
        <f t="shared" si="0"/>
        <v>79.02</v>
      </c>
      <c r="I42" s="743">
        <f>LOOKUP(B42,valoriz!$A$13:$A$242,valoriz!I$13:I$242)</f>
        <v>0</v>
      </c>
      <c r="J42" s="744">
        <f t="shared" si="1"/>
        <v>0</v>
      </c>
      <c r="K42" s="745">
        <f t="shared" si="10"/>
        <v>27.09</v>
      </c>
      <c r="L42" s="746" t="e">
        <f t="shared" si="2"/>
        <v>#REF!</v>
      </c>
      <c r="M42" s="747" t="str">
        <f t="shared" si="3"/>
        <v>347.73</v>
      </c>
      <c r="N42" s="748">
        <f t="shared" si="4"/>
        <v>0</v>
      </c>
      <c r="O42" s="744" t="e">
        <f t="shared" si="5"/>
        <v>#REF!</v>
      </c>
      <c r="Q42" s="824">
        <v>35.17</v>
      </c>
      <c r="R42" s="883">
        <f t="shared" si="6"/>
        <v>35.17</v>
      </c>
      <c r="S42" s="882">
        <f t="shared" si="7"/>
        <v>43.849999999999994</v>
      </c>
      <c r="T42" s="751"/>
      <c r="U42" s="824" t="e">
        <f t="shared" si="8"/>
        <v>#REF!</v>
      </c>
      <c r="V42" s="883" t="e">
        <f t="shared" si="9"/>
        <v>#REF!</v>
      </c>
      <c r="W42" s="882"/>
    </row>
    <row r="43" spans="2:23" ht="11.25" customHeight="1">
      <c r="B43" s="757" t="s">
        <v>73</v>
      </c>
      <c r="C43" s="1027" t="s">
        <v>74</v>
      </c>
      <c r="D43" s="738" t="s">
        <v>174</v>
      </c>
      <c r="E43" s="739">
        <v>0.15</v>
      </c>
      <c r="F43" s="740">
        <v>0.06</v>
      </c>
      <c r="G43" s="754">
        <v>1965</v>
      </c>
      <c r="H43" s="759">
        <f t="shared" si="0"/>
        <v>17.690000000000001</v>
      </c>
      <c r="I43" s="743">
        <f>LOOKUP(B43,valoriz!$A$13:$A$242,valoriz!I$13:I$242)</f>
        <v>0</v>
      </c>
      <c r="J43" s="744">
        <f t="shared" si="1"/>
        <v>0</v>
      </c>
      <c r="K43" s="745">
        <f t="shared" si="10"/>
        <v>27.09</v>
      </c>
      <c r="L43" s="746" t="e">
        <f t="shared" si="2"/>
        <v>#REF!</v>
      </c>
      <c r="M43" s="747" t="str">
        <f t="shared" si="3"/>
        <v>347.73</v>
      </c>
      <c r="N43" s="748">
        <f t="shared" si="4"/>
        <v>0</v>
      </c>
      <c r="O43" s="744" t="e">
        <f t="shared" si="5"/>
        <v>#REF!</v>
      </c>
      <c r="Q43" s="824">
        <v>3.54</v>
      </c>
      <c r="R43" s="883">
        <f t="shared" si="6"/>
        <v>3.54</v>
      </c>
      <c r="S43" s="882">
        <f t="shared" si="7"/>
        <v>14.150000000000002</v>
      </c>
      <c r="U43" s="824" t="e">
        <f t="shared" si="8"/>
        <v>#REF!</v>
      </c>
      <c r="V43" s="883" t="e">
        <f t="shared" si="9"/>
        <v>#REF!</v>
      </c>
      <c r="W43" s="882"/>
    </row>
    <row r="44" spans="2:23" ht="11.25" customHeight="1">
      <c r="B44" s="757" t="s">
        <v>75</v>
      </c>
      <c r="C44" s="1027" t="s">
        <v>76</v>
      </c>
      <c r="D44" s="738" t="s">
        <v>174</v>
      </c>
      <c r="E44" s="739">
        <v>0.30399999999999999</v>
      </c>
      <c r="F44" s="740">
        <v>0.06</v>
      </c>
      <c r="G44" s="752">
        <v>215</v>
      </c>
      <c r="H44" s="759">
        <f t="shared" si="0"/>
        <v>3.92</v>
      </c>
      <c r="I44" s="743">
        <f>LOOKUP(B44,valoriz!$A$13:$A$242,valoriz!I$13:I$242)</f>
        <v>0</v>
      </c>
      <c r="J44" s="744">
        <f t="shared" si="1"/>
        <v>0</v>
      </c>
      <c r="K44" s="745">
        <f t="shared" si="10"/>
        <v>27.09</v>
      </c>
      <c r="L44" s="746" t="e">
        <f t="shared" si="2"/>
        <v>#REF!</v>
      </c>
      <c r="M44" s="747" t="str">
        <f t="shared" si="3"/>
        <v>347.73</v>
      </c>
      <c r="N44" s="748">
        <f t="shared" si="4"/>
        <v>0</v>
      </c>
      <c r="O44" s="744" t="e">
        <f t="shared" si="5"/>
        <v>#REF!</v>
      </c>
      <c r="Q44" s="824">
        <v>0</v>
      </c>
      <c r="R44" s="883">
        <f t="shared" si="6"/>
        <v>0</v>
      </c>
      <c r="S44" s="882">
        <f t="shared" si="7"/>
        <v>3.92</v>
      </c>
      <c r="U44" s="824" t="e">
        <f t="shared" si="8"/>
        <v>#REF!</v>
      </c>
      <c r="V44" s="883" t="e">
        <f t="shared" si="9"/>
        <v>#REF!</v>
      </c>
      <c r="W44" s="882"/>
    </row>
    <row r="45" spans="2:23" ht="11.25" customHeight="1">
      <c r="B45" s="757" t="s">
        <v>77</v>
      </c>
      <c r="C45" s="1027" t="s">
        <v>78</v>
      </c>
      <c r="D45" s="755" t="s">
        <v>174</v>
      </c>
      <c r="E45" s="739">
        <v>0.30399999999999999</v>
      </c>
      <c r="F45" s="740">
        <v>0.06</v>
      </c>
      <c r="G45" s="754">
        <v>1676</v>
      </c>
      <c r="H45" s="759">
        <f t="shared" si="0"/>
        <v>30.57</v>
      </c>
      <c r="I45" s="743">
        <f>LOOKUP(B45,valoriz!$A$13:$A$242,valoriz!I$13:I$242)</f>
        <v>0</v>
      </c>
      <c r="J45" s="744">
        <f t="shared" si="1"/>
        <v>0</v>
      </c>
      <c r="K45" s="745">
        <f t="shared" si="10"/>
        <v>27.09</v>
      </c>
      <c r="L45" s="746" t="e">
        <f t="shared" si="2"/>
        <v>#REF!</v>
      </c>
      <c r="M45" s="747" t="str">
        <f t="shared" si="3"/>
        <v>347.73</v>
      </c>
      <c r="N45" s="748">
        <f t="shared" si="4"/>
        <v>0</v>
      </c>
      <c r="O45" s="744" t="e">
        <f t="shared" si="5"/>
        <v>#REF!</v>
      </c>
      <c r="Q45" s="824">
        <v>15.14</v>
      </c>
      <c r="R45" s="883">
        <f t="shared" si="6"/>
        <v>15.14</v>
      </c>
      <c r="S45" s="882">
        <f t="shared" si="7"/>
        <v>15.43</v>
      </c>
      <c r="U45" s="824" t="e">
        <f t="shared" si="8"/>
        <v>#REF!</v>
      </c>
      <c r="V45" s="883" t="e">
        <f t="shared" si="9"/>
        <v>#REF!</v>
      </c>
      <c r="W45" s="882"/>
    </row>
    <row r="46" spans="2:23" ht="11.25" customHeight="1">
      <c r="B46" s="757" t="s">
        <v>79</v>
      </c>
      <c r="C46" s="1027" t="s">
        <v>80</v>
      </c>
      <c r="D46" s="755" t="s">
        <v>174</v>
      </c>
      <c r="E46" s="739">
        <v>0.15</v>
      </c>
      <c r="F46" s="740">
        <v>0.06</v>
      </c>
      <c r="G46" s="754">
        <v>348</v>
      </c>
      <c r="H46" s="759">
        <f t="shared" si="0"/>
        <v>3.13</v>
      </c>
      <c r="I46" s="743">
        <f>LOOKUP(B46,valoriz!$A$13:$A$242,valoriz!I$13:I$242)</f>
        <v>0</v>
      </c>
      <c r="J46" s="744">
        <f t="shared" si="1"/>
        <v>0</v>
      </c>
      <c r="K46" s="745">
        <f t="shared" si="10"/>
        <v>27.09</v>
      </c>
      <c r="L46" s="746" t="e">
        <f t="shared" si="2"/>
        <v>#REF!</v>
      </c>
      <c r="M46" s="747" t="str">
        <f t="shared" si="3"/>
        <v>347.73</v>
      </c>
      <c r="N46" s="748">
        <f t="shared" si="4"/>
        <v>0</v>
      </c>
      <c r="O46" s="744" t="e">
        <f t="shared" si="5"/>
        <v>#REF!</v>
      </c>
      <c r="Q46" s="824">
        <v>0</v>
      </c>
      <c r="R46" s="883">
        <f t="shared" si="6"/>
        <v>0</v>
      </c>
      <c r="S46" s="882">
        <f t="shared" si="7"/>
        <v>3.13</v>
      </c>
      <c r="U46" s="824" t="e">
        <f t="shared" si="8"/>
        <v>#REF!</v>
      </c>
      <c r="V46" s="883" t="e">
        <f t="shared" si="9"/>
        <v>#REF!</v>
      </c>
      <c r="W46" s="882"/>
    </row>
    <row r="47" spans="2:23" ht="11.25" customHeight="1">
      <c r="B47" s="757" t="s">
        <v>81</v>
      </c>
      <c r="C47" s="1027" t="s">
        <v>82</v>
      </c>
      <c r="D47" s="755" t="s">
        <v>601</v>
      </c>
      <c r="E47" s="739">
        <v>2.2000000000000002</v>
      </c>
      <c r="F47" s="740">
        <v>0.06</v>
      </c>
      <c r="G47" s="754">
        <v>60</v>
      </c>
      <c r="H47" s="759">
        <f t="shared" si="0"/>
        <v>7.92</v>
      </c>
      <c r="I47" s="743">
        <f>LOOKUP(B47,valoriz!$A$13:$A$242,valoriz!I$13:I$242)</f>
        <v>0</v>
      </c>
      <c r="J47" s="744">
        <f t="shared" si="1"/>
        <v>0</v>
      </c>
      <c r="K47" s="745">
        <f t="shared" si="10"/>
        <v>27.09</v>
      </c>
      <c r="L47" s="746" t="e">
        <f t="shared" si="2"/>
        <v>#REF!</v>
      </c>
      <c r="M47" s="747" t="str">
        <f t="shared" si="3"/>
        <v>347.73</v>
      </c>
      <c r="N47" s="748">
        <f t="shared" si="4"/>
        <v>0</v>
      </c>
      <c r="O47" s="744" t="e">
        <f t="shared" si="5"/>
        <v>#REF!</v>
      </c>
      <c r="Q47" s="824">
        <v>3.3</v>
      </c>
      <c r="R47" s="883">
        <f t="shared" si="6"/>
        <v>3.3</v>
      </c>
      <c r="S47" s="882">
        <f t="shared" si="7"/>
        <v>4.62</v>
      </c>
      <c r="U47" s="824" t="e">
        <f t="shared" si="8"/>
        <v>#REF!</v>
      </c>
      <c r="V47" s="883" t="e">
        <f t="shared" si="9"/>
        <v>#REF!</v>
      </c>
      <c r="W47" s="882"/>
    </row>
    <row r="48" spans="2:23" ht="11.25" customHeight="1">
      <c r="B48" s="757" t="s">
        <v>83</v>
      </c>
      <c r="C48" s="1027" t="s">
        <v>84</v>
      </c>
      <c r="D48" s="755" t="s">
        <v>174</v>
      </c>
      <c r="E48" s="739">
        <v>1.7</v>
      </c>
      <c r="F48" s="740">
        <v>0.06</v>
      </c>
      <c r="G48" s="754">
        <v>279</v>
      </c>
      <c r="H48" s="759">
        <f t="shared" si="0"/>
        <v>28.46</v>
      </c>
      <c r="I48" s="743">
        <f>LOOKUP(B48,valoriz!$A$13:$A$242,valoriz!I$13:I$242)</f>
        <v>0</v>
      </c>
      <c r="J48" s="744">
        <f t="shared" si="1"/>
        <v>0</v>
      </c>
      <c r="K48" s="745">
        <f t="shared" si="10"/>
        <v>27.09</v>
      </c>
      <c r="L48" s="746" t="e">
        <f t="shared" si="2"/>
        <v>#REF!</v>
      </c>
      <c r="M48" s="747" t="str">
        <f t="shared" si="3"/>
        <v>347.73</v>
      </c>
      <c r="N48" s="748">
        <f t="shared" si="4"/>
        <v>0</v>
      </c>
      <c r="O48" s="744" t="e">
        <f t="shared" si="5"/>
        <v>#REF!</v>
      </c>
      <c r="Q48" s="965">
        <v>17.95</v>
      </c>
      <c r="R48" s="966">
        <f t="shared" si="6"/>
        <v>17.95</v>
      </c>
      <c r="S48" s="967">
        <f t="shared" si="7"/>
        <v>10.510000000000002</v>
      </c>
      <c r="U48" s="824" t="e">
        <f t="shared" si="8"/>
        <v>#REF!</v>
      </c>
      <c r="V48" s="883" t="e">
        <f t="shared" si="9"/>
        <v>#REF!</v>
      </c>
      <c r="W48" s="882"/>
    </row>
    <row r="49" spans="2:23" ht="11.25" customHeight="1">
      <c r="B49" s="757" t="s">
        <v>85</v>
      </c>
      <c r="C49" s="1027" t="s">
        <v>86</v>
      </c>
      <c r="D49" s="755" t="s">
        <v>174</v>
      </c>
      <c r="E49" s="739">
        <v>1.5</v>
      </c>
      <c r="F49" s="740">
        <v>0.06</v>
      </c>
      <c r="G49" s="754">
        <v>93</v>
      </c>
      <c r="H49" s="759">
        <f t="shared" si="0"/>
        <v>8.3699999999999992</v>
      </c>
      <c r="I49" s="743">
        <f>LOOKUP(B49,valoriz!$A$13:$A$242,valoriz!I$13:I$242)</f>
        <v>0</v>
      </c>
      <c r="J49" s="744">
        <f t="shared" si="1"/>
        <v>0</v>
      </c>
      <c r="K49" s="745">
        <f t="shared" si="10"/>
        <v>27.09</v>
      </c>
      <c r="L49" s="746" t="e">
        <f t="shared" si="2"/>
        <v>#REF!</v>
      </c>
      <c r="M49" s="747" t="str">
        <f t="shared" si="3"/>
        <v>347.73</v>
      </c>
      <c r="N49" s="748">
        <f t="shared" si="4"/>
        <v>0</v>
      </c>
      <c r="O49" s="744" t="e">
        <f t="shared" si="5"/>
        <v>#REF!</v>
      </c>
      <c r="Q49" s="824">
        <v>5.58</v>
      </c>
      <c r="R49" s="883">
        <f t="shared" si="6"/>
        <v>5.58</v>
      </c>
      <c r="S49" s="882">
        <f t="shared" si="7"/>
        <v>2.7899999999999991</v>
      </c>
      <c r="U49" s="824" t="e">
        <f t="shared" si="8"/>
        <v>#REF!</v>
      </c>
      <c r="V49" s="883" t="e">
        <f t="shared" si="9"/>
        <v>#REF!</v>
      </c>
      <c r="W49" s="882"/>
    </row>
    <row r="50" spans="2:23" ht="11.25" customHeight="1">
      <c r="B50" s="796" t="s">
        <v>116</v>
      </c>
      <c r="C50" s="1023" t="s">
        <v>117</v>
      </c>
      <c r="D50" s="755" t="s">
        <v>174</v>
      </c>
      <c r="E50" s="739">
        <v>2</v>
      </c>
      <c r="F50" s="740">
        <v>5.1999999999999998E-2</v>
      </c>
      <c r="G50" s="797">
        <v>2632</v>
      </c>
      <c r="H50" s="742">
        <f t="shared" si="0"/>
        <v>273.73</v>
      </c>
      <c r="I50" s="743">
        <f>LOOKUP(B50,valoriz!$A$13:$A$242,valoriz!I$13:I$242)</f>
        <v>0</v>
      </c>
      <c r="J50" s="744">
        <f t="shared" si="1"/>
        <v>0</v>
      </c>
      <c r="K50" s="745">
        <f>+K42</f>
        <v>27.09</v>
      </c>
      <c r="L50" s="746" t="e">
        <f t="shared" si="2"/>
        <v>#REF!</v>
      </c>
      <c r="M50" s="747" t="str">
        <f t="shared" si="3"/>
        <v>347.73</v>
      </c>
      <c r="N50" s="748">
        <f t="shared" si="4"/>
        <v>0</v>
      </c>
      <c r="O50" s="744" t="e">
        <f t="shared" si="5"/>
        <v>#REF!</v>
      </c>
      <c r="Q50" s="824">
        <v>0</v>
      </c>
      <c r="R50" s="883">
        <f t="shared" si="6"/>
        <v>0</v>
      </c>
      <c r="S50" s="882">
        <f t="shared" si="7"/>
        <v>273.73</v>
      </c>
      <c r="T50" s="751"/>
      <c r="U50" s="824" t="e">
        <f t="shared" si="8"/>
        <v>#REF!</v>
      </c>
      <c r="V50" s="883" t="e">
        <f t="shared" si="9"/>
        <v>#REF!</v>
      </c>
      <c r="W50" s="882"/>
    </row>
    <row r="51" spans="2:23" ht="11.25" customHeight="1">
      <c r="B51" s="796" t="s">
        <v>118</v>
      </c>
      <c r="C51" s="1023" t="s">
        <v>119</v>
      </c>
      <c r="D51" s="755" t="s">
        <v>174</v>
      </c>
      <c r="E51" s="739">
        <v>0.4</v>
      </c>
      <c r="F51" s="740">
        <v>5.1999999999999998E-2</v>
      </c>
      <c r="G51" s="797">
        <v>55</v>
      </c>
      <c r="H51" s="742">
        <f t="shared" si="0"/>
        <v>1.1399999999999999</v>
      </c>
      <c r="I51" s="743">
        <f>LOOKUP(B51,valoriz!$A$13:$A$242,valoriz!I$13:I$242)</f>
        <v>0</v>
      </c>
      <c r="J51" s="744">
        <f t="shared" si="1"/>
        <v>0</v>
      </c>
      <c r="K51" s="745">
        <f>+K50</f>
        <v>27.09</v>
      </c>
      <c r="L51" s="746" t="e">
        <f t="shared" si="2"/>
        <v>#REF!</v>
      </c>
      <c r="M51" s="747" t="str">
        <f t="shared" si="3"/>
        <v>347.73</v>
      </c>
      <c r="N51" s="748">
        <f t="shared" si="4"/>
        <v>0</v>
      </c>
      <c r="O51" s="744" t="e">
        <f t="shared" si="5"/>
        <v>#REF!</v>
      </c>
      <c r="Q51" s="828"/>
      <c r="R51" s="1014">
        <f t="shared" si="6"/>
        <v>0</v>
      </c>
      <c r="S51" s="891">
        <f t="shared" si="7"/>
        <v>1.1399999999999999</v>
      </c>
      <c r="T51" s="751"/>
      <c r="U51" s="828" t="e">
        <f t="shared" si="8"/>
        <v>#REF!</v>
      </c>
      <c r="V51" s="1014" t="e">
        <f t="shared" si="9"/>
        <v>#REF!</v>
      </c>
      <c r="W51" s="891"/>
    </row>
    <row r="52" spans="2:23" ht="11.25" customHeight="1" thickBot="1">
      <c r="B52" s="762"/>
      <c r="C52" s="1024"/>
      <c r="D52" s="764"/>
      <c r="E52" s="765"/>
      <c r="F52" s="766"/>
      <c r="G52" s="799"/>
      <c r="H52" s="800"/>
      <c r="I52" s="799"/>
      <c r="J52" s="801"/>
      <c r="K52" s="770"/>
      <c r="L52" s="771"/>
      <c r="M52" s="772"/>
      <c r="N52" s="773"/>
      <c r="O52" s="769"/>
      <c r="Q52" s="871">
        <f>SUM(Q34:Q51)</f>
        <v>1085.3600000000001</v>
      </c>
      <c r="R52" s="896">
        <f>SUM(R34:R51)</f>
        <v>1085.3600000000001</v>
      </c>
      <c r="S52" s="897">
        <f>SUM(S34:S51)</f>
        <v>684.64</v>
      </c>
      <c r="T52" s="751"/>
      <c r="U52" s="871" t="e">
        <f>SUM(U33:U51)</f>
        <v>#REF!</v>
      </c>
      <c r="V52" s="896" t="e">
        <f>SUM(V33:V51)</f>
        <v>#REF!</v>
      </c>
      <c r="W52" s="897" t="e">
        <f>+W33-V53</f>
        <v>#REF!</v>
      </c>
    </row>
    <row r="53" spans="2:23" ht="11.25" customHeight="1">
      <c r="B53" s="775"/>
      <c r="C53" s="776"/>
      <c r="D53" s="777"/>
      <c r="E53" s="777"/>
      <c r="F53" s="778"/>
      <c r="G53" s="779"/>
      <c r="H53" s="780">
        <f>SUM(H34:H52)</f>
        <v>1770.0000000000002</v>
      </c>
      <c r="I53" s="779"/>
      <c r="J53" s="780">
        <f>SUM(J34:J52)</f>
        <v>0</v>
      </c>
      <c r="K53" s="781"/>
      <c r="L53" s="777"/>
      <c r="M53" s="778"/>
      <c r="N53" s="782">
        <f>SUM(N34:N52)</f>
        <v>0</v>
      </c>
      <c r="O53" s="783" t="e">
        <f>SUM(O34:O52)</f>
        <v>#REF!</v>
      </c>
      <c r="Q53" s="1654" t="str">
        <f>+IF(SUM(R34:R51)&gt;J54,"Revisar Metrado","OK")</f>
        <v>OK</v>
      </c>
      <c r="R53" s="1719"/>
      <c r="S53" s="1655"/>
      <c r="U53" s="1054">
        <v>9667.99</v>
      </c>
      <c r="V53" s="1061" t="e">
        <f>+O53+U52+0.01</f>
        <v>#REF!</v>
      </c>
      <c r="W53" s="1056"/>
    </row>
    <row r="54" spans="2:23" ht="11.25" customHeight="1">
      <c r="B54" s="790"/>
      <c r="C54" s="791"/>
      <c r="D54" s="121"/>
      <c r="E54" s="792"/>
      <c r="F54" s="792"/>
      <c r="G54" s="786"/>
      <c r="H54" s="787" t="s">
        <v>214</v>
      </c>
      <c r="I54" s="788"/>
      <c r="J54" s="899">
        <v>1580</v>
      </c>
      <c r="K54" s="709"/>
      <c r="M54" s="709"/>
      <c r="N54" s="709"/>
      <c r="O54" s="751"/>
      <c r="P54" s="751"/>
      <c r="U54" s="751"/>
    </row>
    <row r="55" spans="2:23" ht="11.25" customHeight="1">
      <c r="B55" s="784"/>
      <c r="C55" s="785"/>
      <c r="K55" s="751"/>
      <c r="U55" s="751"/>
    </row>
    <row r="56" spans="2:23" ht="11.25" customHeight="1">
      <c r="B56" s="1714" t="s">
        <v>198</v>
      </c>
      <c r="C56" s="1714" t="s">
        <v>199</v>
      </c>
      <c r="D56" s="1716" t="s">
        <v>601</v>
      </c>
      <c r="E56" s="1712" t="s">
        <v>200</v>
      </c>
      <c r="F56" s="1713"/>
      <c r="G56" s="1712" t="s">
        <v>201</v>
      </c>
      <c r="H56" s="1713"/>
      <c r="I56" s="1712" t="s">
        <v>202</v>
      </c>
      <c r="J56" s="1713"/>
      <c r="K56" s="1714" t="s">
        <v>203</v>
      </c>
      <c r="L56" s="1712" t="s">
        <v>204</v>
      </c>
      <c r="M56" s="1713"/>
      <c r="N56" s="1712" t="s">
        <v>423</v>
      </c>
      <c r="O56" s="1713"/>
      <c r="P56" s="700"/>
      <c r="Q56" s="1678" t="s">
        <v>205</v>
      </c>
      <c r="R56" s="1679"/>
      <c r="S56" s="1680"/>
      <c r="U56" s="1678" t="s">
        <v>331</v>
      </c>
      <c r="V56" s="1679"/>
      <c r="W56" s="1680"/>
    </row>
    <row r="57" spans="2:23" ht="20.100000000000001" customHeight="1">
      <c r="B57" s="1715"/>
      <c r="C57" s="1715"/>
      <c r="D57" s="1717"/>
      <c r="E57" s="1011" t="s">
        <v>206</v>
      </c>
      <c r="F57" s="1012" t="s">
        <v>207</v>
      </c>
      <c r="G57" s="1011" t="s">
        <v>452</v>
      </c>
      <c r="H57" s="1012" t="s">
        <v>208</v>
      </c>
      <c r="I57" s="1011" t="s">
        <v>452</v>
      </c>
      <c r="J57" s="1012" t="s">
        <v>208</v>
      </c>
      <c r="K57" s="1715"/>
      <c r="L57" s="1011" t="s">
        <v>467</v>
      </c>
      <c r="M57" s="1012" t="s">
        <v>468</v>
      </c>
      <c r="N57" s="1011" t="s">
        <v>209</v>
      </c>
      <c r="O57" s="1012" t="s">
        <v>210</v>
      </c>
      <c r="Q57" s="1030" t="s">
        <v>211</v>
      </c>
      <c r="R57" s="720" t="s">
        <v>394</v>
      </c>
      <c r="S57" s="721" t="s">
        <v>451</v>
      </c>
      <c r="U57" s="719" t="s">
        <v>211</v>
      </c>
      <c r="V57" s="720" t="s">
        <v>394</v>
      </c>
      <c r="W57" s="721" t="s">
        <v>451</v>
      </c>
    </row>
    <row r="58" spans="2:23" ht="11.25" customHeight="1">
      <c r="B58" s="722" t="str">
        <f>+B$14</f>
        <v>Material:</v>
      </c>
      <c r="C58" s="728"/>
      <c r="D58" s="724"/>
      <c r="E58" s="730"/>
      <c r="G58" s="726"/>
      <c r="H58" s="727"/>
      <c r="I58" s="726"/>
      <c r="J58" s="728"/>
      <c r="K58" s="729"/>
      <c r="L58" s="724"/>
      <c r="M58" s="725"/>
      <c r="N58" s="730"/>
      <c r="O58" s="728"/>
      <c r="Q58" s="1031"/>
      <c r="R58" s="732"/>
      <c r="S58" s="725"/>
      <c r="U58" s="1031"/>
      <c r="V58" s="732"/>
      <c r="W58" s="725"/>
    </row>
    <row r="59" spans="2:23" ht="11.25" customHeight="1">
      <c r="B59" s="722" t="s">
        <v>212</v>
      </c>
      <c r="C59" s="733" t="s">
        <v>1001</v>
      </c>
      <c r="D59" s="724"/>
      <c r="E59" s="730"/>
      <c r="F59" s="802"/>
      <c r="G59" s="726"/>
      <c r="H59" s="727"/>
      <c r="I59" s="726"/>
      <c r="J59" s="727"/>
      <c r="K59" s="729"/>
      <c r="L59" s="724"/>
      <c r="M59" s="725"/>
      <c r="N59" s="794"/>
      <c r="O59" s="795"/>
      <c r="Q59" s="951"/>
      <c r="R59" s="735"/>
      <c r="S59" s="725"/>
      <c r="U59" s="1070">
        <v>49.08</v>
      </c>
      <c r="V59" s="962">
        <f>+U59</f>
        <v>49.08</v>
      </c>
      <c r="W59" s="952">
        <v>81263.14</v>
      </c>
    </row>
    <row r="60" spans="2:23" ht="11.25" customHeight="1">
      <c r="B60" s="736" t="s">
        <v>43</v>
      </c>
      <c r="C60" s="1013" t="s">
        <v>44</v>
      </c>
      <c r="D60" s="738" t="s">
        <v>291</v>
      </c>
      <c r="E60" s="739">
        <v>1</v>
      </c>
      <c r="F60" s="740">
        <v>1</v>
      </c>
      <c r="G60" s="741">
        <v>524.91999999999996</v>
      </c>
      <c r="H60" s="759">
        <f t="shared" ref="H60:H83" si="11">+ROUND(E60*F60*G60,2)</f>
        <v>524.91999999999996</v>
      </c>
      <c r="I60" s="743">
        <f>LOOKUP(B60,valoriz!$A$13:$A$242,valoriz!I$13:I$242)</f>
        <v>0</v>
      </c>
      <c r="J60" s="744">
        <f t="shared" ref="J60:J83" si="12">+ROUND(E60*F60*I60,2)</f>
        <v>0</v>
      </c>
      <c r="K60" s="745">
        <v>5.15</v>
      </c>
      <c r="L60" s="746" t="e">
        <f t="shared" ref="L60:L83" si="13">D$17</f>
        <v>#REF!</v>
      </c>
      <c r="M60" s="747" t="str">
        <f t="shared" ref="M60:M83" si="14">D$16</f>
        <v>347.73</v>
      </c>
      <c r="N60" s="748">
        <f t="shared" ref="N60:N83" si="15">+ROUND(J60*K60*M$18,2)</f>
        <v>0</v>
      </c>
      <c r="O60" s="744" t="e">
        <f t="shared" ref="O60:O83" si="16">+ROUND(J60*K60*L60*M$18/M60,2)</f>
        <v>#REF!</v>
      </c>
      <c r="Q60" s="824">
        <v>487.07</v>
      </c>
      <c r="R60" s="883">
        <f t="shared" ref="R60:R83" si="17">+J60+Q60</f>
        <v>487.07</v>
      </c>
      <c r="S60" s="882">
        <f t="shared" ref="S60:S83" si="18">+IF((H60-R60)&lt;0,"BAD", H60-R60)</f>
        <v>37.849999999999966</v>
      </c>
      <c r="U60" s="824" t="e">
        <f t="shared" ref="U60:U83" si="19">+ROUND(Q60*$K60*$L60/$M60,2)</f>
        <v>#REF!</v>
      </c>
      <c r="V60" s="883" t="e">
        <f t="shared" ref="V60:V83" si="20">+ROUND(R60*$K60*$L60/$M60,2)</f>
        <v>#REF!</v>
      </c>
      <c r="W60" s="882"/>
    </row>
    <row r="61" spans="2:23" ht="11.25" customHeight="1">
      <c r="B61" s="736" t="s">
        <v>45</v>
      </c>
      <c r="C61" s="1013" t="s">
        <v>46</v>
      </c>
      <c r="D61" s="738" t="s">
        <v>291</v>
      </c>
      <c r="E61" s="739">
        <v>1</v>
      </c>
      <c r="F61" s="740">
        <v>1</v>
      </c>
      <c r="G61" s="741">
        <v>2464.37</v>
      </c>
      <c r="H61" s="759">
        <f t="shared" si="11"/>
        <v>2464.37</v>
      </c>
      <c r="I61" s="743">
        <f>LOOKUP(B61,valoriz!$A$13:$A$242,valoriz!I$13:I$242)</f>
        <v>0</v>
      </c>
      <c r="J61" s="744">
        <f t="shared" si="12"/>
        <v>0</v>
      </c>
      <c r="K61" s="745">
        <f t="shared" ref="K61:K83" si="21">+K60</f>
        <v>5.15</v>
      </c>
      <c r="L61" s="746" t="e">
        <f t="shared" si="13"/>
        <v>#REF!</v>
      </c>
      <c r="M61" s="747" t="str">
        <f t="shared" si="14"/>
        <v>347.73</v>
      </c>
      <c r="N61" s="748">
        <f t="shared" si="15"/>
        <v>0</v>
      </c>
      <c r="O61" s="744" t="e">
        <f t="shared" si="16"/>
        <v>#REF!</v>
      </c>
      <c r="Q61" s="824">
        <v>2130.54</v>
      </c>
      <c r="R61" s="883">
        <f>+J61+Q61</f>
        <v>2130.54</v>
      </c>
      <c r="S61" s="882">
        <f t="shared" si="18"/>
        <v>333.82999999999993</v>
      </c>
      <c r="U61" s="824" t="e">
        <f t="shared" si="19"/>
        <v>#REF!</v>
      </c>
      <c r="V61" s="883" t="e">
        <f t="shared" si="20"/>
        <v>#REF!</v>
      </c>
      <c r="W61" s="882"/>
    </row>
    <row r="62" spans="2:23" ht="11.25" customHeight="1">
      <c r="B62" s="736" t="s">
        <v>47</v>
      </c>
      <c r="C62" s="1013" t="s">
        <v>48</v>
      </c>
      <c r="D62" s="738" t="s">
        <v>291</v>
      </c>
      <c r="E62" s="739">
        <v>1</v>
      </c>
      <c r="F62" s="740">
        <v>1</v>
      </c>
      <c r="G62" s="741">
        <v>1247.03</v>
      </c>
      <c r="H62" s="759">
        <f t="shared" si="11"/>
        <v>1247.03</v>
      </c>
      <c r="I62" s="743">
        <f>LOOKUP(B62,valoriz!$A$13:$A$242,valoriz!I$13:I$242)</f>
        <v>0</v>
      </c>
      <c r="J62" s="744">
        <f t="shared" si="12"/>
        <v>0</v>
      </c>
      <c r="K62" s="745">
        <f t="shared" si="21"/>
        <v>5.15</v>
      </c>
      <c r="L62" s="746" t="e">
        <f t="shared" si="13"/>
        <v>#REF!</v>
      </c>
      <c r="M62" s="747" t="str">
        <f t="shared" si="14"/>
        <v>347.73</v>
      </c>
      <c r="N62" s="748">
        <f t="shared" si="15"/>
        <v>0</v>
      </c>
      <c r="O62" s="744" t="e">
        <f t="shared" si="16"/>
        <v>#REF!</v>
      </c>
      <c r="Q62" s="824">
        <v>963.39</v>
      </c>
      <c r="R62" s="883">
        <f t="shared" si="17"/>
        <v>963.39</v>
      </c>
      <c r="S62" s="882">
        <f t="shared" si="18"/>
        <v>283.64</v>
      </c>
      <c r="U62" s="824" t="e">
        <f t="shared" si="19"/>
        <v>#REF!</v>
      </c>
      <c r="V62" s="883" t="e">
        <f t="shared" si="20"/>
        <v>#REF!</v>
      </c>
      <c r="W62" s="882"/>
    </row>
    <row r="63" spans="2:23" ht="11.25" customHeight="1">
      <c r="B63" s="736" t="s">
        <v>49</v>
      </c>
      <c r="C63" s="1013" t="s">
        <v>50</v>
      </c>
      <c r="D63" s="738" t="s">
        <v>291</v>
      </c>
      <c r="E63" s="739">
        <v>1</v>
      </c>
      <c r="F63" s="740">
        <v>1</v>
      </c>
      <c r="G63" s="741">
        <v>264.64</v>
      </c>
      <c r="H63" s="759">
        <f t="shared" si="11"/>
        <v>264.64</v>
      </c>
      <c r="I63" s="743">
        <f>LOOKUP(B63,valoriz!$A$13:$A$242,valoriz!I$13:I$242)</f>
        <v>0</v>
      </c>
      <c r="J63" s="744">
        <f t="shared" si="12"/>
        <v>0</v>
      </c>
      <c r="K63" s="745">
        <f t="shared" si="21"/>
        <v>5.15</v>
      </c>
      <c r="L63" s="746" t="e">
        <f t="shared" si="13"/>
        <v>#REF!</v>
      </c>
      <c r="M63" s="747" t="str">
        <f t="shared" si="14"/>
        <v>347.73</v>
      </c>
      <c r="N63" s="748">
        <f t="shared" si="15"/>
        <v>0</v>
      </c>
      <c r="O63" s="744" t="e">
        <f t="shared" si="16"/>
        <v>#REF!</v>
      </c>
      <c r="Q63" s="824">
        <v>239.77</v>
      </c>
      <c r="R63" s="883">
        <f t="shared" si="17"/>
        <v>239.77</v>
      </c>
      <c r="S63" s="882">
        <f t="shared" si="18"/>
        <v>24.869999999999976</v>
      </c>
      <c r="U63" s="824" t="e">
        <f t="shared" si="19"/>
        <v>#REF!</v>
      </c>
      <c r="V63" s="883" t="e">
        <f t="shared" si="20"/>
        <v>#REF!</v>
      </c>
      <c r="W63" s="882"/>
    </row>
    <row r="64" spans="2:23" ht="11.25" customHeight="1">
      <c r="B64" s="757" t="s">
        <v>51</v>
      </c>
      <c r="C64" s="1013" t="s">
        <v>295</v>
      </c>
      <c r="D64" s="738" t="s">
        <v>291</v>
      </c>
      <c r="E64" s="739">
        <v>0.8</v>
      </c>
      <c r="F64" s="740">
        <v>1</v>
      </c>
      <c r="G64" s="741">
        <v>1054.8399999999999</v>
      </c>
      <c r="H64" s="759">
        <f t="shared" si="11"/>
        <v>843.87</v>
      </c>
      <c r="I64" s="743">
        <f>LOOKUP(B64,valoriz!$A$13:$A$242,valoriz!I$13:I$242)</f>
        <v>0</v>
      </c>
      <c r="J64" s="744">
        <f t="shared" si="12"/>
        <v>0</v>
      </c>
      <c r="K64" s="745">
        <f t="shared" si="21"/>
        <v>5.15</v>
      </c>
      <c r="L64" s="746" t="e">
        <f t="shared" si="13"/>
        <v>#REF!</v>
      </c>
      <c r="M64" s="747" t="str">
        <f t="shared" si="14"/>
        <v>347.73</v>
      </c>
      <c r="N64" s="748">
        <f t="shared" si="15"/>
        <v>0</v>
      </c>
      <c r="O64" s="744" t="e">
        <f t="shared" si="16"/>
        <v>#REF!</v>
      </c>
      <c r="Q64" s="824">
        <v>813.82</v>
      </c>
      <c r="R64" s="883">
        <f t="shared" si="17"/>
        <v>813.82</v>
      </c>
      <c r="S64" s="882">
        <f t="shared" si="18"/>
        <v>30.049999999999955</v>
      </c>
      <c r="U64" s="824" t="e">
        <f t="shared" si="19"/>
        <v>#REF!</v>
      </c>
      <c r="V64" s="883" t="e">
        <f t="shared" si="20"/>
        <v>#REF!</v>
      </c>
      <c r="W64" s="882"/>
    </row>
    <row r="65" spans="2:23" ht="11.25" customHeight="1">
      <c r="B65" s="757" t="s">
        <v>57</v>
      </c>
      <c r="C65" s="1013" t="s">
        <v>58</v>
      </c>
      <c r="D65" s="738" t="s">
        <v>174</v>
      </c>
      <c r="E65" s="739">
        <v>0.189</v>
      </c>
      <c r="F65" s="740">
        <v>1</v>
      </c>
      <c r="G65" s="741">
        <v>4206</v>
      </c>
      <c r="H65" s="759">
        <f t="shared" si="11"/>
        <v>794.93</v>
      </c>
      <c r="I65" s="743">
        <f>LOOKUP(B65,valoriz!$A$13:$A$242,valoriz!I$13:I$242)</f>
        <v>0</v>
      </c>
      <c r="J65" s="744">
        <f t="shared" si="12"/>
        <v>0</v>
      </c>
      <c r="K65" s="745">
        <f t="shared" si="21"/>
        <v>5.15</v>
      </c>
      <c r="L65" s="746" t="e">
        <f t="shared" si="13"/>
        <v>#REF!</v>
      </c>
      <c r="M65" s="747" t="str">
        <f t="shared" si="14"/>
        <v>347.73</v>
      </c>
      <c r="N65" s="748">
        <f t="shared" si="15"/>
        <v>0</v>
      </c>
      <c r="O65" s="744" t="e">
        <f t="shared" si="16"/>
        <v>#REF!</v>
      </c>
      <c r="Q65" s="965">
        <v>756.94</v>
      </c>
      <c r="R65" s="966">
        <f t="shared" si="17"/>
        <v>756.94</v>
      </c>
      <c r="S65" s="882">
        <f t="shared" si="18"/>
        <v>37.989999999999895</v>
      </c>
      <c r="U65" s="824" t="e">
        <f t="shared" si="19"/>
        <v>#REF!</v>
      </c>
      <c r="V65" s="883" t="e">
        <f t="shared" si="20"/>
        <v>#REF!</v>
      </c>
      <c r="W65" s="882"/>
    </row>
    <row r="66" spans="2:23" ht="11.25" customHeight="1">
      <c r="B66" s="757" t="s">
        <v>59</v>
      </c>
      <c r="C66" s="1013" t="s">
        <v>60</v>
      </c>
      <c r="D66" s="738" t="s">
        <v>174</v>
      </c>
      <c r="E66" s="739">
        <v>0.17199999999999999</v>
      </c>
      <c r="F66" s="740">
        <v>1</v>
      </c>
      <c r="G66" s="754">
        <v>3942</v>
      </c>
      <c r="H66" s="759">
        <f t="shared" si="11"/>
        <v>678.02</v>
      </c>
      <c r="I66" s="743">
        <f>LOOKUP(B66,valoriz!$A$13:$A$242,valoriz!I$13:I$242)</f>
        <v>0</v>
      </c>
      <c r="J66" s="744">
        <f t="shared" si="12"/>
        <v>0</v>
      </c>
      <c r="K66" s="745">
        <f t="shared" si="21"/>
        <v>5.15</v>
      </c>
      <c r="L66" s="746" t="e">
        <f t="shared" si="13"/>
        <v>#REF!</v>
      </c>
      <c r="M66" s="747" t="str">
        <f t="shared" si="14"/>
        <v>347.73</v>
      </c>
      <c r="N66" s="748">
        <f t="shared" si="15"/>
        <v>0</v>
      </c>
      <c r="O66" s="744" t="e">
        <f t="shared" si="16"/>
        <v>#REF!</v>
      </c>
      <c r="Q66" s="824">
        <v>404.03</v>
      </c>
      <c r="R66" s="883">
        <f t="shared" si="17"/>
        <v>404.03</v>
      </c>
      <c r="S66" s="882">
        <f t="shared" si="18"/>
        <v>273.99</v>
      </c>
      <c r="U66" s="824" t="e">
        <f t="shared" si="19"/>
        <v>#REF!</v>
      </c>
      <c r="V66" s="883" t="e">
        <f t="shared" si="20"/>
        <v>#REF!</v>
      </c>
      <c r="W66" s="882"/>
    </row>
    <row r="67" spans="2:23" ht="11.25" customHeight="1">
      <c r="B67" s="757" t="s">
        <v>61</v>
      </c>
      <c r="C67" s="1013" t="s">
        <v>62</v>
      </c>
      <c r="D67" s="738" t="s">
        <v>174</v>
      </c>
      <c r="E67" s="739">
        <v>0.188</v>
      </c>
      <c r="F67" s="740">
        <v>1</v>
      </c>
      <c r="G67" s="754">
        <v>41679.79</v>
      </c>
      <c r="H67" s="759">
        <f t="shared" si="11"/>
        <v>7835.8</v>
      </c>
      <c r="I67" s="743">
        <f>LOOKUP(B67,valoriz!$A$13:$A$242,valoriz!I$13:I$242)</f>
        <v>0</v>
      </c>
      <c r="J67" s="744">
        <f t="shared" si="12"/>
        <v>0</v>
      </c>
      <c r="K67" s="745">
        <f t="shared" si="21"/>
        <v>5.15</v>
      </c>
      <c r="L67" s="746" t="e">
        <f t="shared" si="13"/>
        <v>#REF!</v>
      </c>
      <c r="M67" s="747" t="str">
        <f t="shared" si="14"/>
        <v>347.73</v>
      </c>
      <c r="N67" s="748">
        <f t="shared" si="15"/>
        <v>0</v>
      </c>
      <c r="O67" s="744" t="e">
        <f t="shared" si="16"/>
        <v>#REF!</v>
      </c>
      <c r="Q67" s="824">
        <v>3908.1</v>
      </c>
      <c r="R67" s="883">
        <f t="shared" si="17"/>
        <v>3908.1</v>
      </c>
      <c r="S67" s="882">
        <f t="shared" si="18"/>
        <v>3927.7000000000003</v>
      </c>
      <c r="U67" s="824" t="e">
        <f t="shared" si="19"/>
        <v>#REF!</v>
      </c>
      <c r="V67" s="883" t="e">
        <f t="shared" si="20"/>
        <v>#REF!</v>
      </c>
      <c r="W67" s="882"/>
    </row>
    <row r="68" spans="2:23" ht="11.25" customHeight="1">
      <c r="B68" s="736" t="s">
        <v>63</v>
      </c>
      <c r="C68" s="1013" t="s">
        <v>64</v>
      </c>
      <c r="D68" s="755" t="s">
        <v>174</v>
      </c>
      <c r="E68" s="739">
        <v>0.18</v>
      </c>
      <c r="F68" s="740">
        <v>1</v>
      </c>
      <c r="G68" s="754">
        <v>4324.7</v>
      </c>
      <c r="H68" s="759">
        <f t="shared" si="11"/>
        <v>778.45</v>
      </c>
      <c r="I68" s="743">
        <f>LOOKUP(B68,valoriz!$A$13:$A$242,valoriz!I$13:I$242)</f>
        <v>0</v>
      </c>
      <c r="J68" s="744">
        <f t="shared" si="12"/>
        <v>0</v>
      </c>
      <c r="K68" s="745">
        <f t="shared" si="21"/>
        <v>5.15</v>
      </c>
      <c r="L68" s="746" t="e">
        <f t="shared" si="13"/>
        <v>#REF!</v>
      </c>
      <c r="M68" s="747" t="str">
        <f t="shared" si="14"/>
        <v>347.73</v>
      </c>
      <c r="N68" s="748">
        <f t="shared" si="15"/>
        <v>0</v>
      </c>
      <c r="O68" s="744" t="e">
        <f t="shared" si="16"/>
        <v>#REF!</v>
      </c>
      <c r="Q68" s="824">
        <v>778.45</v>
      </c>
      <c r="R68" s="883">
        <f t="shared" si="17"/>
        <v>778.45</v>
      </c>
      <c r="S68" s="882">
        <f t="shared" si="18"/>
        <v>0</v>
      </c>
      <c r="U68" s="824" t="e">
        <f t="shared" si="19"/>
        <v>#REF!</v>
      </c>
      <c r="V68" s="883" t="e">
        <f t="shared" si="20"/>
        <v>#REF!</v>
      </c>
      <c r="W68" s="882"/>
    </row>
    <row r="69" spans="2:23" ht="11.25" customHeight="1">
      <c r="B69" s="736" t="s">
        <v>65</v>
      </c>
      <c r="C69" s="1013" t="s">
        <v>66</v>
      </c>
      <c r="D69" s="755" t="s">
        <v>174</v>
      </c>
      <c r="E69" s="739">
        <v>0.155</v>
      </c>
      <c r="F69" s="740">
        <v>1</v>
      </c>
      <c r="G69" s="754">
        <v>93</v>
      </c>
      <c r="H69" s="759">
        <f t="shared" si="11"/>
        <v>14.42</v>
      </c>
      <c r="I69" s="743">
        <f>LOOKUP(B69,valoriz!$A$13:$A$242,valoriz!I$13:I$242)</f>
        <v>0</v>
      </c>
      <c r="J69" s="744">
        <f t="shared" si="12"/>
        <v>0</v>
      </c>
      <c r="K69" s="745">
        <f t="shared" si="21"/>
        <v>5.15</v>
      </c>
      <c r="L69" s="746" t="e">
        <f t="shared" si="13"/>
        <v>#REF!</v>
      </c>
      <c r="M69" s="747" t="str">
        <f t="shared" si="14"/>
        <v>347.73</v>
      </c>
      <c r="N69" s="748">
        <f t="shared" si="15"/>
        <v>0</v>
      </c>
      <c r="O69" s="744" t="e">
        <f t="shared" si="16"/>
        <v>#REF!</v>
      </c>
      <c r="Q69" s="824">
        <v>7.29</v>
      </c>
      <c r="R69" s="883">
        <f t="shared" si="17"/>
        <v>7.29</v>
      </c>
      <c r="S69" s="882">
        <f t="shared" si="18"/>
        <v>7.13</v>
      </c>
      <c r="U69" s="824" t="e">
        <f t="shared" si="19"/>
        <v>#REF!</v>
      </c>
      <c r="V69" s="883" t="e">
        <f t="shared" si="20"/>
        <v>#REF!</v>
      </c>
      <c r="W69" s="882"/>
    </row>
    <row r="70" spans="2:23" ht="11.25" customHeight="1">
      <c r="B70" s="736" t="s">
        <v>67</v>
      </c>
      <c r="C70" s="1013" t="s">
        <v>68</v>
      </c>
      <c r="D70" s="755" t="s">
        <v>174</v>
      </c>
      <c r="E70" s="739">
        <v>0.313</v>
      </c>
      <c r="F70" s="740">
        <v>1</v>
      </c>
      <c r="G70" s="754">
        <v>212</v>
      </c>
      <c r="H70" s="759">
        <f t="shared" si="11"/>
        <v>66.36</v>
      </c>
      <c r="I70" s="743">
        <f>LOOKUP(B70,valoriz!$A$13:$A$242,valoriz!I$13:I$242)</f>
        <v>0</v>
      </c>
      <c r="J70" s="744">
        <f t="shared" si="12"/>
        <v>0</v>
      </c>
      <c r="K70" s="745">
        <f t="shared" si="21"/>
        <v>5.15</v>
      </c>
      <c r="L70" s="746" t="e">
        <f t="shared" si="13"/>
        <v>#REF!</v>
      </c>
      <c r="M70" s="747" t="str">
        <f t="shared" si="14"/>
        <v>347.73</v>
      </c>
      <c r="N70" s="748">
        <f t="shared" si="15"/>
        <v>0</v>
      </c>
      <c r="O70" s="744" t="e">
        <f t="shared" si="16"/>
        <v>#REF!</v>
      </c>
      <c r="Q70" s="824">
        <v>66.349999999999994</v>
      </c>
      <c r="R70" s="883">
        <f t="shared" si="17"/>
        <v>66.349999999999994</v>
      </c>
      <c r="S70" s="882">
        <f t="shared" si="18"/>
        <v>1.0000000000005116E-2</v>
      </c>
      <c r="U70" s="824" t="e">
        <f t="shared" si="19"/>
        <v>#REF!</v>
      </c>
      <c r="V70" s="883" t="e">
        <f t="shared" si="20"/>
        <v>#REF!</v>
      </c>
      <c r="W70" s="882"/>
    </row>
    <row r="71" spans="2:23" ht="11.25" customHeight="1">
      <c r="B71" s="757" t="s">
        <v>69</v>
      </c>
      <c r="C71" s="1027" t="s">
        <v>70</v>
      </c>
      <c r="D71" s="755" t="s">
        <v>174</v>
      </c>
      <c r="E71" s="739">
        <v>0.17</v>
      </c>
      <c r="F71" s="740">
        <v>1</v>
      </c>
      <c r="G71" s="754">
        <v>90</v>
      </c>
      <c r="H71" s="759">
        <f t="shared" si="11"/>
        <v>15.3</v>
      </c>
      <c r="I71" s="743">
        <f>LOOKUP(B71,valoriz!$A$13:$A$242,valoriz!I$13:I$242)</f>
        <v>0</v>
      </c>
      <c r="J71" s="744">
        <f t="shared" si="12"/>
        <v>0</v>
      </c>
      <c r="K71" s="745">
        <f t="shared" si="21"/>
        <v>5.15</v>
      </c>
      <c r="L71" s="746" t="e">
        <f t="shared" si="13"/>
        <v>#REF!</v>
      </c>
      <c r="M71" s="747" t="str">
        <f t="shared" si="14"/>
        <v>347.73</v>
      </c>
      <c r="N71" s="748">
        <f t="shared" si="15"/>
        <v>0</v>
      </c>
      <c r="O71" s="744" t="e">
        <f t="shared" si="16"/>
        <v>#REF!</v>
      </c>
      <c r="Q71" s="824">
        <v>0</v>
      </c>
      <c r="R71" s="883">
        <f t="shared" si="17"/>
        <v>0</v>
      </c>
      <c r="S71" s="882">
        <f t="shared" si="18"/>
        <v>15.3</v>
      </c>
      <c r="U71" s="824" t="e">
        <f t="shared" si="19"/>
        <v>#REF!</v>
      </c>
      <c r="V71" s="883" t="e">
        <f t="shared" si="20"/>
        <v>#REF!</v>
      </c>
      <c r="W71" s="882"/>
    </row>
    <row r="72" spans="2:23" ht="11.25" customHeight="1">
      <c r="B72" s="757" t="s">
        <v>71</v>
      </c>
      <c r="C72" s="1027" t="s">
        <v>72</v>
      </c>
      <c r="D72" s="755" t="s">
        <v>174</v>
      </c>
      <c r="E72" s="739">
        <v>0.16200000000000001</v>
      </c>
      <c r="F72" s="740">
        <v>1</v>
      </c>
      <c r="G72" s="754">
        <v>4332.3</v>
      </c>
      <c r="H72" s="759">
        <f t="shared" si="11"/>
        <v>701.83</v>
      </c>
      <c r="I72" s="743">
        <f>LOOKUP(B72,valoriz!$A$13:$A$242,valoriz!I$13:I$242)</f>
        <v>0</v>
      </c>
      <c r="J72" s="744">
        <f t="shared" si="12"/>
        <v>0</v>
      </c>
      <c r="K72" s="745">
        <f t="shared" si="21"/>
        <v>5.15</v>
      </c>
      <c r="L72" s="746" t="e">
        <f t="shared" si="13"/>
        <v>#REF!</v>
      </c>
      <c r="M72" s="747" t="str">
        <f t="shared" si="14"/>
        <v>347.73</v>
      </c>
      <c r="N72" s="748">
        <f t="shared" si="15"/>
        <v>0</v>
      </c>
      <c r="O72" s="744" t="e">
        <f t="shared" si="16"/>
        <v>#REF!</v>
      </c>
      <c r="Q72" s="824">
        <v>312.42</v>
      </c>
      <c r="R72" s="883">
        <f t="shared" si="17"/>
        <v>312.42</v>
      </c>
      <c r="S72" s="882">
        <f t="shared" si="18"/>
        <v>389.41</v>
      </c>
      <c r="U72" s="824" t="e">
        <f t="shared" si="19"/>
        <v>#REF!</v>
      </c>
      <c r="V72" s="883" t="e">
        <f t="shared" si="20"/>
        <v>#REF!</v>
      </c>
      <c r="W72" s="882"/>
    </row>
    <row r="73" spans="2:23" ht="11.25" customHeight="1">
      <c r="B73" s="757" t="s">
        <v>73</v>
      </c>
      <c r="C73" s="1027" t="s">
        <v>74</v>
      </c>
      <c r="D73" s="738" t="s">
        <v>174</v>
      </c>
      <c r="E73" s="739">
        <v>0.09</v>
      </c>
      <c r="F73" s="740">
        <v>1</v>
      </c>
      <c r="G73" s="754">
        <v>1965</v>
      </c>
      <c r="H73" s="759">
        <f t="shared" si="11"/>
        <v>176.85</v>
      </c>
      <c r="I73" s="743">
        <f>LOOKUP(B73,valoriz!$A$13:$A$242,valoriz!I$13:I$242)</f>
        <v>0</v>
      </c>
      <c r="J73" s="744">
        <f t="shared" si="12"/>
        <v>0</v>
      </c>
      <c r="K73" s="745">
        <f t="shared" si="21"/>
        <v>5.15</v>
      </c>
      <c r="L73" s="746" t="e">
        <f t="shared" si="13"/>
        <v>#REF!</v>
      </c>
      <c r="M73" s="747" t="str">
        <f t="shared" si="14"/>
        <v>347.73</v>
      </c>
      <c r="N73" s="748">
        <f t="shared" si="15"/>
        <v>0</v>
      </c>
      <c r="O73" s="744" t="e">
        <f t="shared" si="16"/>
        <v>#REF!</v>
      </c>
      <c r="Q73" s="824">
        <v>35.369999999999997</v>
      </c>
      <c r="R73" s="883">
        <f t="shared" si="17"/>
        <v>35.369999999999997</v>
      </c>
      <c r="S73" s="882">
        <f t="shared" si="18"/>
        <v>141.47999999999999</v>
      </c>
      <c r="U73" s="824" t="e">
        <f t="shared" si="19"/>
        <v>#REF!</v>
      </c>
      <c r="V73" s="883" t="e">
        <f t="shared" si="20"/>
        <v>#REF!</v>
      </c>
      <c r="W73" s="882"/>
    </row>
    <row r="74" spans="2:23" ht="11.25" customHeight="1">
      <c r="B74" s="757" t="s">
        <v>75</v>
      </c>
      <c r="C74" s="1027" t="s">
        <v>76</v>
      </c>
      <c r="D74" s="738" t="s">
        <v>174</v>
      </c>
      <c r="E74" s="739">
        <v>8.2000000000000003E-2</v>
      </c>
      <c r="F74" s="740">
        <v>1</v>
      </c>
      <c r="G74" s="752">
        <v>215</v>
      </c>
      <c r="H74" s="759">
        <f t="shared" si="11"/>
        <v>17.63</v>
      </c>
      <c r="I74" s="743">
        <f>LOOKUP(B74,valoriz!$A$13:$A$242,valoriz!I$13:I$242)</f>
        <v>0</v>
      </c>
      <c r="J74" s="744">
        <f t="shared" si="12"/>
        <v>0</v>
      </c>
      <c r="K74" s="745">
        <f t="shared" si="21"/>
        <v>5.15</v>
      </c>
      <c r="L74" s="746" t="e">
        <f t="shared" si="13"/>
        <v>#REF!</v>
      </c>
      <c r="M74" s="747" t="str">
        <f t="shared" si="14"/>
        <v>347.73</v>
      </c>
      <c r="N74" s="748">
        <f t="shared" si="15"/>
        <v>0</v>
      </c>
      <c r="O74" s="744" t="e">
        <f t="shared" si="16"/>
        <v>#REF!</v>
      </c>
      <c r="Q74" s="824">
        <v>0</v>
      </c>
      <c r="R74" s="883">
        <f t="shared" si="17"/>
        <v>0</v>
      </c>
      <c r="S74" s="882">
        <f t="shared" si="18"/>
        <v>17.63</v>
      </c>
      <c r="U74" s="824" t="e">
        <f t="shared" si="19"/>
        <v>#REF!</v>
      </c>
      <c r="V74" s="883" t="e">
        <f t="shared" si="20"/>
        <v>#REF!</v>
      </c>
      <c r="W74" s="882"/>
    </row>
    <row r="75" spans="2:23" ht="11.25" customHeight="1">
      <c r="B75" s="757" t="s">
        <v>77</v>
      </c>
      <c r="C75" s="1027" t="s">
        <v>78</v>
      </c>
      <c r="D75" s="755" t="s">
        <v>174</v>
      </c>
      <c r="E75" s="739">
        <v>7.0000000000000007E-2</v>
      </c>
      <c r="F75" s="740">
        <v>1</v>
      </c>
      <c r="G75" s="754">
        <v>1676</v>
      </c>
      <c r="H75" s="759">
        <f t="shared" si="11"/>
        <v>117.32</v>
      </c>
      <c r="I75" s="743">
        <f>LOOKUP(B75,valoriz!$A$13:$A$242,valoriz!I$13:I$242)</f>
        <v>0</v>
      </c>
      <c r="J75" s="744">
        <f t="shared" si="12"/>
        <v>0</v>
      </c>
      <c r="K75" s="745">
        <f t="shared" si="21"/>
        <v>5.15</v>
      </c>
      <c r="L75" s="746" t="e">
        <f t="shared" si="13"/>
        <v>#REF!</v>
      </c>
      <c r="M75" s="747" t="str">
        <f t="shared" si="14"/>
        <v>347.73</v>
      </c>
      <c r="N75" s="748">
        <f t="shared" si="15"/>
        <v>0</v>
      </c>
      <c r="O75" s="744" t="e">
        <f t="shared" si="16"/>
        <v>#REF!</v>
      </c>
      <c r="Q75" s="824">
        <v>58.1</v>
      </c>
      <c r="R75" s="883">
        <f t="shared" si="17"/>
        <v>58.1</v>
      </c>
      <c r="S75" s="882">
        <f t="shared" si="18"/>
        <v>59.219999999999992</v>
      </c>
      <c r="U75" s="824" t="e">
        <f t="shared" si="19"/>
        <v>#REF!</v>
      </c>
      <c r="V75" s="883" t="e">
        <f t="shared" si="20"/>
        <v>#REF!</v>
      </c>
      <c r="W75" s="882"/>
    </row>
    <row r="76" spans="2:23" ht="11.25" customHeight="1">
      <c r="B76" s="757" t="s">
        <v>79</v>
      </c>
      <c r="C76" s="1027" t="s">
        <v>80</v>
      </c>
      <c r="D76" s="755" t="s">
        <v>174</v>
      </c>
      <c r="E76" s="739">
        <v>8.2000000000000003E-2</v>
      </c>
      <c r="F76" s="740">
        <v>1</v>
      </c>
      <c r="G76" s="754">
        <v>348</v>
      </c>
      <c r="H76" s="759">
        <f t="shared" si="11"/>
        <v>28.54</v>
      </c>
      <c r="I76" s="743">
        <f>LOOKUP(B76,valoriz!$A$13:$A$242,valoriz!I$13:I$242)</f>
        <v>0</v>
      </c>
      <c r="J76" s="744">
        <f t="shared" si="12"/>
        <v>0</v>
      </c>
      <c r="K76" s="745">
        <f t="shared" si="21"/>
        <v>5.15</v>
      </c>
      <c r="L76" s="746" t="e">
        <f t="shared" si="13"/>
        <v>#REF!</v>
      </c>
      <c r="M76" s="747" t="str">
        <f t="shared" si="14"/>
        <v>347.73</v>
      </c>
      <c r="N76" s="748">
        <f t="shared" si="15"/>
        <v>0</v>
      </c>
      <c r="O76" s="744" t="e">
        <f t="shared" si="16"/>
        <v>#REF!</v>
      </c>
      <c r="Q76" s="824">
        <v>0</v>
      </c>
      <c r="R76" s="883">
        <f t="shared" si="17"/>
        <v>0</v>
      </c>
      <c r="S76" s="882">
        <f t="shared" si="18"/>
        <v>28.54</v>
      </c>
      <c r="U76" s="824" t="e">
        <f t="shared" si="19"/>
        <v>#REF!</v>
      </c>
      <c r="V76" s="883" t="e">
        <f t="shared" si="20"/>
        <v>#REF!</v>
      </c>
      <c r="W76" s="882"/>
    </row>
    <row r="77" spans="2:23" ht="11.25" customHeight="1">
      <c r="B77" s="757" t="s">
        <v>81</v>
      </c>
      <c r="C77" s="1027" t="s">
        <v>82</v>
      </c>
      <c r="D77" s="755" t="s">
        <v>601</v>
      </c>
      <c r="E77" s="739">
        <v>0.21</v>
      </c>
      <c r="F77" s="740">
        <v>1</v>
      </c>
      <c r="G77" s="754">
        <v>60</v>
      </c>
      <c r="H77" s="759">
        <f t="shared" si="11"/>
        <v>12.6</v>
      </c>
      <c r="I77" s="743">
        <f>LOOKUP(B77,valoriz!$A$13:$A$242,valoriz!I$13:I$242)</f>
        <v>0</v>
      </c>
      <c r="J77" s="744">
        <f t="shared" si="12"/>
        <v>0</v>
      </c>
      <c r="K77" s="745">
        <f t="shared" si="21"/>
        <v>5.15</v>
      </c>
      <c r="L77" s="746" t="e">
        <f t="shared" si="13"/>
        <v>#REF!</v>
      </c>
      <c r="M77" s="747" t="str">
        <f t="shared" si="14"/>
        <v>347.73</v>
      </c>
      <c r="N77" s="748">
        <f t="shared" si="15"/>
        <v>0</v>
      </c>
      <c r="O77" s="744" t="e">
        <f t="shared" si="16"/>
        <v>#REF!</v>
      </c>
      <c r="Q77" s="824">
        <v>5.25</v>
      </c>
      <c r="R77" s="883">
        <f t="shared" si="17"/>
        <v>5.25</v>
      </c>
      <c r="S77" s="882">
        <f t="shared" si="18"/>
        <v>7.35</v>
      </c>
      <c r="U77" s="824" t="e">
        <f t="shared" si="19"/>
        <v>#REF!</v>
      </c>
      <c r="V77" s="883" t="e">
        <f t="shared" si="20"/>
        <v>#REF!</v>
      </c>
      <c r="W77" s="882"/>
    </row>
    <row r="78" spans="2:23" ht="11.25" customHeight="1">
      <c r="B78" s="757" t="s">
        <v>83</v>
      </c>
      <c r="C78" s="1027" t="s">
        <v>84</v>
      </c>
      <c r="D78" s="755" t="s">
        <v>174</v>
      </c>
      <c r="E78" s="739">
        <v>0.15</v>
      </c>
      <c r="F78" s="740">
        <v>1</v>
      </c>
      <c r="G78" s="754">
        <v>279</v>
      </c>
      <c r="H78" s="759">
        <f t="shared" si="11"/>
        <v>41.85</v>
      </c>
      <c r="I78" s="743">
        <f>LOOKUP(B78,valoriz!$A$13:$A$242,valoriz!I$13:I$242)</f>
        <v>0</v>
      </c>
      <c r="J78" s="744">
        <f t="shared" si="12"/>
        <v>0</v>
      </c>
      <c r="K78" s="745">
        <f t="shared" si="21"/>
        <v>5.15</v>
      </c>
      <c r="L78" s="746" t="e">
        <f t="shared" si="13"/>
        <v>#REF!</v>
      </c>
      <c r="M78" s="747" t="str">
        <f t="shared" si="14"/>
        <v>347.73</v>
      </c>
      <c r="N78" s="748">
        <f t="shared" si="15"/>
        <v>0</v>
      </c>
      <c r="O78" s="744" t="e">
        <f t="shared" si="16"/>
        <v>#REF!</v>
      </c>
      <c r="Q78" s="965">
        <v>26.4</v>
      </c>
      <c r="R78" s="966">
        <f t="shared" si="17"/>
        <v>26.4</v>
      </c>
      <c r="S78" s="882">
        <f t="shared" si="18"/>
        <v>15.450000000000003</v>
      </c>
      <c r="U78" s="824" t="e">
        <f t="shared" si="19"/>
        <v>#REF!</v>
      </c>
      <c r="V78" s="883" t="e">
        <f t="shared" si="20"/>
        <v>#REF!</v>
      </c>
      <c r="W78" s="882"/>
    </row>
    <row r="79" spans="2:23" ht="11.25" customHeight="1">
      <c r="B79" s="757" t="s">
        <v>85</v>
      </c>
      <c r="C79" s="1027" t="s">
        <v>86</v>
      </c>
      <c r="D79" s="755" t="s">
        <v>174</v>
      </c>
      <c r="E79" s="739">
        <v>0.12</v>
      </c>
      <c r="F79" s="740">
        <v>1</v>
      </c>
      <c r="G79" s="754">
        <v>93</v>
      </c>
      <c r="H79" s="759">
        <f t="shared" si="11"/>
        <v>11.16</v>
      </c>
      <c r="I79" s="743">
        <f>LOOKUP(B79,valoriz!$A$13:$A$242,valoriz!I$13:I$242)</f>
        <v>0</v>
      </c>
      <c r="J79" s="744">
        <f t="shared" si="12"/>
        <v>0</v>
      </c>
      <c r="K79" s="745">
        <f t="shared" si="21"/>
        <v>5.15</v>
      </c>
      <c r="L79" s="746" t="e">
        <f t="shared" si="13"/>
        <v>#REF!</v>
      </c>
      <c r="M79" s="747" t="str">
        <f t="shared" si="14"/>
        <v>347.73</v>
      </c>
      <c r="N79" s="748">
        <f t="shared" si="15"/>
        <v>0</v>
      </c>
      <c r="O79" s="744" t="e">
        <f t="shared" si="16"/>
        <v>#REF!</v>
      </c>
      <c r="Q79" s="824">
        <v>7.44</v>
      </c>
      <c r="R79" s="883">
        <f t="shared" si="17"/>
        <v>7.44</v>
      </c>
      <c r="S79" s="882">
        <f t="shared" si="18"/>
        <v>3.7199999999999998</v>
      </c>
      <c r="U79" s="824" t="e">
        <f t="shared" si="19"/>
        <v>#REF!</v>
      </c>
      <c r="V79" s="883" t="e">
        <f t="shared" si="20"/>
        <v>#REF!</v>
      </c>
      <c r="W79" s="882"/>
    </row>
    <row r="80" spans="2:23" ht="11.25" customHeight="1">
      <c r="B80" s="757" t="s">
        <v>87</v>
      </c>
      <c r="C80" s="1027" t="s">
        <v>88</v>
      </c>
      <c r="D80" s="755" t="s">
        <v>173</v>
      </c>
      <c r="E80" s="739">
        <v>7.0000000000000007E-2</v>
      </c>
      <c r="F80" s="740">
        <v>1</v>
      </c>
      <c r="G80" s="754">
        <v>2317.2199999999998</v>
      </c>
      <c r="H80" s="759">
        <f t="shared" si="11"/>
        <v>162.21</v>
      </c>
      <c r="I80" s="743">
        <f>LOOKUP(B80,valoriz!$A$13:$A$242,valoriz!I$13:I$242)</f>
        <v>0</v>
      </c>
      <c r="J80" s="744">
        <f t="shared" si="12"/>
        <v>0</v>
      </c>
      <c r="K80" s="745">
        <f t="shared" si="21"/>
        <v>5.15</v>
      </c>
      <c r="L80" s="746" t="e">
        <f t="shared" si="13"/>
        <v>#REF!</v>
      </c>
      <c r="M80" s="747" t="str">
        <f t="shared" si="14"/>
        <v>347.73</v>
      </c>
      <c r="N80" s="748">
        <f t="shared" si="15"/>
        <v>0</v>
      </c>
      <c r="O80" s="744" t="e">
        <f t="shared" si="16"/>
        <v>#REF!</v>
      </c>
      <c r="Q80" s="824">
        <v>151</v>
      </c>
      <c r="R80" s="883">
        <f t="shared" si="17"/>
        <v>151</v>
      </c>
      <c r="S80" s="882">
        <f t="shared" si="18"/>
        <v>11.210000000000008</v>
      </c>
      <c r="U80" s="824" t="e">
        <f t="shared" si="19"/>
        <v>#REF!</v>
      </c>
      <c r="V80" s="883" t="e">
        <f t="shared" si="20"/>
        <v>#REF!</v>
      </c>
      <c r="W80" s="882"/>
    </row>
    <row r="81" spans="2:23" ht="11.25" customHeight="1">
      <c r="B81" s="757" t="s">
        <v>89</v>
      </c>
      <c r="C81" s="1027" t="s">
        <v>90</v>
      </c>
      <c r="D81" s="755" t="s">
        <v>173</v>
      </c>
      <c r="E81" s="739">
        <v>0.2</v>
      </c>
      <c r="F81" s="740">
        <v>1</v>
      </c>
      <c r="G81" s="754">
        <v>350.11</v>
      </c>
      <c r="H81" s="759">
        <f t="shared" si="11"/>
        <v>70.02</v>
      </c>
      <c r="I81" s="743">
        <f>LOOKUP(B81,valoriz!$A$13:$A$242,valoriz!I$13:I$242)</f>
        <v>0</v>
      </c>
      <c r="J81" s="744">
        <f t="shared" si="12"/>
        <v>0</v>
      </c>
      <c r="K81" s="745">
        <f t="shared" si="21"/>
        <v>5.15</v>
      </c>
      <c r="L81" s="746" t="e">
        <f t="shared" si="13"/>
        <v>#REF!</v>
      </c>
      <c r="M81" s="747" t="str">
        <f t="shared" si="14"/>
        <v>347.73</v>
      </c>
      <c r="N81" s="748">
        <f t="shared" si="15"/>
        <v>0</v>
      </c>
      <c r="O81" s="744" t="e">
        <f t="shared" si="16"/>
        <v>#REF!</v>
      </c>
      <c r="Q81" s="824">
        <v>59.53</v>
      </c>
      <c r="R81" s="883">
        <f t="shared" si="17"/>
        <v>59.53</v>
      </c>
      <c r="S81" s="882">
        <f t="shared" si="18"/>
        <v>10.489999999999995</v>
      </c>
      <c r="U81" s="824" t="e">
        <f t="shared" si="19"/>
        <v>#REF!</v>
      </c>
      <c r="V81" s="883" t="e">
        <f t="shared" si="20"/>
        <v>#REF!</v>
      </c>
      <c r="W81" s="882"/>
    </row>
    <row r="82" spans="2:23" ht="11.25" customHeight="1">
      <c r="B82" s="757" t="s">
        <v>91</v>
      </c>
      <c r="C82" s="1027" t="s">
        <v>92</v>
      </c>
      <c r="D82" s="755" t="s">
        <v>173</v>
      </c>
      <c r="E82" s="739">
        <v>0.11</v>
      </c>
      <c r="F82" s="740">
        <v>1</v>
      </c>
      <c r="G82" s="760">
        <v>6590</v>
      </c>
      <c r="H82" s="759">
        <f t="shared" si="11"/>
        <v>724.9</v>
      </c>
      <c r="I82" s="743">
        <f>LOOKUP(B82,valoriz!$A$13:$A$242,valoriz!I$13:I$242)</f>
        <v>0</v>
      </c>
      <c r="J82" s="744">
        <f t="shared" si="12"/>
        <v>0</v>
      </c>
      <c r="K82" s="745">
        <f t="shared" si="21"/>
        <v>5.15</v>
      </c>
      <c r="L82" s="746" t="e">
        <f t="shared" si="13"/>
        <v>#REF!</v>
      </c>
      <c r="M82" s="747" t="str">
        <f t="shared" si="14"/>
        <v>347.73</v>
      </c>
      <c r="N82" s="748">
        <f t="shared" si="15"/>
        <v>0</v>
      </c>
      <c r="O82" s="744" t="e">
        <f t="shared" si="16"/>
        <v>#REF!</v>
      </c>
      <c r="Q82" s="824">
        <v>318.77999999999997</v>
      </c>
      <c r="R82" s="883">
        <f t="shared" si="17"/>
        <v>318.77999999999997</v>
      </c>
      <c r="S82" s="882">
        <f t="shared" si="18"/>
        <v>406.12</v>
      </c>
      <c r="U82" s="824" t="e">
        <f t="shared" si="19"/>
        <v>#REF!</v>
      </c>
      <c r="V82" s="883" t="e">
        <f t="shared" si="20"/>
        <v>#REF!</v>
      </c>
      <c r="W82" s="882"/>
    </row>
    <row r="83" spans="2:23" ht="11.25" customHeight="1">
      <c r="B83" s="757" t="s">
        <v>118</v>
      </c>
      <c r="C83" s="1027" t="s">
        <v>296</v>
      </c>
      <c r="D83" s="755" t="s">
        <v>174</v>
      </c>
      <c r="E83" s="739">
        <f>0.32*0.8</f>
        <v>0.25600000000000001</v>
      </c>
      <c r="F83" s="904">
        <v>1</v>
      </c>
      <c r="G83" s="754">
        <v>55</v>
      </c>
      <c r="H83" s="759">
        <f t="shared" si="11"/>
        <v>14.08</v>
      </c>
      <c r="I83" s="743">
        <f>LOOKUP(B83,valoriz!$A$13:$A$242,valoriz!I$13:I$242)</f>
        <v>0</v>
      </c>
      <c r="J83" s="744">
        <f t="shared" si="12"/>
        <v>0</v>
      </c>
      <c r="K83" s="745">
        <f t="shared" si="21"/>
        <v>5.15</v>
      </c>
      <c r="L83" s="746" t="e">
        <f t="shared" si="13"/>
        <v>#REF!</v>
      </c>
      <c r="M83" s="747" t="str">
        <f t="shared" si="14"/>
        <v>347.73</v>
      </c>
      <c r="N83" s="748">
        <f t="shared" si="15"/>
        <v>0</v>
      </c>
      <c r="O83" s="744" t="e">
        <f t="shared" si="16"/>
        <v>#REF!</v>
      </c>
      <c r="Q83" s="828">
        <v>0</v>
      </c>
      <c r="R83" s="1014">
        <f t="shared" si="17"/>
        <v>0</v>
      </c>
      <c r="S83" s="891">
        <f t="shared" si="18"/>
        <v>14.08</v>
      </c>
      <c r="U83" s="828" t="e">
        <f t="shared" si="19"/>
        <v>#REF!</v>
      </c>
      <c r="V83" s="1014" t="e">
        <f t="shared" si="20"/>
        <v>#REF!</v>
      </c>
      <c r="W83" s="891"/>
    </row>
    <row r="84" spans="2:23" ht="11.25" customHeight="1" thickBot="1">
      <c r="B84" s="762"/>
      <c r="C84" s="1015"/>
      <c r="D84" s="764"/>
      <c r="E84" s="765"/>
      <c r="F84" s="766"/>
      <c r="G84" s="799"/>
      <c r="H84" s="800"/>
      <c r="I84" s="799"/>
      <c r="J84" s="801"/>
      <c r="K84" s="770"/>
      <c r="L84" s="771"/>
      <c r="M84" s="772"/>
      <c r="N84" s="773"/>
      <c r="O84" s="769"/>
      <c r="Q84" s="871">
        <f>SUM(Q60:Q83)</f>
        <v>11530.040000000005</v>
      </c>
      <c r="R84" s="896">
        <f>SUM(R60:R83)</f>
        <v>11530.040000000005</v>
      </c>
      <c r="S84" s="897">
        <f>SUM(S60:S83)</f>
        <v>6077.06</v>
      </c>
      <c r="T84" s="1071"/>
      <c r="U84" s="871" t="e">
        <f>SUM(U59:U83)</f>
        <v>#REF!</v>
      </c>
      <c r="V84" s="896" t="e">
        <f>SUM(V59:V83)</f>
        <v>#REF!</v>
      </c>
      <c r="W84" s="897" t="e">
        <f>+W59-V85</f>
        <v>#REF!</v>
      </c>
    </row>
    <row r="85" spans="2:23" ht="11.25" customHeight="1">
      <c r="B85" s="775"/>
      <c r="C85" s="776"/>
      <c r="D85" s="777"/>
      <c r="E85" s="777"/>
      <c r="F85" s="778"/>
      <c r="G85" s="779"/>
      <c r="H85" s="780">
        <f>SUM(H60:H84)</f>
        <v>17607.100000000002</v>
      </c>
      <c r="I85" s="779"/>
      <c r="J85" s="780">
        <f>SUM(J60:J84)</f>
        <v>0</v>
      </c>
      <c r="K85" s="781"/>
      <c r="L85" s="777"/>
      <c r="M85" s="778"/>
      <c r="N85" s="782">
        <f>SUM(N60:N84)</f>
        <v>0</v>
      </c>
      <c r="O85" s="783" t="e">
        <f>SUM(O60:O84)</f>
        <v>#REF!</v>
      </c>
      <c r="Q85" s="1654" t="str">
        <f>+IF(SUM(R60:R83)&gt;J86,"Revisar Metrado","OK")</f>
        <v>OK</v>
      </c>
      <c r="R85" s="1719"/>
      <c r="S85" s="1655"/>
      <c r="U85" s="1058">
        <v>12552.76</v>
      </c>
      <c r="V85" s="1055" t="e">
        <f>+O85+U84</f>
        <v>#REF!</v>
      </c>
      <c r="W85" s="1056"/>
    </row>
    <row r="86" spans="2:23" ht="11.25" customHeight="1">
      <c r="B86" s="784"/>
      <c r="C86" s="785"/>
      <c r="G86" s="786"/>
      <c r="H86" s="787" t="s">
        <v>214</v>
      </c>
      <c r="I86" s="788"/>
      <c r="J86" s="899">
        <v>16722</v>
      </c>
      <c r="K86" s="751"/>
      <c r="U86" s="751"/>
    </row>
    <row r="87" spans="2:23" ht="11.25" customHeight="1">
      <c r="B87" s="784"/>
      <c r="C87" s="785"/>
      <c r="K87" s="751"/>
      <c r="U87" s="751"/>
    </row>
    <row r="88" spans="2:23" ht="11.25" customHeight="1">
      <c r="B88" s="1714" t="s">
        <v>198</v>
      </c>
      <c r="C88" s="1714" t="s">
        <v>199</v>
      </c>
      <c r="D88" s="1716" t="s">
        <v>601</v>
      </c>
      <c r="E88" s="1712" t="s">
        <v>200</v>
      </c>
      <c r="F88" s="1713"/>
      <c r="G88" s="1712" t="s">
        <v>201</v>
      </c>
      <c r="H88" s="1713"/>
      <c r="I88" s="1712" t="s">
        <v>202</v>
      </c>
      <c r="J88" s="1713"/>
      <c r="K88" s="1714" t="s">
        <v>203</v>
      </c>
      <c r="L88" s="1712" t="s">
        <v>204</v>
      </c>
      <c r="M88" s="1713"/>
      <c r="N88" s="1712" t="s">
        <v>423</v>
      </c>
      <c r="O88" s="1713"/>
      <c r="P88" s="700"/>
      <c r="Q88" s="1678" t="s">
        <v>205</v>
      </c>
      <c r="R88" s="1679"/>
      <c r="S88" s="1680"/>
      <c r="U88" s="1678" t="s">
        <v>331</v>
      </c>
      <c r="V88" s="1679"/>
      <c r="W88" s="1680"/>
    </row>
    <row r="89" spans="2:23" ht="20.100000000000001" customHeight="1">
      <c r="B89" s="1715"/>
      <c r="C89" s="1715"/>
      <c r="D89" s="1717"/>
      <c r="E89" s="1011" t="s">
        <v>206</v>
      </c>
      <c r="F89" s="1012" t="s">
        <v>207</v>
      </c>
      <c r="G89" s="1011" t="s">
        <v>452</v>
      </c>
      <c r="H89" s="1012" t="s">
        <v>208</v>
      </c>
      <c r="I89" s="1011" t="s">
        <v>452</v>
      </c>
      <c r="J89" s="1012" t="s">
        <v>208</v>
      </c>
      <c r="K89" s="1715"/>
      <c r="L89" s="1011" t="s">
        <v>467</v>
      </c>
      <c r="M89" s="1012" t="s">
        <v>468</v>
      </c>
      <c r="N89" s="1011" t="s">
        <v>209</v>
      </c>
      <c r="O89" s="1012" t="s">
        <v>210</v>
      </c>
      <c r="Q89" s="1030" t="s">
        <v>211</v>
      </c>
      <c r="R89" s="720" t="s">
        <v>394</v>
      </c>
      <c r="S89" s="721" t="s">
        <v>451</v>
      </c>
      <c r="U89" s="719" t="s">
        <v>211</v>
      </c>
      <c r="V89" s="720" t="s">
        <v>394</v>
      </c>
      <c r="W89" s="721" t="s">
        <v>451</v>
      </c>
    </row>
    <row r="90" spans="2:23" ht="11.25" customHeight="1">
      <c r="B90" s="722" t="str">
        <f>+B$14</f>
        <v>Material:</v>
      </c>
      <c r="C90" s="728"/>
      <c r="D90" s="724"/>
      <c r="E90" s="730"/>
      <c r="G90" s="726"/>
      <c r="H90" s="727"/>
      <c r="I90" s="726"/>
      <c r="J90" s="728"/>
      <c r="K90" s="729"/>
      <c r="L90" s="724"/>
      <c r="M90" s="725"/>
      <c r="N90" s="730"/>
      <c r="O90" s="728"/>
      <c r="Q90" s="1031"/>
      <c r="R90" s="732"/>
      <c r="S90" s="725"/>
      <c r="U90" s="1031"/>
      <c r="V90" s="732"/>
      <c r="W90" s="725"/>
    </row>
    <row r="91" spans="2:23" ht="11.25" customHeight="1">
      <c r="B91" s="722" t="s">
        <v>212</v>
      </c>
      <c r="C91" s="733" t="s">
        <v>1002</v>
      </c>
      <c r="D91" s="724"/>
      <c r="E91" s="730"/>
      <c r="F91" s="802"/>
      <c r="G91" s="726"/>
      <c r="H91" s="727"/>
      <c r="I91" s="726"/>
      <c r="J91" s="727"/>
      <c r="K91" s="729"/>
      <c r="L91" s="724"/>
      <c r="M91" s="725"/>
      <c r="N91" s="794"/>
      <c r="O91" s="795"/>
      <c r="Q91" s="951"/>
      <c r="R91" s="735"/>
      <c r="S91" s="725"/>
      <c r="U91" s="1070">
        <v>27.63</v>
      </c>
      <c r="V91" s="962">
        <f>+U91</f>
        <v>27.63</v>
      </c>
      <c r="W91" s="952">
        <v>93335.12</v>
      </c>
    </row>
    <row r="92" spans="2:23" ht="11.25" customHeight="1">
      <c r="B92" s="796" t="s">
        <v>53</v>
      </c>
      <c r="C92" s="1023" t="s">
        <v>54</v>
      </c>
      <c r="D92" s="738" t="s">
        <v>173</v>
      </c>
      <c r="E92" s="739">
        <v>1</v>
      </c>
      <c r="F92" s="740">
        <v>0.05</v>
      </c>
      <c r="G92" s="797">
        <v>18363.259999999998</v>
      </c>
      <c r="H92" s="742">
        <f t="shared" ref="H92:H109" si="22">+ROUND(E92*F92*G92,2)</f>
        <v>918.16</v>
      </c>
      <c r="I92" s="743">
        <f>LOOKUP(B92,valoriz!$A$13:$A$242,valoriz!I$13:I$242)</f>
        <v>0</v>
      </c>
      <c r="J92" s="744">
        <f t="shared" ref="J92:J109" si="23">+ROUND(E92*F92*I92,2)</f>
        <v>0</v>
      </c>
      <c r="K92" s="745">
        <v>64.27</v>
      </c>
      <c r="L92" s="746" t="e">
        <f t="shared" ref="L92:L109" si="24">D$17</f>
        <v>#REF!</v>
      </c>
      <c r="M92" s="747" t="str">
        <f t="shared" ref="M92:M109" si="25">D$16</f>
        <v>347.73</v>
      </c>
      <c r="N92" s="748">
        <f t="shared" ref="N92:N109" si="26">+ROUND(J92*K92*M$18,2)</f>
        <v>0</v>
      </c>
      <c r="O92" s="744" t="e">
        <f t="shared" ref="O92:O109" si="27">+ROUND(J92*K92*L92*M$18/M92,2)</f>
        <v>#REF!</v>
      </c>
      <c r="Q92" s="824">
        <v>747.71</v>
      </c>
      <c r="R92" s="883">
        <f t="shared" ref="R92:R109" si="28">+J92+Q92</f>
        <v>747.71</v>
      </c>
      <c r="S92" s="882">
        <f t="shared" ref="S92:S109" si="29">+IF((H92-R92)&lt;0,"BAD", H92-R92)</f>
        <v>170.44999999999993</v>
      </c>
      <c r="U92" s="824" t="e">
        <f t="shared" ref="U92:U109" si="30">+ROUND(Q92*$K92*$L92/$M92,2)</f>
        <v>#REF!</v>
      </c>
      <c r="V92" s="883" t="e">
        <f t="shared" ref="V92:V109" si="31">+ROUND(R92*$K92*$L92/$M92,2)</f>
        <v>#REF!</v>
      </c>
      <c r="W92" s="882"/>
    </row>
    <row r="93" spans="2:23" ht="11.25" customHeight="1">
      <c r="B93" s="757" t="s">
        <v>57</v>
      </c>
      <c r="C93" s="1013" t="s">
        <v>58</v>
      </c>
      <c r="D93" s="738" t="s">
        <v>174</v>
      </c>
      <c r="E93" s="739">
        <v>0.30399999999999999</v>
      </c>
      <c r="F93" s="740">
        <v>0.06</v>
      </c>
      <c r="G93" s="741">
        <v>4206</v>
      </c>
      <c r="H93" s="759">
        <f t="shared" si="22"/>
        <v>76.72</v>
      </c>
      <c r="I93" s="743">
        <f>LOOKUP(B93,valoriz!$A$13:$A$242,valoriz!I$13:I$242)</f>
        <v>0</v>
      </c>
      <c r="J93" s="744">
        <f t="shared" si="23"/>
        <v>0</v>
      </c>
      <c r="K93" s="745">
        <f t="shared" ref="K93:K107" si="32">+K92</f>
        <v>64.27</v>
      </c>
      <c r="L93" s="746" t="e">
        <f t="shared" si="24"/>
        <v>#REF!</v>
      </c>
      <c r="M93" s="747" t="str">
        <f t="shared" si="25"/>
        <v>347.73</v>
      </c>
      <c r="N93" s="748">
        <f t="shared" si="26"/>
        <v>0</v>
      </c>
      <c r="O93" s="744" t="e">
        <f t="shared" si="27"/>
        <v>#REF!</v>
      </c>
      <c r="Q93" s="965">
        <v>73.06</v>
      </c>
      <c r="R93" s="966">
        <f t="shared" si="28"/>
        <v>73.06</v>
      </c>
      <c r="S93" s="882">
        <f t="shared" si="29"/>
        <v>3.6599999999999966</v>
      </c>
      <c r="U93" s="824" t="e">
        <f t="shared" si="30"/>
        <v>#REF!</v>
      </c>
      <c r="V93" s="883" t="e">
        <f t="shared" si="31"/>
        <v>#REF!</v>
      </c>
      <c r="W93" s="882"/>
    </row>
    <row r="94" spans="2:23" ht="11.25" customHeight="1">
      <c r="B94" s="757" t="s">
        <v>59</v>
      </c>
      <c r="C94" s="1013" t="s">
        <v>60</v>
      </c>
      <c r="D94" s="738" t="s">
        <v>174</v>
      </c>
      <c r="E94" s="739">
        <v>0.06</v>
      </c>
      <c r="F94" s="740">
        <v>0.06</v>
      </c>
      <c r="G94" s="754">
        <v>3942</v>
      </c>
      <c r="H94" s="759">
        <f t="shared" si="22"/>
        <v>14.19</v>
      </c>
      <c r="I94" s="743">
        <f>LOOKUP(B94,valoriz!$A$13:$A$242,valoriz!I$13:I$242)</f>
        <v>0</v>
      </c>
      <c r="J94" s="744">
        <f t="shared" si="23"/>
        <v>0</v>
      </c>
      <c r="K94" s="745">
        <f t="shared" si="32"/>
        <v>64.27</v>
      </c>
      <c r="L94" s="746" t="e">
        <f t="shared" si="24"/>
        <v>#REF!</v>
      </c>
      <c r="M94" s="747" t="str">
        <f t="shared" si="25"/>
        <v>347.73</v>
      </c>
      <c r="N94" s="748">
        <f t="shared" si="26"/>
        <v>0</v>
      </c>
      <c r="O94" s="744" t="e">
        <f t="shared" si="27"/>
        <v>#REF!</v>
      </c>
      <c r="Q94" s="824">
        <v>8.4499999999999993</v>
      </c>
      <c r="R94" s="883">
        <f t="shared" si="28"/>
        <v>8.4499999999999993</v>
      </c>
      <c r="S94" s="882">
        <f t="shared" si="29"/>
        <v>5.74</v>
      </c>
      <c r="U94" s="824" t="e">
        <f t="shared" si="30"/>
        <v>#REF!</v>
      </c>
      <c r="V94" s="883" t="e">
        <f t="shared" si="31"/>
        <v>#REF!</v>
      </c>
      <c r="W94" s="882"/>
    </row>
    <row r="95" spans="2:23" ht="11.25" customHeight="1">
      <c r="B95" s="757" t="s">
        <v>61</v>
      </c>
      <c r="C95" s="1013" t="s">
        <v>62</v>
      </c>
      <c r="D95" s="738" t="s">
        <v>174</v>
      </c>
      <c r="E95" s="739">
        <v>0.05</v>
      </c>
      <c r="F95" s="740">
        <v>0.06</v>
      </c>
      <c r="G95" s="754">
        <v>41679.79</v>
      </c>
      <c r="H95" s="759">
        <f t="shared" si="22"/>
        <v>125.04</v>
      </c>
      <c r="I95" s="743">
        <f>LOOKUP(B95,valoriz!$A$13:$A$242,valoriz!I$13:I$242)</f>
        <v>0</v>
      </c>
      <c r="J95" s="744">
        <f t="shared" si="23"/>
        <v>0</v>
      </c>
      <c r="K95" s="745">
        <f t="shared" si="32"/>
        <v>64.27</v>
      </c>
      <c r="L95" s="746" t="e">
        <f t="shared" si="24"/>
        <v>#REF!</v>
      </c>
      <c r="M95" s="747" t="str">
        <f t="shared" si="25"/>
        <v>347.73</v>
      </c>
      <c r="N95" s="748">
        <f t="shared" si="26"/>
        <v>0</v>
      </c>
      <c r="O95" s="744" t="e">
        <f t="shared" si="27"/>
        <v>#REF!</v>
      </c>
      <c r="Q95" s="824">
        <v>62.36</v>
      </c>
      <c r="R95" s="883">
        <f t="shared" si="28"/>
        <v>62.36</v>
      </c>
      <c r="S95" s="882">
        <f t="shared" si="29"/>
        <v>62.680000000000007</v>
      </c>
      <c r="U95" s="824" t="e">
        <f t="shared" si="30"/>
        <v>#REF!</v>
      </c>
      <c r="V95" s="883" t="e">
        <f t="shared" si="31"/>
        <v>#REF!</v>
      </c>
      <c r="W95" s="882"/>
    </row>
    <row r="96" spans="2:23" ht="11.25" customHeight="1">
      <c r="B96" s="736" t="s">
        <v>63</v>
      </c>
      <c r="C96" s="1013" t="s">
        <v>64</v>
      </c>
      <c r="D96" s="755" t="s">
        <v>174</v>
      </c>
      <c r="E96" s="739">
        <v>0.5</v>
      </c>
      <c r="F96" s="740">
        <v>0.06</v>
      </c>
      <c r="G96" s="754">
        <v>4324.7</v>
      </c>
      <c r="H96" s="759">
        <f t="shared" si="22"/>
        <v>129.74</v>
      </c>
      <c r="I96" s="743">
        <f>LOOKUP(B96,valoriz!$A$13:$A$242,valoriz!I$13:I$242)</f>
        <v>0</v>
      </c>
      <c r="J96" s="744">
        <f t="shared" si="23"/>
        <v>0</v>
      </c>
      <c r="K96" s="745">
        <f t="shared" si="32"/>
        <v>64.27</v>
      </c>
      <c r="L96" s="746" t="e">
        <f t="shared" si="24"/>
        <v>#REF!</v>
      </c>
      <c r="M96" s="747" t="str">
        <f t="shared" si="25"/>
        <v>347.73</v>
      </c>
      <c r="N96" s="748">
        <f t="shared" si="26"/>
        <v>0</v>
      </c>
      <c r="O96" s="744" t="e">
        <f t="shared" si="27"/>
        <v>#REF!</v>
      </c>
      <c r="Q96" s="824">
        <v>129.74</v>
      </c>
      <c r="R96" s="883">
        <f t="shared" si="28"/>
        <v>129.74</v>
      </c>
      <c r="S96" s="882">
        <f t="shared" si="29"/>
        <v>0</v>
      </c>
      <c r="U96" s="824" t="e">
        <f t="shared" si="30"/>
        <v>#REF!</v>
      </c>
      <c r="V96" s="883" t="e">
        <f t="shared" si="31"/>
        <v>#REF!</v>
      </c>
      <c r="W96" s="882"/>
    </row>
    <row r="97" spans="2:23" ht="11.25" customHeight="1">
      <c r="B97" s="736" t="s">
        <v>65</v>
      </c>
      <c r="C97" s="1013" t="s">
        <v>66</v>
      </c>
      <c r="D97" s="755" t="s">
        <v>174</v>
      </c>
      <c r="E97" s="739">
        <v>1.1200000000000001</v>
      </c>
      <c r="F97" s="740">
        <v>0.06</v>
      </c>
      <c r="G97" s="754">
        <v>93</v>
      </c>
      <c r="H97" s="759">
        <f t="shared" si="22"/>
        <v>6.25</v>
      </c>
      <c r="I97" s="743">
        <f>LOOKUP(B97,valoriz!$A$13:$A$242,valoriz!I$13:I$242)</f>
        <v>0</v>
      </c>
      <c r="J97" s="744">
        <f t="shared" si="23"/>
        <v>0</v>
      </c>
      <c r="K97" s="745">
        <f t="shared" si="32"/>
        <v>64.27</v>
      </c>
      <c r="L97" s="746" t="e">
        <f t="shared" si="24"/>
        <v>#REF!</v>
      </c>
      <c r="M97" s="747" t="str">
        <f t="shared" si="25"/>
        <v>347.73</v>
      </c>
      <c r="N97" s="748">
        <f t="shared" si="26"/>
        <v>0</v>
      </c>
      <c r="O97" s="744" t="e">
        <f t="shared" si="27"/>
        <v>#REF!</v>
      </c>
      <c r="Q97" s="824">
        <v>3.16</v>
      </c>
      <c r="R97" s="883">
        <f t="shared" si="28"/>
        <v>3.16</v>
      </c>
      <c r="S97" s="882">
        <f t="shared" si="29"/>
        <v>3.09</v>
      </c>
      <c r="U97" s="824" t="e">
        <f t="shared" si="30"/>
        <v>#REF!</v>
      </c>
      <c r="V97" s="883" t="e">
        <f t="shared" si="31"/>
        <v>#REF!</v>
      </c>
      <c r="W97" s="882"/>
    </row>
    <row r="98" spans="2:23" ht="11.25" customHeight="1">
      <c r="B98" s="736" t="s">
        <v>67</v>
      </c>
      <c r="C98" s="1013" t="s">
        <v>68</v>
      </c>
      <c r="D98" s="755" t="s">
        <v>174</v>
      </c>
      <c r="E98" s="739">
        <v>0.3</v>
      </c>
      <c r="F98" s="740">
        <v>0.06</v>
      </c>
      <c r="G98" s="754">
        <v>212</v>
      </c>
      <c r="H98" s="759">
        <f t="shared" si="22"/>
        <v>3.82</v>
      </c>
      <c r="I98" s="743">
        <f>LOOKUP(B98,valoriz!$A$13:$A$242,valoriz!I$13:I$242)</f>
        <v>0</v>
      </c>
      <c r="J98" s="744">
        <f t="shared" si="23"/>
        <v>0</v>
      </c>
      <c r="K98" s="745">
        <f t="shared" si="32"/>
        <v>64.27</v>
      </c>
      <c r="L98" s="746" t="e">
        <f t="shared" si="24"/>
        <v>#REF!</v>
      </c>
      <c r="M98" s="747" t="str">
        <f t="shared" si="25"/>
        <v>347.73</v>
      </c>
      <c r="N98" s="748">
        <f t="shared" si="26"/>
        <v>0</v>
      </c>
      <c r="O98" s="744" t="e">
        <f t="shared" si="27"/>
        <v>#REF!</v>
      </c>
      <c r="Q98" s="824">
        <v>3.82</v>
      </c>
      <c r="R98" s="883">
        <f t="shared" si="28"/>
        <v>3.82</v>
      </c>
      <c r="S98" s="882">
        <f t="shared" si="29"/>
        <v>0</v>
      </c>
      <c r="U98" s="824" t="e">
        <f t="shared" si="30"/>
        <v>#REF!</v>
      </c>
      <c r="V98" s="883" t="e">
        <f t="shared" si="31"/>
        <v>#REF!</v>
      </c>
      <c r="W98" s="882"/>
    </row>
    <row r="99" spans="2:23" ht="11.25" customHeight="1">
      <c r="B99" s="757" t="s">
        <v>69</v>
      </c>
      <c r="C99" s="1027" t="s">
        <v>70</v>
      </c>
      <c r="D99" s="755" t="s">
        <v>174</v>
      </c>
      <c r="E99" s="739">
        <v>1</v>
      </c>
      <c r="F99" s="740">
        <v>0.06</v>
      </c>
      <c r="G99" s="754">
        <v>90</v>
      </c>
      <c r="H99" s="759">
        <f t="shared" si="22"/>
        <v>5.4</v>
      </c>
      <c r="I99" s="743">
        <f>LOOKUP(B99,valoriz!$A$13:$A$242,valoriz!I$13:I$242)</f>
        <v>0</v>
      </c>
      <c r="J99" s="744">
        <f t="shared" si="23"/>
        <v>0</v>
      </c>
      <c r="K99" s="745">
        <f t="shared" si="32"/>
        <v>64.27</v>
      </c>
      <c r="L99" s="746" t="e">
        <f t="shared" si="24"/>
        <v>#REF!</v>
      </c>
      <c r="M99" s="747" t="str">
        <f t="shared" si="25"/>
        <v>347.73</v>
      </c>
      <c r="N99" s="748">
        <f t="shared" si="26"/>
        <v>0</v>
      </c>
      <c r="O99" s="744" t="e">
        <f t="shared" si="27"/>
        <v>#REF!</v>
      </c>
      <c r="Q99" s="824">
        <v>0</v>
      </c>
      <c r="R99" s="883">
        <f t="shared" si="28"/>
        <v>0</v>
      </c>
      <c r="S99" s="882">
        <f t="shared" si="29"/>
        <v>5.4</v>
      </c>
      <c r="U99" s="824" t="e">
        <f t="shared" si="30"/>
        <v>#REF!</v>
      </c>
      <c r="V99" s="883" t="e">
        <f t="shared" si="31"/>
        <v>#REF!</v>
      </c>
      <c r="W99" s="882"/>
    </row>
    <row r="100" spans="2:23" ht="11.25" customHeight="1">
      <c r="B100" s="757" t="s">
        <v>71</v>
      </c>
      <c r="C100" s="1027" t="s">
        <v>72</v>
      </c>
      <c r="D100" s="755" t="s">
        <v>174</v>
      </c>
      <c r="E100" s="739">
        <v>0.30399999999999999</v>
      </c>
      <c r="F100" s="740">
        <v>0.06</v>
      </c>
      <c r="G100" s="754">
        <v>4332.3</v>
      </c>
      <c r="H100" s="759">
        <f t="shared" si="22"/>
        <v>79.02</v>
      </c>
      <c r="I100" s="743">
        <f>LOOKUP(B100,valoriz!$A$13:$A$242,valoriz!I$13:I$242)</f>
        <v>0</v>
      </c>
      <c r="J100" s="744">
        <f t="shared" si="23"/>
        <v>0</v>
      </c>
      <c r="K100" s="745">
        <f t="shared" si="32"/>
        <v>64.27</v>
      </c>
      <c r="L100" s="746" t="e">
        <f t="shared" si="24"/>
        <v>#REF!</v>
      </c>
      <c r="M100" s="747" t="str">
        <f t="shared" si="25"/>
        <v>347.73</v>
      </c>
      <c r="N100" s="748">
        <f t="shared" si="26"/>
        <v>0</v>
      </c>
      <c r="O100" s="744" t="e">
        <f t="shared" si="27"/>
        <v>#REF!</v>
      </c>
      <c r="Q100" s="824">
        <v>35.17</v>
      </c>
      <c r="R100" s="883">
        <f t="shared" si="28"/>
        <v>35.17</v>
      </c>
      <c r="S100" s="882">
        <f t="shared" si="29"/>
        <v>43.849999999999994</v>
      </c>
      <c r="U100" s="824" t="e">
        <f t="shared" si="30"/>
        <v>#REF!</v>
      </c>
      <c r="V100" s="883" t="e">
        <f t="shared" si="31"/>
        <v>#REF!</v>
      </c>
      <c r="W100" s="882"/>
    </row>
    <row r="101" spans="2:23" ht="11.25" customHeight="1">
      <c r="B101" s="757" t="s">
        <v>73</v>
      </c>
      <c r="C101" s="1027" t="s">
        <v>74</v>
      </c>
      <c r="D101" s="738" t="s">
        <v>174</v>
      </c>
      <c r="E101" s="739">
        <v>0.15</v>
      </c>
      <c r="F101" s="740">
        <v>0.06</v>
      </c>
      <c r="G101" s="754">
        <v>1965</v>
      </c>
      <c r="H101" s="759">
        <f t="shared" si="22"/>
        <v>17.690000000000001</v>
      </c>
      <c r="I101" s="743">
        <f>LOOKUP(B101,valoriz!$A$13:$A$242,valoriz!I$13:I$242)</f>
        <v>0</v>
      </c>
      <c r="J101" s="744">
        <f t="shared" si="23"/>
        <v>0</v>
      </c>
      <c r="K101" s="745">
        <f t="shared" si="32"/>
        <v>64.27</v>
      </c>
      <c r="L101" s="746" t="e">
        <f t="shared" si="24"/>
        <v>#REF!</v>
      </c>
      <c r="M101" s="747" t="str">
        <f t="shared" si="25"/>
        <v>347.73</v>
      </c>
      <c r="N101" s="748">
        <f t="shared" si="26"/>
        <v>0</v>
      </c>
      <c r="O101" s="744" t="e">
        <f t="shared" si="27"/>
        <v>#REF!</v>
      </c>
      <c r="Q101" s="824">
        <v>3.54</v>
      </c>
      <c r="R101" s="883">
        <f t="shared" si="28"/>
        <v>3.54</v>
      </c>
      <c r="S101" s="882">
        <f t="shared" si="29"/>
        <v>14.150000000000002</v>
      </c>
      <c r="U101" s="824" t="e">
        <f t="shared" si="30"/>
        <v>#REF!</v>
      </c>
      <c r="V101" s="883" t="e">
        <f t="shared" si="31"/>
        <v>#REF!</v>
      </c>
      <c r="W101" s="882"/>
    </row>
    <row r="102" spans="2:23" ht="11.25" customHeight="1">
      <c r="B102" s="757" t="s">
        <v>75</v>
      </c>
      <c r="C102" s="1027" t="s">
        <v>76</v>
      </c>
      <c r="D102" s="738" t="s">
        <v>174</v>
      </c>
      <c r="E102" s="739">
        <v>0.30399999999999999</v>
      </c>
      <c r="F102" s="740">
        <v>0.06</v>
      </c>
      <c r="G102" s="752">
        <v>215</v>
      </c>
      <c r="H102" s="759">
        <f t="shared" si="22"/>
        <v>3.92</v>
      </c>
      <c r="I102" s="743">
        <f>LOOKUP(B102,valoriz!$A$13:$A$242,valoriz!I$13:I$242)</f>
        <v>0</v>
      </c>
      <c r="J102" s="744">
        <f t="shared" si="23"/>
        <v>0</v>
      </c>
      <c r="K102" s="745">
        <f t="shared" si="32"/>
        <v>64.27</v>
      </c>
      <c r="L102" s="746" t="e">
        <f t="shared" si="24"/>
        <v>#REF!</v>
      </c>
      <c r="M102" s="747" t="str">
        <f t="shared" si="25"/>
        <v>347.73</v>
      </c>
      <c r="N102" s="748">
        <f t="shared" si="26"/>
        <v>0</v>
      </c>
      <c r="O102" s="744" t="e">
        <f t="shared" si="27"/>
        <v>#REF!</v>
      </c>
      <c r="Q102" s="824">
        <v>0</v>
      </c>
      <c r="R102" s="883">
        <f t="shared" si="28"/>
        <v>0</v>
      </c>
      <c r="S102" s="882">
        <f t="shared" si="29"/>
        <v>3.92</v>
      </c>
      <c r="U102" s="824" t="e">
        <f t="shared" si="30"/>
        <v>#REF!</v>
      </c>
      <c r="V102" s="883" t="e">
        <f t="shared" si="31"/>
        <v>#REF!</v>
      </c>
      <c r="W102" s="882"/>
    </row>
    <row r="103" spans="2:23" ht="11.25" customHeight="1">
      <c r="B103" s="757" t="s">
        <v>77</v>
      </c>
      <c r="C103" s="1027" t="s">
        <v>78</v>
      </c>
      <c r="D103" s="755" t="s">
        <v>174</v>
      </c>
      <c r="E103" s="739">
        <v>0.30399999999999999</v>
      </c>
      <c r="F103" s="740">
        <v>0.06</v>
      </c>
      <c r="G103" s="754">
        <v>1676</v>
      </c>
      <c r="H103" s="759">
        <f t="shared" si="22"/>
        <v>30.57</v>
      </c>
      <c r="I103" s="743">
        <f>LOOKUP(B103,valoriz!$A$13:$A$242,valoriz!I$13:I$242)</f>
        <v>0</v>
      </c>
      <c r="J103" s="744">
        <f t="shared" si="23"/>
        <v>0</v>
      </c>
      <c r="K103" s="745">
        <f t="shared" si="32"/>
        <v>64.27</v>
      </c>
      <c r="L103" s="746" t="e">
        <f t="shared" si="24"/>
        <v>#REF!</v>
      </c>
      <c r="M103" s="747" t="str">
        <f t="shared" si="25"/>
        <v>347.73</v>
      </c>
      <c r="N103" s="748">
        <f t="shared" si="26"/>
        <v>0</v>
      </c>
      <c r="O103" s="744" t="e">
        <f t="shared" si="27"/>
        <v>#REF!</v>
      </c>
      <c r="Q103" s="824">
        <v>15.14</v>
      </c>
      <c r="R103" s="883">
        <f t="shared" si="28"/>
        <v>15.14</v>
      </c>
      <c r="S103" s="882">
        <f t="shared" si="29"/>
        <v>15.43</v>
      </c>
      <c r="U103" s="824" t="e">
        <f t="shared" si="30"/>
        <v>#REF!</v>
      </c>
      <c r="V103" s="883" t="e">
        <f t="shared" si="31"/>
        <v>#REF!</v>
      </c>
      <c r="W103" s="882"/>
    </row>
    <row r="104" spans="2:23" ht="11.25" customHeight="1">
      <c r="B104" s="757" t="s">
        <v>79</v>
      </c>
      <c r="C104" s="1027" t="s">
        <v>80</v>
      </c>
      <c r="D104" s="755" t="s">
        <v>174</v>
      </c>
      <c r="E104" s="739">
        <v>0.15</v>
      </c>
      <c r="F104" s="740">
        <v>0.06</v>
      </c>
      <c r="G104" s="754">
        <v>348</v>
      </c>
      <c r="H104" s="759">
        <f t="shared" si="22"/>
        <v>3.13</v>
      </c>
      <c r="I104" s="743">
        <f>LOOKUP(B104,valoriz!$A$13:$A$242,valoriz!I$13:I$242)</f>
        <v>0</v>
      </c>
      <c r="J104" s="744">
        <f t="shared" si="23"/>
        <v>0</v>
      </c>
      <c r="K104" s="745">
        <f t="shared" si="32"/>
        <v>64.27</v>
      </c>
      <c r="L104" s="746" t="e">
        <f t="shared" si="24"/>
        <v>#REF!</v>
      </c>
      <c r="M104" s="747" t="str">
        <f t="shared" si="25"/>
        <v>347.73</v>
      </c>
      <c r="N104" s="748">
        <f t="shared" si="26"/>
        <v>0</v>
      </c>
      <c r="O104" s="744" t="e">
        <f t="shared" si="27"/>
        <v>#REF!</v>
      </c>
      <c r="Q104" s="824">
        <v>0</v>
      </c>
      <c r="R104" s="883">
        <f t="shared" si="28"/>
        <v>0</v>
      </c>
      <c r="S104" s="882">
        <f t="shared" si="29"/>
        <v>3.13</v>
      </c>
      <c r="U104" s="824" t="e">
        <f t="shared" si="30"/>
        <v>#REF!</v>
      </c>
      <c r="V104" s="883" t="e">
        <f t="shared" si="31"/>
        <v>#REF!</v>
      </c>
      <c r="W104" s="882"/>
    </row>
    <row r="105" spans="2:23" ht="11.25" customHeight="1">
      <c r="B105" s="757" t="s">
        <v>81</v>
      </c>
      <c r="C105" s="1027" t="s">
        <v>82</v>
      </c>
      <c r="D105" s="755" t="s">
        <v>601</v>
      </c>
      <c r="E105" s="739">
        <v>2.2000000000000002</v>
      </c>
      <c r="F105" s="740">
        <v>0.06</v>
      </c>
      <c r="G105" s="754">
        <v>60</v>
      </c>
      <c r="H105" s="759">
        <f t="shared" si="22"/>
        <v>7.92</v>
      </c>
      <c r="I105" s="743">
        <f>LOOKUP(B105,valoriz!$A$13:$A$242,valoriz!I$13:I$242)</f>
        <v>0</v>
      </c>
      <c r="J105" s="744">
        <f t="shared" si="23"/>
        <v>0</v>
      </c>
      <c r="K105" s="745">
        <f t="shared" si="32"/>
        <v>64.27</v>
      </c>
      <c r="L105" s="746" t="e">
        <f t="shared" si="24"/>
        <v>#REF!</v>
      </c>
      <c r="M105" s="747" t="str">
        <f t="shared" si="25"/>
        <v>347.73</v>
      </c>
      <c r="N105" s="748">
        <f t="shared" si="26"/>
        <v>0</v>
      </c>
      <c r="O105" s="744" t="e">
        <f t="shared" si="27"/>
        <v>#REF!</v>
      </c>
      <c r="Q105" s="824">
        <v>3.3</v>
      </c>
      <c r="R105" s="883">
        <f t="shared" si="28"/>
        <v>3.3</v>
      </c>
      <c r="S105" s="882">
        <f t="shared" si="29"/>
        <v>4.62</v>
      </c>
      <c r="U105" s="824" t="e">
        <f t="shared" si="30"/>
        <v>#REF!</v>
      </c>
      <c r="V105" s="883" t="e">
        <f t="shared" si="31"/>
        <v>#REF!</v>
      </c>
      <c r="W105" s="882"/>
    </row>
    <row r="106" spans="2:23" ht="11.25" customHeight="1">
      <c r="B106" s="757" t="s">
        <v>83</v>
      </c>
      <c r="C106" s="1027" t="s">
        <v>84</v>
      </c>
      <c r="D106" s="755" t="s">
        <v>174</v>
      </c>
      <c r="E106" s="739">
        <v>1.7</v>
      </c>
      <c r="F106" s="740">
        <v>0.06</v>
      </c>
      <c r="G106" s="754">
        <v>279</v>
      </c>
      <c r="H106" s="759">
        <f t="shared" si="22"/>
        <v>28.46</v>
      </c>
      <c r="I106" s="743">
        <f>LOOKUP(B106,valoriz!$A$13:$A$242,valoriz!I$13:I$242)</f>
        <v>0</v>
      </c>
      <c r="J106" s="744">
        <f t="shared" si="23"/>
        <v>0</v>
      </c>
      <c r="K106" s="745">
        <f t="shared" si="32"/>
        <v>64.27</v>
      </c>
      <c r="L106" s="746" t="e">
        <f t="shared" si="24"/>
        <v>#REF!</v>
      </c>
      <c r="M106" s="747" t="str">
        <f t="shared" si="25"/>
        <v>347.73</v>
      </c>
      <c r="N106" s="748">
        <f t="shared" si="26"/>
        <v>0</v>
      </c>
      <c r="O106" s="744" t="e">
        <f t="shared" si="27"/>
        <v>#REF!</v>
      </c>
      <c r="Q106" s="965">
        <v>17.95</v>
      </c>
      <c r="R106" s="966">
        <f t="shared" si="28"/>
        <v>17.95</v>
      </c>
      <c r="S106" s="882">
        <f t="shared" si="29"/>
        <v>10.510000000000002</v>
      </c>
      <c r="U106" s="824" t="e">
        <f t="shared" si="30"/>
        <v>#REF!</v>
      </c>
      <c r="V106" s="883" t="e">
        <f t="shared" si="31"/>
        <v>#REF!</v>
      </c>
      <c r="W106" s="882"/>
    </row>
    <row r="107" spans="2:23" ht="11.25" customHeight="1">
      <c r="B107" s="757" t="s">
        <v>85</v>
      </c>
      <c r="C107" s="1027" t="s">
        <v>86</v>
      </c>
      <c r="D107" s="755" t="s">
        <v>174</v>
      </c>
      <c r="E107" s="739">
        <v>1.5</v>
      </c>
      <c r="F107" s="740">
        <v>0.06</v>
      </c>
      <c r="G107" s="754">
        <v>93</v>
      </c>
      <c r="H107" s="759">
        <f t="shared" si="22"/>
        <v>8.3699999999999992</v>
      </c>
      <c r="I107" s="743">
        <f>LOOKUP(B107,valoriz!$A$13:$A$242,valoriz!I$13:I$242)</f>
        <v>0</v>
      </c>
      <c r="J107" s="744">
        <f t="shared" si="23"/>
        <v>0</v>
      </c>
      <c r="K107" s="745">
        <f t="shared" si="32"/>
        <v>64.27</v>
      </c>
      <c r="L107" s="746" t="e">
        <f t="shared" si="24"/>
        <v>#REF!</v>
      </c>
      <c r="M107" s="747" t="str">
        <f t="shared" si="25"/>
        <v>347.73</v>
      </c>
      <c r="N107" s="748">
        <f t="shared" si="26"/>
        <v>0</v>
      </c>
      <c r="O107" s="744" t="e">
        <f t="shared" si="27"/>
        <v>#REF!</v>
      </c>
      <c r="Q107" s="824">
        <v>5.58</v>
      </c>
      <c r="R107" s="883">
        <f t="shared" si="28"/>
        <v>5.58</v>
      </c>
      <c r="S107" s="882">
        <f t="shared" si="29"/>
        <v>2.7899999999999991</v>
      </c>
      <c r="U107" s="824" t="e">
        <f t="shared" si="30"/>
        <v>#REF!</v>
      </c>
      <c r="V107" s="883" t="e">
        <f t="shared" si="31"/>
        <v>#REF!</v>
      </c>
      <c r="W107" s="882"/>
    </row>
    <row r="108" spans="2:23" ht="11.25" customHeight="1">
      <c r="B108" s="796" t="s">
        <v>116</v>
      </c>
      <c r="C108" s="1023" t="s">
        <v>117</v>
      </c>
      <c r="D108" s="755" t="s">
        <v>174</v>
      </c>
      <c r="E108" s="739">
        <v>2</v>
      </c>
      <c r="F108" s="740">
        <v>0.05</v>
      </c>
      <c r="G108" s="797">
        <v>2632</v>
      </c>
      <c r="H108" s="742">
        <f t="shared" si="22"/>
        <v>263.2</v>
      </c>
      <c r="I108" s="743">
        <f>LOOKUP(B108,valoriz!$A$13:$A$242,valoriz!I$13:I$242)</f>
        <v>0</v>
      </c>
      <c r="J108" s="744">
        <f t="shared" si="23"/>
        <v>0</v>
      </c>
      <c r="K108" s="745">
        <f>+K100</f>
        <v>64.27</v>
      </c>
      <c r="L108" s="746" t="e">
        <f t="shared" si="24"/>
        <v>#REF!</v>
      </c>
      <c r="M108" s="747" t="str">
        <f t="shared" si="25"/>
        <v>347.73</v>
      </c>
      <c r="N108" s="748">
        <f t="shared" si="26"/>
        <v>0</v>
      </c>
      <c r="O108" s="744" t="e">
        <f t="shared" si="27"/>
        <v>#REF!</v>
      </c>
      <c r="Q108" s="824">
        <v>0</v>
      </c>
      <c r="R108" s="883">
        <f t="shared" si="28"/>
        <v>0</v>
      </c>
      <c r="S108" s="882">
        <f t="shared" si="29"/>
        <v>263.2</v>
      </c>
      <c r="U108" s="824" t="e">
        <f t="shared" si="30"/>
        <v>#REF!</v>
      </c>
      <c r="V108" s="883" t="e">
        <f t="shared" si="31"/>
        <v>#REF!</v>
      </c>
      <c r="W108" s="882"/>
    </row>
    <row r="109" spans="2:23" ht="11.25" customHeight="1">
      <c r="B109" s="796" t="s">
        <v>118</v>
      </c>
      <c r="C109" s="1023" t="s">
        <v>119</v>
      </c>
      <c r="D109" s="755" t="s">
        <v>174</v>
      </c>
      <c r="E109" s="739">
        <v>0.4</v>
      </c>
      <c r="F109" s="740">
        <v>0.05</v>
      </c>
      <c r="G109" s="797">
        <v>55</v>
      </c>
      <c r="H109" s="742">
        <f t="shared" si="22"/>
        <v>1.1000000000000001</v>
      </c>
      <c r="I109" s="743">
        <f>LOOKUP(B109,valoriz!$A$13:$A$242,valoriz!I$13:I$242)</f>
        <v>0</v>
      </c>
      <c r="J109" s="744">
        <f t="shared" si="23"/>
        <v>0</v>
      </c>
      <c r="K109" s="745">
        <f>+K108</f>
        <v>64.27</v>
      </c>
      <c r="L109" s="746" t="e">
        <f t="shared" si="24"/>
        <v>#REF!</v>
      </c>
      <c r="M109" s="747" t="str">
        <f t="shared" si="25"/>
        <v>347.73</v>
      </c>
      <c r="N109" s="748">
        <f t="shared" si="26"/>
        <v>0</v>
      </c>
      <c r="O109" s="744" t="e">
        <f t="shared" si="27"/>
        <v>#REF!</v>
      </c>
      <c r="Q109" s="828"/>
      <c r="R109" s="1014">
        <f t="shared" si="28"/>
        <v>0</v>
      </c>
      <c r="S109" s="891">
        <f t="shared" si="29"/>
        <v>1.1000000000000001</v>
      </c>
      <c r="U109" s="828" t="e">
        <f t="shared" si="30"/>
        <v>#REF!</v>
      </c>
      <c r="V109" s="1014" t="e">
        <f t="shared" si="31"/>
        <v>#REF!</v>
      </c>
      <c r="W109" s="891"/>
    </row>
    <row r="110" spans="2:23" ht="11.25" customHeight="1" thickBot="1">
      <c r="B110" s="762"/>
      <c r="C110" s="1024"/>
      <c r="D110" s="764"/>
      <c r="E110" s="765"/>
      <c r="F110" s="766"/>
      <c r="G110" s="799"/>
      <c r="H110" s="800"/>
      <c r="I110" s="799"/>
      <c r="J110" s="801"/>
      <c r="K110" s="770"/>
      <c r="L110" s="771"/>
      <c r="M110" s="772"/>
      <c r="N110" s="773"/>
      <c r="O110" s="769"/>
      <c r="Q110" s="871">
        <f>SUM(Q92:Q109)</f>
        <v>1108.98</v>
      </c>
      <c r="R110" s="896">
        <f>SUM(R92:R109)</f>
        <v>1108.98</v>
      </c>
      <c r="S110" s="897">
        <f>SUM(S92:S109)</f>
        <v>613.71999999999991</v>
      </c>
      <c r="U110" s="871" t="e">
        <f>SUM(U91:U109)</f>
        <v>#REF!</v>
      </c>
      <c r="V110" s="871" t="e">
        <f>SUM(V91:V109)</f>
        <v>#REF!</v>
      </c>
      <c r="W110" s="897" t="e">
        <f>+W91-V111</f>
        <v>#REF!</v>
      </c>
    </row>
    <row r="111" spans="2:23" ht="11.25" customHeight="1">
      <c r="B111" s="775"/>
      <c r="C111" s="776"/>
      <c r="D111" s="777"/>
      <c r="E111" s="777"/>
      <c r="F111" s="778"/>
      <c r="G111" s="779"/>
      <c r="H111" s="780">
        <f>SUM(H92:H110)</f>
        <v>1722.7000000000003</v>
      </c>
      <c r="I111" s="779"/>
      <c r="J111" s="780">
        <f>SUM(J92:J110)</f>
        <v>0</v>
      </c>
      <c r="K111" s="781"/>
      <c r="L111" s="777"/>
      <c r="M111" s="778"/>
      <c r="N111" s="782">
        <f>SUM(N92:N110)</f>
        <v>0</v>
      </c>
      <c r="O111" s="783" t="e">
        <f>SUM(O92:O110)</f>
        <v>#REF!</v>
      </c>
      <c r="Q111" s="1654" t="str">
        <f>+IF(SUM(R92:R109)&gt;J112,"Revisar Metrado","OK")</f>
        <v>OK</v>
      </c>
      <c r="R111" s="1719"/>
      <c r="S111" s="1655"/>
      <c r="T111" s="1072"/>
      <c r="U111" s="1058">
        <v>22202.63</v>
      </c>
      <c r="V111" s="1061" t="e">
        <f>+O111+U110</f>
        <v>#REF!</v>
      </c>
      <c r="W111" s="1056"/>
    </row>
    <row r="112" spans="2:23" ht="11.25" customHeight="1">
      <c r="B112" s="790"/>
      <c r="C112" s="791"/>
      <c r="D112" s="121"/>
      <c r="E112" s="792"/>
      <c r="F112" s="792"/>
      <c r="G112" s="786"/>
      <c r="H112" s="787" t="s">
        <v>214</v>
      </c>
      <c r="I112" s="788"/>
      <c r="J112" s="899">
        <v>1539</v>
      </c>
      <c r="K112" s="709"/>
      <c r="M112" s="709"/>
      <c r="N112" s="709"/>
      <c r="O112" s="751"/>
      <c r="P112" s="751"/>
      <c r="U112" s="751"/>
    </row>
    <row r="113" spans="2:23" ht="11.25" customHeight="1">
      <c r="B113" s="784"/>
      <c r="C113" s="785"/>
      <c r="K113" s="751"/>
      <c r="U113" s="751"/>
    </row>
    <row r="114" spans="2:23" ht="11.25" customHeight="1">
      <c r="B114" s="1714" t="s">
        <v>198</v>
      </c>
      <c r="C114" s="1714" t="s">
        <v>199</v>
      </c>
      <c r="D114" s="1716" t="s">
        <v>601</v>
      </c>
      <c r="E114" s="1712" t="s">
        <v>200</v>
      </c>
      <c r="F114" s="1713"/>
      <c r="G114" s="1712" t="s">
        <v>201</v>
      </c>
      <c r="H114" s="1713"/>
      <c r="I114" s="1712" t="s">
        <v>202</v>
      </c>
      <c r="J114" s="1713"/>
      <c r="K114" s="1714" t="s">
        <v>203</v>
      </c>
      <c r="L114" s="1712" t="s">
        <v>204</v>
      </c>
      <c r="M114" s="1713"/>
      <c r="N114" s="1712" t="s">
        <v>423</v>
      </c>
      <c r="O114" s="1713"/>
      <c r="P114" s="700"/>
      <c r="Q114" s="1695" t="s">
        <v>205</v>
      </c>
      <c r="R114" s="1696"/>
      <c r="S114" s="1697"/>
      <c r="T114" s="710"/>
      <c r="U114" s="1695" t="s">
        <v>331</v>
      </c>
      <c r="V114" s="1696"/>
      <c r="W114" s="1697"/>
    </row>
    <row r="115" spans="2:23" ht="20.100000000000001" customHeight="1">
      <c r="B115" s="1715"/>
      <c r="C115" s="1715"/>
      <c r="D115" s="1717"/>
      <c r="E115" s="1011" t="s">
        <v>206</v>
      </c>
      <c r="F115" s="1012" t="s">
        <v>207</v>
      </c>
      <c r="G115" s="1011" t="s">
        <v>452</v>
      </c>
      <c r="H115" s="1012" t="s">
        <v>208</v>
      </c>
      <c r="I115" s="1011" t="s">
        <v>452</v>
      </c>
      <c r="J115" s="1012" t="s">
        <v>208</v>
      </c>
      <c r="K115" s="1715"/>
      <c r="L115" s="1011" t="s">
        <v>467</v>
      </c>
      <c r="M115" s="1012" t="s">
        <v>468</v>
      </c>
      <c r="N115" s="1011" t="s">
        <v>209</v>
      </c>
      <c r="O115" s="1012" t="s">
        <v>210</v>
      </c>
      <c r="Q115" s="1149" t="s">
        <v>211</v>
      </c>
      <c r="R115" s="955" t="s">
        <v>394</v>
      </c>
      <c r="S115" s="956" t="s">
        <v>451</v>
      </c>
      <c r="T115" s="710"/>
      <c r="U115" s="954" t="s">
        <v>211</v>
      </c>
      <c r="V115" s="955" t="s">
        <v>394</v>
      </c>
      <c r="W115" s="956" t="s">
        <v>451</v>
      </c>
    </row>
    <row r="116" spans="2:23" ht="11.25" customHeight="1">
      <c r="B116" s="722" t="str">
        <f>+B$14</f>
        <v>Material:</v>
      </c>
      <c r="C116" s="728"/>
      <c r="D116" s="724"/>
      <c r="E116" s="730"/>
      <c r="G116" s="726"/>
      <c r="H116" s="727"/>
      <c r="I116" s="726"/>
      <c r="J116" s="728"/>
      <c r="K116" s="729"/>
      <c r="L116" s="724"/>
      <c r="M116" s="725"/>
      <c r="N116" s="730"/>
      <c r="O116" s="728"/>
      <c r="Q116" s="1150"/>
      <c r="R116" s="958"/>
      <c r="S116" s="959"/>
      <c r="T116" s="710"/>
      <c r="U116" s="1150"/>
      <c r="V116" s="958"/>
      <c r="W116" s="959"/>
    </row>
    <row r="117" spans="2:23" ht="11.25" customHeight="1">
      <c r="B117" s="722" t="s">
        <v>212</v>
      </c>
      <c r="C117" s="733" t="s">
        <v>1003</v>
      </c>
      <c r="D117" s="724"/>
      <c r="E117" s="730"/>
      <c r="F117" s="802"/>
      <c r="G117" s="726"/>
      <c r="H117" s="727"/>
      <c r="I117" s="726"/>
      <c r="J117" s="727"/>
      <c r="K117" s="729"/>
      <c r="L117" s="724"/>
      <c r="M117" s="725"/>
      <c r="N117" s="794"/>
      <c r="O117" s="795"/>
      <c r="Q117" s="1070"/>
      <c r="R117" s="961"/>
      <c r="S117" s="959"/>
      <c r="T117" s="710"/>
      <c r="U117" s="1070"/>
      <c r="V117" s="961"/>
      <c r="W117" s="963">
        <v>3450.26</v>
      </c>
    </row>
    <row r="118" spans="2:23" ht="11.25" customHeight="1">
      <c r="B118" s="757" t="s">
        <v>57</v>
      </c>
      <c r="C118" s="1013" t="s">
        <v>58</v>
      </c>
      <c r="D118" s="738" t="s">
        <v>174</v>
      </c>
      <c r="E118" s="739">
        <v>0.1</v>
      </c>
      <c r="F118" s="740">
        <v>1</v>
      </c>
      <c r="G118" s="741">
        <v>4206</v>
      </c>
      <c r="H118" s="759">
        <f t="shared" ref="H118:H126" si="33">+ROUND(E118*F118*G118,2)</f>
        <v>420.6</v>
      </c>
      <c r="I118" s="743">
        <f>LOOKUP(B118,valoriz!$A$13:$A$242,valoriz!I$13:I$242)</f>
        <v>0</v>
      </c>
      <c r="J118" s="972">
        <f>+ROUND(E118*F118*I118,2)+20.1</f>
        <v>20.100000000000001</v>
      </c>
      <c r="K118" s="745">
        <v>0.4</v>
      </c>
      <c r="L118" s="746" t="e">
        <f t="shared" ref="L118:L126" si="34">D$17</f>
        <v>#REF!</v>
      </c>
      <c r="M118" s="747" t="str">
        <f t="shared" ref="M118:M126" si="35">D$16</f>
        <v>347.73</v>
      </c>
      <c r="N118" s="748">
        <f t="shared" ref="N118:N126" si="36">+ROUND(J118*K118*M$18,2)</f>
        <v>8.0399999999999991</v>
      </c>
      <c r="O118" s="744" t="e">
        <f t="shared" ref="O118:O126" si="37">+ROUND(J118*K118*L118*M$18/M118,2)</f>
        <v>#REF!</v>
      </c>
      <c r="Q118" s="965">
        <v>400.5</v>
      </c>
      <c r="R118" s="966">
        <f t="shared" ref="R118:R126" si="38">+J118+Q118</f>
        <v>420.6</v>
      </c>
      <c r="S118" s="967">
        <f t="shared" ref="S118:S126" si="39">+IF((H118-R118)&lt;0,"BAD", H118-R118)</f>
        <v>0</v>
      </c>
      <c r="T118" s="710"/>
      <c r="U118" s="965" t="e">
        <f t="shared" ref="U118:U126" si="40">+ROUND(Q118*$K118*$L118/$M118,2)</f>
        <v>#REF!</v>
      </c>
      <c r="V118" s="966" t="e">
        <f t="shared" ref="V118:V126" si="41">+ROUND(R118*$K118*$L118/$M118,2)</f>
        <v>#REF!</v>
      </c>
      <c r="W118" s="967"/>
    </row>
    <row r="119" spans="2:23" ht="11.25" customHeight="1">
      <c r="B119" s="757" t="s">
        <v>59</v>
      </c>
      <c r="C119" s="1013" t="s">
        <v>60</v>
      </c>
      <c r="D119" s="738" t="s">
        <v>174</v>
      </c>
      <c r="E119" s="739">
        <v>0.15</v>
      </c>
      <c r="F119" s="740">
        <v>1</v>
      </c>
      <c r="G119" s="754">
        <v>3942</v>
      </c>
      <c r="H119" s="759">
        <f t="shared" si="33"/>
        <v>591.29999999999995</v>
      </c>
      <c r="I119" s="743">
        <f>LOOKUP(B119,valoriz!$A$13:$A$242,valoriz!I$13:I$242)</f>
        <v>0</v>
      </c>
      <c r="J119" s="972">
        <f>+ROUND(E119*F119*I119,2)+238.95</f>
        <v>238.95</v>
      </c>
      <c r="K119" s="745">
        <f>+K118</f>
        <v>0.4</v>
      </c>
      <c r="L119" s="746" t="e">
        <f t="shared" si="34"/>
        <v>#REF!</v>
      </c>
      <c r="M119" s="747" t="str">
        <f t="shared" si="35"/>
        <v>347.73</v>
      </c>
      <c r="N119" s="748">
        <f t="shared" si="36"/>
        <v>95.58</v>
      </c>
      <c r="O119" s="744" t="e">
        <f t="shared" si="37"/>
        <v>#REF!</v>
      </c>
      <c r="Q119" s="965">
        <v>352.35</v>
      </c>
      <c r="R119" s="966">
        <f t="shared" si="38"/>
        <v>591.29999999999995</v>
      </c>
      <c r="S119" s="967">
        <f t="shared" si="39"/>
        <v>0</v>
      </c>
      <c r="T119" s="710"/>
      <c r="U119" s="965" t="e">
        <f t="shared" si="40"/>
        <v>#REF!</v>
      </c>
      <c r="V119" s="966" t="e">
        <f t="shared" si="41"/>
        <v>#REF!</v>
      </c>
      <c r="W119" s="967"/>
    </row>
    <row r="120" spans="2:23" ht="11.25" customHeight="1">
      <c r="B120" s="757" t="s">
        <v>61</v>
      </c>
      <c r="C120" s="1013" t="s">
        <v>62</v>
      </c>
      <c r="D120" s="738" t="s">
        <v>174</v>
      </c>
      <c r="E120" s="739">
        <v>0.15</v>
      </c>
      <c r="F120" s="740">
        <v>1</v>
      </c>
      <c r="G120" s="754">
        <v>41679.79</v>
      </c>
      <c r="H120" s="759">
        <f t="shared" si="33"/>
        <v>6251.97</v>
      </c>
      <c r="I120" s="743">
        <f>LOOKUP(B120,valoriz!$A$13:$A$242,valoriz!I$13:I$242)</f>
        <v>0</v>
      </c>
      <c r="J120" s="972">
        <f>+ROUND(E120*F120*I120,2)+2258.81</f>
        <v>2258.81</v>
      </c>
      <c r="K120" s="745">
        <f>+K119</f>
        <v>0.4</v>
      </c>
      <c r="L120" s="746" t="e">
        <f t="shared" si="34"/>
        <v>#REF!</v>
      </c>
      <c r="M120" s="747" t="str">
        <f t="shared" si="35"/>
        <v>347.73</v>
      </c>
      <c r="N120" s="748">
        <f t="shared" si="36"/>
        <v>903.52</v>
      </c>
      <c r="O120" s="744" t="e">
        <f t="shared" si="37"/>
        <v>#REF!</v>
      </c>
      <c r="Q120" s="965">
        <v>3118.18</v>
      </c>
      <c r="R120" s="966">
        <f t="shared" si="38"/>
        <v>5376.99</v>
      </c>
      <c r="S120" s="967">
        <f t="shared" si="39"/>
        <v>874.98000000000047</v>
      </c>
      <c r="T120" s="710"/>
      <c r="U120" s="965" t="e">
        <f t="shared" si="40"/>
        <v>#REF!</v>
      </c>
      <c r="V120" s="966" t="e">
        <f t="shared" si="41"/>
        <v>#REF!</v>
      </c>
      <c r="W120" s="967"/>
    </row>
    <row r="121" spans="2:23" ht="11.25" customHeight="1">
      <c r="B121" s="736" t="s">
        <v>63</v>
      </c>
      <c r="C121" s="1013" t="s">
        <v>64</v>
      </c>
      <c r="D121" s="755" t="s">
        <v>174</v>
      </c>
      <c r="E121" s="739">
        <v>0.2</v>
      </c>
      <c r="F121" s="740">
        <v>1</v>
      </c>
      <c r="G121" s="754">
        <v>4324.7</v>
      </c>
      <c r="H121" s="759">
        <f t="shared" si="33"/>
        <v>864.94</v>
      </c>
      <c r="I121" s="743">
        <f>LOOKUP(B121,valoriz!$A$13:$A$242,valoriz!I$13:I$242)</f>
        <v>0</v>
      </c>
      <c r="J121" s="744">
        <f>+ROUND(E121*F121*I121,2)</f>
        <v>0</v>
      </c>
      <c r="K121" s="745">
        <f>+K120</f>
        <v>0.4</v>
      </c>
      <c r="L121" s="746" t="e">
        <f t="shared" si="34"/>
        <v>#REF!</v>
      </c>
      <c r="M121" s="747" t="str">
        <f t="shared" si="35"/>
        <v>347.73</v>
      </c>
      <c r="N121" s="748">
        <f t="shared" si="36"/>
        <v>0</v>
      </c>
      <c r="O121" s="744" t="e">
        <f t="shared" si="37"/>
        <v>#REF!</v>
      </c>
      <c r="Q121" s="965">
        <v>864.94</v>
      </c>
      <c r="R121" s="966">
        <f t="shared" si="38"/>
        <v>864.94</v>
      </c>
      <c r="S121" s="967">
        <f t="shared" si="39"/>
        <v>0</v>
      </c>
      <c r="T121" s="710"/>
      <c r="U121" s="965" t="e">
        <f t="shared" si="40"/>
        <v>#REF!</v>
      </c>
      <c r="V121" s="966" t="e">
        <f t="shared" si="41"/>
        <v>#REF!</v>
      </c>
      <c r="W121" s="967"/>
    </row>
    <row r="122" spans="2:23" ht="11.25" customHeight="1">
      <c r="B122" s="736" t="s">
        <v>65</v>
      </c>
      <c r="C122" s="1013" t="s">
        <v>66</v>
      </c>
      <c r="D122" s="755" t="s">
        <v>174</v>
      </c>
      <c r="E122" s="739">
        <v>0.15</v>
      </c>
      <c r="F122" s="740">
        <v>1</v>
      </c>
      <c r="G122" s="754">
        <v>93</v>
      </c>
      <c r="H122" s="759">
        <f t="shared" si="33"/>
        <v>13.95</v>
      </c>
      <c r="I122" s="743">
        <f>LOOKUP(B122,valoriz!$A$13:$A$242,valoriz!I$13:I$242)</f>
        <v>0</v>
      </c>
      <c r="J122" s="972">
        <f>+ROUND(E122*F122*I122,2)+6.9</f>
        <v>6.9</v>
      </c>
      <c r="K122" s="745">
        <f>+K121</f>
        <v>0.4</v>
      </c>
      <c r="L122" s="746" t="e">
        <f t="shared" si="34"/>
        <v>#REF!</v>
      </c>
      <c r="M122" s="747" t="str">
        <f t="shared" si="35"/>
        <v>347.73</v>
      </c>
      <c r="N122" s="748">
        <f t="shared" si="36"/>
        <v>2.76</v>
      </c>
      <c r="O122" s="744" t="e">
        <f t="shared" si="37"/>
        <v>#REF!</v>
      </c>
      <c r="Q122" s="965">
        <v>7.05</v>
      </c>
      <c r="R122" s="966">
        <f t="shared" si="38"/>
        <v>13.95</v>
      </c>
      <c r="S122" s="967">
        <f t="shared" si="39"/>
        <v>0</v>
      </c>
      <c r="T122" s="710"/>
      <c r="U122" s="965" t="e">
        <f t="shared" si="40"/>
        <v>#REF!</v>
      </c>
      <c r="V122" s="966" t="e">
        <f t="shared" si="41"/>
        <v>#REF!</v>
      </c>
      <c r="W122" s="967"/>
    </row>
    <row r="123" spans="2:23" ht="11.25" customHeight="1">
      <c r="B123" s="757" t="s">
        <v>71</v>
      </c>
      <c r="C123" s="1027" t="s">
        <v>72</v>
      </c>
      <c r="D123" s="755" t="s">
        <v>174</v>
      </c>
      <c r="E123" s="739">
        <v>0.15</v>
      </c>
      <c r="F123" s="740">
        <v>1</v>
      </c>
      <c r="G123" s="754">
        <v>4332.3</v>
      </c>
      <c r="H123" s="759">
        <f t="shared" si="33"/>
        <v>649.85</v>
      </c>
      <c r="I123" s="743">
        <f>LOOKUP(B123,valoriz!$A$13:$A$242,valoriz!I$13:I$242)</f>
        <v>0</v>
      </c>
      <c r="J123" s="972">
        <f>+ROUND(E123*F123*I123,2)+330.27</f>
        <v>330.27</v>
      </c>
      <c r="K123" s="745">
        <f>+K118</f>
        <v>0.4</v>
      </c>
      <c r="L123" s="746" t="e">
        <f t="shared" si="34"/>
        <v>#REF!</v>
      </c>
      <c r="M123" s="747" t="str">
        <f t="shared" si="35"/>
        <v>347.73</v>
      </c>
      <c r="N123" s="748">
        <f t="shared" si="36"/>
        <v>132.11000000000001</v>
      </c>
      <c r="O123" s="744" t="e">
        <f t="shared" si="37"/>
        <v>#REF!</v>
      </c>
      <c r="Q123" s="965">
        <v>289.27999999999997</v>
      </c>
      <c r="R123" s="966">
        <f t="shared" si="38"/>
        <v>619.54999999999995</v>
      </c>
      <c r="S123" s="967">
        <f t="shared" si="39"/>
        <v>30.300000000000068</v>
      </c>
      <c r="T123" s="710"/>
      <c r="U123" s="965" t="e">
        <f t="shared" si="40"/>
        <v>#REF!</v>
      </c>
      <c r="V123" s="966" t="e">
        <f t="shared" si="41"/>
        <v>#REF!</v>
      </c>
      <c r="W123" s="967"/>
    </row>
    <row r="124" spans="2:23" ht="11.25" customHeight="1">
      <c r="B124" s="1032" t="s">
        <v>93</v>
      </c>
      <c r="C124" s="1023" t="s">
        <v>94</v>
      </c>
      <c r="D124" s="1033" t="s">
        <v>174</v>
      </c>
      <c r="E124" s="739">
        <v>1</v>
      </c>
      <c r="F124" s="740">
        <v>1</v>
      </c>
      <c r="G124" s="797">
        <v>86.8</v>
      </c>
      <c r="H124" s="759">
        <f t="shared" si="33"/>
        <v>86.8</v>
      </c>
      <c r="I124" s="743">
        <f>LOOKUP(B124,valoriz!$A$13:$A$242,valoriz!I$13:I$242)</f>
        <v>0</v>
      </c>
      <c r="J124" s="972">
        <f>+ROUND(E124*F124*I124,2)+42.8</f>
        <v>42.8</v>
      </c>
      <c r="K124" s="745">
        <f>+K123</f>
        <v>0.4</v>
      </c>
      <c r="L124" s="746" t="e">
        <f t="shared" si="34"/>
        <v>#REF!</v>
      </c>
      <c r="M124" s="747" t="str">
        <f t="shared" si="35"/>
        <v>347.73</v>
      </c>
      <c r="N124" s="748">
        <f t="shared" si="36"/>
        <v>17.12</v>
      </c>
      <c r="O124" s="744" t="e">
        <f t="shared" si="37"/>
        <v>#REF!</v>
      </c>
      <c r="Q124" s="965">
        <v>44</v>
      </c>
      <c r="R124" s="966">
        <f t="shared" si="38"/>
        <v>86.8</v>
      </c>
      <c r="S124" s="967">
        <f t="shared" si="39"/>
        <v>0</v>
      </c>
      <c r="T124" s="710"/>
      <c r="U124" s="965" t="e">
        <f t="shared" si="40"/>
        <v>#REF!</v>
      </c>
      <c r="V124" s="966" t="e">
        <f t="shared" si="41"/>
        <v>#REF!</v>
      </c>
      <c r="W124" s="967"/>
    </row>
    <row r="125" spans="2:23" ht="11.25" customHeight="1">
      <c r="B125" s="1032" t="s">
        <v>95</v>
      </c>
      <c r="C125" s="1023" t="s">
        <v>96</v>
      </c>
      <c r="D125" s="1033" t="s">
        <v>173</v>
      </c>
      <c r="E125" s="739">
        <v>1</v>
      </c>
      <c r="F125" s="740">
        <v>1</v>
      </c>
      <c r="G125" s="797">
        <v>119.96</v>
      </c>
      <c r="H125" s="759">
        <f t="shared" si="33"/>
        <v>119.96</v>
      </c>
      <c r="I125" s="743">
        <f>LOOKUP(B125,valoriz!$A$13:$A$242,valoriz!I$13:I$242)</f>
        <v>0</v>
      </c>
      <c r="J125" s="744">
        <f>+ROUND(E125*F125*I125,2)</f>
        <v>0</v>
      </c>
      <c r="K125" s="745">
        <f>+K124</f>
        <v>0.4</v>
      </c>
      <c r="L125" s="746" t="e">
        <f t="shared" si="34"/>
        <v>#REF!</v>
      </c>
      <c r="M125" s="747" t="str">
        <f t="shared" si="35"/>
        <v>347.73</v>
      </c>
      <c r="N125" s="748">
        <f t="shared" si="36"/>
        <v>0</v>
      </c>
      <c r="O125" s="744" t="e">
        <f t="shared" si="37"/>
        <v>#REF!</v>
      </c>
      <c r="Q125" s="965">
        <v>119.96</v>
      </c>
      <c r="R125" s="966">
        <f t="shared" si="38"/>
        <v>119.96</v>
      </c>
      <c r="S125" s="967">
        <f t="shared" si="39"/>
        <v>0</v>
      </c>
      <c r="T125" s="710"/>
      <c r="U125" s="965" t="e">
        <f t="shared" si="40"/>
        <v>#REF!</v>
      </c>
      <c r="V125" s="966" t="e">
        <f t="shared" si="41"/>
        <v>#REF!</v>
      </c>
      <c r="W125" s="967"/>
    </row>
    <row r="126" spans="2:23" ht="11.25" customHeight="1">
      <c r="B126" s="1032" t="s">
        <v>97</v>
      </c>
      <c r="C126" s="1023" t="s">
        <v>98</v>
      </c>
      <c r="D126" s="1033" t="s">
        <v>174</v>
      </c>
      <c r="E126" s="739">
        <v>1</v>
      </c>
      <c r="F126" s="740">
        <v>1</v>
      </c>
      <c r="G126" s="797">
        <v>181.6</v>
      </c>
      <c r="H126" s="759">
        <f t="shared" si="33"/>
        <v>181.6</v>
      </c>
      <c r="I126" s="743">
        <f>LOOKUP(B126,valoriz!$A$13:$A$242,valoriz!I$13:I$242)</f>
        <v>0</v>
      </c>
      <c r="J126" s="972">
        <f>+ROUND(E126*F126*I126,2)+159</f>
        <v>159</v>
      </c>
      <c r="K126" s="745">
        <f>+K125</f>
        <v>0.4</v>
      </c>
      <c r="L126" s="746" t="e">
        <f t="shared" si="34"/>
        <v>#REF!</v>
      </c>
      <c r="M126" s="747" t="str">
        <f t="shared" si="35"/>
        <v>347.73</v>
      </c>
      <c r="N126" s="748">
        <f t="shared" si="36"/>
        <v>63.6</v>
      </c>
      <c r="O126" s="744" t="e">
        <f t="shared" si="37"/>
        <v>#REF!</v>
      </c>
      <c r="Q126" s="1144">
        <v>22.6</v>
      </c>
      <c r="R126" s="1145">
        <f t="shared" si="38"/>
        <v>181.6</v>
      </c>
      <c r="S126" s="1146">
        <f t="shared" si="39"/>
        <v>0</v>
      </c>
      <c r="T126" s="710"/>
      <c r="U126" s="1144" t="e">
        <f t="shared" si="40"/>
        <v>#REF!</v>
      </c>
      <c r="V126" s="1145" t="e">
        <f t="shared" si="41"/>
        <v>#REF!</v>
      </c>
      <c r="W126" s="1146"/>
    </row>
    <row r="127" spans="2:23" ht="11.25" customHeight="1" thickBot="1">
      <c r="B127" s="762"/>
      <c r="C127" s="1024"/>
      <c r="D127" s="764"/>
      <c r="E127" s="765"/>
      <c r="F127" s="766"/>
      <c r="G127" s="799"/>
      <c r="H127" s="800"/>
      <c r="I127" s="799"/>
      <c r="J127" s="801"/>
      <c r="K127" s="770"/>
      <c r="L127" s="771"/>
      <c r="M127" s="772"/>
      <c r="N127" s="773"/>
      <c r="O127" s="769"/>
      <c r="Q127" s="1057">
        <f>SUM(Q118:Q126)</f>
        <v>5218.8599999999997</v>
      </c>
      <c r="R127" s="969">
        <f>SUM(R118:R126)</f>
        <v>8275.69</v>
      </c>
      <c r="S127" s="970">
        <f>SUM(S118:S126)</f>
        <v>905.28000000000054</v>
      </c>
      <c r="T127" s="710"/>
      <c r="U127" s="1057" t="e">
        <f>SUM(U118:U126)</f>
        <v>#REF!</v>
      </c>
      <c r="V127" s="969" t="e">
        <f>SUM(V118:V126)</f>
        <v>#REF!</v>
      </c>
      <c r="W127" s="970" t="e">
        <f>+W117-V128</f>
        <v>#REF!</v>
      </c>
    </row>
    <row r="128" spans="2:23" ht="11.25" customHeight="1">
      <c r="B128" s="775"/>
      <c r="C128" s="776"/>
      <c r="D128" s="777"/>
      <c r="E128" s="777"/>
      <c r="F128" s="778"/>
      <c r="G128" s="779"/>
      <c r="H128" s="780">
        <f>SUM(H118:H127)</f>
        <v>9180.9699999999975</v>
      </c>
      <c r="I128" s="779"/>
      <c r="J128" s="780">
        <f>SUM(J118:J127)</f>
        <v>3056.8300000000004</v>
      </c>
      <c r="K128" s="781"/>
      <c r="L128" s="777" t="s">
        <v>589</v>
      </c>
      <c r="M128" s="778"/>
      <c r="N128" s="782">
        <f>SUM(N118:N127)</f>
        <v>1222.7299999999998</v>
      </c>
      <c r="O128" s="783" t="e">
        <f>SUM(O118:O127)</f>
        <v>#REF!</v>
      </c>
      <c r="Q128" s="1698" t="str">
        <f>+IF(SUM(R118:R126)&gt;J129,"Revisar Metrado","OK")</f>
        <v>OK</v>
      </c>
      <c r="R128" s="1699"/>
      <c r="S128" s="1700"/>
      <c r="T128" s="710"/>
      <c r="U128" s="1058" t="e">
        <f>+ROUND(Q127*$K126*$L126/$M126,2)</f>
        <v>#REF!</v>
      </c>
      <c r="V128" s="1151" t="e">
        <f>+O128+U128</f>
        <v>#REF!</v>
      </c>
      <c r="W128" s="1152"/>
    </row>
    <row r="129" spans="2:23" ht="11.25" customHeight="1">
      <c r="B129" s="790"/>
      <c r="C129" s="791"/>
      <c r="D129" s="121"/>
      <c r="E129" s="792"/>
      <c r="F129" s="792"/>
      <c r="G129" s="786"/>
      <c r="H129" s="787" t="s">
        <v>214</v>
      </c>
      <c r="I129" s="788"/>
      <c r="J129" s="899">
        <v>9141</v>
      </c>
      <c r="K129" s="709"/>
      <c r="M129" s="709"/>
      <c r="N129" s="709"/>
      <c r="O129" s="751"/>
      <c r="P129" s="751"/>
      <c r="U129" s="751"/>
    </row>
    <row r="130" spans="2:23" ht="11.25" customHeight="1">
      <c r="B130" s="784"/>
      <c r="C130" s="785"/>
      <c r="K130" s="751"/>
      <c r="U130" s="751"/>
    </row>
    <row r="131" spans="2:23" ht="11.25" customHeight="1">
      <c r="B131" s="1714" t="s">
        <v>198</v>
      </c>
      <c r="C131" s="1714" t="s">
        <v>199</v>
      </c>
      <c r="D131" s="1716" t="s">
        <v>601</v>
      </c>
      <c r="E131" s="1712" t="s">
        <v>200</v>
      </c>
      <c r="F131" s="1713"/>
      <c r="G131" s="1712" t="s">
        <v>201</v>
      </c>
      <c r="H131" s="1713"/>
      <c r="I131" s="1712" t="s">
        <v>202</v>
      </c>
      <c r="J131" s="1713"/>
      <c r="K131" s="1714" t="s">
        <v>203</v>
      </c>
      <c r="L131" s="1712" t="s">
        <v>204</v>
      </c>
      <c r="M131" s="1713"/>
      <c r="N131" s="1712" t="s">
        <v>423</v>
      </c>
      <c r="O131" s="1713"/>
      <c r="P131" s="700"/>
      <c r="Q131" s="1695" t="s">
        <v>205</v>
      </c>
      <c r="R131" s="1696"/>
      <c r="S131" s="1697"/>
      <c r="T131" s="710"/>
      <c r="U131" s="1695" t="s">
        <v>331</v>
      </c>
      <c r="V131" s="1696"/>
      <c r="W131" s="1697"/>
    </row>
    <row r="132" spans="2:23" ht="20.100000000000001" customHeight="1">
      <c r="B132" s="1715"/>
      <c r="C132" s="1715"/>
      <c r="D132" s="1717"/>
      <c r="E132" s="1011" t="s">
        <v>206</v>
      </c>
      <c r="F132" s="1012" t="s">
        <v>207</v>
      </c>
      <c r="G132" s="1011" t="s">
        <v>452</v>
      </c>
      <c r="H132" s="1012" t="s">
        <v>208</v>
      </c>
      <c r="I132" s="1011" t="s">
        <v>452</v>
      </c>
      <c r="J132" s="1012" t="s">
        <v>208</v>
      </c>
      <c r="K132" s="1715"/>
      <c r="L132" s="1011" t="s">
        <v>467</v>
      </c>
      <c r="M132" s="1012" t="s">
        <v>468</v>
      </c>
      <c r="N132" s="1011" t="s">
        <v>209</v>
      </c>
      <c r="O132" s="1012" t="s">
        <v>210</v>
      </c>
      <c r="Q132" s="1149" t="s">
        <v>211</v>
      </c>
      <c r="R132" s="955" t="s">
        <v>394</v>
      </c>
      <c r="S132" s="956" t="s">
        <v>451</v>
      </c>
      <c r="T132" s="710"/>
      <c r="U132" s="954" t="s">
        <v>211</v>
      </c>
      <c r="V132" s="955" t="s">
        <v>394</v>
      </c>
      <c r="W132" s="956" t="s">
        <v>451</v>
      </c>
    </row>
    <row r="133" spans="2:23" ht="11.25" customHeight="1">
      <c r="B133" s="722" t="str">
        <f>+B$14</f>
        <v>Material:</v>
      </c>
      <c r="C133" s="728"/>
      <c r="D133" s="724"/>
      <c r="E133" s="730"/>
      <c r="G133" s="726"/>
      <c r="H133" s="727"/>
      <c r="I133" s="726"/>
      <c r="J133" s="728"/>
      <c r="K133" s="729"/>
      <c r="L133" s="724"/>
      <c r="M133" s="725"/>
      <c r="N133" s="730"/>
      <c r="O133" s="728"/>
      <c r="Q133" s="1150"/>
      <c r="R133" s="958"/>
      <c r="S133" s="959"/>
      <c r="T133" s="710"/>
      <c r="U133" s="1150"/>
      <c r="V133" s="958"/>
      <c r="W133" s="959"/>
    </row>
    <row r="134" spans="2:23" ht="11.25" customHeight="1">
      <c r="B134" s="722" t="s">
        <v>212</v>
      </c>
      <c r="C134" s="733" t="s">
        <v>1004</v>
      </c>
      <c r="D134" s="724"/>
      <c r="E134" s="730"/>
      <c r="F134" s="802"/>
      <c r="G134" s="726"/>
      <c r="H134" s="727"/>
      <c r="I134" s="726"/>
      <c r="J134" s="727"/>
      <c r="K134" s="729"/>
      <c r="L134" s="724"/>
      <c r="M134" s="725"/>
      <c r="N134" s="794"/>
      <c r="O134" s="795"/>
      <c r="Q134" s="1070"/>
      <c r="R134" s="961"/>
      <c r="S134" s="959"/>
      <c r="T134" s="710"/>
      <c r="U134" s="1070">
        <v>45.08</v>
      </c>
      <c r="V134" s="962">
        <f>+U134</f>
        <v>45.08</v>
      </c>
      <c r="W134" s="963">
        <v>2048.36</v>
      </c>
    </row>
    <row r="135" spans="2:23" ht="11.25" customHeight="1">
      <c r="B135" s="757" t="s">
        <v>57</v>
      </c>
      <c r="C135" s="1013" t="s">
        <v>58</v>
      </c>
      <c r="D135" s="738" t="s">
        <v>174</v>
      </c>
      <c r="E135" s="739">
        <v>0.1</v>
      </c>
      <c r="F135" s="740">
        <v>7.4999999999999997E-3</v>
      </c>
      <c r="G135" s="741">
        <v>4206</v>
      </c>
      <c r="H135" s="759">
        <f t="shared" ref="H135:H146" si="42">+ROUND(E135*F135*G135,2)</f>
        <v>3.15</v>
      </c>
      <c r="I135" s="743">
        <f>LOOKUP(B135,valoriz!$A$13:$A$242,valoriz!I$13:I$242)</f>
        <v>0</v>
      </c>
      <c r="J135" s="744">
        <f t="shared" ref="J135:J144" si="43">+ROUND(E135*F135*I135,2)</f>
        <v>0</v>
      </c>
      <c r="K135" s="745">
        <v>7.26</v>
      </c>
      <c r="L135" s="746" t="e">
        <f t="shared" ref="L135:L146" si="44">D$17</f>
        <v>#REF!</v>
      </c>
      <c r="M135" s="747" t="str">
        <f t="shared" ref="M135:M146" si="45">D$16</f>
        <v>347.73</v>
      </c>
      <c r="N135" s="748">
        <f t="shared" ref="N135:N146" si="46">+ROUND(J135*K135*M$18,2)</f>
        <v>0</v>
      </c>
      <c r="O135" s="744" t="e">
        <f t="shared" ref="O135:O146" si="47">+ROUND(J135*K135*L135*M$18/M135,2)</f>
        <v>#REF!</v>
      </c>
      <c r="Q135" s="965">
        <v>3</v>
      </c>
      <c r="R135" s="966">
        <f t="shared" ref="R135:R146" si="48">+J135+Q135</f>
        <v>3</v>
      </c>
      <c r="S135" s="967">
        <f t="shared" ref="S135:S146" si="49">+IF((H135-R135)&lt;0,"BAD", H135-R135)</f>
        <v>0.14999999999999991</v>
      </c>
      <c r="T135" s="710"/>
      <c r="U135" s="965" t="e">
        <f t="shared" ref="U135:U146" si="50">+ROUND(Q135*$K135*$L135/$M135,2)</f>
        <v>#REF!</v>
      </c>
      <c r="V135" s="966" t="e">
        <f t="shared" ref="V135:V146" si="51">+ROUND(R135*$K135*$L135/$M135,2)</f>
        <v>#REF!</v>
      </c>
      <c r="W135" s="967"/>
    </row>
    <row r="136" spans="2:23" ht="11.25" customHeight="1">
      <c r="B136" s="757"/>
      <c r="C136" s="1013"/>
      <c r="D136" s="738"/>
      <c r="E136" s="739">
        <v>0.45</v>
      </c>
      <c r="F136" s="740">
        <v>7.4999999999999997E-3</v>
      </c>
      <c r="G136" s="741">
        <v>4206</v>
      </c>
      <c r="H136" s="759">
        <f t="shared" si="42"/>
        <v>14.2</v>
      </c>
      <c r="I136" s="743">
        <f>LOOKUP(B135,valoriz!$A$13:$A$242,valoriz!I$13:I$242)</f>
        <v>0</v>
      </c>
      <c r="J136" s="744">
        <f t="shared" si="43"/>
        <v>0</v>
      </c>
      <c r="K136" s="745">
        <f t="shared" ref="K136:K146" si="52">+K135</f>
        <v>7.26</v>
      </c>
      <c r="L136" s="746" t="e">
        <f t="shared" si="44"/>
        <v>#REF!</v>
      </c>
      <c r="M136" s="747" t="str">
        <f t="shared" si="45"/>
        <v>347.73</v>
      </c>
      <c r="N136" s="748">
        <f t="shared" si="46"/>
        <v>0</v>
      </c>
      <c r="O136" s="744" t="e">
        <f t="shared" si="47"/>
        <v>#REF!</v>
      </c>
      <c r="Q136" s="965">
        <v>13.52</v>
      </c>
      <c r="R136" s="966">
        <f t="shared" si="48"/>
        <v>13.52</v>
      </c>
      <c r="S136" s="967">
        <f t="shared" si="49"/>
        <v>0.67999999999999972</v>
      </c>
      <c r="T136" s="710"/>
      <c r="U136" s="965" t="e">
        <f t="shared" si="50"/>
        <v>#REF!</v>
      </c>
      <c r="V136" s="966" t="e">
        <f t="shared" si="51"/>
        <v>#REF!</v>
      </c>
      <c r="W136" s="967"/>
    </row>
    <row r="137" spans="2:23" ht="11.25" customHeight="1">
      <c r="B137" s="757" t="s">
        <v>59</v>
      </c>
      <c r="C137" s="1013" t="s">
        <v>60</v>
      </c>
      <c r="D137" s="738" t="s">
        <v>174</v>
      </c>
      <c r="E137" s="739">
        <v>0.15</v>
      </c>
      <c r="F137" s="740">
        <v>7.4999999999999997E-3</v>
      </c>
      <c r="G137" s="754">
        <v>3942</v>
      </c>
      <c r="H137" s="759">
        <f t="shared" si="42"/>
        <v>4.43</v>
      </c>
      <c r="I137" s="743">
        <f>LOOKUP(B137,valoriz!$A$13:$A$242,valoriz!I$13:I$242)</f>
        <v>0</v>
      </c>
      <c r="J137" s="744">
        <f t="shared" si="43"/>
        <v>0</v>
      </c>
      <c r="K137" s="745">
        <f t="shared" si="52"/>
        <v>7.26</v>
      </c>
      <c r="L137" s="746" t="e">
        <f t="shared" si="44"/>
        <v>#REF!</v>
      </c>
      <c r="M137" s="747" t="str">
        <f t="shared" si="45"/>
        <v>347.73</v>
      </c>
      <c r="N137" s="748">
        <f t="shared" si="46"/>
        <v>0</v>
      </c>
      <c r="O137" s="744" t="e">
        <f t="shared" si="47"/>
        <v>#REF!</v>
      </c>
      <c r="Q137" s="965">
        <v>2.65</v>
      </c>
      <c r="R137" s="966">
        <f t="shared" si="48"/>
        <v>2.65</v>
      </c>
      <c r="S137" s="967">
        <f t="shared" si="49"/>
        <v>1.7799999999999998</v>
      </c>
      <c r="T137" s="710"/>
      <c r="U137" s="965" t="e">
        <f t="shared" si="50"/>
        <v>#REF!</v>
      </c>
      <c r="V137" s="966" t="e">
        <f t="shared" si="51"/>
        <v>#REF!</v>
      </c>
      <c r="W137" s="967"/>
    </row>
    <row r="138" spans="2:23" ht="11.25" customHeight="1">
      <c r="B138" s="757"/>
      <c r="C138" s="1013"/>
      <c r="D138" s="738"/>
      <c r="E138" s="739">
        <v>0.55000000000000004</v>
      </c>
      <c r="F138" s="740">
        <v>7.4999999999999997E-3</v>
      </c>
      <c r="G138" s="754">
        <v>3942</v>
      </c>
      <c r="H138" s="759">
        <f t="shared" si="42"/>
        <v>16.260000000000002</v>
      </c>
      <c r="I138" s="743">
        <f>LOOKUP(B137,valoriz!$A$13:$A$242,valoriz!I$13:I$242)</f>
        <v>0</v>
      </c>
      <c r="J138" s="972">
        <f>+ROUND(E138*F138*I138,2)+5.48</f>
        <v>5.48</v>
      </c>
      <c r="K138" s="745">
        <f t="shared" si="52"/>
        <v>7.26</v>
      </c>
      <c r="L138" s="746" t="e">
        <f t="shared" si="44"/>
        <v>#REF!</v>
      </c>
      <c r="M138" s="747" t="str">
        <f t="shared" si="45"/>
        <v>347.73</v>
      </c>
      <c r="N138" s="748">
        <f t="shared" si="46"/>
        <v>39.78</v>
      </c>
      <c r="O138" s="744" t="e">
        <f t="shared" si="47"/>
        <v>#REF!</v>
      </c>
      <c r="Q138" s="965">
        <v>9.69</v>
      </c>
      <c r="R138" s="966">
        <f t="shared" si="48"/>
        <v>15.17</v>
      </c>
      <c r="S138" s="967">
        <f t="shared" si="49"/>
        <v>1.0900000000000016</v>
      </c>
      <c r="T138" s="710"/>
      <c r="U138" s="965" t="e">
        <f>+ROUND(Q138*$K138*$L138/$M138,2)</f>
        <v>#REF!</v>
      </c>
      <c r="V138" s="966" t="e">
        <f t="shared" si="51"/>
        <v>#REF!</v>
      </c>
      <c r="W138" s="967"/>
    </row>
    <row r="139" spans="2:23" ht="11.25" customHeight="1">
      <c r="B139" s="757" t="s">
        <v>61</v>
      </c>
      <c r="C139" s="1013" t="s">
        <v>62</v>
      </c>
      <c r="D139" s="738" t="s">
        <v>174</v>
      </c>
      <c r="E139" s="739">
        <v>0.15</v>
      </c>
      <c r="F139" s="740">
        <v>7.4999999999999997E-3</v>
      </c>
      <c r="G139" s="754">
        <v>41679.79</v>
      </c>
      <c r="H139" s="759">
        <f t="shared" si="42"/>
        <v>46.89</v>
      </c>
      <c r="I139" s="743">
        <f>LOOKUP(B139,valoriz!$A$13:$A$242,valoriz!I$13:I$242)</f>
        <v>0</v>
      </c>
      <c r="J139" s="972">
        <f>+ROUND(E139*F139*I139,2)+16.18</f>
        <v>16.18</v>
      </c>
      <c r="K139" s="745">
        <f t="shared" si="52"/>
        <v>7.26</v>
      </c>
      <c r="L139" s="746" t="e">
        <f t="shared" si="44"/>
        <v>#REF!</v>
      </c>
      <c r="M139" s="747" t="str">
        <f t="shared" si="45"/>
        <v>347.73</v>
      </c>
      <c r="N139" s="748">
        <f t="shared" si="46"/>
        <v>117.47</v>
      </c>
      <c r="O139" s="744" t="e">
        <f t="shared" si="47"/>
        <v>#REF!</v>
      </c>
      <c r="Q139" s="965">
        <v>23.38</v>
      </c>
      <c r="R139" s="966">
        <f t="shared" si="48"/>
        <v>39.56</v>
      </c>
      <c r="S139" s="967">
        <f t="shared" si="49"/>
        <v>7.3299999999999983</v>
      </c>
      <c r="T139" s="710"/>
      <c r="U139" s="965" t="e">
        <f t="shared" si="50"/>
        <v>#REF!</v>
      </c>
      <c r="V139" s="966" t="e">
        <f t="shared" si="51"/>
        <v>#REF!</v>
      </c>
      <c r="W139" s="967"/>
    </row>
    <row r="140" spans="2:23" ht="11.25" customHeight="1">
      <c r="B140" s="757"/>
      <c r="C140" s="1013"/>
      <c r="D140" s="755"/>
      <c r="E140" s="739">
        <v>0.55000000000000004</v>
      </c>
      <c r="F140" s="740">
        <v>7.4999999999999997E-3</v>
      </c>
      <c r="G140" s="754">
        <v>41679.79</v>
      </c>
      <c r="H140" s="759">
        <f t="shared" si="42"/>
        <v>171.93</v>
      </c>
      <c r="I140" s="743">
        <f>LOOKUP(B139,valoriz!$A$13:$A$242,valoriz!I$13:I$242)</f>
        <v>0</v>
      </c>
      <c r="J140" s="972">
        <f>+ROUND(E140*F140*I140,2)+59.04</f>
        <v>59.04</v>
      </c>
      <c r="K140" s="745">
        <f t="shared" si="52"/>
        <v>7.26</v>
      </c>
      <c r="L140" s="746" t="e">
        <f t="shared" si="44"/>
        <v>#REF!</v>
      </c>
      <c r="M140" s="747" t="str">
        <f t="shared" si="45"/>
        <v>347.73</v>
      </c>
      <c r="N140" s="748">
        <f t="shared" si="46"/>
        <v>428.63</v>
      </c>
      <c r="O140" s="744" t="e">
        <f t="shared" si="47"/>
        <v>#REF!</v>
      </c>
      <c r="Q140" s="965">
        <v>85.76</v>
      </c>
      <c r="R140" s="966">
        <f t="shared" si="48"/>
        <v>144.80000000000001</v>
      </c>
      <c r="S140" s="967">
        <f t="shared" si="49"/>
        <v>27.129999999999995</v>
      </c>
      <c r="T140" s="710"/>
      <c r="U140" s="965" t="e">
        <f t="shared" si="50"/>
        <v>#REF!</v>
      </c>
      <c r="V140" s="966" t="e">
        <f t="shared" si="51"/>
        <v>#REF!</v>
      </c>
      <c r="W140" s="967"/>
    </row>
    <row r="141" spans="2:23" ht="11.25" customHeight="1">
      <c r="B141" s="736" t="s">
        <v>63</v>
      </c>
      <c r="C141" s="1013" t="s">
        <v>64</v>
      </c>
      <c r="D141" s="755" t="s">
        <v>174</v>
      </c>
      <c r="E141" s="739">
        <v>0.2</v>
      </c>
      <c r="F141" s="740">
        <v>7.4999999999999997E-3</v>
      </c>
      <c r="G141" s="754">
        <v>4324.7</v>
      </c>
      <c r="H141" s="759">
        <f t="shared" si="42"/>
        <v>6.49</v>
      </c>
      <c r="I141" s="743">
        <f>LOOKUP(B141,valoriz!$A$13:$A$242,valoriz!I$13:I$242)</f>
        <v>0</v>
      </c>
      <c r="J141" s="744">
        <f t="shared" si="43"/>
        <v>0</v>
      </c>
      <c r="K141" s="745">
        <f t="shared" si="52"/>
        <v>7.26</v>
      </c>
      <c r="L141" s="746" t="e">
        <f t="shared" si="44"/>
        <v>#REF!</v>
      </c>
      <c r="M141" s="747" t="str">
        <f t="shared" si="45"/>
        <v>347.73</v>
      </c>
      <c r="N141" s="748">
        <f t="shared" si="46"/>
        <v>0</v>
      </c>
      <c r="O141" s="744" t="e">
        <f t="shared" si="47"/>
        <v>#REF!</v>
      </c>
      <c r="Q141" s="965">
        <v>6.49</v>
      </c>
      <c r="R141" s="966">
        <f t="shared" si="48"/>
        <v>6.49</v>
      </c>
      <c r="S141" s="967">
        <f t="shared" si="49"/>
        <v>0</v>
      </c>
      <c r="T141" s="710"/>
      <c r="U141" s="965" t="e">
        <f t="shared" si="50"/>
        <v>#REF!</v>
      </c>
      <c r="V141" s="966" t="e">
        <f t="shared" si="51"/>
        <v>#REF!</v>
      </c>
      <c r="W141" s="967"/>
    </row>
    <row r="142" spans="2:23" ht="11.25" customHeight="1">
      <c r="B142" s="736"/>
      <c r="C142" s="1013"/>
      <c r="D142" s="755"/>
      <c r="E142" s="739">
        <v>0.5</v>
      </c>
      <c r="F142" s="740">
        <v>7.4999999999999997E-3</v>
      </c>
      <c r="G142" s="754">
        <v>4324.7</v>
      </c>
      <c r="H142" s="759">
        <f t="shared" si="42"/>
        <v>16.22</v>
      </c>
      <c r="I142" s="743">
        <f>LOOKUP(B141,valoriz!$A$13:$A$242,valoriz!I$13:I$242)</f>
        <v>0</v>
      </c>
      <c r="J142" s="972">
        <f>+ROUND(E142*F142*I142,2)+6.69</f>
        <v>6.69</v>
      </c>
      <c r="K142" s="745">
        <f t="shared" si="52"/>
        <v>7.26</v>
      </c>
      <c r="L142" s="746" t="e">
        <f t="shared" si="44"/>
        <v>#REF!</v>
      </c>
      <c r="M142" s="747" t="str">
        <f t="shared" si="45"/>
        <v>347.73</v>
      </c>
      <c r="N142" s="748">
        <f t="shared" si="46"/>
        <v>48.57</v>
      </c>
      <c r="O142" s="744" t="e">
        <f t="shared" si="47"/>
        <v>#REF!</v>
      </c>
      <c r="Q142" s="965">
        <v>9.5299999999999994</v>
      </c>
      <c r="R142" s="966">
        <f t="shared" si="48"/>
        <v>16.22</v>
      </c>
      <c r="S142" s="967">
        <f t="shared" si="49"/>
        <v>0</v>
      </c>
      <c r="T142" s="710"/>
      <c r="U142" s="965" t="e">
        <f t="shared" si="50"/>
        <v>#REF!</v>
      </c>
      <c r="V142" s="966" t="e">
        <f t="shared" si="51"/>
        <v>#REF!</v>
      </c>
      <c r="W142" s="967"/>
    </row>
    <row r="143" spans="2:23" ht="11.25" customHeight="1">
      <c r="B143" s="736" t="s">
        <v>65</v>
      </c>
      <c r="C143" s="1013" t="s">
        <v>66</v>
      </c>
      <c r="D143" s="755" t="s">
        <v>174</v>
      </c>
      <c r="E143" s="739">
        <v>0.15</v>
      </c>
      <c r="F143" s="740">
        <v>7.4999999999999997E-3</v>
      </c>
      <c r="G143" s="754">
        <v>93</v>
      </c>
      <c r="H143" s="759">
        <f t="shared" si="42"/>
        <v>0.1</v>
      </c>
      <c r="I143" s="743">
        <f>LOOKUP(B143,valoriz!$A$13:$A$242,valoriz!I$13:I$242)</f>
        <v>0</v>
      </c>
      <c r="J143" s="744">
        <f t="shared" si="43"/>
        <v>0</v>
      </c>
      <c r="K143" s="745">
        <f t="shared" si="52"/>
        <v>7.26</v>
      </c>
      <c r="L143" s="746" t="e">
        <f t="shared" si="44"/>
        <v>#REF!</v>
      </c>
      <c r="M143" s="747" t="str">
        <f t="shared" si="45"/>
        <v>347.73</v>
      </c>
      <c r="N143" s="748">
        <f t="shared" si="46"/>
        <v>0</v>
      </c>
      <c r="O143" s="744" t="e">
        <f t="shared" si="47"/>
        <v>#REF!</v>
      </c>
      <c r="Q143" s="965">
        <v>0.05</v>
      </c>
      <c r="R143" s="966">
        <f t="shared" si="48"/>
        <v>0.05</v>
      </c>
      <c r="S143" s="967">
        <f t="shared" si="49"/>
        <v>0.05</v>
      </c>
      <c r="T143" s="710"/>
      <c r="U143" s="965" t="e">
        <f t="shared" si="50"/>
        <v>#REF!</v>
      </c>
      <c r="V143" s="966" t="e">
        <f t="shared" si="51"/>
        <v>#REF!</v>
      </c>
      <c r="W143" s="967"/>
    </row>
    <row r="144" spans="2:23" ht="11.25" customHeight="1">
      <c r="B144" s="757"/>
      <c r="C144" s="1027"/>
      <c r="D144" s="755"/>
      <c r="E144" s="739">
        <v>0.45</v>
      </c>
      <c r="F144" s="740">
        <v>7.4999999999999997E-3</v>
      </c>
      <c r="G144" s="754">
        <v>93</v>
      </c>
      <c r="H144" s="759">
        <f t="shared" si="42"/>
        <v>0.31</v>
      </c>
      <c r="I144" s="743">
        <f>LOOKUP(B143,valoriz!$A$13:$A$242,valoriz!I$13:I$242)</f>
        <v>0</v>
      </c>
      <c r="J144" s="744">
        <f t="shared" si="43"/>
        <v>0</v>
      </c>
      <c r="K144" s="745">
        <f t="shared" si="52"/>
        <v>7.26</v>
      </c>
      <c r="L144" s="746" t="e">
        <f t="shared" si="44"/>
        <v>#REF!</v>
      </c>
      <c r="M144" s="747" t="str">
        <f t="shared" si="45"/>
        <v>347.73</v>
      </c>
      <c r="N144" s="748">
        <f t="shared" si="46"/>
        <v>0</v>
      </c>
      <c r="O144" s="744" t="e">
        <f t="shared" si="47"/>
        <v>#REF!</v>
      </c>
      <c r="Q144" s="965">
        <v>0.16</v>
      </c>
      <c r="R144" s="966">
        <f t="shared" si="48"/>
        <v>0.16</v>
      </c>
      <c r="S144" s="967">
        <f t="shared" si="49"/>
        <v>0.15</v>
      </c>
      <c r="T144" s="710"/>
      <c r="U144" s="965" t="e">
        <f t="shared" si="50"/>
        <v>#REF!</v>
      </c>
      <c r="V144" s="966" t="e">
        <f t="shared" si="51"/>
        <v>#REF!</v>
      </c>
      <c r="W144" s="967"/>
    </row>
    <row r="145" spans="2:23" ht="11.25" customHeight="1">
      <c r="B145" s="757" t="s">
        <v>71</v>
      </c>
      <c r="C145" s="1027" t="s">
        <v>72</v>
      </c>
      <c r="D145" s="755" t="s">
        <v>174</v>
      </c>
      <c r="E145" s="739">
        <v>0.15</v>
      </c>
      <c r="F145" s="740">
        <v>7.4999999999999997E-3</v>
      </c>
      <c r="G145" s="754">
        <v>4332.3</v>
      </c>
      <c r="H145" s="759">
        <f t="shared" si="42"/>
        <v>4.87</v>
      </c>
      <c r="I145" s="743">
        <f>LOOKUP(B145,valoriz!$A$13:$A$242,valoriz!I$13:I$242)</f>
        <v>0</v>
      </c>
      <c r="J145" s="972">
        <f>+ROUND(E145*F145*I145,2)+2.46</f>
        <v>2.46</v>
      </c>
      <c r="K145" s="745">
        <f t="shared" si="52"/>
        <v>7.26</v>
      </c>
      <c r="L145" s="746" t="e">
        <f t="shared" si="44"/>
        <v>#REF!</v>
      </c>
      <c r="M145" s="747" t="str">
        <f t="shared" si="45"/>
        <v>347.73</v>
      </c>
      <c r="N145" s="748">
        <f t="shared" si="46"/>
        <v>17.86</v>
      </c>
      <c r="O145" s="744" t="e">
        <f t="shared" si="47"/>
        <v>#REF!</v>
      </c>
      <c r="Q145" s="965">
        <v>2.1800000000000002</v>
      </c>
      <c r="R145" s="966">
        <f t="shared" si="48"/>
        <v>4.6400000000000006</v>
      </c>
      <c r="S145" s="967">
        <f t="shared" si="49"/>
        <v>0.22999999999999954</v>
      </c>
      <c r="T145" s="710"/>
      <c r="U145" s="965" t="e">
        <f t="shared" si="50"/>
        <v>#REF!</v>
      </c>
      <c r="V145" s="966" t="e">
        <f t="shared" si="51"/>
        <v>#REF!</v>
      </c>
      <c r="W145" s="967"/>
    </row>
    <row r="146" spans="2:23" ht="11.25" customHeight="1">
      <c r="B146" s="757"/>
      <c r="C146" s="1027"/>
      <c r="D146" s="755"/>
      <c r="E146" s="739">
        <v>0.5</v>
      </c>
      <c r="F146" s="740">
        <v>7.4999999999999997E-3</v>
      </c>
      <c r="G146" s="754">
        <v>4332.3</v>
      </c>
      <c r="H146" s="759">
        <f t="shared" si="42"/>
        <v>16.25</v>
      </c>
      <c r="I146" s="743">
        <f>LOOKUP(B145,valoriz!$A$13:$A$242,valoriz!I$13:I$242)</f>
        <v>0</v>
      </c>
      <c r="J146" s="972">
        <f>+ROUND(E146*F146*I146,2)+8.25</f>
        <v>8.25</v>
      </c>
      <c r="K146" s="745">
        <f t="shared" si="52"/>
        <v>7.26</v>
      </c>
      <c r="L146" s="746" t="e">
        <f t="shared" si="44"/>
        <v>#REF!</v>
      </c>
      <c r="M146" s="747" t="str">
        <f t="shared" si="45"/>
        <v>347.73</v>
      </c>
      <c r="N146" s="748">
        <f t="shared" si="46"/>
        <v>59.9</v>
      </c>
      <c r="O146" s="744" t="e">
        <f t="shared" si="47"/>
        <v>#REF!</v>
      </c>
      <c r="Q146" s="1144">
        <v>7.24</v>
      </c>
      <c r="R146" s="1145">
        <f t="shared" si="48"/>
        <v>15.49</v>
      </c>
      <c r="S146" s="1146">
        <f t="shared" si="49"/>
        <v>0.75999999999999979</v>
      </c>
      <c r="T146" s="710"/>
      <c r="U146" s="1144" t="e">
        <f t="shared" si="50"/>
        <v>#REF!</v>
      </c>
      <c r="V146" s="1145" t="e">
        <f t="shared" si="51"/>
        <v>#REF!</v>
      </c>
      <c r="W146" s="1146"/>
    </row>
    <row r="147" spans="2:23" ht="11.25" customHeight="1" thickBot="1">
      <c r="B147" s="762"/>
      <c r="C147" s="1024"/>
      <c r="D147" s="764"/>
      <c r="E147" s="765"/>
      <c r="F147" s="766"/>
      <c r="G147" s="799"/>
      <c r="H147" s="800"/>
      <c r="I147" s="799"/>
      <c r="J147" s="801"/>
      <c r="K147" s="770"/>
      <c r="L147" s="771"/>
      <c r="M147" s="772"/>
      <c r="N147" s="773"/>
      <c r="O147" s="769"/>
      <c r="Q147" s="1057">
        <f>SUM(Q135:Q146)</f>
        <v>163.65000000000003</v>
      </c>
      <c r="R147" s="969">
        <f>SUM(R135:R146)</f>
        <v>261.75000000000006</v>
      </c>
      <c r="S147" s="970">
        <f>SUM(S135:S146)</f>
        <v>39.349999999999987</v>
      </c>
      <c r="T147" s="710"/>
      <c r="U147" s="1057" t="e">
        <f>SUM(U134:U146)</f>
        <v>#REF!</v>
      </c>
      <c r="V147" s="1057" t="e">
        <f>SUM(V134:V146)</f>
        <v>#REF!</v>
      </c>
      <c r="W147" s="970" t="e">
        <f>+W134-V148</f>
        <v>#REF!</v>
      </c>
    </row>
    <row r="148" spans="2:23" ht="11.25" customHeight="1">
      <c r="B148" s="775"/>
      <c r="C148" s="776"/>
      <c r="D148" s="777"/>
      <c r="E148" s="777"/>
      <c r="F148" s="778"/>
      <c r="G148" s="779"/>
      <c r="H148" s="780">
        <f>SUM(H135:H147)</f>
        <v>301.10000000000008</v>
      </c>
      <c r="I148" s="779"/>
      <c r="J148" s="780">
        <f>SUM(J135:J147)</f>
        <v>98.1</v>
      </c>
      <c r="K148" s="781"/>
      <c r="L148" s="777" t="s">
        <v>589</v>
      </c>
      <c r="M148" s="778"/>
      <c r="N148" s="782">
        <f>SUM(N135:N147)</f>
        <v>712.21</v>
      </c>
      <c r="O148" s="783" t="e">
        <f>SUM(O135:O147)</f>
        <v>#REF!</v>
      </c>
      <c r="Q148" s="1698" t="str">
        <f>+IF(SUM(R135:R146)&gt;J149,"Revisar Metrado","OK")</f>
        <v>OK</v>
      </c>
      <c r="R148" s="1699"/>
      <c r="S148" s="1700"/>
      <c r="T148" s="964"/>
      <c r="U148" s="1058">
        <v>169.08</v>
      </c>
      <c r="V148" s="1151" t="e">
        <f>+O148+U147</f>
        <v>#REF!</v>
      </c>
      <c r="W148" s="1152"/>
    </row>
    <row r="149" spans="2:23" ht="11.25" customHeight="1">
      <c r="B149" s="790"/>
      <c r="C149" s="791"/>
      <c r="D149" s="121"/>
      <c r="E149" s="792"/>
      <c r="F149" s="792"/>
      <c r="G149" s="786"/>
      <c r="H149" s="787" t="s">
        <v>214</v>
      </c>
      <c r="I149" s="788"/>
      <c r="J149" s="899">
        <v>299</v>
      </c>
      <c r="K149" s="709"/>
      <c r="M149" s="709"/>
      <c r="N149" s="709"/>
      <c r="O149" s="751"/>
      <c r="P149" s="751"/>
      <c r="U149" s="751"/>
    </row>
    <row r="150" spans="2:23" ht="11.25" customHeight="1">
      <c r="B150" s="784"/>
      <c r="C150" s="785"/>
      <c r="K150" s="751"/>
      <c r="U150" s="751"/>
    </row>
    <row r="151" spans="2:23" ht="11.25" customHeight="1">
      <c r="B151" s="1714" t="s">
        <v>198</v>
      </c>
      <c r="C151" s="1714" t="s">
        <v>199</v>
      </c>
      <c r="D151" s="1716" t="s">
        <v>601</v>
      </c>
      <c r="E151" s="1712" t="s">
        <v>200</v>
      </c>
      <c r="F151" s="1713"/>
      <c r="G151" s="1712" t="s">
        <v>201</v>
      </c>
      <c r="H151" s="1713"/>
      <c r="I151" s="1712" t="s">
        <v>202</v>
      </c>
      <c r="J151" s="1713"/>
      <c r="K151" s="1714" t="s">
        <v>203</v>
      </c>
      <c r="L151" s="1712" t="s">
        <v>204</v>
      </c>
      <c r="M151" s="1713"/>
      <c r="N151" s="1712" t="s">
        <v>423</v>
      </c>
      <c r="O151" s="1713"/>
      <c r="P151" s="700"/>
      <c r="Q151" s="1695" t="s">
        <v>205</v>
      </c>
      <c r="R151" s="1696"/>
      <c r="S151" s="1697"/>
      <c r="T151" s="710"/>
      <c r="U151" s="1695" t="s">
        <v>331</v>
      </c>
      <c r="V151" s="1696"/>
      <c r="W151" s="1697"/>
    </row>
    <row r="152" spans="2:23" ht="20.100000000000001" customHeight="1">
      <c r="B152" s="1715"/>
      <c r="C152" s="1715"/>
      <c r="D152" s="1717"/>
      <c r="E152" s="1011" t="s">
        <v>206</v>
      </c>
      <c r="F152" s="1012" t="s">
        <v>207</v>
      </c>
      <c r="G152" s="1011" t="s">
        <v>452</v>
      </c>
      <c r="H152" s="1012" t="s">
        <v>208</v>
      </c>
      <c r="I152" s="1011" t="s">
        <v>452</v>
      </c>
      <c r="J152" s="1012" t="s">
        <v>208</v>
      </c>
      <c r="K152" s="1715"/>
      <c r="L152" s="1011" t="s">
        <v>467</v>
      </c>
      <c r="M152" s="1012" t="s">
        <v>468</v>
      </c>
      <c r="N152" s="1011" t="s">
        <v>209</v>
      </c>
      <c r="O152" s="1012" t="s">
        <v>210</v>
      </c>
      <c r="Q152" s="1149" t="s">
        <v>211</v>
      </c>
      <c r="R152" s="955" t="s">
        <v>394</v>
      </c>
      <c r="S152" s="956" t="s">
        <v>451</v>
      </c>
      <c r="T152" s="710"/>
      <c r="U152" s="954" t="s">
        <v>211</v>
      </c>
      <c r="V152" s="955" t="s">
        <v>394</v>
      </c>
      <c r="W152" s="956" t="s">
        <v>451</v>
      </c>
    </row>
    <row r="153" spans="2:23" ht="11.25" customHeight="1">
      <c r="B153" s="722" t="str">
        <f>+B$14</f>
        <v>Material:</v>
      </c>
      <c r="C153" s="728"/>
      <c r="D153" s="724"/>
      <c r="E153" s="730"/>
      <c r="G153" s="726"/>
      <c r="H153" s="727"/>
      <c r="I153" s="726"/>
      <c r="J153" s="728"/>
      <c r="K153" s="729"/>
      <c r="L153" s="724"/>
      <c r="M153" s="725"/>
      <c r="N153" s="730"/>
      <c r="O153" s="728"/>
      <c r="Q153" s="1150"/>
      <c r="R153" s="958"/>
      <c r="S153" s="959"/>
      <c r="T153" s="710"/>
      <c r="U153" s="1150"/>
      <c r="V153" s="958"/>
      <c r="W153" s="959"/>
    </row>
    <row r="154" spans="2:23" ht="11.25" customHeight="1">
      <c r="B154" s="722" t="s">
        <v>212</v>
      </c>
      <c r="C154" s="733" t="s">
        <v>1005</v>
      </c>
      <c r="D154" s="724"/>
      <c r="E154" s="730"/>
      <c r="F154" s="802"/>
      <c r="G154" s="726"/>
      <c r="H154" s="727"/>
      <c r="I154" s="726"/>
      <c r="J154" s="727"/>
      <c r="K154" s="729"/>
      <c r="L154" s="724"/>
      <c r="M154" s="725"/>
      <c r="N154" s="794"/>
      <c r="O154" s="795"/>
      <c r="Q154" s="1070"/>
      <c r="R154" s="961"/>
      <c r="S154" s="959"/>
      <c r="T154" s="710"/>
      <c r="U154" s="1070"/>
      <c r="V154" s="961"/>
      <c r="W154" s="963">
        <v>21092.17</v>
      </c>
    </row>
    <row r="155" spans="2:23" ht="11.25" customHeight="1">
      <c r="B155" s="757" t="s">
        <v>57</v>
      </c>
      <c r="C155" s="1013" t="s">
        <v>58</v>
      </c>
      <c r="D155" s="738" t="s">
        <v>174</v>
      </c>
      <c r="E155" s="739">
        <v>0.1</v>
      </c>
      <c r="F155" s="740">
        <v>0.125</v>
      </c>
      <c r="G155" s="741">
        <v>4206</v>
      </c>
      <c r="H155" s="759">
        <f t="shared" ref="H155:H166" si="53">+ROUND(E155*F155*G155,2)</f>
        <v>52.58</v>
      </c>
      <c r="I155" s="743">
        <f>LOOKUP(B155,valoriz!$A$13:$A$242,valoriz!I$13:I$242)</f>
        <v>0</v>
      </c>
      <c r="J155" s="972">
        <f>+ROUND(E155*F155*I155,2)+2.51</f>
        <v>2.5099999999999998</v>
      </c>
      <c r="K155" s="745">
        <v>4.45</v>
      </c>
      <c r="L155" s="746" t="e">
        <f t="shared" ref="L155:L166" si="54">D$17</f>
        <v>#REF!</v>
      </c>
      <c r="M155" s="747" t="str">
        <f t="shared" ref="M155:M166" si="55">D$16</f>
        <v>347.73</v>
      </c>
      <c r="N155" s="748">
        <f t="shared" ref="N155:N166" si="56">+ROUND(J155*K155*M$18,2)</f>
        <v>11.17</v>
      </c>
      <c r="O155" s="744" t="e">
        <f t="shared" ref="O155:O166" si="57">+ROUND(J155*K155*L155*M$18/M155,2)</f>
        <v>#REF!</v>
      </c>
      <c r="Q155" s="965">
        <v>50.07</v>
      </c>
      <c r="R155" s="966">
        <f t="shared" ref="R155:R166" si="58">+J155+Q155</f>
        <v>52.58</v>
      </c>
      <c r="S155" s="967">
        <f t="shared" ref="S155:S166" si="59">+IF((H155-R155)&lt;0,"BAD", H155-R155)</f>
        <v>0</v>
      </c>
      <c r="T155" s="710"/>
      <c r="U155" s="965" t="e">
        <f t="shared" ref="U155:U166" si="60">+ROUND(Q155*$K155*$L155/$M155,2)</f>
        <v>#REF!</v>
      </c>
      <c r="V155" s="966" t="e">
        <f t="shared" ref="V155:V166" si="61">+ROUND(R155*$K155*$L155/$M155,2)</f>
        <v>#REF!</v>
      </c>
      <c r="W155" s="967"/>
    </row>
    <row r="156" spans="2:23" ht="11.25" customHeight="1">
      <c r="B156" s="757"/>
      <c r="C156" s="1013"/>
      <c r="D156" s="738"/>
      <c r="E156" s="739">
        <v>0.45</v>
      </c>
      <c r="F156" s="740">
        <v>0.125</v>
      </c>
      <c r="G156" s="741">
        <v>4206</v>
      </c>
      <c r="H156" s="759">
        <f t="shared" si="53"/>
        <v>236.59</v>
      </c>
      <c r="I156" s="743">
        <f>LOOKUP(B155,valoriz!$A$13:$A$242,valoriz!I$13:I$242)</f>
        <v>0</v>
      </c>
      <c r="J156" s="972">
        <f>+ROUND(E156*F156*I156,2)+11.31</f>
        <v>11.31</v>
      </c>
      <c r="K156" s="745">
        <f t="shared" ref="K156:K166" si="62">+K155</f>
        <v>4.45</v>
      </c>
      <c r="L156" s="746" t="e">
        <f t="shared" si="54"/>
        <v>#REF!</v>
      </c>
      <c r="M156" s="747" t="str">
        <f t="shared" si="55"/>
        <v>347.73</v>
      </c>
      <c r="N156" s="748">
        <f t="shared" si="56"/>
        <v>50.33</v>
      </c>
      <c r="O156" s="744" t="e">
        <f t="shared" si="57"/>
        <v>#REF!</v>
      </c>
      <c r="Q156" s="965">
        <v>225.28</v>
      </c>
      <c r="R156" s="966">
        <f t="shared" si="58"/>
        <v>236.59</v>
      </c>
      <c r="S156" s="967">
        <f t="shared" si="59"/>
        <v>0</v>
      </c>
      <c r="T156" s="710"/>
      <c r="U156" s="965" t="e">
        <f t="shared" si="60"/>
        <v>#REF!</v>
      </c>
      <c r="V156" s="966" t="e">
        <f t="shared" si="61"/>
        <v>#REF!</v>
      </c>
      <c r="W156" s="967"/>
    </row>
    <row r="157" spans="2:23" ht="11.25" customHeight="1">
      <c r="B157" s="757" t="s">
        <v>59</v>
      </c>
      <c r="C157" s="1013" t="s">
        <v>60</v>
      </c>
      <c r="D157" s="738" t="s">
        <v>174</v>
      </c>
      <c r="E157" s="739">
        <v>0.15</v>
      </c>
      <c r="F157" s="740">
        <v>0.125</v>
      </c>
      <c r="G157" s="754">
        <v>3942</v>
      </c>
      <c r="H157" s="759">
        <f t="shared" si="53"/>
        <v>73.91</v>
      </c>
      <c r="I157" s="743">
        <f>LOOKUP(B157,valoriz!$A$13:$A$242,valoriz!I$13:I$242)</f>
        <v>0</v>
      </c>
      <c r="J157" s="972">
        <f>+ROUND(E157*F157*I157,2)+29.86</f>
        <v>29.86</v>
      </c>
      <c r="K157" s="745">
        <f t="shared" si="62"/>
        <v>4.45</v>
      </c>
      <c r="L157" s="746" t="e">
        <f t="shared" si="54"/>
        <v>#REF!</v>
      </c>
      <c r="M157" s="747" t="str">
        <f t="shared" si="55"/>
        <v>347.73</v>
      </c>
      <c r="N157" s="748">
        <f t="shared" si="56"/>
        <v>132.88</v>
      </c>
      <c r="O157" s="744" t="e">
        <f t="shared" si="57"/>
        <v>#REF!</v>
      </c>
      <c r="Q157" s="965">
        <v>44.05</v>
      </c>
      <c r="R157" s="966">
        <f t="shared" si="58"/>
        <v>73.91</v>
      </c>
      <c r="S157" s="967">
        <f t="shared" si="59"/>
        <v>0</v>
      </c>
      <c r="T157" s="710"/>
      <c r="U157" s="965" t="e">
        <f t="shared" si="60"/>
        <v>#REF!</v>
      </c>
      <c r="V157" s="966" t="e">
        <f t="shared" si="61"/>
        <v>#REF!</v>
      </c>
      <c r="W157" s="967"/>
    </row>
    <row r="158" spans="2:23" ht="11.25" customHeight="1">
      <c r="B158" s="757"/>
      <c r="C158" s="1013"/>
      <c r="D158" s="738"/>
      <c r="E158" s="739">
        <v>0.55000000000000004</v>
      </c>
      <c r="F158" s="740">
        <v>0.125</v>
      </c>
      <c r="G158" s="754">
        <v>3942</v>
      </c>
      <c r="H158" s="759">
        <f t="shared" si="53"/>
        <v>271.01</v>
      </c>
      <c r="I158" s="743">
        <f>LOOKUP(B157,valoriz!$A$13:$A$242,valoriz!I$13:I$242)</f>
        <v>0</v>
      </c>
      <c r="J158" s="972">
        <f>+ROUND(E158*F158*I158,2)+109.51</f>
        <v>109.51</v>
      </c>
      <c r="K158" s="745">
        <f t="shared" si="62"/>
        <v>4.45</v>
      </c>
      <c r="L158" s="746" t="e">
        <f t="shared" si="54"/>
        <v>#REF!</v>
      </c>
      <c r="M158" s="747" t="str">
        <f t="shared" si="55"/>
        <v>347.73</v>
      </c>
      <c r="N158" s="748">
        <f t="shared" si="56"/>
        <v>487.32</v>
      </c>
      <c r="O158" s="744" t="e">
        <f t="shared" si="57"/>
        <v>#REF!</v>
      </c>
      <c r="Q158" s="965">
        <v>161.5</v>
      </c>
      <c r="R158" s="966">
        <f t="shared" si="58"/>
        <v>271.01</v>
      </c>
      <c r="S158" s="967">
        <f t="shared" si="59"/>
        <v>0</v>
      </c>
      <c r="T158" s="710"/>
      <c r="U158" s="965" t="e">
        <f t="shared" si="60"/>
        <v>#REF!</v>
      </c>
      <c r="V158" s="966" t="e">
        <f t="shared" si="61"/>
        <v>#REF!</v>
      </c>
      <c r="W158" s="967"/>
    </row>
    <row r="159" spans="2:23" ht="11.25" customHeight="1">
      <c r="B159" s="757" t="s">
        <v>61</v>
      </c>
      <c r="C159" s="1013" t="s">
        <v>62</v>
      </c>
      <c r="D159" s="738" t="s">
        <v>174</v>
      </c>
      <c r="E159" s="739">
        <v>0.15</v>
      </c>
      <c r="F159" s="740">
        <v>0.125</v>
      </c>
      <c r="G159" s="754">
        <v>41679.79</v>
      </c>
      <c r="H159" s="759">
        <f t="shared" si="53"/>
        <v>781.5</v>
      </c>
      <c r="I159" s="743">
        <f>LOOKUP(B159,valoriz!$A$13:$A$242,valoriz!I$13:I$242)</f>
        <v>0</v>
      </c>
      <c r="J159" s="972">
        <f>+ROUND(E159*F159*I159,2)+268.39</f>
        <v>268.39</v>
      </c>
      <c r="K159" s="745">
        <f t="shared" si="62"/>
        <v>4.45</v>
      </c>
      <c r="L159" s="746" t="e">
        <f t="shared" si="54"/>
        <v>#REF!</v>
      </c>
      <c r="M159" s="747" t="str">
        <f t="shared" si="55"/>
        <v>347.73</v>
      </c>
      <c r="N159" s="748">
        <f t="shared" si="56"/>
        <v>1194.3399999999999</v>
      </c>
      <c r="O159" s="744" t="e">
        <f t="shared" si="57"/>
        <v>#REF!</v>
      </c>
      <c r="Q159" s="965">
        <v>389.77</v>
      </c>
      <c r="R159" s="966">
        <f t="shared" si="58"/>
        <v>658.16</v>
      </c>
      <c r="S159" s="967">
        <f t="shared" si="59"/>
        <v>123.34000000000003</v>
      </c>
      <c r="T159" s="710"/>
      <c r="U159" s="965" t="e">
        <f t="shared" si="60"/>
        <v>#REF!</v>
      </c>
      <c r="V159" s="966" t="e">
        <f t="shared" si="61"/>
        <v>#REF!</v>
      </c>
      <c r="W159" s="967"/>
    </row>
    <row r="160" spans="2:23" ht="11.25" customHeight="1">
      <c r="B160" s="757"/>
      <c r="C160" s="1013"/>
      <c r="D160" s="755"/>
      <c r="E160" s="739">
        <v>0.55000000000000004</v>
      </c>
      <c r="F160" s="740">
        <v>0.125</v>
      </c>
      <c r="G160" s="754">
        <v>41679.79</v>
      </c>
      <c r="H160" s="759">
        <f t="shared" si="53"/>
        <v>2865.49</v>
      </c>
      <c r="I160" s="743">
        <f>LOOKUP(B159,valoriz!$A$13:$A$242,valoriz!I$13:I$242)</f>
        <v>0</v>
      </c>
      <c r="J160" s="972">
        <f>+ROUND(E160*F160*I160,2)+984.09</f>
        <v>984.09</v>
      </c>
      <c r="K160" s="745">
        <f t="shared" si="62"/>
        <v>4.45</v>
      </c>
      <c r="L160" s="746" t="e">
        <f t="shared" si="54"/>
        <v>#REF!</v>
      </c>
      <c r="M160" s="747" t="str">
        <f t="shared" si="55"/>
        <v>347.73</v>
      </c>
      <c r="N160" s="748">
        <f t="shared" si="56"/>
        <v>4379.2</v>
      </c>
      <c r="O160" s="744" t="e">
        <f t="shared" si="57"/>
        <v>#REF!</v>
      </c>
      <c r="Q160" s="965">
        <v>1429.17</v>
      </c>
      <c r="R160" s="966">
        <f t="shared" si="58"/>
        <v>2413.2600000000002</v>
      </c>
      <c r="S160" s="967">
        <f t="shared" si="59"/>
        <v>452.22999999999956</v>
      </c>
      <c r="T160" s="710"/>
      <c r="U160" s="965" t="e">
        <f t="shared" si="60"/>
        <v>#REF!</v>
      </c>
      <c r="V160" s="966" t="e">
        <f t="shared" si="61"/>
        <v>#REF!</v>
      </c>
      <c r="W160" s="967"/>
    </row>
    <row r="161" spans="2:23" ht="11.25" customHeight="1">
      <c r="B161" s="736" t="s">
        <v>63</v>
      </c>
      <c r="C161" s="1013" t="s">
        <v>64</v>
      </c>
      <c r="D161" s="755" t="s">
        <v>174</v>
      </c>
      <c r="E161" s="739">
        <v>0.2</v>
      </c>
      <c r="F161" s="740">
        <v>0.125</v>
      </c>
      <c r="G161" s="754">
        <v>4324.7</v>
      </c>
      <c r="H161" s="759">
        <f t="shared" si="53"/>
        <v>108.12</v>
      </c>
      <c r="I161" s="743">
        <f>LOOKUP(B161,valoriz!$A$13:$A$242,valoriz!I$13:I$242)</f>
        <v>0</v>
      </c>
      <c r="J161" s="744">
        <f>+ROUND(E161*F161*I161,2)</f>
        <v>0</v>
      </c>
      <c r="K161" s="745">
        <f t="shared" si="62"/>
        <v>4.45</v>
      </c>
      <c r="L161" s="746" t="e">
        <f t="shared" si="54"/>
        <v>#REF!</v>
      </c>
      <c r="M161" s="747" t="str">
        <f t="shared" si="55"/>
        <v>347.73</v>
      </c>
      <c r="N161" s="748">
        <f t="shared" si="56"/>
        <v>0</v>
      </c>
      <c r="O161" s="744" t="e">
        <f t="shared" si="57"/>
        <v>#REF!</v>
      </c>
      <c r="Q161" s="965">
        <v>108.12</v>
      </c>
      <c r="R161" s="966">
        <f t="shared" si="58"/>
        <v>108.12</v>
      </c>
      <c r="S161" s="967">
        <f t="shared" si="59"/>
        <v>0</v>
      </c>
      <c r="T161" s="710"/>
      <c r="U161" s="965" t="e">
        <f t="shared" si="60"/>
        <v>#REF!</v>
      </c>
      <c r="V161" s="966" t="e">
        <f t="shared" si="61"/>
        <v>#REF!</v>
      </c>
      <c r="W161" s="967"/>
    </row>
    <row r="162" spans="2:23" ht="11.25" customHeight="1">
      <c r="B162" s="736"/>
      <c r="C162" s="1013"/>
      <c r="D162" s="755"/>
      <c r="E162" s="739">
        <v>0.5</v>
      </c>
      <c r="F162" s="740">
        <v>0.125</v>
      </c>
      <c r="G162" s="754">
        <v>4324.7</v>
      </c>
      <c r="H162" s="759">
        <f t="shared" si="53"/>
        <v>270.29000000000002</v>
      </c>
      <c r="I162" s="743">
        <f>LOOKUP(B161,valoriz!$A$13:$A$242,valoriz!I$13:I$242)</f>
        <v>0</v>
      </c>
      <c r="J162" s="744">
        <f>+ROUND(E162*F162*I162,2)</f>
        <v>0</v>
      </c>
      <c r="K162" s="745">
        <f t="shared" si="62"/>
        <v>4.45</v>
      </c>
      <c r="L162" s="746" t="e">
        <f t="shared" si="54"/>
        <v>#REF!</v>
      </c>
      <c r="M162" s="747" t="str">
        <f t="shared" si="55"/>
        <v>347.73</v>
      </c>
      <c r="N162" s="748">
        <f t="shared" si="56"/>
        <v>0</v>
      </c>
      <c r="O162" s="744" t="e">
        <f t="shared" si="57"/>
        <v>#REF!</v>
      </c>
      <c r="Q162" s="965">
        <v>270.3</v>
      </c>
      <c r="R162" s="966">
        <f t="shared" si="58"/>
        <v>270.3</v>
      </c>
      <c r="S162" s="967" t="str">
        <f t="shared" si="59"/>
        <v>BAD</v>
      </c>
      <c r="T162" s="710"/>
      <c r="U162" s="965" t="e">
        <f t="shared" si="60"/>
        <v>#REF!</v>
      </c>
      <c r="V162" s="966" t="e">
        <f t="shared" si="61"/>
        <v>#REF!</v>
      </c>
      <c r="W162" s="967"/>
    </row>
    <row r="163" spans="2:23" ht="11.25" customHeight="1">
      <c r="B163" s="736" t="s">
        <v>65</v>
      </c>
      <c r="C163" s="1013" t="s">
        <v>66</v>
      </c>
      <c r="D163" s="755" t="s">
        <v>174</v>
      </c>
      <c r="E163" s="739">
        <v>0.15</v>
      </c>
      <c r="F163" s="740">
        <v>0.125</v>
      </c>
      <c r="G163" s="754">
        <v>93</v>
      </c>
      <c r="H163" s="759">
        <f t="shared" si="53"/>
        <v>1.74</v>
      </c>
      <c r="I163" s="743">
        <f>LOOKUP(B163,valoriz!$A$13:$A$242,valoriz!I$13:I$242)</f>
        <v>0</v>
      </c>
      <c r="J163" s="744">
        <f>+ROUND(E163*F163*I163,2)+0.86</f>
        <v>0.86</v>
      </c>
      <c r="K163" s="745">
        <f t="shared" si="62"/>
        <v>4.45</v>
      </c>
      <c r="L163" s="746" t="e">
        <f t="shared" si="54"/>
        <v>#REF!</v>
      </c>
      <c r="M163" s="747" t="str">
        <f t="shared" si="55"/>
        <v>347.73</v>
      </c>
      <c r="N163" s="748">
        <f t="shared" si="56"/>
        <v>3.83</v>
      </c>
      <c r="O163" s="744" t="e">
        <f t="shared" si="57"/>
        <v>#REF!</v>
      </c>
      <c r="Q163" s="965">
        <v>0.88</v>
      </c>
      <c r="R163" s="966">
        <f t="shared" si="58"/>
        <v>1.74</v>
      </c>
      <c r="S163" s="967">
        <f t="shared" si="59"/>
        <v>0</v>
      </c>
      <c r="T163" s="710"/>
      <c r="U163" s="965" t="e">
        <f t="shared" si="60"/>
        <v>#REF!</v>
      </c>
      <c r="V163" s="966" t="e">
        <f t="shared" si="61"/>
        <v>#REF!</v>
      </c>
      <c r="W163" s="967"/>
    </row>
    <row r="164" spans="2:23" ht="11.25" customHeight="1">
      <c r="B164" s="757"/>
      <c r="C164" s="1027"/>
      <c r="D164" s="755"/>
      <c r="E164" s="739">
        <v>0.45</v>
      </c>
      <c r="F164" s="740">
        <v>0.125</v>
      </c>
      <c r="G164" s="754">
        <v>93</v>
      </c>
      <c r="H164" s="759">
        <f t="shared" si="53"/>
        <v>5.23</v>
      </c>
      <c r="I164" s="743">
        <f>LOOKUP(B163,valoriz!$A$13:$A$242,valoriz!I$13:I$242)</f>
        <v>0</v>
      </c>
      <c r="J164" s="972">
        <f>+ROUND(E164*F164*I164,2)+2.59</f>
        <v>2.59</v>
      </c>
      <c r="K164" s="745">
        <f t="shared" si="62"/>
        <v>4.45</v>
      </c>
      <c r="L164" s="746" t="e">
        <f t="shared" si="54"/>
        <v>#REF!</v>
      </c>
      <c r="M164" s="747" t="str">
        <f t="shared" si="55"/>
        <v>347.73</v>
      </c>
      <c r="N164" s="748">
        <f t="shared" si="56"/>
        <v>11.53</v>
      </c>
      <c r="O164" s="744" t="e">
        <f t="shared" si="57"/>
        <v>#REF!</v>
      </c>
      <c r="Q164" s="965">
        <v>2.64</v>
      </c>
      <c r="R164" s="966">
        <f t="shared" si="58"/>
        <v>5.23</v>
      </c>
      <c r="S164" s="967">
        <f t="shared" si="59"/>
        <v>0</v>
      </c>
      <c r="T164" s="710"/>
      <c r="U164" s="965" t="e">
        <f t="shared" si="60"/>
        <v>#REF!</v>
      </c>
      <c r="V164" s="966" t="e">
        <f t="shared" si="61"/>
        <v>#REF!</v>
      </c>
      <c r="W164" s="967"/>
    </row>
    <row r="165" spans="2:23" ht="11.25" customHeight="1">
      <c r="B165" s="757" t="s">
        <v>71</v>
      </c>
      <c r="C165" s="1027" t="s">
        <v>72</v>
      </c>
      <c r="D165" s="755" t="s">
        <v>174</v>
      </c>
      <c r="E165" s="739">
        <v>0.15</v>
      </c>
      <c r="F165" s="740">
        <v>0.125</v>
      </c>
      <c r="G165" s="754">
        <v>4332.3</v>
      </c>
      <c r="H165" s="759">
        <f t="shared" si="53"/>
        <v>81.23</v>
      </c>
      <c r="I165" s="743">
        <f>LOOKUP(B165,valoriz!$A$13:$A$242,valoriz!I$13:I$242)</f>
        <v>0</v>
      </c>
      <c r="J165" s="972">
        <f>+ROUND(E165*F165*I165,2)+41.27</f>
        <v>41.27</v>
      </c>
      <c r="K165" s="745">
        <f t="shared" si="62"/>
        <v>4.45</v>
      </c>
      <c r="L165" s="746" t="e">
        <f t="shared" si="54"/>
        <v>#REF!</v>
      </c>
      <c r="M165" s="747" t="str">
        <f t="shared" si="55"/>
        <v>347.73</v>
      </c>
      <c r="N165" s="748">
        <f t="shared" si="56"/>
        <v>183.65</v>
      </c>
      <c r="O165" s="744" t="e">
        <f t="shared" si="57"/>
        <v>#REF!</v>
      </c>
      <c r="Q165" s="965">
        <v>36.17</v>
      </c>
      <c r="R165" s="966">
        <f t="shared" si="58"/>
        <v>77.44</v>
      </c>
      <c r="S165" s="967">
        <f t="shared" si="59"/>
        <v>3.7900000000000063</v>
      </c>
      <c r="T165" s="710"/>
      <c r="U165" s="965" t="e">
        <f t="shared" si="60"/>
        <v>#REF!</v>
      </c>
      <c r="V165" s="966" t="e">
        <f t="shared" si="61"/>
        <v>#REF!</v>
      </c>
      <c r="W165" s="967"/>
    </row>
    <row r="166" spans="2:23" ht="11.25" customHeight="1">
      <c r="B166" s="757"/>
      <c r="C166" s="1027"/>
      <c r="D166" s="755"/>
      <c r="E166" s="739">
        <v>0.5</v>
      </c>
      <c r="F166" s="740">
        <v>0.125</v>
      </c>
      <c r="G166" s="754">
        <v>4332.3</v>
      </c>
      <c r="H166" s="759">
        <f t="shared" si="53"/>
        <v>270.77</v>
      </c>
      <c r="I166" s="743">
        <f>LOOKUP(B165,valoriz!$A$13:$A$242,valoriz!I$13:I$242)</f>
        <v>0</v>
      </c>
      <c r="J166" s="972">
        <f>+ROUND(E166*F166*I166,2)+225.484</f>
        <v>225.48400000000001</v>
      </c>
      <c r="K166" s="745">
        <f t="shared" si="62"/>
        <v>4.45</v>
      </c>
      <c r="L166" s="746" t="e">
        <f t="shared" si="54"/>
        <v>#REF!</v>
      </c>
      <c r="M166" s="747" t="str">
        <f t="shared" si="55"/>
        <v>347.73</v>
      </c>
      <c r="N166" s="748">
        <f t="shared" si="56"/>
        <v>1003.4</v>
      </c>
      <c r="O166" s="744" t="e">
        <f t="shared" si="57"/>
        <v>#REF!</v>
      </c>
      <c r="Q166" s="1144">
        <v>120.53</v>
      </c>
      <c r="R166" s="1145">
        <f t="shared" si="58"/>
        <v>346.01400000000001</v>
      </c>
      <c r="S166" s="1146" t="str">
        <f t="shared" si="59"/>
        <v>BAD</v>
      </c>
      <c r="T166" s="710"/>
      <c r="U166" s="1144" t="e">
        <f t="shared" si="60"/>
        <v>#REF!</v>
      </c>
      <c r="V166" s="1145" t="e">
        <f t="shared" si="61"/>
        <v>#REF!</v>
      </c>
      <c r="W166" s="1146"/>
    </row>
    <row r="167" spans="2:23" ht="11.25" customHeight="1" thickBot="1">
      <c r="B167" s="762"/>
      <c r="C167" s="1024"/>
      <c r="D167" s="764"/>
      <c r="E167" s="765"/>
      <c r="F167" s="766"/>
      <c r="G167" s="799"/>
      <c r="H167" s="800"/>
      <c r="I167" s="799"/>
      <c r="J167" s="801"/>
      <c r="K167" s="770"/>
      <c r="L167" s="771"/>
      <c r="M167" s="772"/>
      <c r="N167" s="773"/>
      <c r="O167" s="769"/>
      <c r="Q167" s="1057">
        <f>SUM(Q155:Q166)</f>
        <v>2838.4800000000005</v>
      </c>
      <c r="R167" s="969">
        <f>SUM(R155:R166)</f>
        <v>4514.3540000000003</v>
      </c>
      <c r="S167" s="970">
        <f>SUM(S155:S166)</f>
        <v>579.35999999999956</v>
      </c>
      <c r="T167" s="710"/>
      <c r="U167" s="1057" t="e">
        <f>SUM(U155:U166)</f>
        <v>#REF!</v>
      </c>
      <c r="V167" s="969" t="e">
        <f>SUM(V155:V166)</f>
        <v>#REF!</v>
      </c>
      <c r="W167" s="970" t="e">
        <f>+W154-V168</f>
        <v>#REF!</v>
      </c>
    </row>
    <row r="168" spans="2:23" ht="11.25" customHeight="1">
      <c r="B168" s="775"/>
      <c r="C168" s="776"/>
      <c r="D168" s="777"/>
      <c r="E168" s="777"/>
      <c r="F168" s="778"/>
      <c r="G168" s="779"/>
      <c r="H168" s="780">
        <f>SUM(H155:H167)</f>
        <v>5018.4599999999991</v>
      </c>
      <c r="I168" s="779"/>
      <c r="J168" s="780">
        <f>SUM(J155:J167)</f>
        <v>1675.8739999999998</v>
      </c>
      <c r="K168" s="781"/>
      <c r="L168" s="777" t="s">
        <v>589</v>
      </c>
      <c r="M168" s="778"/>
      <c r="N168" s="782">
        <f>SUM(N155:N167)</f>
        <v>7457.6499999999987</v>
      </c>
      <c r="O168" s="783" t="e">
        <f>SUM(O155:O167)</f>
        <v>#REF!</v>
      </c>
      <c r="Q168" s="1698" t="str">
        <f>+IF(SUM(R155:R166)&gt;J169,"Revisar Metrado","OK")</f>
        <v>OK</v>
      </c>
      <c r="R168" s="1699"/>
      <c r="S168" s="1700"/>
      <c r="T168" s="710"/>
      <c r="U168" s="1058" t="e">
        <f>+ROUND(Q167*$K166*$L166/$M166,2)</f>
        <v>#REF!</v>
      </c>
      <c r="V168" s="1151" t="e">
        <f>+O168+U168</f>
        <v>#REF!</v>
      </c>
      <c r="W168" s="1152"/>
    </row>
    <row r="169" spans="2:23" ht="11.25" customHeight="1">
      <c r="B169" s="790"/>
      <c r="C169" s="791"/>
      <c r="D169" s="121"/>
      <c r="E169" s="792"/>
      <c r="F169" s="792"/>
      <c r="G169" s="786"/>
      <c r="H169" s="787" t="s">
        <v>214</v>
      </c>
      <c r="I169" s="788"/>
      <c r="J169" s="899">
        <v>5023</v>
      </c>
      <c r="K169" s="709"/>
      <c r="M169" s="709"/>
      <c r="N169" s="709"/>
      <c r="O169" s="751"/>
      <c r="P169" s="751"/>
      <c r="U169" s="751"/>
    </row>
    <row r="170" spans="2:23" ht="11.25" customHeight="1">
      <c r="B170" s="784"/>
      <c r="C170" s="785"/>
      <c r="K170" s="751"/>
      <c r="U170" s="751"/>
    </row>
    <row r="171" spans="2:23" ht="11.25" customHeight="1">
      <c r="B171" s="1714" t="s">
        <v>198</v>
      </c>
      <c r="C171" s="1714" t="s">
        <v>199</v>
      </c>
      <c r="D171" s="1716" t="s">
        <v>601</v>
      </c>
      <c r="E171" s="1712" t="s">
        <v>200</v>
      </c>
      <c r="F171" s="1713"/>
      <c r="G171" s="1712" t="s">
        <v>201</v>
      </c>
      <c r="H171" s="1713"/>
      <c r="I171" s="1712" t="s">
        <v>202</v>
      </c>
      <c r="J171" s="1713"/>
      <c r="K171" s="1714" t="s">
        <v>203</v>
      </c>
      <c r="L171" s="1712" t="s">
        <v>204</v>
      </c>
      <c r="M171" s="1713"/>
      <c r="N171" s="1712" t="s">
        <v>423</v>
      </c>
      <c r="O171" s="1713"/>
      <c r="P171" s="700"/>
      <c r="Q171" s="1678" t="s">
        <v>205</v>
      </c>
      <c r="R171" s="1679"/>
      <c r="S171" s="1680"/>
      <c r="U171" s="1678" t="s">
        <v>331</v>
      </c>
      <c r="V171" s="1679"/>
      <c r="W171" s="1680"/>
    </row>
    <row r="172" spans="2:23" ht="20.100000000000001" customHeight="1">
      <c r="B172" s="1715"/>
      <c r="C172" s="1715"/>
      <c r="D172" s="1717"/>
      <c r="E172" s="1011" t="s">
        <v>206</v>
      </c>
      <c r="F172" s="1012" t="s">
        <v>207</v>
      </c>
      <c r="G172" s="1011" t="s">
        <v>452</v>
      </c>
      <c r="H172" s="1012" t="s">
        <v>208</v>
      </c>
      <c r="I172" s="1011" t="s">
        <v>452</v>
      </c>
      <c r="J172" s="1012" t="s">
        <v>208</v>
      </c>
      <c r="K172" s="1715"/>
      <c r="L172" s="1011" t="s">
        <v>467</v>
      </c>
      <c r="M172" s="1012" t="s">
        <v>468</v>
      </c>
      <c r="N172" s="1011" t="s">
        <v>209</v>
      </c>
      <c r="O172" s="1012" t="s">
        <v>210</v>
      </c>
      <c r="Q172" s="1030" t="s">
        <v>211</v>
      </c>
      <c r="R172" s="720" t="s">
        <v>394</v>
      </c>
      <c r="S172" s="721" t="s">
        <v>451</v>
      </c>
      <c r="U172" s="719" t="s">
        <v>211</v>
      </c>
      <c r="V172" s="720" t="s">
        <v>394</v>
      </c>
      <c r="W172" s="721" t="s">
        <v>451</v>
      </c>
    </row>
    <row r="173" spans="2:23" ht="11.25" customHeight="1">
      <c r="B173" s="722" t="str">
        <f>+B$14</f>
        <v>Material:</v>
      </c>
      <c r="C173" s="728"/>
      <c r="D173" s="724"/>
      <c r="E173" s="730"/>
      <c r="G173" s="726"/>
      <c r="H173" s="727"/>
      <c r="I173" s="726"/>
      <c r="J173" s="728"/>
      <c r="K173" s="729"/>
      <c r="L173" s="724"/>
      <c r="M173" s="725"/>
      <c r="N173" s="730"/>
      <c r="O173" s="728"/>
      <c r="Q173" s="1031"/>
      <c r="R173" s="732"/>
      <c r="S173" s="725"/>
      <c r="U173" s="1031"/>
      <c r="V173" s="732"/>
      <c r="W173" s="725"/>
    </row>
    <row r="174" spans="2:23" ht="11.25" customHeight="1">
      <c r="B174" s="722" t="s">
        <v>212</v>
      </c>
      <c r="C174" s="733" t="s">
        <v>908</v>
      </c>
      <c r="D174" s="724"/>
      <c r="E174" s="1034"/>
      <c r="F174" s="802"/>
      <c r="G174" s="726"/>
      <c r="H174" s="727"/>
      <c r="I174" s="726"/>
      <c r="J174" s="727"/>
      <c r="K174" s="729"/>
      <c r="L174" s="724"/>
      <c r="M174" s="725"/>
      <c r="N174" s="794"/>
      <c r="O174" s="795"/>
      <c r="Q174" s="951"/>
      <c r="R174" s="735"/>
      <c r="S174" s="725"/>
      <c r="U174" s="951"/>
      <c r="V174" s="735"/>
      <c r="W174" s="952">
        <v>124736.39</v>
      </c>
    </row>
    <row r="175" spans="2:23" ht="11.25" customHeight="1">
      <c r="B175" s="736" t="s">
        <v>43</v>
      </c>
      <c r="C175" s="1013" t="s">
        <v>44</v>
      </c>
      <c r="D175" s="738" t="s">
        <v>291</v>
      </c>
      <c r="E175" s="739">
        <v>4.5999999999999996</v>
      </c>
      <c r="F175" s="740">
        <v>0.3</v>
      </c>
      <c r="G175" s="741">
        <v>524.91999999999996</v>
      </c>
      <c r="H175" s="759">
        <f t="shared" ref="H175:H200" si="63">+ROUND(E175*F175*G175,2)</f>
        <v>724.39</v>
      </c>
      <c r="I175" s="743">
        <f>LOOKUP(B175,valoriz!$A$13:$A$242,valoriz!I$13:I$242)</f>
        <v>0</v>
      </c>
      <c r="J175" s="744">
        <f>+ROUND(E175*F175*I175,2)</f>
        <v>0</v>
      </c>
      <c r="K175" s="745">
        <v>3.29</v>
      </c>
      <c r="L175" s="746" t="e">
        <f t="shared" ref="L175:L200" si="64">D$17</f>
        <v>#REF!</v>
      </c>
      <c r="M175" s="747" t="str">
        <f t="shared" ref="M175:M200" si="65">D$16</f>
        <v>347.73</v>
      </c>
      <c r="N175" s="748">
        <f t="shared" ref="N175:N200" si="66">+ROUND(J175*K175*M$18,2)</f>
        <v>0</v>
      </c>
      <c r="O175" s="744" t="e">
        <f t="shared" ref="O175:O200" si="67">+ROUND(J175*K175*L175*M$18/M175,2)</f>
        <v>#REF!</v>
      </c>
      <c r="Q175" s="824">
        <v>477.51</v>
      </c>
      <c r="R175" s="883">
        <f t="shared" ref="R175:R200" si="68">+J175+Q175</f>
        <v>477.51</v>
      </c>
      <c r="S175" s="882">
        <f t="shared" ref="S175:S200" si="69">+IF((H175-R175)&lt;0,"BAD", H175-R175)</f>
        <v>246.88</v>
      </c>
      <c r="T175" s="751"/>
      <c r="U175" s="824" t="e">
        <f t="shared" ref="U175:U200" si="70">+ROUND(Q175*$K175*$L175/$M175,2)</f>
        <v>#REF!</v>
      </c>
      <c r="V175" s="883" t="e">
        <f t="shared" ref="V175:V200" si="71">+ROUND(R175*$K175*$L175/$M175,2)</f>
        <v>#REF!</v>
      </c>
      <c r="W175" s="882"/>
    </row>
    <row r="176" spans="2:23" ht="11.25" customHeight="1">
      <c r="B176" s="736" t="s">
        <v>45</v>
      </c>
      <c r="C176" s="1013" t="s">
        <v>46</v>
      </c>
      <c r="D176" s="738" t="s">
        <v>291</v>
      </c>
      <c r="E176" s="739">
        <v>4.5999999999999996</v>
      </c>
      <c r="F176" s="740">
        <v>0.3</v>
      </c>
      <c r="G176" s="741">
        <v>2464.37</v>
      </c>
      <c r="H176" s="759">
        <f t="shared" si="63"/>
        <v>3400.83</v>
      </c>
      <c r="I176" s="743">
        <f>LOOKUP(B176,valoriz!$A$13:$A$242,valoriz!I$13:I$242)</f>
        <v>0</v>
      </c>
      <c r="J176" s="744">
        <f>+ROUND(E176*F176*I176,2)</f>
        <v>0</v>
      </c>
      <c r="K176" s="745">
        <f>+K175</f>
        <v>3.29</v>
      </c>
      <c r="L176" s="746" t="e">
        <f t="shared" si="64"/>
        <v>#REF!</v>
      </c>
      <c r="M176" s="747" t="str">
        <f t="shared" si="65"/>
        <v>347.73</v>
      </c>
      <c r="N176" s="748">
        <f t="shared" si="66"/>
        <v>0</v>
      </c>
      <c r="O176" s="744" t="e">
        <f t="shared" si="67"/>
        <v>#REF!</v>
      </c>
      <c r="Q176" s="824">
        <v>1605.31</v>
      </c>
      <c r="R176" s="883">
        <f t="shared" si="68"/>
        <v>1605.31</v>
      </c>
      <c r="S176" s="882">
        <f t="shared" si="69"/>
        <v>1795.52</v>
      </c>
      <c r="T176" s="751"/>
      <c r="U176" s="824" t="e">
        <f t="shared" si="70"/>
        <v>#REF!</v>
      </c>
      <c r="V176" s="883" t="e">
        <f t="shared" si="71"/>
        <v>#REF!</v>
      </c>
      <c r="W176" s="882"/>
    </row>
    <row r="177" spans="2:23" ht="11.25" customHeight="1">
      <c r="B177" s="736" t="s">
        <v>47</v>
      </c>
      <c r="C177" s="1013" t="s">
        <v>48</v>
      </c>
      <c r="D177" s="738" t="s">
        <v>291</v>
      </c>
      <c r="E177" s="739">
        <v>4.5999999999999996</v>
      </c>
      <c r="F177" s="740">
        <v>0.3</v>
      </c>
      <c r="G177" s="741">
        <v>1247.03</v>
      </c>
      <c r="H177" s="759">
        <f t="shared" si="63"/>
        <v>1720.9</v>
      </c>
      <c r="I177" s="743">
        <f>LOOKUP(B177,valoriz!$A$13:$A$242,valoriz!I$13:I$242)</f>
        <v>0</v>
      </c>
      <c r="J177" s="744">
        <f>+ROUND(E177*F177*I177,2)</f>
        <v>0</v>
      </c>
      <c r="K177" s="745">
        <f>+K176</f>
        <v>3.29</v>
      </c>
      <c r="L177" s="746" t="e">
        <f t="shared" si="64"/>
        <v>#REF!</v>
      </c>
      <c r="M177" s="747" t="str">
        <f t="shared" si="65"/>
        <v>347.73</v>
      </c>
      <c r="N177" s="748">
        <f t="shared" si="66"/>
        <v>0</v>
      </c>
      <c r="O177" s="744" t="e">
        <f t="shared" si="67"/>
        <v>#REF!</v>
      </c>
      <c r="Q177" s="824">
        <v>967.95</v>
      </c>
      <c r="R177" s="883">
        <f t="shared" si="68"/>
        <v>967.95</v>
      </c>
      <c r="S177" s="882">
        <f t="shared" si="69"/>
        <v>752.95</v>
      </c>
      <c r="T177" s="751"/>
      <c r="U177" s="824" t="e">
        <f t="shared" si="70"/>
        <v>#REF!</v>
      </c>
      <c r="V177" s="883" t="e">
        <f t="shared" si="71"/>
        <v>#REF!</v>
      </c>
      <c r="W177" s="882"/>
    </row>
    <row r="178" spans="2:23" ht="11.25" customHeight="1">
      <c r="B178" s="736" t="s">
        <v>49</v>
      </c>
      <c r="C178" s="1013" t="s">
        <v>50</v>
      </c>
      <c r="D178" s="738" t="s">
        <v>291</v>
      </c>
      <c r="E178" s="739">
        <v>4.5999999999999996</v>
      </c>
      <c r="F178" s="740">
        <v>0.3</v>
      </c>
      <c r="G178" s="741">
        <v>264.64</v>
      </c>
      <c r="H178" s="759">
        <f t="shared" si="63"/>
        <v>365.2</v>
      </c>
      <c r="I178" s="743">
        <f>LOOKUP(B178,valoriz!$A$13:$A$242,valoriz!I$13:I$242)</f>
        <v>0</v>
      </c>
      <c r="J178" s="744">
        <f>+ROUND(E178*F178*I178,2)</f>
        <v>0</v>
      </c>
      <c r="K178" s="745">
        <f>+K177</f>
        <v>3.29</v>
      </c>
      <c r="L178" s="746" t="e">
        <f t="shared" si="64"/>
        <v>#REF!</v>
      </c>
      <c r="M178" s="747" t="str">
        <f t="shared" si="65"/>
        <v>347.73</v>
      </c>
      <c r="N178" s="748">
        <f t="shared" si="66"/>
        <v>0</v>
      </c>
      <c r="O178" s="744" t="e">
        <f t="shared" si="67"/>
        <v>#REF!</v>
      </c>
      <c r="Q178" s="824">
        <v>185.02</v>
      </c>
      <c r="R178" s="883">
        <f t="shared" si="68"/>
        <v>185.02</v>
      </c>
      <c r="S178" s="882">
        <f t="shared" si="69"/>
        <v>180.17999999999998</v>
      </c>
      <c r="T178" s="751"/>
      <c r="U178" s="824" t="e">
        <f t="shared" si="70"/>
        <v>#REF!</v>
      </c>
      <c r="V178" s="883" t="e">
        <f t="shared" si="71"/>
        <v>#REF!</v>
      </c>
      <c r="W178" s="882"/>
    </row>
    <row r="179" spans="2:23" ht="11.25" customHeight="1">
      <c r="B179" s="757" t="s">
        <v>51</v>
      </c>
      <c r="C179" s="1013" t="s">
        <v>295</v>
      </c>
      <c r="D179" s="738" t="s">
        <v>291</v>
      </c>
      <c r="E179" s="739">
        <v>2</v>
      </c>
      <c r="F179" s="740">
        <v>0.3</v>
      </c>
      <c r="G179" s="741">
        <v>1054.8399999999999</v>
      </c>
      <c r="H179" s="759">
        <f t="shared" si="63"/>
        <v>632.9</v>
      </c>
      <c r="I179" s="743">
        <f>LOOKUP(B179,valoriz!$A$13:$A$242,valoriz!I$13:I$242)</f>
        <v>0</v>
      </c>
      <c r="J179" s="744">
        <f t="shared" ref="J179:J200" si="72">+ROUND(E179*F179*I179,2)</f>
        <v>0</v>
      </c>
      <c r="K179" s="745">
        <f>+K178</f>
        <v>3.29</v>
      </c>
      <c r="L179" s="746" t="e">
        <f t="shared" si="64"/>
        <v>#REF!</v>
      </c>
      <c r="M179" s="747" t="str">
        <f t="shared" si="65"/>
        <v>347.73</v>
      </c>
      <c r="N179" s="748">
        <f t="shared" si="66"/>
        <v>0</v>
      </c>
      <c r="O179" s="744" t="e">
        <f t="shared" si="67"/>
        <v>#REF!</v>
      </c>
      <c r="Q179" s="824">
        <v>382.59</v>
      </c>
      <c r="R179" s="883">
        <f t="shared" si="68"/>
        <v>382.59</v>
      </c>
      <c r="S179" s="882">
        <f t="shared" si="69"/>
        <v>250.31</v>
      </c>
      <c r="T179" s="751"/>
      <c r="U179" s="824" t="e">
        <f t="shared" si="70"/>
        <v>#REF!</v>
      </c>
      <c r="V179" s="883" t="e">
        <f t="shared" si="71"/>
        <v>#REF!</v>
      </c>
      <c r="W179" s="882"/>
    </row>
    <row r="180" spans="2:23" ht="11.25" customHeight="1">
      <c r="B180" s="757"/>
      <c r="C180" s="1013"/>
      <c r="D180" s="738" t="s">
        <v>291</v>
      </c>
      <c r="E180" s="739">
        <v>0.8</v>
      </c>
      <c r="F180" s="740">
        <f>4.6*0.3</f>
        <v>1.38</v>
      </c>
      <c r="G180" s="741">
        <v>1054.8399999999999</v>
      </c>
      <c r="H180" s="759">
        <f t="shared" si="63"/>
        <v>1164.54</v>
      </c>
      <c r="I180" s="743">
        <f>LOOKUP(B179,valoriz!$A$13:$A$242,valoriz!I$13:I$242)</f>
        <v>0</v>
      </c>
      <c r="J180" s="744">
        <f t="shared" si="72"/>
        <v>0</v>
      </c>
      <c r="K180" s="745">
        <f>+K179</f>
        <v>3.29</v>
      </c>
      <c r="L180" s="746" t="e">
        <f t="shared" si="64"/>
        <v>#REF!</v>
      </c>
      <c r="M180" s="747" t="str">
        <f t="shared" si="65"/>
        <v>347.73</v>
      </c>
      <c r="N180" s="748">
        <f t="shared" si="66"/>
        <v>0</v>
      </c>
      <c r="O180" s="744" t="e">
        <f t="shared" si="67"/>
        <v>#REF!</v>
      </c>
      <c r="Q180" s="824">
        <v>703.94</v>
      </c>
      <c r="R180" s="883">
        <f t="shared" si="68"/>
        <v>703.94</v>
      </c>
      <c r="S180" s="882">
        <f t="shared" si="69"/>
        <v>460.59999999999991</v>
      </c>
      <c r="T180" s="751"/>
      <c r="U180" s="824" t="e">
        <f t="shared" si="70"/>
        <v>#REF!</v>
      </c>
      <c r="V180" s="883" t="e">
        <f t="shared" si="71"/>
        <v>#REF!</v>
      </c>
      <c r="W180" s="882"/>
    </row>
    <row r="181" spans="2:23" ht="11.25" customHeight="1">
      <c r="B181" s="757" t="s">
        <v>57</v>
      </c>
      <c r="C181" s="1013" t="s">
        <v>58</v>
      </c>
      <c r="D181" s="738" t="s">
        <v>174</v>
      </c>
      <c r="E181" s="739">
        <v>0.189</v>
      </c>
      <c r="F181" s="740">
        <f t="shared" ref="F181:F198" si="73">9.8*0.3</f>
        <v>2.94</v>
      </c>
      <c r="G181" s="741">
        <v>4206</v>
      </c>
      <c r="H181" s="759">
        <f t="shared" si="63"/>
        <v>2337.11</v>
      </c>
      <c r="I181" s="743">
        <f>LOOKUP(B181,valoriz!$A$13:$A$242,valoriz!I$13:I$242)</f>
        <v>0</v>
      </c>
      <c r="J181" s="744">
        <f t="shared" si="72"/>
        <v>0</v>
      </c>
      <c r="K181" s="745">
        <f>+K179</f>
        <v>3.29</v>
      </c>
      <c r="L181" s="746" t="e">
        <f t="shared" si="64"/>
        <v>#REF!</v>
      </c>
      <c r="M181" s="747" t="str">
        <f t="shared" si="65"/>
        <v>347.73</v>
      </c>
      <c r="N181" s="748">
        <f t="shared" si="66"/>
        <v>0</v>
      </c>
      <c r="O181" s="744" t="e">
        <f t="shared" si="67"/>
        <v>#REF!</v>
      </c>
      <c r="Q181" s="965">
        <v>2225.42</v>
      </c>
      <c r="R181" s="966">
        <f t="shared" si="68"/>
        <v>2225.42</v>
      </c>
      <c r="S181" s="882">
        <f t="shared" si="69"/>
        <v>111.69000000000005</v>
      </c>
      <c r="T181" s="751"/>
      <c r="U181" s="824" t="e">
        <f t="shared" si="70"/>
        <v>#REF!</v>
      </c>
      <c r="V181" s="883" t="e">
        <f t="shared" si="71"/>
        <v>#REF!</v>
      </c>
      <c r="W181" s="882"/>
    </row>
    <row r="182" spans="2:23" ht="11.25" customHeight="1">
      <c r="B182" s="757" t="s">
        <v>59</v>
      </c>
      <c r="C182" s="1013" t="s">
        <v>60</v>
      </c>
      <c r="D182" s="738" t="s">
        <v>174</v>
      </c>
      <c r="E182" s="739">
        <v>0.17199999999999999</v>
      </c>
      <c r="F182" s="740">
        <f t="shared" si="73"/>
        <v>2.94</v>
      </c>
      <c r="G182" s="754">
        <v>3942</v>
      </c>
      <c r="H182" s="759">
        <f t="shared" si="63"/>
        <v>1993.39</v>
      </c>
      <c r="I182" s="743">
        <f>LOOKUP(B182,valoriz!$A$13:$A$242,valoriz!I$13:I$242)</f>
        <v>0</v>
      </c>
      <c r="J182" s="744">
        <f t="shared" si="72"/>
        <v>0</v>
      </c>
      <c r="K182" s="745">
        <f t="shared" ref="K182:K200" si="74">+K181</f>
        <v>3.29</v>
      </c>
      <c r="L182" s="746" t="e">
        <f t="shared" si="64"/>
        <v>#REF!</v>
      </c>
      <c r="M182" s="747" t="str">
        <f t="shared" si="65"/>
        <v>347.73</v>
      </c>
      <c r="N182" s="748">
        <f t="shared" si="66"/>
        <v>0</v>
      </c>
      <c r="O182" s="744" t="e">
        <f t="shared" si="67"/>
        <v>#REF!</v>
      </c>
      <c r="Q182" s="824">
        <v>640.44000000000005</v>
      </c>
      <c r="R182" s="883">
        <f t="shared" si="68"/>
        <v>640.44000000000005</v>
      </c>
      <c r="S182" s="882">
        <f t="shared" si="69"/>
        <v>1352.95</v>
      </c>
      <c r="T182" s="751"/>
      <c r="U182" s="824" t="e">
        <f t="shared" si="70"/>
        <v>#REF!</v>
      </c>
      <c r="V182" s="883" t="e">
        <f t="shared" si="71"/>
        <v>#REF!</v>
      </c>
      <c r="W182" s="882"/>
    </row>
    <row r="183" spans="2:23" ht="11.25" customHeight="1">
      <c r="B183" s="757" t="s">
        <v>61</v>
      </c>
      <c r="C183" s="1013" t="s">
        <v>62</v>
      </c>
      <c r="D183" s="738" t="s">
        <v>174</v>
      </c>
      <c r="E183" s="739">
        <v>0.188</v>
      </c>
      <c r="F183" s="740">
        <f t="shared" si="73"/>
        <v>2.94</v>
      </c>
      <c r="G183" s="754">
        <v>41679.79</v>
      </c>
      <c r="H183" s="759">
        <f t="shared" si="63"/>
        <v>23037.25</v>
      </c>
      <c r="I183" s="743">
        <f>LOOKUP(B183,valoriz!$A$13:$A$242,valoriz!I$13:I$242)</f>
        <v>0</v>
      </c>
      <c r="J183" s="744">
        <f t="shared" si="72"/>
        <v>0</v>
      </c>
      <c r="K183" s="745">
        <f t="shared" si="74"/>
        <v>3.29</v>
      </c>
      <c r="L183" s="746" t="e">
        <f t="shared" si="64"/>
        <v>#REF!</v>
      </c>
      <c r="M183" s="747" t="str">
        <f t="shared" si="65"/>
        <v>347.73</v>
      </c>
      <c r="N183" s="748">
        <f t="shared" si="66"/>
        <v>0</v>
      </c>
      <c r="O183" s="744" t="e">
        <f t="shared" si="67"/>
        <v>#REF!</v>
      </c>
      <c r="Q183" s="824">
        <v>11489.83</v>
      </c>
      <c r="R183" s="883">
        <f t="shared" si="68"/>
        <v>11489.83</v>
      </c>
      <c r="S183" s="882">
        <f t="shared" si="69"/>
        <v>11547.42</v>
      </c>
      <c r="T183" s="751"/>
      <c r="U183" s="824" t="e">
        <f t="shared" si="70"/>
        <v>#REF!</v>
      </c>
      <c r="V183" s="883" t="e">
        <f t="shared" si="71"/>
        <v>#REF!</v>
      </c>
      <c r="W183" s="882"/>
    </row>
    <row r="184" spans="2:23" ht="11.25" customHeight="1">
      <c r="B184" s="736" t="s">
        <v>63</v>
      </c>
      <c r="C184" s="1013" t="s">
        <v>64</v>
      </c>
      <c r="D184" s="755" t="s">
        <v>174</v>
      </c>
      <c r="E184" s="739">
        <v>0.18</v>
      </c>
      <c r="F184" s="740">
        <f t="shared" si="73"/>
        <v>2.94</v>
      </c>
      <c r="G184" s="754">
        <v>4324.7</v>
      </c>
      <c r="H184" s="759">
        <f t="shared" si="63"/>
        <v>2288.63</v>
      </c>
      <c r="I184" s="743">
        <f>LOOKUP(B184,valoriz!$A$13:$A$242,valoriz!I$13:I$242)</f>
        <v>0</v>
      </c>
      <c r="J184" s="744">
        <f t="shared" si="72"/>
        <v>0</v>
      </c>
      <c r="K184" s="745">
        <f t="shared" si="74"/>
        <v>3.29</v>
      </c>
      <c r="L184" s="746" t="e">
        <f t="shared" si="64"/>
        <v>#REF!</v>
      </c>
      <c r="M184" s="747" t="str">
        <f t="shared" si="65"/>
        <v>347.73</v>
      </c>
      <c r="N184" s="748">
        <f t="shared" si="66"/>
        <v>0</v>
      </c>
      <c r="O184" s="744" t="e">
        <f t="shared" si="67"/>
        <v>#REF!</v>
      </c>
      <c r="Q184" s="824">
        <v>2288.63</v>
      </c>
      <c r="R184" s="883">
        <f t="shared" si="68"/>
        <v>2288.63</v>
      </c>
      <c r="S184" s="882">
        <f t="shared" si="69"/>
        <v>0</v>
      </c>
      <c r="T184" s="751"/>
      <c r="U184" s="824" t="e">
        <f t="shared" si="70"/>
        <v>#REF!</v>
      </c>
      <c r="V184" s="883" t="e">
        <f t="shared" si="71"/>
        <v>#REF!</v>
      </c>
      <c r="W184" s="882"/>
    </row>
    <row r="185" spans="2:23" ht="11.25" customHeight="1">
      <c r="B185" s="736" t="s">
        <v>65</v>
      </c>
      <c r="C185" s="1013" t="s">
        <v>66</v>
      </c>
      <c r="D185" s="755" t="s">
        <v>174</v>
      </c>
      <c r="E185" s="739">
        <v>0.155</v>
      </c>
      <c r="F185" s="740">
        <f t="shared" si="73"/>
        <v>2.94</v>
      </c>
      <c r="G185" s="754">
        <v>93</v>
      </c>
      <c r="H185" s="759">
        <f t="shared" si="63"/>
        <v>42.38</v>
      </c>
      <c r="I185" s="743">
        <f>LOOKUP(B185,valoriz!$A$13:$A$242,valoriz!I$13:I$242)</f>
        <v>0</v>
      </c>
      <c r="J185" s="744">
        <f t="shared" si="72"/>
        <v>0</v>
      </c>
      <c r="K185" s="745">
        <f t="shared" si="74"/>
        <v>3.29</v>
      </c>
      <c r="L185" s="746" t="e">
        <f t="shared" si="64"/>
        <v>#REF!</v>
      </c>
      <c r="M185" s="747" t="str">
        <f t="shared" si="65"/>
        <v>347.73</v>
      </c>
      <c r="N185" s="748">
        <f t="shared" si="66"/>
        <v>0</v>
      </c>
      <c r="O185" s="744" t="e">
        <f t="shared" si="67"/>
        <v>#REF!</v>
      </c>
      <c r="Q185" s="824">
        <v>21.42</v>
      </c>
      <c r="R185" s="883">
        <f t="shared" si="68"/>
        <v>21.42</v>
      </c>
      <c r="S185" s="882">
        <f t="shared" si="69"/>
        <v>20.96</v>
      </c>
      <c r="T185" s="751"/>
      <c r="U185" s="824" t="e">
        <f t="shared" si="70"/>
        <v>#REF!</v>
      </c>
      <c r="V185" s="883" t="e">
        <f t="shared" si="71"/>
        <v>#REF!</v>
      </c>
      <c r="W185" s="882"/>
    </row>
    <row r="186" spans="2:23" ht="11.25" customHeight="1">
      <c r="B186" s="736" t="s">
        <v>67</v>
      </c>
      <c r="C186" s="1013" t="s">
        <v>68</v>
      </c>
      <c r="D186" s="755" t="s">
        <v>174</v>
      </c>
      <c r="E186" s="739">
        <v>0.313</v>
      </c>
      <c r="F186" s="740">
        <f t="shared" si="73"/>
        <v>2.94</v>
      </c>
      <c r="G186" s="754">
        <v>212</v>
      </c>
      <c r="H186" s="759">
        <f t="shared" si="63"/>
        <v>195.09</v>
      </c>
      <c r="I186" s="743">
        <f>LOOKUP(B186,valoriz!$A$13:$A$242,valoriz!I$13:I$242)</f>
        <v>0</v>
      </c>
      <c r="J186" s="744">
        <f t="shared" si="72"/>
        <v>0</v>
      </c>
      <c r="K186" s="745">
        <f t="shared" si="74"/>
        <v>3.29</v>
      </c>
      <c r="L186" s="746" t="e">
        <f t="shared" si="64"/>
        <v>#REF!</v>
      </c>
      <c r="M186" s="747" t="str">
        <f t="shared" si="65"/>
        <v>347.73</v>
      </c>
      <c r="N186" s="748">
        <f t="shared" si="66"/>
        <v>0</v>
      </c>
      <c r="O186" s="744" t="e">
        <f t="shared" si="67"/>
        <v>#REF!</v>
      </c>
      <c r="Q186" s="824">
        <v>195.08</v>
      </c>
      <c r="R186" s="883">
        <f t="shared" si="68"/>
        <v>195.08</v>
      </c>
      <c r="S186" s="882">
        <f t="shared" si="69"/>
        <v>9.9999999999909051E-3</v>
      </c>
      <c r="T186" s="751"/>
      <c r="U186" s="824" t="e">
        <f t="shared" si="70"/>
        <v>#REF!</v>
      </c>
      <c r="V186" s="883" t="e">
        <f t="shared" si="71"/>
        <v>#REF!</v>
      </c>
      <c r="W186" s="882"/>
    </row>
    <row r="187" spans="2:23" ht="11.25" customHeight="1">
      <c r="B187" s="757" t="s">
        <v>69</v>
      </c>
      <c r="C187" s="1027" t="s">
        <v>70</v>
      </c>
      <c r="D187" s="755" t="s">
        <v>174</v>
      </c>
      <c r="E187" s="739">
        <v>0.17</v>
      </c>
      <c r="F187" s="740">
        <f t="shared" si="73"/>
        <v>2.94</v>
      </c>
      <c r="G187" s="754">
        <v>90</v>
      </c>
      <c r="H187" s="759">
        <f t="shared" si="63"/>
        <v>44.98</v>
      </c>
      <c r="I187" s="743">
        <f>LOOKUP(B187,valoriz!$A$13:$A$242,valoriz!I$13:I$242)</f>
        <v>0</v>
      </c>
      <c r="J187" s="744">
        <f t="shared" si="72"/>
        <v>0</v>
      </c>
      <c r="K187" s="745">
        <f t="shared" si="74"/>
        <v>3.29</v>
      </c>
      <c r="L187" s="746" t="e">
        <f t="shared" si="64"/>
        <v>#REF!</v>
      </c>
      <c r="M187" s="747" t="str">
        <f t="shared" si="65"/>
        <v>347.73</v>
      </c>
      <c r="N187" s="748">
        <f t="shared" si="66"/>
        <v>0</v>
      </c>
      <c r="O187" s="744" t="e">
        <f t="shared" si="67"/>
        <v>#REF!</v>
      </c>
      <c r="Q187" s="824">
        <v>0</v>
      </c>
      <c r="R187" s="883">
        <f t="shared" si="68"/>
        <v>0</v>
      </c>
      <c r="S187" s="882">
        <f t="shared" si="69"/>
        <v>44.98</v>
      </c>
      <c r="T187" s="751"/>
      <c r="U187" s="824" t="e">
        <f t="shared" si="70"/>
        <v>#REF!</v>
      </c>
      <c r="V187" s="883" t="e">
        <f t="shared" si="71"/>
        <v>#REF!</v>
      </c>
      <c r="W187" s="882"/>
    </row>
    <row r="188" spans="2:23" ht="11.25" customHeight="1">
      <c r="B188" s="757" t="s">
        <v>71</v>
      </c>
      <c r="C188" s="1027" t="s">
        <v>72</v>
      </c>
      <c r="D188" s="755" t="s">
        <v>174</v>
      </c>
      <c r="E188" s="739">
        <v>0.16200000000000001</v>
      </c>
      <c r="F188" s="740">
        <f t="shared" si="73"/>
        <v>2.94</v>
      </c>
      <c r="G188" s="754">
        <v>4332.3</v>
      </c>
      <c r="H188" s="759">
        <f t="shared" si="63"/>
        <v>2063.39</v>
      </c>
      <c r="I188" s="743">
        <f>LOOKUP(B188,valoriz!$A$13:$A$242,valoriz!I$13:I$242)</f>
        <v>0</v>
      </c>
      <c r="J188" s="744">
        <f t="shared" si="72"/>
        <v>0</v>
      </c>
      <c r="K188" s="745">
        <f t="shared" si="74"/>
        <v>3.29</v>
      </c>
      <c r="L188" s="746" t="e">
        <f t="shared" si="64"/>
        <v>#REF!</v>
      </c>
      <c r="M188" s="747" t="str">
        <f t="shared" si="65"/>
        <v>347.73</v>
      </c>
      <c r="N188" s="748">
        <f t="shared" si="66"/>
        <v>0</v>
      </c>
      <c r="O188" s="744" t="e">
        <f t="shared" si="67"/>
        <v>#REF!</v>
      </c>
      <c r="Q188" s="824">
        <v>918.51</v>
      </c>
      <c r="R188" s="883">
        <f t="shared" si="68"/>
        <v>918.51</v>
      </c>
      <c r="S188" s="882">
        <f t="shared" si="69"/>
        <v>1144.8799999999999</v>
      </c>
      <c r="T188" s="751"/>
      <c r="U188" s="824" t="e">
        <f t="shared" si="70"/>
        <v>#REF!</v>
      </c>
      <c r="V188" s="883" t="e">
        <f t="shared" si="71"/>
        <v>#REF!</v>
      </c>
      <c r="W188" s="882"/>
    </row>
    <row r="189" spans="2:23" ht="11.25" customHeight="1">
      <c r="B189" s="757" t="s">
        <v>73</v>
      </c>
      <c r="C189" s="1027" t="s">
        <v>74</v>
      </c>
      <c r="D189" s="738" t="s">
        <v>174</v>
      </c>
      <c r="E189" s="739">
        <v>0.09</v>
      </c>
      <c r="F189" s="740">
        <f t="shared" si="73"/>
        <v>2.94</v>
      </c>
      <c r="G189" s="754">
        <v>1965</v>
      </c>
      <c r="H189" s="759">
        <f t="shared" si="63"/>
        <v>519.94000000000005</v>
      </c>
      <c r="I189" s="743">
        <f>LOOKUP(B189,valoriz!$A$13:$A$242,valoriz!I$13:I$242)</f>
        <v>0</v>
      </c>
      <c r="J189" s="744">
        <f t="shared" si="72"/>
        <v>0</v>
      </c>
      <c r="K189" s="745">
        <f t="shared" si="74"/>
        <v>3.29</v>
      </c>
      <c r="L189" s="746" t="e">
        <f t="shared" si="64"/>
        <v>#REF!</v>
      </c>
      <c r="M189" s="747" t="str">
        <f t="shared" si="65"/>
        <v>347.73</v>
      </c>
      <c r="N189" s="748">
        <f t="shared" si="66"/>
        <v>0</v>
      </c>
      <c r="O189" s="744" t="e">
        <f t="shared" si="67"/>
        <v>#REF!</v>
      </c>
      <c r="Q189" s="824">
        <v>103.98</v>
      </c>
      <c r="R189" s="883">
        <f t="shared" si="68"/>
        <v>103.98</v>
      </c>
      <c r="S189" s="882">
        <f t="shared" si="69"/>
        <v>415.96000000000004</v>
      </c>
      <c r="T189" s="751"/>
      <c r="U189" s="824" t="e">
        <f t="shared" si="70"/>
        <v>#REF!</v>
      </c>
      <c r="V189" s="883" t="e">
        <f t="shared" si="71"/>
        <v>#REF!</v>
      </c>
      <c r="W189" s="882"/>
    </row>
    <row r="190" spans="2:23" ht="11.25" customHeight="1">
      <c r="B190" s="757" t="s">
        <v>75</v>
      </c>
      <c r="C190" s="1027" t="s">
        <v>76</v>
      </c>
      <c r="D190" s="738" t="s">
        <v>174</v>
      </c>
      <c r="E190" s="739">
        <v>8.2000000000000003E-2</v>
      </c>
      <c r="F190" s="740">
        <f t="shared" si="73"/>
        <v>2.94</v>
      </c>
      <c r="G190" s="752">
        <v>215</v>
      </c>
      <c r="H190" s="759">
        <f t="shared" si="63"/>
        <v>51.83</v>
      </c>
      <c r="I190" s="743">
        <f>LOOKUP(B190,valoriz!$A$13:$A$242,valoriz!I$13:I$242)</f>
        <v>0</v>
      </c>
      <c r="J190" s="744">
        <f t="shared" si="72"/>
        <v>0</v>
      </c>
      <c r="K190" s="745">
        <f t="shared" si="74"/>
        <v>3.29</v>
      </c>
      <c r="L190" s="746" t="e">
        <f t="shared" si="64"/>
        <v>#REF!</v>
      </c>
      <c r="M190" s="747" t="str">
        <f t="shared" si="65"/>
        <v>347.73</v>
      </c>
      <c r="N190" s="748">
        <f t="shared" si="66"/>
        <v>0</v>
      </c>
      <c r="O190" s="744" t="e">
        <f t="shared" si="67"/>
        <v>#REF!</v>
      </c>
      <c r="Q190" s="824">
        <v>0</v>
      </c>
      <c r="R190" s="883">
        <f t="shared" si="68"/>
        <v>0</v>
      </c>
      <c r="S190" s="882">
        <f t="shared" si="69"/>
        <v>51.83</v>
      </c>
      <c r="T190" s="751"/>
      <c r="U190" s="824" t="e">
        <f t="shared" si="70"/>
        <v>#REF!</v>
      </c>
      <c r="V190" s="883" t="e">
        <f t="shared" si="71"/>
        <v>#REF!</v>
      </c>
      <c r="W190" s="882"/>
    </row>
    <row r="191" spans="2:23" ht="11.25" customHeight="1">
      <c r="B191" s="757" t="s">
        <v>77</v>
      </c>
      <c r="C191" s="1027" t="s">
        <v>78</v>
      </c>
      <c r="D191" s="755" t="s">
        <v>174</v>
      </c>
      <c r="E191" s="739">
        <v>7.0000000000000007E-2</v>
      </c>
      <c r="F191" s="740">
        <f t="shared" si="73"/>
        <v>2.94</v>
      </c>
      <c r="G191" s="754">
        <v>1676</v>
      </c>
      <c r="H191" s="759">
        <f t="shared" si="63"/>
        <v>344.92</v>
      </c>
      <c r="I191" s="743">
        <f>LOOKUP(B191,valoriz!$A$13:$A$242,valoriz!I$13:I$242)</f>
        <v>0</v>
      </c>
      <c r="J191" s="744">
        <f t="shared" si="72"/>
        <v>0</v>
      </c>
      <c r="K191" s="745">
        <f t="shared" si="74"/>
        <v>3.29</v>
      </c>
      <c r="L191" s="746" t="e">
        <f t="shared" si="64"/>
        <v>#REF!</v>
      </c>
      <c r="M191" s="747" t="str">
        <f t="shared" si="65"/>
        <v>347.73</v>
      </c>
      <c r="N191" s="748">
        <f t="shared" si="66"/>
        <v>0</v>
      </c>
      <c r="O191" s="744" t="e">
        <f t="shared" si="67"/>
        <v>#REF!</v>
      </c>
      <c r="Q191" s="824">
        <v>170.81</v>
      </c>
      <c r="R191" s="883">
        <f t="shared" si="68"/>
        <v>170.81</v>
      </c>
      <c r="S191" s="882">
        <f t="shared" si="69"/>
        <v>174.11</v>
      </c>
      <c r="T191" s="751"/>
      <c r="U191" s="824" t="e">
        <f t="shared" si="70"/>
        <v>#REF!</v>
      </c>
      <c r="V191" s="883" t="e">
        <f t="shared" si="71"/>
        <v>#REF!</v>
      </c>
      <c r="W191" s="882"/>
    </row>
    <row r="192" spans="2:23" ht="11.25" customHeight="1">
      <c r="B192" s="757" t="s">
        <v>79</v>
      </c>
      <c r="C192" s="1027" t="s">
        <v>80</v>
      </c>
      <c r="D192" s="755" t="s">
        <v>174</v>
      </c>
      <c r="E192" s="739">
        <v>8.2000000000000003E-2</v>
      </c>
      <c r="F192" s="740">
        <f t="shared" si="73"/>
        <v>2.94</v>
      </c>
      <c r="G192" s="754">
        <v>348</v>
      </c>
      <c r="H192" s="759">
        <f t="shared" si="63"/>
        <v>83.9</v>
      </c>
      <c r="I192" s="743">
        <f>LOOKUP(B192,valoriz!$A$13:$A$242,valoriz!I$13:I$242)</f>
        <v>0</v>
      </c>
      <c r="J192" s="744">
        <f t="shared" si="72"/>
        <v>0</v>
      </c>
      <c r="K192" s="745">
        <f t="shared" si="74"/>
        <v>3.29</v>
      </c>
      <c r="L192" s="746" t="e">
        <f t="shared" si="64"/>
        <v>#REF!</v>
      </c>
      <c r="M192" s="747" t="str">
        <f t="shared" si="65"/>
        <v>347.73</v>
      </c>
      <c r="N192" s="748">
        <f t="shared" si="66"/>
        <v>0</v>
      </c>
      <c r="O192" s="744" t="e">
        <f t="shared" si="67"/>
        <v>#REF!</v>
      </c>
      <c r="Q192" s="824">
        <v>0</v>
      </c>
      <c r="R192" s="883">
        <f t="shared" si="68"/>
        <v>0</v>
      </c>
      <c r="S192" s="882">
        <f t="shared" si="69"/>
        <v>83.9</v>
      </c>
      <c r="T192" s="751"/>
      <c r="U192" s="824" t="e">
        <f t="shared" si="70"/>
        <v>#REF!</v>
      </c>
      <c r="V192" s="883" t="e">
        <f t="shared" si="71"/>
        <v>#REF!</v>
      </c>
      <c r="W192" s="882"/>
    </row>
    <row r="193" spans="2:23" ht="11.25" customHeight="1">
      <c r="B193" s="757" t="s">
        <v>81</v>
      </c>
      <c r="C193" s="1027" t="s">
        <v>82</v>
      </c>
      <c r="D193" s="755" t="s">
        <v>601</v>
      </c>
      <c r="E193" s="739">
        <v>0.21</v>
      </c>
      <c r="F193" s="740">
        <f t="shared" si="73"/>
        <v>2.94</v>
      </c>
      <c r="G193" s="754">
        <v>60</v>
      </c>
      <c r="H193" s="759">
        <f t="shared" si="63"/>
        <v>37.04</v>
      </c>
      <c r="I193" s="743">
        <f>LOOKUP(B193,valoriz!$A$13:$A$242,valoriz!I$13:I$242)</f>
        <v>0</v>
      </c>
      <c r="J193" s="744">
        <f t="shared" si="72"/>
        <v>0</v>
      </c>
      <c r="K193" s="745">
        <f t="shared" si="74"/>
        <v>3.29</v>
      </c>
      <c r="L193" s="746" t="e">
        <f t="shared" si="64"/>
        <v>#REF!</v>
      </c>
      <c r="M193" s="747" t="str">
        <f t="shared" si="65"/>
        <v>347.73</v>
      </c>
      <c r="N193" s="748">
        <f t="shared" si="66"/>
        <v>0</v>
      </c>
      <c r="O193" s="744" t="e">
        <f t="shared" si="67"/>
        <v>#REF!</v>
      </c>
      <c r="Q193" s="824">
        <v>15.44</v>
      </c>
      <c r="R193" s="883">
        <f t="shared" si="68"/>
        <v>15.44</v>
      </c>
      <c r="S193" s="882">
        <f t="shared" si="69"/>
        <v>21.6</v>
      </c>
      <c r="T193" s="751"/>
      <c r="U193" s="824" t="e">
        <f t="shared" si="70"/>
        <v>#REF!</v>
      </c>
      <c r="V193" s="883" t="e">
        <f t="shared" si="71"/>
        <v>#REF!</v>
      </c>
      <c r="W193" s="882"/>
    </row>
    <row r="194" spans="2:23" ht="11.25" customHeight="1">
      <c r="B194" s="757" t="s">
        <v>83</v>
      </c>
      <c r="C194" s="1027" t="s">
        <v>84</v>
      </c>
      <c r="D194" s="755" t="s">
        <v>174</v>
      </c>
      <c r="E194" s="739">
        <v>0.15</v>
      </c>
      <c r="F194" s="740">
        <f t="shared" si="73"/>
        <v>2.94</v>
      </c>
      <c r="G194" s="754">
        <v>279</v>
      </c>
      <c r="H194" s="759">
        <f t="shared" si="63"/>
        <v>123.04</v>
      </c>
      <c r="I194" s="743">
        <f>LOOKUP(B194,valoriz!$A$13:$A$242,valoriz!I$13:I$242)</f>
        <v>0</v>
      </c>
      <c r="J194" s="744">
        <f t="shared" si="72"/>
        <v>0</v>
      </c>
      <c r="K194" s="745">
        <f t="shared" si="74"/>
        <v>3.29</v>
      </c>
      <c r="L194" s="746" t="e">
        <f t="shared" si="64"/>
        <v>#REF!</v>
      </c>
      <c r="M194" s="747" t="str">
        <f t="shared" si="65"/>
        <v>347.73</v>
      </c>
      <c r="N194" s="748">
        <f t="shared" si="66"/>
        <v>0</v>
      </c>
      <c r="O194" s="744" t="e">
        <f t="shared" si="67"/>
        <v>#REF!</v>
      </c>
      <c r="Q194" s="965">
        <v>77.62</v>
      </c>
      <c r="R194" s="966">
        <f t="shared" si="68"/>
        <v>77.62</v>
      </c>
      <c r="S194" s="967">
        <f t="shared" si="69"/>
        <v>45.42</v>
      </c>
      <c r="T194" s="751"/>
      <c r="U194" s="824" t="e">
        <f t="shared" si="70"/>
        <v>#REF!</v>
      </c>
      <c r="V194" s="883" t="e">
        <f t="shared" si="71"/>
        <v>#REF!</v>
      </c>
      <c r="W194" s="882"/>
    </row>
    <row r="195" spans="2:23" ht="11.25" customHeight="1">
      <c r="B195" s="757" t="s">
        <v>85</v>
      </c>
      <c r="C195" s="1027" t="s">
        <v>86</v>
      </c>
      <c r="D195" s="755" t="s">
        <v>174</v>
      </c>
      <c r="E195" s="739">
        <v>0.12</v>
      </c>
      <c r="F195" s="740">
        <f t="shared" si="73"/>
        <v>2.94</v>
      </c>
      <c r="G195" s="754">
        <v>93</v>
      </c>
      <c r="H195" s="759">
        <f t="shared" si="63"/>
        <v>32.81</v>
      </c>
      <c r="I195" s="743">
        <f>LOOKUP(B195,valoriz!$A$13:$A$242,valoriz!I$13:I$242)</f>
        <v>0</v>
      </c>
      <c r="J195" s="744">
        <f t="shared" si="72"/>
        <v>0</v>
      </c>
      <c r="K195" s="745">
        <f t="shared" si="74"/>
        <v>3.29</v>
      </c>
      <c r="L195" s="746" t="e">
        <f t="shared" si="64"/>
        <v>#REF!</v>
      </c>
      <c r="M195" s="747" t="str">
        <f t="shared" si="65"/>
        <v>347.73</v>
      </c>
      <c r="N195" s="748">
        <f t="shared" si="66"/>
        <v>0</v>
      </c>
      <c r="O195" s="744" t="e">
        <f t="shared" si="67"/>
        <v>#REF!</v>
      </c>
      <c r="Q195" s="824">
        <v>21.88</v>
      </c>
      <c r="R195" s="883">
        <f t="shared" si="68"/>
        <v>21.88</v>
      </c>
      <c r="S195" s="882">
        <f t="shared" si="69"/>
        <v>10.930000000000003</v>
      </c>
      <c r="T195" s="751"/>
      <c r="U195" s="824" t="e">
        <f t="shared" si="70"/>
        <v>#REF!</v>
      </c>
      <c r="V195" s="883" t="e">
        <f t="shared" si="71"/>
        <v>#REF!</v>
      </c>
      <c r="W195" s="882"/>
    </row>
    <row r="196" spans="2:23" ht="11.25" customHeight="1">
      <c r="B196" s="757" t="s">
        <v>87</v>
      </c>
      <c r="C196" s="1027" t="s">
        <v>88</v>
      </c>
      <c r="D196" s="755" t="s">
        <v>173</v>
      </c>
      <c r="E196" s="739">
        <v>7.0000000000000007E-2</v>
      </c>
      <c r="F196" s="740">
        <f t="shared" si="73"/>
        <v>2.94</v>
      </c>
      <c r="G196" s="754">
        <v>2317.2199999999998</v>
      </c>
      <c r="H196" s="759">
        <f t="shared" si="63"/>
        <v>476.88</v>
      </c>
      <c r="I196" s="743">
        <f>LOOKUP(B196,valoriz!$A$13:$A$242,valoriz!I$13:I$242)</f>
        <v>0</v>
      </c>
      <c r="J196" s="744">
        <f t="shared" si="72"/>
        <v>0</v>
      </c>
      <c r="K196" s="745">
        <f t="shared" si="74"/>
        <v>3.29</v>
      </c>
      <c r="L196" s="746" t="e">
        <f t="shared" si="64"/>
        <v>#REF!</v>
      </c>
      <c r="M196" s="747" t="str">
        <f t="shared" si="65"/>
        <v>347.73</v>
      </c>
      <c r="N196" s="748">
        <f t="shared" si="66"/>
        <v>0</v>
      </c>
      <c r="O196" s="744" t="e">
        <f t="shared" si="67"/>
        <v>#REF!</v>
      </c>
      <c r="Q196" s="824">
        <v>466.22</v>
      </c>
      <c r="R196" s="1074">
        <f>IF((Q196+J196)&lt;=H196,J196+Q196,H196)</f>
        <v>466.22</v>
      </c>
      <c r="S196" s="882">
        <f t="shared" si="69"/>
        <v>10.659999999999968</v>
      </c>
      <c r="T196" s="751"/>
      <c r="U196" s="824" t="e">
        <f t="shared" si="70"/>
        <v>#REF!</v>
      </c>
      <c r="V196" s="883" t="e">
        <f t="shared" si="71"/>
        <v>#REF!</v>
      </c>
      <c r="W196" s="882"/>
    </row>
    <row r="197" spans="2:23" ht="11.25" customHeight="1">
      <c r="B197" s="757" t="s">
        <v>89</v>
      </c>
      <c r="C197" s="1027" t="s">
        <v>90</v>
      </c>
      <c r="D197" s="755" t="s">
        <v>173</v>
      </c>
      <c r="E197" s="739">
        <v>0.2</v>
      </c>
      <c r="F197" s="740">
        <f t="shared" si="73"/>
        <v>2.94</v>
      </c>
      <c r="G197" s="754">
        <v>350.11</v>
      </c>
      <c r="H197" s="759">
        <f t="shared" si="63"/>
        <v>205.86</v>
      </c>
      <c r="I197" s="743">
        <f>LOOKUP(B197,valoriz!$A$13:$A$242,valoriz!I$13:I$242)</f>
        <v>0</v>
      </c>
      <c r="J197" s="744">
        <f t="shared" si="72"/>
        <v>0</v>
      </c>
      <c r="K197" s="745">
        <f t="shared" si="74"/>
        <v>3.29</v>
      </c>
      <c r="L197" s="746" t="e">
        <f t="shared" si="64"/>
        <v>#REF!</v>
      </c>
      <c r="M197" s="747" t="str">
        <f t="shared" si="65"/>
        <v>347.73</v>
      </c>
      <c r="N197" s="748">
        <f t="shared" si="66"/>
        <v>0</v>
      </c>
      <c r="O197" s="744" t="e">
        <f t="shared" si="67"/>
        <v>#REF!</v>
      </c>
      <c r="Q197" s="824">
        <v>175.01</v>
      </c>
      <c r="R197" s="883">
        <f t="shared" si="68"/>
        <v>175.01</v>
      </c>
      <c r="S197" s="882">
        <f t="shared" si="69"/>
        <v>30.850000000000023</v>
      </c>
      <c r="T197" s="751"/>
      <c r="U197" s="824" t="e">
        <f t="shared" si="70"/>
        <v>#REF!</v>
      </c>
      <c r="V197" s="883" t="e">
        <f t="shared" si="71"/>
        <v>#REF!</v>
      </c>
      <c r="W197" s="882"/>
    </row>
    <row r="198" spans="2:23" ht="11.25" customHeight="1">
      <c r="B198" s="757" t="s">
        <v>91</v>
      </c>
      <c r="C198" s="1027" t="s">
        <v>92</v>
      </c>
      <c r="D198" s="755" t="s">
        <v>173</v>
      </c>
      <c r="E198" s="739">
        <v>0.11</v>
      </c>
      <c r="F198" s="740">
        <f t="shared" si="73"/>
        <v>2.94</v>
      </c>
      <c r="G198" s="760">
        <v>6590</v>
      </c>
      <c r="H198" s="759">
        <f t="shared" si="63"/>
        <v>2131.21</v>
      </c>
      <c r="I198" s="743">
        <f>LOOKUP(B198,valoriz!$A$13:$A$242,valoriz!I$13:I$242)</f>
        <v>0</v>
      </c>
      <c r="J198" s="744">
        <f t="shared" si="72"/>
        <v>0</v>
      </c>
      <c r="K198" s="745">
        <f t="shared" si="74"/>
        <v>3.29</v>
      </c>
      <c r="L198" s="746" t="e">
        <f t="shared" si="64"/>
        <v>#REF!</v>
      </c>
      <c r="M198" s="747" t="str">
        <f t="shared" si="65"/>
        <v>347.73</v>
      </c>
      <c r="N198" s="748">
        <f t="shared" si="66"/>
        <v>0</v>
      </c>
      <c r="O198" s="744" t="e">
        <f t="shared" si="67"/>
        <v>#REF!</v>
      </c>
      <c r="Q198" s="824">
        <v>937.21</v>
      </c>
      <c r="R198" s="883">
        <f t="shared" si="68"/>
        <v>937.21</v>
      </c>
      <c r="S198" s="882">
        <f t="shared" si="69"/>
        <v>1194</v>
      </c>
      <c r="T198" s="751"/>
      <c r="U198" s="824" t="e">
        <f t="shared" si="70"/>
        <v>#REF!</v>
      </c>
      <c r="V198" s="883" t="e">
        <f t="shared" si="71"/>
        <v>#REF!</v>
      </c>
      <c r="W198" s="882"/>
    </row>
    <row r="199" spans="2:23" ht="11.25" customHeight="1">
      <c r="B199" s="757" t="s">
        <v>118</v>
      </c>
      <c r="C199" s="1027" t="s">
        <v>296</v>
      </c>
      <c r="D199" s="755" t="s">
        <v>174</v>
      </c>
      <c r="E199" s="739">
        <v>0.32</v>
      </c>
      <c r="F199" s="904">
        <f>0.8*4.6*0.3</f>
        <v>1.1039999999999999</v>
      </c>
      <c r="G199" s="754">
        <v>55</v>
      </c>
      <c r="H199" s="759">
        <f t="shared" si="63"/>
        <v>19.43</v>
      </c>
      <c r="I199" s="743">
        <f>LOOKUP(B199,valoriz!$A$13:$A$242,valoriz!I$13:I$242)</f>
        <v>0</v>
      </c>
      <c r="J199" s="744">
        <f t="shared" si="72"/>
        <v>0</v>
      </c>
      <c r="K199" s="745">
        <f t="shared" si="74"/>
        <v>3.29</v>
      </c>
      <c r="L199" s="746" t="e">
        <f t="shared" si="64"/>
        <v>#REF!</v>
      </c>
      <c r="M199" s="747" t="str">
        <f t="shared" si="65"/>
        <v>347.73</v>
      </c>
      <c r="N199" s="748">
        <f t="shared" si="66"/>
        <v>0</v>
      </c>
      <c r="O199" s="744" t="e">
        <f t="shared" si="67"/>
        <v>#REF!</v>
      </c>
      <c r="Q199" s="824">
        <v>0</v>
      </c>
      <c r="R199" s="883">
        <f t="shared" si="68"/>
        <v>0</v>
      </c>
      <c r="S199" s="882">
        <f t="shared" si="69"/>
        <v>19.43</v>
      </c>
      <c r="T199" s="751"/>
      <c r="U199" s="824" t="e">
        <f t="shared" si="70"/>
        <v>#REF!</v>
      </c>
      <c r="V199" s="883" t="e">
        <f t="shared" si="71"/>
        <v>#REF!</v>
      </c>
      <c r="W199" s="882"/>
    </row>
    <row r="200" spans="2:23" ht="11.25" customHeight="1">
      <c r="B200" s="757"/>
      <c r="C200" s="1027"/>
      <c r="D200" s="755"/>
      <c r="E200" s="739">
        <v>0.32</v>
      </c>
      <c r="F200" s="904">
        <f>2*0.3</f>
        <v>0.6</v>
      </c>
      <c r="G200" s="754">
        <v>55</v>
      </c>
      <c r="H200" s="759">
        <f t="shared" si="63"/>
        <v>10.56</v>
      </c>
      <c r="I200" s="743">
        <f>LOOKUP(B199,valoriz!$A$13:$A$242,valoriz!I$13:I$242)</f>
        <v>0</v>
      </c>
      <c r="J200" s="744">
        <f t="shared" si="72"/>
        <v>0</v>
      </c>
      <c r="K200" s="745">
        <f t="shared" si="74"/>
        <v>3.29</v>
      </c>
      <c r="L200" s="746" t="e">
        <f t="shared" si="64"/>
        <v>#REF!</v>
      </c>
      <c r="M200" s="747" t="str">
        <f t="shared" si="65"/>
        <v>347.73</v>
      </c>
      <c r="N200" s="748">
        <f t="shared" si="66"/>
        <v>0</v>
      </c>
      <c r="O200" s="744" t="e">
        <f t="shared" si="67"/>
        <v>#REF!</v>
      </c>
      <c r="Q200" s="828">
        <v>0</v>
      </c>
      <c r="R200" s="1014">
        <f t="shared" si="68"/>
        <v>0</v>
      </c>
      <c r="S200" s="891">
        <f t="shared" si="69"/>
        <v>10.56</v>
      </c>
      <c r="T200" s="751"/>
      <c r="U200" s="828" t="e">
        <f t="shared" si="70"/>
        <v>#REF!</v>
      </c>
      <c r="V200" s="1014" t="e">
        <f t="shared" si="71"/>
        <v>#REF!</v>
      </c>
      <c r="W200" s="891"/>
    </row>
    <row r="201" spans="2:23" ht="11.25" customHeight="1" thickBot="1">
      <c r="B201" s="762"/>
      <c r="C201" s="1015"/>
      <c r="D201" s="764"/>
      <c r="E201" s="765"/>
      <c r="F201" s="766"/>
      <c r="G201" s="799"/>
      <c r="H201" s="800"/>
      <c r="I201" s="799"/>
      <c r="J201" s="801"/>
      <c r="K201" s="770"/>
      <c r="L201" s="771"/>
      <c r="M201" s="772"/>
      <c r="N201" s="773"/>
      <c r="O201" s="769"/>
      <c r="Q201" s="871">
        <f>SUM(Q175:Q200)</f>
        <v>24069.82</v>
      </c>
      <c r="R201" s="896">
        <f>SUM(R175:R200)</f>
        <v>24069.82</v>
      </c>
      <c r="S201" s="897">
        <f>SUM(S175:S200)</f>
        <v>19978.579999999998</v>
      </c>
      <c r="U201" s="1057" t="e">
        <f>SUM(U175:U200)</f>
        <v>#REF!</v>
      </c>
      <c r="V201" s="969" t="e">
        <f>SUM(V175:V200)</f>
        <v>#REF!</v>
      </c>
      <c r="W201" s="897" t="e">
        <f>+W174-V202</f>
        <v>#REF!</v>
      </c>
    </row>
    <row r="202" spans="2:23" ht="11.25" customHeight="1">
      <c r="B202" s="775"/>
      <c r="C202" s="776"/>
      <c r="D202" s="777"/>
      <c r="E202" s="777"/>
      <c r="F202" s="778"/>
      <c r="G202" s="779"/>
      <c r="H202" s="780">
        <f>SUM(H175:H201)</f>
        <v>44048.399999999994</v>
      </c>
      <c r="I202" s="779"/>
      <c r="J202" s="780">
        <f>SUM(J175:J201)</f>
        <v>0</v>
      </c>
      <c r="K202" s="781"/>
      <c r="L202" s="777"/>
      <c r="M202" s="778"/>
      <c r="N202" s="782">
        <f>SUM(N175:N201)</f>
        <v>0</v>
      </c>
      <c r="O202" s="783">
        <f>IF(N202=0,0,SUM(O175:O200))</f>
        <v>0</v>
      </c>
      <c r="Q202" s="1654" t="str">
        <f>+IF(R201&gt;3869,"Amortizar",IF(R201&gt;J203,"Revisar Metrado","OK"))</f>
        <v>Amortizar</v>
      </c>
      <c r="R202" s="1719"/>
      <c r="S202" s="1655"/>
      <c r="U202" s="1054" t="e">
        <f>+ROUND(Q201*$K200*$L200/$M200,2)</f>
        <v>#REF!</v>
      </c>
      <c r="V202" s="1061" t="e">
        <f>+O202+U202-0.01</f>
        <v>#REF!</v>
      </c>
      <c r="W202" s="1056"/>
    </row>
    <row r="203" spans="2:23" ht="11.25" customHeight="1">
      <c r="B203" s="790"/>
      <c r="C203" s="791"/>
      <c r="D203" s="121"/>
      <c r="E203" s="792"/>
      <c r="F203" s="792"/>
      <c r="G203" s="786"/>
      <c r="H203" s="787" t="s">
        <v>214</v>
      </c>
      <c r="I203" s="788"/>
      <c r="J203" s="899">
        <v>40179</v>
      </c>
      <c r="K203" s="709"/>
      <c r="M203" s="709"/>
      <c r="N203" s="709"/>
      <c r="O203" s="751"/>
      <c r="P203" s="751"/>
      <c r="U203" s="751"/>
    </row>
    <row r="204" spans="2:23" ht="11.25" customHeight="1">
      <c r="B204" s="790"/>
      <c r="C204" s="791"/>
      <c r="D204" s="121"/>
      <c r="E204" s="792"/>
      <c r="F204" s="792"/>
      <c r="H204" s="699"/>
      <c r="J204" s="1035"/>
      <c r="K204" s="709"/>
      <c r="M204" s="709"/>
      <c r="N204" s="709"/>
      <c r="O204" s="751"/>
      <c r="P204" s="751"/>
      <c r="U204" s="751"/>
    </row>
    <row r="205" spans="2:23" ht="11.25" customHeight="1">
      <c r="B205" s="1714" t="s">
        <v>198</v>
      </c>
      <c r="C205" s="1714" t="s">
        <v>199</v>
      </c>
      <c r="D205" s="1716" t="s">
        <v>601</v>
      </c>
      <c r="E205" s="1712" t="s">
        <v>200</v>
      </c>
      <c r="F205" s="1713"/>
      <c r="G205" s="1712" t="s">
        <v>201</v>
      </c>
      <c r="H205" s="1713"/>
      <c r="I205" s="1712" t="s">
        <v>202</v>
      </c>
      <c r="J205" s="1713"/>
      <c r="K205" s="1714" t="s">
        <v>203</v>
      </c>
      <c r="L205" s="1712" t="s">
        <v>204</v>
      </c>
      <c r="M205" s="1713"/>
      <c r="N205" s="1712" t="s">
        <v>423</v>
      </c>
      <c r="O205" s="1713"/>
      <c r="P205" s="700"/>
      <c r="Q205" s="1695" t="s">
        <v>205</v>
      </c>
      <c r="R205" s="1696"/>
      <c r="S205" s="1697"/>
      <c r="T205" s="710"/>
      <c r="U205" s="1695" t="s">
        <v>331</v>
      </c>
      <c r="V205" s="1696"/>
      <c r="W205" s="1697"/>
    </row>
    <row r="206" spans="2:23" ht="20.100000000000001" customHeight="1">
      <c r="B206" s="1715"/>
      <c r="C206" s="1715"/>
      <c r="D206" s="1717"/>
      <c r="E206" s="1011" t="s">
        <v>206</v>
      </c>
      <c r="F206" s="1012" t="s">
        <v>207</v>
      </c>
      <c r="G206" s="1011" t="s">
        <v>452</v>
      </c>
      <c r="H206" s="1012" t="s">
        <v>208</v>
      </c>
      <c r="I206" s="1011" t="s">
        <v>452</v>
      </c>
      <c r="J206" s="1012" t="s">
        <v>208</v>
      </c>
      <c r="K206" s="1715"/>
      <c r="L206" s="1011" t="s">
        <v>467</v>
      </c>
      <c r="M206" s="1012" t="s">
        <v>468</v>
      </c>
      <c r="N206" s="1011" t="s">
        <v>209</v>
      </c>
      <c r="O206" s="1012" t="s">
        <v>210</v>
      </c>
      <c r="Q206" s="1149" t="s">
        <v>211</v>
      </c>
      <c r="R206" s="955" t="s">
        <v>394</v>
      </c>
      <c r="S206" s="956" t="s">
        <v>451</v>
      </c>
      <c r="T206" s="710"/>
      <c r="U206" s="954" t="s">
        <v>211</v>
      </c>
      <c r="V206" s="955" t="s">
        <v>394</v>
      </c>
      <c r="W206" s="956" t="s">
        <v>451</v>
      </c>
    </row>
    <row r="207" spans="2:23" ht="11.25" customHeight="1">
      <c r="B207" s="722" t="str">
        <f>+B$14</f>
        <v>Material:</v>
      </c>
      <c r="C207" s="728"/>
      <c r="D207" s="724"/>
      <c r="E207" s="730"/>
      <c r="G207" s="726"/>
      <c r="H207" s="727"/>
      <c r="I207" s="726"/>
      <c r="J207" s="728"/>
      <c r="K207" s="729"/>
      <c r="L207" s="724"/>
      <c r="M207" s="725"/>
      <c r="N207" s="730"/>
      <c r="O207" s="728"/>
      <c r="Q207" s="1150"/>
      <c r="R207" s="958"/>
      <c r="S207" s="959"/>
      <c r="T207" s="710"/>
      <c r="U207" s="1150"/>
      <c r="V207" s="958"/>
      <c r="W207" s="959"/>
    </row>
    <row r="208" spans="2:23" ht="11.25" customHeight="1">
      <c r="B208" s="722" t="s">
        <v>212</v>
      </c>
      <c r="C208" s="733" t="s">
        <v>1006</v>
      </c>
      <c r="D208" s="724"/>
      <c r="E208" s="730"/>
      <c r="F208" s="802"/>
      <c r="G208" s="726"/>
      <c r="H208" s="727"/>
      <c r="I208" s="726"/>
      <c r="J208" s="727"/>
      <c r="K208" s="729"/>
      <c r="L208" s="724"/>
      <c r="M208" s="725"/>
      <c r="N208" s="794"/>
      <c r="O208" s="795"/>
      <c r="Q208" s="1070"/>
      <c r="R208" s="961"/>
      <c r="S208" s="959"/>
      <c r="T208" s="710"/>
      <c r="U208" s="1070">
        <v>5.33</v>
      </c>
      <c r="V208" s="962">
        <f>+U208</f>
        <v>5.33</v>
      </c>
      <c r="W208" s="963">
        <v>22930.02</v>
      </c>
    </row>
    <row r="209" spans="2:23" ht="11.25" customHeight="1">
      <c r="B209" s="736" t="s">
        <v>43</v>
      </c>
      <c r="C209" s="1013" t="s">
        <v>44</v>
      </c>
      <c r="D209" s="738" t="s">
        <v>291</v>
      </c>
      <c r="E209" s="739">
        <v>1</v>
      </c>
      <c r="F209" s="740">
        <v>0.35699999999999998</v>
      </c>
      <c r="G209" s="741">
        <v>524.91999999999996</v>
      </c>
      <c r="H209" s="759">
        <f t="shared" ref="H209:H232" si="75">+ROUND(E209*F209*G209,2)</f>
        <v>187.4</v>
      </c>
      <c r="I209" s="743">
        <f>LOOKUP(B209,valoriz!$A$13:$A$242,valoriz!I$13:I$242)</f>
        <v>0</v>
      </c>
      <c r="J209" s="972">
        <f>+ROUND(E209*F209*I209,2)+T209</f>
        <v>0</v>
      </c>
      <c r="K209" s="745">
        <v>6</v>
      </c>
      <c r="L209" s="746" t="e">
        <f t="shared" ref="L209:L232" si="76">D$17</f>
        <v>#REF!</v>
      </c>
      <c r="M209" s="747" t="str">
        <f t="shared" ref="M209:M232" si="77">D$16</f>
        <v>347.73</v>
      </c>
      <c r="N209" s="748">
        <f t="shared" ref="N209:N232" si="78">+ROUND(J209*K209*M$18,2)</f>
        <v>0</v>
      </c>
      <c r="O209" s="744" t="e">
        <f t="shared" ref="O209:O232" si="79">+ROUND(J209*K209*L209*M$18/M209,2)</f>
        <v>#REF!</v>
      </c>
      <c r="Q209" s="965">
        <v>173.88</v>
      </c>
      <c r="R209" s="966">
        <f t="shared" ref="R209:R232" si="80">+J209+Q209</f>
        <v>173.88</v>
      </c>
      <c r="S209" s="967">
        <f t="shared" ref="S209:S232" si="81">+IF((H209-R209)&lt;0,"BAD", H209-R209)</f>
        <v>13.52000000000001</v>
      </c>
      <c r="T209" s="710"/>
      <c r="U209" s="965" t="e">
        <f t="shared" ref="U209:U232" si="82">+ROUND(Q209*$K209*$L209/$M209,2)</f>
        <v>#REF!</v>
      </c>
      <c r="V209" s="966" t="e">
        <f t="shared" ref="V209:V232" si="83">+ROUND(R209*$K209*$L209/$M209,2)</f>
        <v>#REF!</v>
      </c>
      <c r="W209" s="967"/>
    </row>
    <row r="210" spans="2:23" ht="11.25" customHeight="1">
      <c r="B210" s="736" t="s">
        <v>45</v>
      </c>
      <c r="C210" s="1013" t="s">
        <v>46</v>
      </c>
      <c r="D210" s="738" t="s">
        <v>291</v>
      </c>
      <c r="E210" s="739">
        <v>1</v>
      </c>
      <c r="F210" s="740">
        <v>0.35699999999999998</v>
      </c>
      <c r="G210" s="741">
        <v>2464.37</v>
      </c>
      <c r="H210" s="759">
        <f t="shared" si="75"/>
        <v>879.78</v>
      </c>
      <c r="I210" s="743">
        <f>LOOKUP(B210,valoriz!$A$13:$A$242,valoriz!I$13:I$242)</f>
        <v>0</v>
      </c>
      <c r="J210" s="972">
        <f t="shared" ref="J210:J232" si="84">+ROUND(E210*F210*I210,2)+T210</f>
        <v>0</v>
      </c>
      <c r="K210" s="745">
        <f t="shared" ref="K210:K232" si="85">+K209</f>
        <v>6</v>
      </c>
      <c r="L210" s="746" t="e">
        <f t="shared" si="76"/>
        <v>#REF!</v>
      </c>
      <c r="M210" s="747" t="str">
        <f t="shared" si="77"/>
        <v>347.73</v>
      </c>
      <c r="N210" s="748">
        <f t="shared" si="78"/>
        <v>0</v>
      </c>
      <c r="O210" s="744" t="e">
        <f t="shared" si="79"/>
        <v>#REF!</v>
      </c>
      <c r="Q210" s="965">
        <v>760.6</v>
      </c>
      <c r="R210" s="966">
        <f t="shared" si="80"/>
        <v>760.6</v>
      </c>
      <c r="S210" s="967">
        <f t="shared" si="81"/>
        <v>119.17999999999995</v>
      </c>
      <c r="T210" s="710"/>
      <c r="U210" s="965" t="e">
        <f t="shared" si="82"/>
        <v>#REF!</v>
      </c>
      <c r="V210" s="966" t="e">
        <f t="shared" si="83"/>
        <v>#REF!</v>
      </c>
      <c r="W210" s="967"/>
    </row>
    <row r="211" spans="2:23" ht="11.25" customHeight="1">
      <c r="B211" s="736" t="s">
        <v>47</v>
      </c>
      <c r="C211" s="1013" t="s">
        <v>48</v>
      </c>
      <c r="D211" s="738" t="s">
        <v>291</v>
      </c>
      <c r="E211" s="739">
        <v>1</v>
      </c>
      <c r="F211" s="740">
        <v>0.35699999999999998</v>
      </c>
      <c r="G211" s="741">
        <v>1247.03</v>
      </c>
      <c r="H211" s="759">
        <f t="shared" si="75"/>
        <v>445.19</v>
      </c>
      <c r="I211" s="743">
        <f>LOOKUP(B211,valoriz!$A$13:$A$242,valoriz!I$13:I$242)</f>
        <v>0</v>
      </c>
      <c r="J211" s="972">
        <f t="shared" si="84"/>
        <v>0</v>
      </c>
      <c r="K211" s="745">
        <f t="shared" si="85"/>
        <v>6</v>
      </c>
      <c r="L211" s="746" t="e">
        <f t="shared" si="76"/>
        <v>#REF!</v>
      </c>
      <c r="M211" s="747" t="str">
        <f t="shared" si="77"/>
        <v>347.73</v>
      </c>
      <c r="N211" s="748">
        <f t="shared" si="78"/>
        <v>0</v>
      </c>
      <c r="O211" s="744" t="e">
        <f t="shared" si="79"/>
        <v>#REF!</v>
      </c>
      <c r="Q211" s="965">
        <v>343.93</v>
      </c>
      <c r="R211" s="966">
        <f t="shared" si="80"/>
        <v>343.93</v>
      </c>
      <c r="S211" s="967">
        <f t="shared" si="81"/>
        <v>101.25999999999999</v>
      </c>
      <c r="T211" s="710"/>
      <c r="U211" s="965" t="e">
        <f t="shared" si="82"/>
        <v>#REF!</v>
      </c>
      <c r="V211" s="966" t="e">
        <f t="shared" si="83"/>
        <v>#REF!</v>
      </c>
      <c r="W211" s="967"/>
    </row>
    <row r="212" spans="2:23" ht="11.25" customHeight="1">
      <c r="B212" s="736" t="s">
        <v>49</v>
      </c>
      <c r="C212" s="1013" t="s">
        <v>50</v>
      </c>
      <c r="D212" s="738" t="s">
        <v>291</v>
      </c>
      <c r="E212" s="739">
        <v>1</v>
      </c>
      <c r="F212" s="740">
        <v>0.35699999999999998</v>
      </c>
      <c r="G212" s="741">
        <v>264.64</v>
      </c>
      <c r="H212" s="759">
        <f t="shared" si="75"/>
        <v>94.48</v>
      </c>
      <c r="I212" s="743">
        <f>LOOKUP(B212,valoriz!$A$13:$A$242,valoriz!I$13:I$242)</f>
        <v>0</v>
      </c>
      <c r="J212" s="972">
        <f t="shared" si="84"/>
        <v>0</v>
      </c>
      <c r="K212" s="745">
        <f t="shared" si="85"/>
        <v>6</v>
      </c>
      <c r="L212" s="746" t="e">
        <f t="shared" si="76"/>
        <v>#REF!</v>
      </c>
      <c r="M212" s="747" t="str">
        <f t="shared" si="77"/>
        <v>347.73</v>
      </c>
      <c r="N212" s="748">
        <f t="shared" si="78"/>
        <v>0</v>
      </c>
      <c r="O212" s="744" t="e">
        <f t="shared" si="79"/>
        <v>#REF!</v>
      </c>
      <c r="Q212" s="965">
        <v>85.6</v>
      </c>
      <c r="R212" s="966">
        <f t="shared" si="80"/>
        <v>85.6</v>
      </c>
      <c r="S212" s="967">
        <f t="shared" si="81"/>
        <v>8.8800000000000097</v>
      </c>
      <c r="T212" s="710"/>
      <c r="U212" s="965" t="e">
        <f t="shared" si="82"/>
        <v>#REF!</v>
      </c>
      <c r="V212" s="966" t="e">
        <f t="shared" si="83"/>
        <v>#REF!</v>
      </c>
      <c r="W212" s="967"/>
    </row>
    <row r="213" spans="2:23" ht="11.25" customHeight="1">
      <c r="B213" s="757" t="s">
        <v>51</v>
      </c>
      <c r="C213" s="1013" t="s">
        <v>295</v>
      </c>
      <c r="D213" s="738" t="s">
        <v>291</v>
      </c>
      <c r="E213" s="739">
        <v>0.8</v>
      </c>
      <c r="F213" s="740">
        <v>0.35699999999999998</v>
      </c>
      <c r="G213" s="741">
        <v>1054.8399999999999</v>
      </c>
      <c r="H213" s="759">
        <f t="shared" si="75"/>
        <v>301.26</v>
      </c>
      <c r="I213" s="743">
        <f>LOOKUP(B213,valoriz!$A$13:$A$242,valoriz!I$13:I$242)</f>
        <v>0</v>
      </c>
      <c r="J213" s="972">
        <f t="shared" si="84"/>
        <v>10.72</v>
      </c>
      <c r="K213" s="745">
        <f t="shared" si="85"/>
        <v>6</v>
      </c>
      <c r="L213" s="746" t="e">
        <f t="shared" si="76"/>
        <v>#REF!</v>
      </c>
      <c r="M213" s="747" t="str">
        <f t="shared" si="77"/>
        <v>347.73</v>
      </c>
      <c r="N213" s="748">
        <f t="shared" si="78"/>
        <v>64.319999999999993</v>
      </c>
      <c r="O213" s="744" t="e">
        <f t="shared" si="79"/>
        <v>#REF!</v>
      </c>
      <c r="Q213" s="965">
        <v>290.54000000000002</v>
      </c>
      <c r="R213" s="966">
        <f t="shared" si="80"/>
        <v>301.26000000000005</v>
      </c>
      <c r="S213" s="967" t="str">
        <f t="shared" si="81"/>
        <v>BAD</v>
      </c>
      <c r="T213" s="710">
        <v>10.72</v>
      </c>
      <c r="U213" s="965" t="e">
        <f t="shared" si="82"/>
        <v>#REF!</v>
      </c>
      <c r="V213" s="966" t="e">
        <f t="shared" si="83"/>
        <v>#REF!</v>
      </c>
      <c r="W213" s="967"/>
    </row>
    <row r="214" spans="2:23" ht="11.25" customHeight="1">
      <c r="B214" s="757" t="s">
        <v>57</v>
      </c>
      <c r="C214" s="1013" t="s">
        <v>58</v>
      </c>
      <c r="D214" s="738" t="s">
        <v>174</v>
      </c>
      <c r="E214" s="739">
        <v>0.189</v>
      </c>
      <c r="F214" s="740">
        <v>0.2</v>
      </c>
      <c r="G214" s="741">
        <v>4206</v>
      </c>
      <c r="H214" s="759">
        <f t="shared" si="75"/>
        <v>158.99</v>
      </c>
      <c r="I214" s="743">
        <f>LOOKUP(B214,valoriz!$A$13:$A$242,valoriz!I$13:I$242)</f>
        <v>0</v>
      </c>
      <c r="J214" s="972">
        <f t="shared" si="84"/>
        <v>7.6100000000000136</v>
      </c>
      <c r="K214" s="745">
        <f t="shared" si="85"/>
        <v>6</v>
      </c>
      <c r="L214" s="746" t="e">
        <f t="shared" si="76"/>
        <v>#REF!</v>
      </c>
      <c r="M214" s="747" t="str">
        <f t="shared" si="77"/>
        <v>347.73</v>
      </c>
      <c r="N214" s="748">
        <f t="shared" si="78"/>
        <v>45.66</v>
      </c>
      <c r="O214" s="744" t="e">
        <f t="shared" si="79"/>
        <v>#REF!</v>
      </c>
      <c r="Q214" s="965">
        <v>151.38</v>
      </c>
      <c r="R214" s="966">
        <f t="shared" si="80"/>
        <v>158.99</v>
      </c>
      <c r="S214" s="967">
        <f t="shared" si="81"/>
        <v>0</v>
      </c>
      <c r="T214" s="710">
        <v>7.6100000000000136</v>
      </c>
      <c r="U214" s="965" t="e">
        <f t="shared" si="82"/>
        <v>#REF!</v>
      </c>
      <c r="V214" s="966" t="e">
        <f t="shared" si="83"/>
        <v>#REF!</v>
      </c>
      <c r="W214" s="967"/>
    </row>
    <row r="215" spans="2:23" ht="11.25" customHeight="1">
      <c r="B215" s="757" t="s">
        <v>59</v>
      </c>
      <c r="C215" s="1013" t="s">
        <v>60</v>
      </c>
      <c r="D215" s="738" t="s">
        <v>174</v>
      </c>
      <c r="E215" s="739">
        <v>0.17199999999999999</v>
      </c>
      <c r="F215" s="740">
        <v>0.2</v>
      </c>
      <c r="G215" s="754">
        <v>3942</v>
      </c>
      <c r="H215" s="759">
        <f t="shared" si="75"/>
        <v>135.6</v>
      </c>
      <c r="I215" s="743">
        <f>LOOKUP(B215,valoriz!$A$13:$A$242,valoriz!I$13:I$242)</f>
        <v>0</v>
      </c>
      <c r="J215" s="972">
        <f t="shared" si="84"/>
        <v>54.8</v>
      </c>
      <c r="K215" s="745">
        <f t="shared" si="85"/>
        <v>6</v>
      </c>
      <c r="L215" s="746" t="e">
        <f t="shared" si="76"/>
        <v>#REF!</v>
      </c>
      <c r="M215" s="747" t="str">
        <f t="shared" si="77"/>
        <v>347.73</v>
      </c>
      <c r="N215" s="748">
        <f t="shared" si="78"/>
        <v>328.8</v>
      </c>
      <c r="O215" s="744" t="e">
        <f t="shared" si="79"/>
        <v>#REF!</v>
      </c>
      <c r="Q215" s="965">
        <v>80.8</v>
      </c>
      <c r="R215" s="966">
        <f t="shared" si="80"/>
        <v>135.6</v>
      </c>
      <c r="S215" s="967">
        <f t="shared" si="81"/>
        <v>0</v>
      </c>
      <c r="T215" s="710">
        <v>54.8</v>
      </c>
      <c r="U215" s="965" t="e">
        <f t="shared" si="82"/>
        <v>#REF!</v>
      </c>
      <c r="V215" s="966" t="e">
        <f t="shared" si="83"/>
        <v>#REF!</v>
      </c>
      <c r="W215" s="967"/>
    </row>
    <row r="216" spans="2:23" ht="11.25" customHeight="1">
      <c r="B216" s="757" t="s">
        <v>61</v>
      </c>
      <c r="C216" s="1013" t="s">
        <v>62</v>
      </c>
      <c r="D216" s="738" t="s">
        <v>174</v>
      </c>
      <c r="E216" s="739">
        <v>0.188</v>
      </c>
      <c r="F216" s="740">
        <v>0.2</v>
      </c>
      <c r="G216" s="754">
        <v>41679.79</v>
      </c>
      <c r="H216" s="759">
        <f t="shared" si="75"/>
        <v>1567.16</v>
      </c>
      <c r="I216" s="743">
        <f>LOOKUP(B216,valoriz!$A$13:$A$242,valoriz!I$13:I$242)</f>
        <v>0</v>
      </c>
      <c r="J216" s="972">
        <f t="shared" si="84"/>
        <v>538.21</v>
      </c>
      <c r="K216" s="745">
        <f t="shared" si="85"/>
        <v>6</v>
      </c>
      <c r="L216" s="746" t="e">
        <f t="shared" si="76"/>
        <v>#REF!</v>
      </c>
      <c r="M216" s="747" t="str">
        <f t="shared" si="77"/>
        <v>347.73</v>
      </c>
      <c r="N216" s="748">
        <f t="shared" si="78"/>
        <v>3229.26</v>
      </c>
      <c r="O216" s="744" t="e">
        <f t="shared" si="79"/>
        <v>#REF!</v>
      </c>
      <c r="Q216" s="965">
        <v>781.62</v>
      </c>
      <c r="R216" s="966">
        <f t="shared" si="80"/>
        <v>1319.83</v>
      </c>
      <c r="S216" s="967">
        <f t="shared" si="81"/>
        <v>247.33000000000015</v>
      </c>
      <c r="T216" s="710">
        <v>538.21</v>
      </c>
      <c r="U216" s="965" t="e">
        <f t="shared" si="82"/>
        <v>#REF!</v>
      </c>
      <c r="V216" s="966" t="e">
        <f t="shared" si="83"/>
        <v>#REF!</v>
      </c>
      <c r="W216" s="967"/>
    </row>
    <row r="217" spans="2:23" ht="11.25" customHeight="1">
      <c r="B217" s="736" t="s">
        <v>63</v>
      </c>
      <c r="C217" s="1013" t="s">
        <v>64</v>
      </c>
      <c r="D217" s="755" t="s">
        <v>174</v>
      </c>
      <c r="E217" s="739">
        <v>0.18</v>
      </c>
      <c r="F217" s="740">
        <v>0.2</v>
      </c>
      <c r="G217" s="754">
        <v>4324.7</v>
      </c>
      <c r="H217" s="759">
        <f t="shared" si="75"/>
        <v>155.69</v>
      </c>
      <c r="I217" s="743">
        <f>LOOKUP(B217,valoriz!$A$13:$A$242,valoriz!I$13:I$242)</f>
        <v>0</v>
      </c>
      <c r="J217" s="972">
        <f t="shared" si="84"/>
        <v>0</v>
      </c>
      <c r="K217" s="745">
        <f t="shared" si="85"/>
        <v>6</v>
      </c>
      <c r="L217" s="746" t="e">
        <f t="shared" si="76"/>
        <v>#REF!</v>
      </c>
      <c r="M217" s="747" t="str">
        <f t="shared" si="77"/>
        <v>347.73</v>
      </c>
      <c r="N217" s="748">
        <f t="shared" si="78"/>
        <v>0</v>
      </c>
      <c r="O217" s="744" t="e">
        <f t="shared" si="79"/>
        <v>#REF!</v>
      </c>
      <c r="Q217" s="965">
        <v>155.69</v>
      </c>
      <c r="R217" s="966">
        <f t="shared" si="80"/>
        <v>155.69</v>
      </c>
      <c r="S217" s="967">
        <f t="shared" si="81"/>
        <v>0</v>
      </c>
      <c r="T217" s="710">
        <v>0</v>
      </c>
      <c r="U217" s="965" t="e">
        <f t="shared" si="82"/>
        <v>#REF!</v>
      </c>
      <c r="V217" s="966" t="e">
        <f t="shared" si="83"/>
        <v>#REF!</v>
      </c>
      <c r="W217" s="967"/>
    </row>
    <row r="218" spans="2:23" ht="11.25" customHeight="1">
      <c r="B218" s="736" t="s">
        <v>65</v>
      </c>
      <c r="C218" s="1013" t="s">
        <v>66</v>
      </c>
      <c r="D218" s="755" t="s">
        <v>174</v>
      </c>
      <c r="E218" s="739">
        <v>0.155</v>
      </c>
      <c r="F218" s="740">
        <v>0.2</v>
      </c>
      <c r="G218" s="754">
        <v>93</v>
      </c>
      <c r="H218" s="759">
        <f t="shared" si="75"/>
        <v>2.88</v>
      </c>
      <c r="I218" s="743">
        <f>LOOKUP(B218,valoriz!$A$13:$A$242,valoriz!I$13:I$242)</f>
        <v>0</v>
      </c>
      <c r="J218" s="972">
        <f t="shared" si="84"/>
        <v>0</v>
      </c>
      <c r="K218" s="745">
        <f t="shared" si="85"/>
        <v>6</v>
      </c>
      <c r="L218" s="746" t="e">
        <f t="shared" si="76"/>
        <v>#REF!</v>
      </c>
      <c r="M218" s="747" t="str">
        <f t="shared" si="77"/>
        <v>347.73</v>
      </c>
      <c r="N218" s="748">
        <f t="shared" si="78"/>
        <v>0</v>
      </c>
      <c r="O218" s="744" t="e">
        <f t="shared" si="79"/>
        <v>#REF!</v>
      </c>
      <c r="Q218" s="965">
        <v>1.46</v>
      </c>
      <c r="R218" s="966">
        <f t="shared" si="80"/>
        <v>1.46</v>
      </c>
      <c r="S218" s="967">
        <f t="shared" si="81"/>
        <v>1.42</v>
      </c>
      <c r="T218" s="710"/>
      <c r="U218" s="965" t="e">
        <f t="shared" si="82"/>
        <v>#REF!</v>
      </c>
      <c r="V218" s="966" t="e">
        <f t="shared" si="83"/>
        <v>#REF!</v>
      </c>
      <c r="W218" s="967"/>
    </row>
    <row r="219" spans="2:23" ht="11.25" customHeight="1">
      <c r="B219" s="736" t="s">
        <v>67</v>
      </c>
      <c r="C219" s="1013" t="s">
        <v>68</v>
      </c>
      <c r="D219" s="755" t="s">
        <v>174</v>
      </c>
      <c r="E219" s="739">
        <v>0.313</v>
      </c>
      <c r="F219" s="740">
        <v>0.2</v>
      </c>
      <c r="G219" s="754">
        <v>212</v>
      </c>
      <c r="H219" s="759">
        <f t="shared" si="75"/>
        <v>13.27</v>
      </c>
      <c r="I219" s="743">
        <f>LOOKUP(B219,valoriz!$A$13:$A$242,valoriz!I$13:I$242)</f>
        <v>0</v>
      </c>
      <c r="J219" s="972">
        <f t="shared" si="84"/>
        <v>0</v>
      </c>
      <c r="K219" s="745">
        <f t="shared" si="85"/>
        <v>6</v>
      </c>
      <c r="L219" s="746" t="e">
        <f t="shared" si="76"/>
        <v>#REF!</v>
      </c>
      <c r="M219" s="747" t="str">
        <f t="shared" si="77"/>
        <v>347.73</v>
      </c>
      <c r="N219" s="748">
        <f t="shared" si="78"/>
        <v>0</v>
      </c>
      <c r="O219" s="744" t="e">
        <f t="shared" si="79"/>
        <v>#REF!</v>
      </c>
      <c r="Q219" s="965">
        <v>13.27</v>
      </c>
      <c r="R219" s="966">
        <f t="shared" si="80"/>
        <v>13.27</v>
      </c>
      <c r="S219" s="967">
        <f t="shared" si="81"/>
        <v>0</v>
      </c>
      <c r="T219" s="710">
        <v>0</v>
      </c>
      <c r="U219" s="965" t="e">
        <f t="shared" si="82"/>
        <v>#REF!</v>
      </c>
      <c r="V219" s="966" t="e">
        <f t="shared" si="83"/>
        <v>#REF!</v>
      </c>
      <c r="W219" s="967"/>
    </row>
    <row r="220" spans="2:23" ht="11.25" customHeight="1">
      <c r="B220" s="757" t="s">
        <v>69</v>
      </c>
      <c r="C220" s="1027" t="s">
        <v>70</v>
      </c>
      <c r="D220" s="755" t="s">
        <v>174</v>
      </c>
      <c r="E220" s="739">
        <v>0.17</v>
      </c>
      <c r="F220" s="740">
        <v>0.2</v>
      </c>
      <c r="G220" s="754">
        <v>90</v>
      </c>
      <c r="H220" s="759">
        <f t="shared" si="75"/>
        <v>3.06</v>
      </c>
      <c r="I220" s="743">
        <f>LOOKUP(B220,valoriz!$A$13:$A$242,valoriz!I$13:I$242)</f>
        <v>0</v>
      </c>
      <c r="J220" s="972">
        <f t="shared" si="84"/>
        <v>0.79900000000000004</v>
      </c>
      <c r="K220" s="745">
        <f t="shared" si="85"/>
        <v>6</v>
      </c>
      <c r="L220" s="746" t="e">
        <f t="shared" si="76"/>
        <v>#REF!</v>
      </c>
      <c r="M220" s="747" t="str">
        <f t="shared" si="77"/>
        <v>347.73</v>
      </c>
      <c r="N220" s="748">
        <f t="shared" si="78"/>
        <v>4.79</v>
      </c>
      <c r="O220" s="744" t="e">
        <f t="shared" si="79"/>
        <v>#REF!</v>
      </c>
      <c r="Q220" s="965">
        <v>0</v>
      </c>
      <c r="R220" s="966">
        <f t="shared" si="80"/>
        <v>0.79900000000000004</v>
      </c>
      <c r="S220" s="967">
        <f t="shared" si="81"/>
        <v>2.2610000000000001</v>
      </c>
      <c r="T220" s="710">
        <v>0.79900000000000004</v>
      </c>
      <c r="U220" s="965" t="e">
        <f t="shared" si="82"/>
        <v>#REF!</v>
      </c>
      <c r="V220" s="966" t="e">
        <f t="shared" si="83"/>
        <v>#REF!</v>
      </c>
      <c r="W220" s="967"/>
    </row>
    <row r="221" spans="2:23" ht="11.25" customHeight="1">
      <c r="B221" s="757" t="s">
        <v>71</v>
      </c>
      <c r="C221" s="1027" t="s">
        <v>72</v>
      </c>
      <c r="D221" s="755" t="s">
        <v>174</v>
      </c>
      <c r="E221" s="739">
        <v>0.16200000000000001</v>
      </c>
      <c r="F221" s="740">
        <v>0.2</v>
      </c>
      <c r="G221" s="754">
        <v>4332.3</v>
      </c>
      <c r="H221" s="759">
        <f t="shared" si="75"/>
        <v>140.37</v>
      </c>
      <c r="I221" s="743">
        <f>LOOKUP(B221,valoriz!$A$13:$A$242,valoriz!I$13:I$242)</f>
        <v>0</v>
      </c>
      <c r="J221" s="972">
        <f t="shared" si="84"/>
        <v>71.349999999999994</v>
      </c>
      <c r="K221" s="745">
        <f t="shared" si="85"/>
        <v>6</v>
      </c>
      <c r="L221" s="746" t="e">
        <f t="shared" si="76"/>
        <v>#REF!</v>
      </c>
      <c r="M221" s="747" t="str">
        <f t="shared" si="77"/>
        <v>347.73</v>
      </c>
      <c r="N221" s="748">
        <f t="shared" si="78"/>
        <v>428.1</v>
      </c>
      <c r="O221" s="744" t="e">
        <f t="shared" si="79"/>
        <v>#REF!</v>
      </c>
      <c r="Q221" s="965">
        <v>62.48</v>
      </c>
      <c r="R221" s="966">
        <f t="shared" si="80"/>
        <v>133.82999999999998</v>
      </c>
      <c r="S221" s="967">
        <f t="shared" si="81"/>
        <v>6.5400000000000205</v>
      </c>
      <c r="T221" s="710">
        <v>71.349999999999994</v>
      </c>
      <c r="U221" s="965" t="e">
        <f t="shared" si="82"/>
        <v>#REF!</v>
      </c>
      <c r="V221" s="966" t="e">
        <f t="shared" si="83"/>
        <v>#REF!</v>
      </c>
      <c r="W221" s="967"/>
    </row>
    <row r="222" spans="2:23" ht="11.25" customHeight="1">
      <c r="B222" s="757" t="s">
        <v>73</v>
      </c>
      <c r="C222" s="1027" t="s">
        <v>74</v>
      </c>
      <c r="D222" s="738" t="s">
        <v>174</v>
      </c>
      <c r="E222" s="739">
        <v>0.09</v>
      </c>
      <c r="F222" s="740">
        <v>0.2</v>
      </c>
      <c r="G222" s="754">
        <v>1965</v>
      </c>
      <c r="H222" s="759">
        <f t="shared" si="75"/>
        <v>35.369999999999997</v>
      </c>
      <c r="I222" s="743">
        <f>LOOKUP(B222,valoriz!$A$13:$A$242,valoriz!I$13:I$242)</f>
        <v>0</v>
      </c>
      <c r="J222" s="972">
        <f t="shared" si="84"/>
        <v>26.73</v>
      </c>
      <c r="K222" s="745">
        <f t="shared" si="85"/>
        <v>6</v>
      </c>
      <c r="L222" s="746" t="e">
        <f t="shared" si="76"/>
        <v>#REF!</v>
      </c>
      <c r="M222" s="747" t="str">
        <f t="shared" si="77"/>
        <v>347.73</v>
      </c>
      <c r="N222" s="748">
        <f t="shared" si="78"/>
        <v>160.38</v>
      </c>
      <c r="O222" s="744" t="e">
        <f t="shared" si="79"/>
        <v>#REF!</v>
      </c>
      <c r="Q222" s="965">
        <v>7.07</v>
      </c>
      <c r="R222" s="966">
        <f t="shared" si="80"/>
        <v>33.799999999999997</v>
      </c>
      <c r="S222" s="967">
        <f t="shared" si="81"/>
        <v>1.5700000000000003</v>
      </c>
      <c r="T222" s="710">
        <v>26.73</v>
      </c>
      <c r="U222" s="965" t="e">
        <f t="shared" si="82"/>
        <v>#REF!</v>
      </c>
      <c r="V222" s="966" t="e">
        <f t="shared" si="83"/>
        <v>#REF!</v>
      </c>
      <c r="W222" s="967"/>
    </row>
    <row r="223" spans="2:23" ht="11.25" customHeight="1">
      <c r="B223" s="757" t="s">
        <v>75</v>
      </c>
      <c r="C223" s="1027" t="s">
        <v>76</v>
      </c>
      <c r="D223" s="738" t="s">
        <v>174</v>
      </c>
      <c r="E223" s="739">
        <v>8.2000000000000003E-2</v>
      </c>
      <c r="F223" s="740">
        <v>0.2</v>
      </c>
      <c r="G223" s="752">
        <v>215</v>
      </c>
      <c r="H223" s="759">
        <f t="shared" si="75"/>
        <v>3.53</v>
      </c>
      <c r="I223" s="743">
        <f>LOOKUP(B223,valoriz!$A$13:$A$242,valoriz!I$13:I$242)</f>
        <v>0</v>
      </c>
      <c r="J223" s="972">
        <f t="shared" si="84"/>
        <v>3.53</v>
      </c>
      <c r="K223" s="745">
        <f t="shared" si="85"/>
        <v>6</v>
      </c>
      <c r="L223" s="746" t="e">
        <f t="shared" si="76"/>
        <v>#REF!</v>
      </c>
      <c r="M223" s="747" t="str">
        <f t="shared" si="77"/>
        <v>347.73</v>
      </c>
      <c r="N223" s="748">
        <f t="shared" si="78"/>
        <v>21.18</v>
      </c>
      <c r="O223" s="744" t="e">
        <f t="shared" si="79"/>
        <v>#REF!</v>
      </c>
      <c r="Q223" s="965">
        <v>0</v>
      </c>
      <c r="R223" s="966">
        <f t="shared" si="80"/>
        <v>3.53</v>
      </c>
      <c r="S223" s="967">
        <f t="shared" si="81"/>
        <v>0</v>
      </c>
      <c r="T223" s="710">
        <v>3.53</v>
      </c>
      <c r="U223" s="965" t="e">
        <f t="shared" si="82"/>
        <v>#REF!</v>
      </c>
      <c r="V223" s="966" t="e">
        <f t="shared" si="83"/>
        <v>#REF!</v>
      </c>
      <c r="W223" s="967"/>
    </row>
    <row r="224" spans="2:23" ht="11.25" customHeight="1">
      <c r="B224" s="757" t="s">
        <v>77</v>
      </c>
      <c r="C224" s="1027" t="s">
        <v>78</v>
      </c>
      <c r="D224" s="755" t="s">
        <v>174</v>
      </c>
      <c r="E224" s="739">
        <v>7.0000000000000007E-2</v>
      </c>
      <c r="F224" s="740">
        <v>0.2</v>
      </c>
      <c r="G224" s="754">
        <v>1676</v>
      </c>
      <c r="H224" s="759">
        <f t="shared" si="75"/>
        <v>23.46</v>
      </c>
      <c r="I224" s="743">
        <f>LOOKUP(B224,valoriz!$A$13:$A$242,valoriz!I$13:I$242)</f>
        <v>0</v>
      </c>
      <c r="J224" s="972">
        <f t="shared" si="84"/>
        <v>11.84</v>
      </c>
      <c r="K224" s="745">
        <f t="shared" si="85"/>
        <v>6</v>
      </c>
      <c r="L224" s="746" t="e">
        <f t="shared" si="76"/>
        <v>#REF!</v>
      </c>
      <c r="M224" s="747" t="str">
        <f t="shared" si="77"/>
        <v>347.73</v>
      </c>
      <c r="N224" s="748">
        <f t="shared" si="78"/>
        <v>71.040000000000006</v>
      </c>
      <c r="O224" s="744" t="e">
        <f t="shared" si="79"/>
        <v>#REF!</v>
      </c>
      <c r="Q224" s="965">
        <v>11.62</v>
      </c>
      <c r="R224" s="966">
        <f t="shared" si="80"/>
        <v>23.46</v>
      </c>
      <c r="S224" s="967">
        <f t="shared" si="81"/>
        <v>0</v>
      </c>
      <c r="T224" s="710">
        <v>11.84</v>
      </c>
      <c r="U224" s="965" t="e">
        <f t="shared" si="82"/>
        <v>#REF!</v>
      </c>
      <c r="V224" s="966" t="e">
        <f t="shared" si="83"/>
        <v>#REF!</v>
      </c>
      <c r="W224" s="967"/>
    </row>
    <row r="225" spans="2:23" ht="11.25" customHeight="1">
      <c r="B225" s="757" t="s">
        <v>79</v>
      </c>
      <c r="C225" s="1027" t="s">
        <v>80</v>
      </c>
      <c r="D225" s="755" t="s">
        <v>174</v>
      </c>
      <c r="E225" s="739">
        <v>8.2000000000000003E-2</v>
      </c>
      <c r="F225" s="740">
        <v>0.2</v>
      </c>
      <c r="G225" s="754">
        <v>348</v>
      </c>
      <c r="H225" s="759">
        <f t="shared" si="75"/>
        <v>5.71</v>
      </c>
      <c r="I225" s="743">
        <f>LOOKUP(B225,valoriz!$A$13:$A$242,valoriz!I$13:I$242)</f>
        <v>0</v>
      </c>
      <c r="J225" s="972">
        <f t="shared" si="84"/>
        <v>5.71</v>
      </c>
      <c r="K225" s="745">
        <f t="shared" si="85"/>
        <v>6</v>
      </c>
      <c r="L225" s="746" t="e">
        <f t="shared" si="76"/>
        <v>#REF!</v>
      </c>
      <c r="M225" s="747" t="str">
        <f t="shared" si="77"/>
        <v>347.73</v>
      </c>
      <c r="N225" s="748">
        <f t="shared" si="78"/>
        <v>34.26</v>
      </c>
      <c r="O225" s="744" t="e">
        <f t="shared" si="79"/>
        <v>#REF!</v>
      </c>
      <c r="Q225" s="965">
        <v>0</v>
      </c>
      <c r="R225" s="966">
        <f t="shared" si="80"/>
        <v>5.71</v>
      </c>
      <c r="S225" s="967">
        <f t="shared" si="81"/>
        <v>0</v>
      </c>
      <c r="T225" s="710">
        <v>5.71</v>
      </c>
      <c r="U225" s="965" t="e">
        <f t="shared" si="82"/>
        <v>#REF!</v>
      </c>
      <c r="V225" s="966" t="e">
        <f t="shared" si="83"/>
        <v>#REF!</v>
      </c>
      <c r="W225" s="967"/>
    </row>
    <row r="226" spans="2:23" ht="11.25" customHeight="1">
      <c r="B226" s="757" t="s">
        <v>81</v>
      </c>
      <c r="C226" s="1027" t="s">
        <v>82</v>
      </c>
      <c r="D226" s="755" t="s">
        <v>601</v>
      </c>
      <c r="E226" s="739">
        <v>0.21</v>
      </c>
      <c r="F226" s="740">
        <v>0.2</v>
      </c>
      <c r="G226" s="754">
        <v>60</v>
      </c>
      <c r="H226" s="759">
        <f t="shared" si="75"/>
        <v>2.52</v>
      </c>
      <c r="I226" s="743">
        <f>LOOKUP(B226,valoriz!$A$13:$A$242,valoriz!I$13:I$242)</f>
        <v>0</v>
      </c>
      <c r="J226" s="972">
        <f t="shared" si="84"/>
        <v>1.47</v>
      </c>
      <c r="K226" s="745">
        <f t="shared" si="85"/>
        <v>6</v>
      </c>
      <c r="L226" s="746" t="e">
        <f t="shared" si="76"/>
        <v>#REF!</v>
      </c>
      <c r="M226" s="747" t="str">
        <f t="shared" si="77"/>
        <v>347.73</v>
      </c>
      <c r="N226" s="748">
        <f t="shared" si="78"/>
        <v>8.82</v>
      </c>
      <c r="O226" s="744" t="e">
        <f t="shared" si="79"/>
        <v>#REF!</v>
      </c>
      <c r="Q226" s="965">
        <v>1.05</v>
      </c>
      <c r="R226" s="966">
        <f t="shared" si="80"/>
        <v>2.52</v>
      </c>
      <c r="S226" s="967">
        <f t="shared" si="81"/>
        <v>0</v>
      </c>
      <c r="T226" s="710">
        <v>1.47</v>
      </c>
      <c r="U226" s="965" t="e">
        <f t="shared" si="82"/>
        <v>#REF!</v>
      </c>
      <c r="V226" s="966" t="e">
        <f t="shared" si="83"/>
        <v>#REF!</v>
      </c>
      <c r="W226" s="967"/>
    </row>
    <row r="227" spans="2:23" ht="11.25" customHeight="1">
      <c r="B227" s="757" t="s">
        <v>83</v>
      </c>
      <c r="C227" s="1027" t="s">
        <v>84</v>
      </c>
      <c r="D227" s="755" t="s">
        <v>174</v>
      </c>
      <c r="E227" s="739">
        <v>0.15</v>
      </c>
      <c r="F227" s="740">
        <v>0.2</v>
      </c>
      <c r="G227" s="754">
        <v>279</v>
      </c>
      <c r="H227" s="759">
        <f t="shared" si="75"/>
        <v>8.3699999999999992</v>
      </c>
      <c r="I227" s="743">
        <f>LOOKUP(B227,valoriz!$A$13:$A$242,valoriz!I$13:I$242)</f>
        <v>0</v>
      </c>
      <c r="J227" s="972">
        <f t="shared" si="84"/>
        <v>0.74999999999999911</v>
      </c>
      <c r="K227" s="745">
        <f t="shared" si="85"/>
        <v>6</v>
      </c>
      <c r="L227" s="746" t="e">
        <f t="shared" si="76"/>
        <v>#REF!</v>
      </c>
      <c r="M227" s="747" t="str">
        <f t="shared" si="77"/>
        <v>347.73</v>
      </c>
      <c r="N227" s="748">
        <f t="shared" si="78"/>
        <v>4.5</v>
      </c>
      <c r="O227" s="744" t="e">
        <f t="shared" si="79"/>
        <v>#REF!</v>
      </c>
      <c r="Q227" s="965">
        <v>5.28</v>
      </c>
      <c r="R227" s="966">
        <f t="shared" si="80"/>
        <v>6.0299999999999994</v>
      </c>
      <c r="S227" s="967">
        <f t="shared" si="81"/>
        <v>2.34</v>
      </c>
      <c r="T227" s="710">
        <v>0.74999999999999911</v>
      </c>
      <c r="U227" s="965" t="e">
        <f t="shared" si="82"/>
        <v>#REF!</v>
      </c>
      <c r="V227" s="966" t="e">
        <f t="shared" si="83"/>
        <v>#REF!</v>
      </c>
      <c r="W227" s="967"/>
    </row>
    <row r="228" spans="2:23" ht="11.25" customHeight="1">
      <c r="B228" s="757" t="s">
        <v>85</v>
      </c>
      <c r="C228" s="1027" t="s">
        <v>86</v>
      </c>
      <c r="D228" s="755" t="s">
        <v>174</v>
      </c>
      <c r="E228" s="739">
        <v>0.12</v>
      </c>
      <c r="F228" s="740">
        <v>0.2</v>
      </c>
      <c r="G228" s="754">
        <v>93</v>
      </c>
      <c r="H228" s="759">
        <f t="shared" si="75"/>
        <v>2.23</v>
      </c>
      <c r="I228" s="743">
        <f>LOOKUP(B228,valoriz!$A$13:$A$242,valoriz!I$13:I$242)</f>
        <v>0</v>
      </c>
      <c r="J228" s="972">
        <f t="shared" si="84"/>
        <v>0</v>
      </c>
      <c r="K228" s="745">
        <f t="shared" si="85"/>
        <v>6</v>
      </c>
      <c r="L228" s="746" t="e">
        <f t="shared" si="76"/>
        <v>#REF!</v>
      </c>
      <c r="M228" s="747" t="str">
        <f t="shared" si="77"/>
        <v>347.73</v>
      </c>
      <c r="N228" s="748">
        <f t="shared" si="78"/>
        <v>0</v>
      </c>
      <c r="O228" s="744" t="e">
        <f t="shared" si="79"/>
        <v>#REF!</v>
      </c>
      <c r="Q228" s="965">
        <v>1.49</v>
      </c>
      <c r="R228" s="966">
        <f t="shared" si="80"/>
        <v>1.49</v>
      </c>
      <c r="S228" s="967">
        <f t="shared" si="81"/>
        <v>0.74</v>
      </c>
      <c r="T228" s="710">
        <v>0</v>
      </c>
      <c r="U228" s="965" t="e">
        <f t="shared" si="82"/>
        <v>#REF!</v>
      </c>
      <c r="V228" s="966" t="e">
        <f t="shared" si="83"/>
        <v>#REF!</v>
      </c>
      <c r="W228" s="967"/>
    </row>
    <row r="229" spans="2:23" ht="11.25" customHeight="1">
      <c r="B229" s="757" t="s">
        <v>87</v>
      </c>
      <c r="C229" s="1027" t="s">
        <v>88</v>
      </c>
      <c r="D229" s="755" t="s">
        <v>173</v>
      </c>
      <c r="E229" s="739">
        <v>7.0000000000000007E-2</v>
      </c>
      <c r="F229" s="740">
        <v>0.2</v>
      </c>
      <c r="G229" s="754">
        <v>2317.2199999999998</v>
      </c>
      <c r="H229" s="759">
        <f t="shared" si="75"/>
        <v>32.44</v>
      </c>
      <c r="I229" s="743">
        <f>LOOKUP(B229,valoriz!$A$13:$A$242,valoriz!I$13:I$242)</f>
        <v>0</v>
      </c>
      <c r="J229" s="972">
        <f t="shared" si="84"/>
        <v>0.7099999999999973</v>
      </c>
      <c r="K229" s="745">
        <f t="shared" si="85"/>
        <v>6</v>
      </c>
      <c r="L229" s="746" t="e">
        <f t="shared" si="76"/>
        <v>#REF!</v>
      </c>
      <c r="M229" s="747" t="str">
        <f t="shared" si="77"/>
        <v>347.73</v>
      </c>
      <c r="N229" s="748">
        <f t="shared" si="78"/>
        <v>4.26</v>
      </c>
      <c r="O229" s="744" t="e">
        <f t="shared" si="79"/>
        <v>#REF!</v>
      </c>
      <c r="Q229" s="965">
        <v>31.73</v>
      </c>
      <c r="R229" s="966">
        <f>IF((Q229+J229)&lt;=H229,J229+Q229,H229)</f>
        <v>32.44</v>
      </c>
      <c r="S229" s="967">
        <f t="shared" si="81"/>
        <v>0</v>
      </c>
      <c r="T229" s="710">
        <v>0.7099999999999973</v>
      </c>
      <c r="U229" s="965" t="e">
        <f t="shared" si="82"/>
        <v>#REF!</v>
      </c>
      <c r="V229" s="966" t="e">
        <f t="shared" si="83"/>
        <v>#REF!</v>
      </c>
      <c r="W229" s="967"/>
    </row>
    <row r="230" spans="2:23" ht="11.25" customHeight="1">
      <c r="B230" s="757" t="s">
        <v>89</v>
      </c>
      <c r="C230" s="1027" t="s">
        <v>90</v>
      </c>
      <c r="D230" s="755" t="s">
        <v>173</v>
      </c>
      <c r="E230" s="739">
        <v>0.2</v>
      </c>
      <c r="F230" s="740">
        <v>0.2</v>
      </c>
      <c r="G230" s="754">
        <v>350.11</v>
      </c>
      <c r="H230" s="759">
        <f t="shared" si="75"/>
        <v>14</v>
      </c>
      <c r="I230" s="743">
        <f>LOOKUP(B230,valoriz!$A$13:$A$242,valoriz!I$13:I$242)</f>
        <v>0</v>
      </c>
      <c r="J230" s="972">
        <f t="shared" si="84"/>
        <v>2.1</v>
      </c>
      <c r="K230" s="745">
        <f t="shared" si="85"/>
        <v>6</v>
      </c>
      <c r="L230" s="746" t="e">
        <f t="shared" si="76"/>
        <v>#REF!</v>
      </c>
      <c r="M230" s="747" t="str">
        <f t="shared" si="77"/>
        <v>347.73</v>
      </c>
      <c r="N230" s="748">
        <f t="shared" si="78"/>
        <v>12.6</v>
      </c>
      <c r="O230" s="744" t="e">
        <f t="shared" si="79"/>
        <v>#REF!</v>
      </c>
      <c r="Q230" s="965">
        <v>11.9</v>
      </c>
      <c r="R230" s="966">
        <f t="shared" si="80"/>
        <v>14</v>
      </c>
      <c r="S230" s="967">
        <f t="shared" si="81"/>
        <v>0</v>
      </c>
      <c r="T230" s="710">
        <v>2.1</v>
      </c>
      <c r="U230" s="965" t="e">
        <f t="shared" si="82"/>
        <v>#REF!</v>
      </c>
      <c r="V230" s="966" t="e">
        <f t="shared" si="83"/>
        <v>#REF!</v>
      </c>
      <c r="W230" s="967"/>
    </row>
    <row r="231" spans="2:23" ht="11.25" customHeight="1">
      <c r="B231" s="757" t="s">
        <v>91</v>
      </c>
      <c r="C231" s="1027" t="s">
        <v>92</v>
      </c>
      <c r="D231" s="755" t="s">
        <v>173</v>
      </c>
      <c r="E231" s="739">
        <v>0.11</v>
      </c>
      <c r="F231" s="740">
        <v>0.2</v>
      </c>
      <c r="G231" s="760">
        <v>6590</v>
      </c>
      <c r="H231" s="759">
        <f t="shared" si="75"/>
        <v>144.97999999999999</v>
      </c>
      <c r="I231" s="743">
        <f>LOOKUP(B231,valoriz!$A$13:$A$242,valoriz!I$13:I$242)</f>
        <v>0</v>
      </c>
      <c r="J231" s="972">
        <f t="shared" si="84"/>
        <v>70.63</v>
      </c>
      <c r="K231" s="745">
        <f t="shared" si="85"/>
        <v>6</v>
      </c>
      <c r="L231" s="746" t="e">
        <f t="shared" si="76"/>
        <v>#REF!</v>
      </c>
      <c r="M231" s="747" t="str">
        <f t="shared" si="77"/>
        <v>347.73</v>
      </c>
      <c r="N231" s="748">
        <f t="shared" si="78"/>
        <v>423.78</v>
      </c>
      <c r="O231" s="744" t="e">
        <f t="shared" si="79"/>
        <v>#REF!</v>
      </c>
      <c r="Q231" s="965">
        <v>63.76</v>
      </c>
      <c r="R231" s="966">
        <f t="shared" si="80"/>
        <v>134.38999999999999</v>
      </c>
      <c r="S231" s="967">
        <f t="shared" si="81"/>
        <v>10.590000000000003</v>
      </c>
      <c r="T231" s="710">
        <v>70.63</v>
      </c>
      <c r="U231" s="965" t="e">
        <f t="shared" si="82"/>
        <v>#REF!</v>
      </c>
      <c r="V231" s="966" t="e">
        <f t="shared" si="83"/>
        <v>#REF!</v>
      </c>
      <c r="W231" s="967"/>
    </row>
    <row r="232" spans="2:23" ht="11.25" customHeight="1">
      <c r="B232" s="757" t="s">
        <v>118</v>
      </c>
      <c r="C232" s="1027" t="s">
        <v>296</v>
      </c>
      <c r="D232" s="755" t="s">
        <v>174</v>
      </c>
      <c r="E232" s="739">
        <f>0.32*0.8</f>
        <v>0.25600000000000001</v>
      </c>
      <c r="F232" s="904">
        <v>0.35699999999999998</v>
      </c>
      <c r="G232" s="754">
        <v>55</v>
      </c>
      <c r="H232" s="759">
        <f t="shared" si="75"/>
        <v>5.03</v>
      </c>
      <c r="I232" s="743">
        <f>LOOKUP(B232,valoriz!$A$13:$A$242,valoriz!I$13:I$242)</f>
        <v>0</v>
      </c>
      <c r="J232" s="972">
        <f t="shared" si="84"/>
        <v>5.03</v>
      </c>
      <c r="K232" s="745">
        <f t="shared" si="85"/>
        <v>6</v>
      </c>
      <c r="L232" s="746" t="e">
        <f t="shared" si="76"/>
        <v>#REF!</v>
      </c>
      <c r="M232" s="747" t="str">
        <f t="shared" si="77"/>
        <v>347.73</v>
      </c>
      <c r="N232" s="748">
        <f t="shared" si="78"/>
        <v>30.18</v>
      </c>
      <c r="O232" s="744" t="e">
        <f t="shared" si="79"/>
        <v>#REF!</v>
      </c>
      <c r="Q232" s="1144">
        <v>0</v>
      </c>
      <c r="R232" s="1145">
        <f t="shared" si="80"/>
        <v>5.03</v>
      </c>
      <c r="S232" s="1146">
        <f t="shared" si="81"/>
        <v>0</v>
      </c>
      <c r="T232" s="964">
        <v>5.03</v>
      </c>
      <c r="U232" s="1155" t="e">
        <f t="shared" si="82"/>
        <v>#REF!</v>
      </c>
      <c r="V232" s="1145" t="e">
        <f t="shared" si="83"/>
        <v>#REF!</v>
      </c>
      <c r="W232" s="1146"/>
    </row>
    <row r="233" spans="2:23" ht="11.25" customHeight="1" thickBot="1">
      <c r="B233" s="762"/>
      <c r="C233" s="1015"/>
      <c r="D233" s="764"/>
      <c r="E233" s="765"/>
      <c r="F233" s="766"/>
      <c r="G233" s="799"/>
      <c r="H233" s="800"/>
      <c r="I233" s="799"/>
      <c r="J233" s="801"/>
      <c r="K233" s="770"/>
      <c r="L233" s="771"/>
      <c r="M233" s="772"/>
      <c r="N233" s="773"/>
      <c r="O233" s="769"/>
      <c r="Q233" s="1057">
        <f>SUM(Q209:Q232)</f>
        <v>3035.1500000000005</v>
      </c>
      <c r="R233" s="969">
        <f>SUM(R209:R232)</f>
        <v>3847.1390000000001</v>
      </c>
      <c r="S233" s="970">
        <f>SUM(S209:S232)</f>
        <v>515.6310000000002</v>
      </c>
      <c r="T233" s="710"/>
      <c r="U233" s="1156" t="e">
        <f>SUM(U208:U232)</f>
        <v>#REF!</v>
      </c>
      <c r="V233" s="969" t="e">
        <f>SUM(V208:V232)</f>
        <v>#REF!</v>
      </c>
      <c r="W233" s="970" t="e">
        <f>+W208-V234</f>
        <v>#REF!</v>
      </c>
    </row>
    <row r="234" spans="2:23" ht="11.25" customHeight="1">
      <c r="B234" s="775"/>
      <c r="C234" s="776"/>
      <c r="D234" s="777"/>
      <c r="E234" s="777"/>
      <c r="F234" s="778"/>
      <c r="G234" s="779"/>
      <c r="H234" s="780">
        <f>SUM(H209:H233)</f>
        <v>4362.7699999999995</v>
      </c>
      <c r="I234" s="779"/>
      <c r="J234" s="780">
        <f>SUM(J209:J233)</f>
        <v>811.98900000000015</v>
      </c>
      <c r="K234" s="781"/>
      <c r="L234" s="777" t="s">
        <v>589</v>
      </c>
      <c r="M234" s="778"/>
      <c r="N234" s="782">
        <f>SUM(N209:N233)</f>
        <v>4871.9300000000012</v>
      </c>
      <c r="O234" s="783" t="e">
        <f>SUM(O209:O233)</f>
        <v>#REF!</v>
      </c>
      <c r="Q234" s="1698" t="str">
        <f>+IF(SUM(R209:R232)&gt;J235,"Revisar Metrado","OK")</f>
        <v>OK</v>
      </c>
      <c r="R234" s="1699"/>
      <c r="S234" s="1700"/>
      <c r="T234" s="710"/>
      <c r="U234" s="1058">
        <v>4483.3900000000003</v>
      </c>
      <c r="V234" s="1151" t="e">
        <f>+O234+U233</f>
        <v>#REF!</v>
      </c>
      <c r="W234" s="1152"/>
    </row>
    <row r="235" spans="2:23" ht="11.25" customHeight="1">
      <c r="B235" s="790"/>
      <c r="C235" s="791"/>
      <c r="D235" s="121"/>
      <c r="E235" s="792"/>
      <c r="F235" s="792"/>
      <c r="G235" s="786"/>
      <c r="H235" s="787" t="s">
        <v>214</v>
      </c>
      <c r="I235" s="788"/>
      <c r="J235" s="899">
        <v>4050</v>
      </c>
      <c r="K235" s="709"/>
      <c r="M235" s="709"/>
      <c r="N235" s="709"/>
      <c r="O235" s="751"/>
      <c r="P235" s="751"/>
      <c r="U235" s="751"/>
    </row>
    <row r="236" spans="2:23" ht="11.25" customHeight="1">
      <c r="B236" s="790"/>
      <c r="C236" s="791"/>
      <c r="D236" s="121"/>
      <c r="E236" s="792"/>
      <c r="F236" s="792"/>
      <c r="H236" s="699"/>
      <c r="J236" s="1036"/>
      <c r="K236" s="709"/>
      <c r="M236" s="709"/>
      <c r="N236" s="709"/>
      <c r="O236" s="751"/>
      <c r="P236" s="751"/>
      <c r="U236" s="751"/>
    </row>
    <row r="237" spans="2:23" ht="11.25" customHeight="1">
      <c r="B237" s="1714" t="s">
        <v>198</v>
      </c>
      <c r="C237" s="1714" t="s">
        <v>199</v>
      </c>
      <c r="D237" s="1716" t="s">
        <v>601</v>
      </c>
      <c r="E237" s="1712" t="s">
        <v>200</v>
      </c>
      <c r="F237" s="1713"/>
      <c r="G237" s="1712" t="s">
        <v>201</v>
      </c>
      <c r="H237" s="1713"/>
      <c r="I237" s="1712" t="s">
        <v>202</v>
      </c>
      <c r="J237" s="1713"/>
      <c r="K237" s="1714" t="s">
        <v>203</v>
      </c>
      <c r="L237" s="1712" t="s">
        <v>204</v>
      </c>
      <c r="M237" s="1713"/>
      <c r="N237" s="1712" t="s">
        <v>423</v>
      </c>
      <c r="O237" s="1713"/>
      <c r="P237" s="700"/>
      <c r="Q237" s="1678" t="s">
        <v>205</v>
      </c>
      <c r="R237" s="1679"/>
      <c r="S237" s="1680"/>
      <c r="U237" s="1678" t="s">
        <v>331</v>
      </c>
      <c r="V237" s="1679"/>
      <c r="W237" s="1680"/>
    </row>
    <row r="238" spans="2:23" ht="20.100000000000001" customHeight="1">
      <c r="B238" s="1715"/>
      <c r="C238" s="1715"/>
      <c r="D238" s="1717"/>
      <c r="E238" s="1011" t="s">
        <v>206</v>
      </c>
      <c r="F238" s="1012" t="s">
        <v>207</v>
      </c>
      <c r="G238" s="1011" t="s">
        <v>452</v>
      </c>
      <c r="H238" s="1012" t="s">
        <v>208</v>
      </c>
      <c r="I238" s="1011" t="s">
        <v>452</v>
      </c>
      <c r="J238" s="1012" t="s">
        <v>208</v>
      </c>
      <c r="K238" s="1715"/>
      <c r="L238" s="1011" t="s">
        <v>467</v>
      </c>
      <c r="M238" s="1012" t="s">
        <v>468</v>
      </c>
      <c r="N238" s="1011" t="s">
        <v>209</v>
      </c>
      <c r="O238" s="1012" t="s">
        <v>210</v>
      </c>
      <c r="Q238" s="1030" t="s">
        <v>211</v>
      </c>
      <c r="R238" s="720" t="s">
        <v>394</v>
      </c>
      <c r="S238" s="721" t="s">
        <v>451</v>
      </c>
      <c r="U238" s="719" t="s">
        <v>211</v>
      </c>
      <c r="V238" s="720" t="s">
        <v>394</v>
      </c>
      <c r="W238" s="721" t="s">
        <v>451</v>
      </c>
    </row>
    <row r="239" spans="2:23" ht="11.25" customHeight="1">
      <c r="B239" s="722" t="str">
        <f>+B$14</f>
        <v>Material:</v>
      </c>
      <c r="C239" s="723" t="str">
        <f>+C14</f>
        <v>DÓLAR MAS NFLACION MERCADO USA</v>
      </c>
      <c r="D239" s="724"/>
      <c r="E239" s="724"/>
      <c r="F239" s="725"/>
      <c r="G239" s="726"/>
      <c r="H239" s="727"/>
      <c r="I239" s="726"/>
      <c r="J239" s="728"/>
      <c r="K239" s="729"/>
      <c r="L239" s="724"/>
      <c r="M239" s="725"/>
      <c r="N239" s="730"/>
      <c r="O239" s="728"/>
      <c r="Q239" s="1031"/>
      <c r="R239" s="732"/>
      <c r="S239" s="725"/>
      <c r="U239" s="1031"/>
      <c r="V239" s="732"/>
      <c r="W239" s="725"/>
    </row>
    <row r="240" spans="2:23" ht="11.25" customHeight="1">
      <c r="B240" s="722" t="s">
        <v>212</v>
      </c>
      <c r="C240" s="733" t="s">
        <v>1007</v>
      </c>
      <c r="D240" s="724"/>
      <c r="E240" s="724"/>
      <c r="F240" s="734"/>
      <c r="G240" s="726"/>
      <c r="H240" s="727"/>
      <c r="I240" s="726"/>
      <c r="J240" s="727"/>
      <c r="K240" s="729"/>
      <c r="L240" s="724"/>
      <c r="M240" s="725"/>
      <c r="N240" s="730"/>
      <c r="O240" s="728"/>
      <c r="Q240" s="951"/>
      <c r="R240" s="735"/>
      <c r="S240" s="725"/>
      <c r="U240" s="951"/>
      <c r="V240" s="735"/>
      <c r="W240" s="952">
        <v>299167.11</v>
      </c>
    </row>
    <row r="241" spans="2:23" ht="11.25" customHeight="1">
      <c r="B241" s="1032" t="s">
        <v>41</v>
      </c>
      <c r="C241" s="1023" t="s">
        <v>42</v>
      </c>
      <c r="D241" s="738" t="s">
        <v>175</v>
      </c>
      <c r="E241" s="739">
        <v>1</v>
      </c>
      <c r="F241" s="740">
        <v>1</v>
      </c>
      <c r="G241" s="1032">
        <v>22973.88</v>
      </c>
      <c r="H241" s="759">
        <f>+ROUND(E241*F241*G241,2)</f>
        <v>22973.88</v>
      </c>
      <c r="I241" s="743">
        <f>LOOKUP(B241,valoriz!$A$13:$A$242,valoriz!I$13:I$242)</f>
        <v>0</v>
      </c>
      <c r="J241" s="744">
        <f>+ROUND(E241*F241*I241,2)</f>
        <v>0</v>
      </c>
      <c r="K241" s="745">
        <v>13.8</v>
      </c>
      <c r="L241" s="746" t="e">
        <f>D$17</f>
        <v>#REF!</v>
      </c>
      <c r="M241" s="747" t="str">
        <f>D$16</f>
        <v>347.73</v>
      </c>
      <c r="N241" s="748">
        <f>+ROUND(J241*K241*M$18,2)</f>
        <v>0</v>
      </c>
      <c r="O241" s="744" t="e">
        <f>+ROUND(J241*K241*L241*M$18/M241,2)</f>
        <v>#REF!</v>
      </c>
      <c r="Q241" s="828">
        <v>12869.44</v>
      </c>
      <c r="R241" s="1014">
        <f>+J241+Q241</f>
        <v>12869.44</v>
      </c>
      <c r="S241" s="891">
        <f>+IF((H241-R241)&lt;0,"BAD", H241-R241)</f>
        <v>10104.44</v>
      </c>
      <c r="U241" s="828" t="e">
        <f>+ROUND(Q241*$K241*$L241/$M241,2)</f>
        <v>#REF!</v>
      </c>
      <c r="V241" s="1014" t="e">
        <f>+ROUND(R241*$K241*$L241/$M241,2)</f>
        <v>#REF!</v>
      </c>
      <c r="W241" s="891"/>
    </row>
    <row r="242" spans="2:23" ht="11.25" customHeight="1" thickBot="1">
      <c r="B242" s="762"/>
      <c r="C242" s="1024"/>
      <c r="D242" s="764"/>
      <c r="E242" s="765"/>
      <c r="F242" s="766"/>
      <c r="G242" s="767"/>
      <c r="H242" s="768"/>
      <c r="I242" s="767"/>
      <c r="J242" s="769"/>
      <c r="K242" s="770"/>
      <c r="L242" s="771"/>
      <c r="M242" s="772"/>
      <c r="N242" s="773"/>
      <c r="O242" s="769"/>
      <c r="Q242" s="871">
        <f>SUM(Q241)</f>
        <v>12869.44</v>
      </c>
      <c r="R242" s="896">
        <f>SUM(R241)</f>
        <v>12869.44</v>
      </c>
      <c r="S242" s="897">
        <f>SUM(S241)</f>
        <v>10104.44</v>
      </c>
      <c r="U242" s="871" t="e">
        <f>SUM(U241)</f>
        <v>#REF!</v>
      </c>
      <c r="V242" s="896" t="e">
        <f>SUM(V241)</f>
        <v>#REF!</v>
      </c>
      <c r="W242" s="897" t="e">
        <f>+W240-V243</f>
        <v>#REF!</v>
      </c>
    </row>
    <row r="243" spans="2:23" ht="11.25" customHeight="1">
      <c r="B243" s="775"/>
      <c r="C243" s="776"/>
      <c r="D243" s="777"/>
      <c r="E243" s="777"/>
      <c r="F243" s="778"/>
      <c r="G243" s="779"/>
      <c r="H243" s="780">
        <f>SUM(H241:H242)</f>
        <v>22973.88</v>
      </c>
      <c r="I243" s="779"/>
      <c r="J243" s="780">
        <f>SUM(J241:J242)</f>
        <v>0</v>
      </c>
      <c r="K243" s="781"/>
      <c r="L243" s="777"/>
      <c r="M243" s="778"/>
      <c r="N243" s="782">
        <f>SUM(N241:N242)</f>
        <v>0</v>
      </c>
      <c r="O243" s="783" t="e">
        <f>SUM(O241:O242)</f>
        <v>#REF!</v>
      </c>
      <c r="Q243" s="1654" t="str">
        <f>+IF(SUM(R241:R241)&gt;J244,"Revisar Metrado","OK")</f>
        <v>OK</v>
      </c>
      <c r="R243" s="1719"/>
      <c r="S243" s="1655"/>
      <c r="U243" s="1054" t="e">
        <f>+ROUND(Q242*$K241*$L241/$M241,2)</f>
        <v>#REF!</v>
      </c>
      <c r="V243" s="1055" t="e">
        <f>+O243+U243</f>
        <v>#REF!</v>
      </c>
      <c r="W243" s="1056"/>
    </row>
    <row r="244" spans="2:23" ht="11.25" customHeight="1">
      <c r="B244" s="784"/>
      <c r="C244" s="785"/>
      <c r="G244" s="786"/>
      <c r="H244" s="787" t="s">
        <v>214</v>
      </c>
      <c r="I244" s="788"/>
      <c r="J244" s="899">
        <v>22974</v>
      </c>
      <c r="K244" s="751"/>
      <c r="R244"/>
      <c r="S244"/>
      <c r="U244" s="751" t="e">
        <f>+U27+U53+U85+U111+U128+U148+U168+U202+U234+U243</f>
        <v>#REF!</v>
      </c>
      <c r="V244" s="751" t="e">
        <f>+V27+V53+V85+V111+V128+V148+V168+V202+V234+V243</f>
        <v>#REF!</v>
      </c>
      <c r="W244" s="751"/>
    </row>
    <row r="245" spans="2:23" ht="11.25" customHeight="1">
      <c r="B245" s="790"/>
      <c r="C245" s="791"/>
      <c r="D245" s="121"/>
      <c r="E245" s="792"/>
      <c r="F245" s="792"/>
      <c r="H245" s="699"/>
      <c r="J245" s="873" t="s">
        <v>243</v>
      </c>
      <c r="K245" s="874"/>
      <c r="L245" s="874"/>
      <c r="M245" s="807"/>
      <c r="N245" s="905">
        <f>+N27+N53+N85+N111+N128+N148+N168+N202+N234+N243</f>
        <v>14264.52</v>
      </c>
      <c r="O245" s="905" t="e">
        <f>+O27+O53+O85+O111+O128+O148+O168+O202+O234+O243</f>
        <v>#REF!</v>
      </c>
      <c r="P245" s="751"/>
    </row>
    <row r="246" spans="2:23" ht="11.25" customHeight="1">
      <c r="B246" s="784"/>
      <c r="C246" s="700"/>
      <c r="J246" s="906" t="s">
        <v>244</v>
      </c>
      <c r="K246" s="788"/>
      <c r="L246" s="788"/>
      <c r="M246" s="811"/>
      <c r="N246" s="808" t="e">
        <f>+IF(D$13&gt;C271,0,N245)</f>
        <v>#REF!</v>
      </c>
      <c r="O246" s="809" t="e">
        <f>+IF(D$13&gt;C271,0,O245)</f>
        <v>#REF!</v>
      </c>
      <c r="P246" s="751"/>
    </row>
    <row r="247" spans="2:23" ht="11.25" customHeight="1">
      <c r="B247" s="784"/>
      <c r="C247" s="785"/>
      <c r="J247"/>
      <c r="K247"/>
      <c r="L247"/>
      <c r="M247"/>
      <c r="N247"/>
      <c r="O247"/>
    </row>
    <row r="248" spans="2:23" ht="11.25" customHeight="1">
      <c r="B248" s="784"/>
      <c r="C248" s="785"/>
      <c r="J248"/>
      <c r="K248"/>
      <c r="L248"/>
      <c r="M248"/>
      <c r="N248"/>
      <c r="O248"/>
    </row>
    <row r="249" spans="2:23" ht="18">
      <c r="B249" s="1687" t="str">
        <f>+'Asfalto IU 13'!B32:O32</f>
        <v>C O N T R O L   D E L   A D E L A N T O   P A R A   M A T E R I A L E S   Nº 02</v>
      </c>
      <c r="C249" s="1687"/>
      <c r="D249" s="1687"/>
      <c r="E249" s="1687"/>
      <c r="F249" s="1687"/>
      <c r="G249" s="1687"/>
      <c r="H249" s="1687"/>
      <c r="I249" s="1687"/>
      <c r="J249" s="1687"/>
      <c r="K249" s="1687"/>
      <c r="L249" s="1687"/>
      <c r="M249" s="1687"/>
      <c r="N249" s="1687"/>
      <c r="O249" s="1687"/>
    </row>
    <row r="251" spans="2:23" ht="11.25" customHeight="1">
      <c r="B251" s="699" t="str">
        <f>+B14</f>
        <v>Material:</v>
      </c>
      <c r="C251" s="698" t="str">
        <f>+C14</f>
        <v>DÓLAR MAS NFLACION MERCADO USA</v>
      </c>
    </row>
    <row r="252" spans="2:23" ht="11.25" customHeight="1">
      <c r="B252" s="699" t="str">
        <f>+B15</f>
        <v>Indice Unificado:</v>
      </c>
      <c r="C252" s="698" t="str">
        <f>+C15</f>
        <v>30</v>
      </c>
      <c r="D252" s="705" t="s">
        <v>459</v>
      </c>
      <c r="E252" s="706"/>
      <c r="F252" s="1692" t="s">
        <v>451</v>
      </c>
      <c r="G252" s="1692"/>
    </row>
    <row r="253" spans="2:23" ht="11.25" customHeight="1">
      <c r="B253" s="698" t="str">
        <f>+B12</f>
        <v>Monto del Adelanto Especifico para DÓLAR MAS INFLACION MERCADO USA</v>
      </c>
      <c r="D253" s="702">
        <f>+D12</f>
        <v>1027941.63</v>
      </c>
      <c r="E253" s="706"/>
      <c r="F253" s="1691" t="e">
        <f>+D253-I287</f>
        <v>#REF!</v>
      </c>
      <c r="G253" s="1691"/>
    </row>
    <row r="254" spans="2:23" ht="11.25" customHeight="1">
      <c r="B254" s="698" t="s">
        <v>246</v>
      </c>
      <c r="C254" s="812"/>
      <c r="D254" s="702" t="e">
        <f>ROUND(D253/D257*D256,2)</f>
        <v>#REF!</v>
      </c>
      <c r="E254" s="706"/>
      <c r="F254" s="1691" t="e">
        <f>+D254-F287</f>
        <v>#REF!</v>
      </c>
      <c r="G254" s="1691"/>
    </row>
    <row r="255" spans="2:23" ht="11.25" customHeight="1">
      <c r="B255" s="698" t="str">
        <f>+B13</f>
        <v xml:space="preserve">Fecha de Pago del Adelanto  : </v>
      </c>
      <c r="D255" s="703" t="e">
        <f>+D13</f>
        <v>#REF!</v>
      </c>
      <c r="E255" s="706"/>
    </row>
    <row r="256" spans="2:23" ht="11.25" customHeight="1">
      <c r="B256" s="698" t="str">
        <f>+B16</f>
        <v>Indice INEI a la Fecha del P. Base   (Abril 2,009)</v>
      </c>
      <c r="D256" s="709" t="str">
        <f>+D16</f>
        <v>347.73</v>
      </c>
      <c r="E256" s="121"/>
    </row>
    <row r="257" spans="2:15" ht="11.25" customHeight="1">
      <c r="B257" s="698" t="str">
        <f>+B17</f>
        <v>Indice INEI a la Fecha del Pago del Adelanto  (Setiembre 2,010)</v>
      </c>
      <c r="D257" s="709" t="e">
        <f>+D17</f>
        <v>#REF!</v>
      </c>
      <c r="E257" s="709"/>
    </row>
    <row r="258" spans="2:15" ht="11.25" customHeight="1">
      <c r="B258" s="698" t="s">
        <v>247</v>
      </c>
      <c r="D258" s="698">
        <v>7.0999999999999994E-2</v>
      </c>
    </row>
    <row r="259" spans="2:15" ht="11.25" customHeight="1">
      <c r="B259" s="698" t="s">
        <v>248</v>
      </c>
      <c r="D259" s="813">
        <v>0.64788999999999997</v>
      </c>
    </row>
    <row r="261" spans="2:15" ht="11.25" customHeight="1">
      <c r="B261" s="814" t="str">
        <f>+'Asfalto IU 13'!B44</f>
        <v>AMORTIZACION DEL ADELANTO DE MATERIALES Nº 02</v>
      </c>
    </row>
    <row r="263" spans="2:15" ht="11.25" customHeight="1">
      <c r="B263" s="1708" t="s">
        <v>250</v>
      </c>
      <c r="C263" s="1709"/>
      <c r="D263" s="1712" t="s">
        <v>251</v>
      </c>
      <c r="E263" s="1718"/>
      <c r="F263" s="1718"/>
      <c r="G263" s="1718"/>
      <c r="H263" s="1718"/>
      <c r="I263" s="1713"/>
      <c r="L263" s="815"/>
      <c r="M263" s="815"/>
    </row>
    <row r="264" spans="2:15" ht="11.25" customHeight="1">
      <c r="B264" s="1720"/>
      <c r="C264" s="1721"/>
      <c r="D264" s="1712" t="s">
        <v>252</v>
      </c>
      <c r="E264" s="1718"/>
      <c r="F264" s="1713"/>
      <c r="G264" s="1712" t="s">
        <v>253</v>
      </c>
      <c r="H264" s="1718"/>
      <c r="I264" s="1713"/>
    </row>
    <row r="265" spans="2:15" ht="11.25" customHeight="1">
      <c r="B265" s="1710"/>
      <c r="C265" s="1711"/>
      <c r="D265" s="1009" t="s">
        <v>254</v>
      </c>
      <c r="E265" s="1017" t="s">
        <v>451</v>
      </c>
      <c r="F265" s="1010" t="s">
        <v>255</v>
      </c>
      <c r="G265" s="1009" t="s">
        <v>254</v>
      </c>
      <c r="H265" s="1017" t="s">
        <v>451</v>
      </c>
      <c r="I265" s="1010" t="s">
        <v>255</v>
      </c>
      <c r="O265" s="751"/>
    </row>
    <row r="266" spans="2:15" ht="11.25" customHeight="1">
      <c r="B266" s="817" t="s">
        <v>256</v>
      </c>
      <c r="C266" s="818">
        <v>40298</v>
      </c>
      <c r="D266" s="819" t="e">
        <f>+D254</f>
        <v>#REF!</v>
      </c>
      <c r="E266" s="820" t="e">
        <f t="shared" ref="E266:E284" si="86">+D266-F266</f>
        <v>#REF!</v>
      </c>
      <c r="F266" s="907"/>
      <c r="G266" s="819">
        <f>+D253</f>
        <v>1027941.63</v>
      </c>
      <c r="H266" s="820">
        <f t="shared" ref="H266:H284" si="87">+G266-I266</f>
        <v>1027941.63</v>
      </c>
      <c r="I266" s="908"/>
      <c r="O266" s="751"/>
    </row>
    <row r="267" spans="2:15" ht="11.25" customHeight="1">
      <c r="B267" s="822" t="s">
        <v>257</v>
      </c>
      <c r="C267" s="823">
        <v>40329</v>
      </c>
      <c r="D267" s="824" t="e">
        <f t="shared" ref="D267:D284" si="88">+E266</f>
        <v>#REF!</v>
      </c>
      <c r="E267" s="825" t="e">
        <f t="shared" si="86"/>
        <v>#REF!</v>
      </c>
      <c r="F267" s="882"/>
      <c r="G267" s="824">
        <f>+G266</f>
        <v>1027941.63</v>
      </c>
      <c r="H267" s="825">
        <f t="shared" si="87"/>
        <v>1027941.63</v>
      </c>
      <c r="I267" s="795"/>
      <c r="J267" s="751"/>
      <c r="O267" s="751"/>
    </row>
    <row r="268" spans="2:15" ht="11.25" customHeight="1">
      <c r="B268" s="822" t="s">
        <v>258</v>
      </c>
      <c r="C268" s="823">
        <v>40359</v>
      </c>
      <c r="D268" s="824" t="e">
        <f t="shared" si="88"/>
        <v>#REF!</v>
      </c>
      <c r="E268" s="825" t="e">
        <f t="shared" si="86"/>
        <v>#REF!</v>
      </c>
      <c r="F268" s="882"/>
      <c r="G268" s="824">
        <f t="shared" ref="G268:G284" si="89">+H267</f>
        <v>1027941.63</v>
      </c>
      <c r="H268" s="825">
        <f t="shared" si="87"/>
        <v>1027941.63</v>
      </c>
      <c r="I268" s="795"/>
      <c r="J268" s="751"/>
      <c r="O268" s="751"/>
    </row>
    <row r="269" spans="2:15" ht="11.25" customHeight="1">
      <c r="B269" s="822" t="s">
        <v>259</v>
      </c>
      <c r="C269" s="823">
        <v>40390</v>
      </c>
      <c r="D269" s="824" t="e">
        <f t="shared" si="88"/>
        <v>#REF!</v>
      </c>
      <c r="E269" s="825" t="e">
        <f t="shared" si="86"/>
        <v>#REF!</v>
      </c>
      <c r="F269" s="882"/>
      <c r="G269" s="824">
        <f t="shared" si="89"/>
        <v>1027941.63</v>
      </c>
      <c r="H269" s="825">
        <f t="shared" si="87"/>
        <v>1027941.63</v>
      </c>
      <c r="I269" s="795"/>
      <c r="J269" s="751"/>
      <c r="O269" s="751"/>
    </row>
    <row r="270" spans="2:15" ht="11.25" customHeight="1">
      <c r="B270" s="822" t="s">
        <v>260</v>
      </c>
      <c r="C270" s="823">
        <v>40421</v>
      </c>
      <c r="D270" s="824" t="e">
        <f t="shared" si="88"/>
        <v>#REF!</v>
      </c>
      <c r="E270" s="825" t="e">
        <f t="shared" si="86"/>
        <v>#REF!</v>
      </c>
      <c r="F270" s="882"/>
      <c r="G270" s="824">
        <f t="shared" si="89"/>
        <v>1027941.63</v>
      </c>
      <c r="H270" s="825">
        <f t="shared" si="87"/>
        <v>1027941.63</v>
      </c>
      <c r="I270" s="795"/>
      <c r="J270" s="751"/>
      <c r="O270" s="751"/>
    </row>
    <row r="271" spans="2:15" ht="11.25" customHeight="1">
      <c r="B271" s="822" t="s">
        <v>261</v>
      </c>
      <c r="C271" s="823">
        <v>40451</v>
      </c>
      <c r="D271" s="824" t="e">
        <f t="shared" si="88"/>
        <v>#REF!</v>
      </c>
      <c r="E271" s="825" t="e">
        <f t="shared" si="86"/>
        <v>#REF!</v>
      </c>
      <c r="F271" s="882">
        <v>21484.41</v>
      </c>
      <c r="G271" s="824">
        <f t="shared" si="89"/>
        <v>1027941.63</v>
      </c>
      <c r="H271" s="825">
        <f t="shared" si="87"/>
        <v>1007941.51</v>
      </c>
      <c r="I271" s="795">
        <v>20000.12</v>
      </c>
      <c r="J271" s="751"/>
      <c r="O271" s="751"/>
    </row>
    <row r="272" spans="2:15" ht="11.25" customHeight="1">
      <c r="B272" s="822" t="s">
        <v>262</v>
      </c>
      <c r="C272" s="823">
        <v>40482</v>
      </c>
      <c r="D272" s="824" t="e">
        <f t="shared" si="88"/>
        <v>#REF!</v>
      </c>
      <c r="E272" s="825" t="e">
        <f t="shared" si="86"/>
        <v>#REF!</v>
      </c>
      <c r="F272" s="744">
        <v>39881.300000000003</v>
      </c>
      <c r="G272" s="824">
        <f t="shared" si="89"/>
        <v>1007941.51</v>
      </c>
      <c r="H272" s="825">
        <f t="shared" si="87"/>
        <v>970922.89</v>
      </c>
      <c r="I272" s="744">
        <v>37018.620000000003</v>
      </c>
      <c r="J272" s="751"/>
      <c r="O272" s="751"/>
    </row>
    <row r="273" spans="2:15" ht="11.25" customHeight="1">
      <c r="B273" s="822" t="s">
        <v>263</v>
      </c>
      <c r="C273" s="823">
        <v>40512</v>
      </c>
      <c r="D273" s="824" t="e">
        <f t="shared" si="88"/>
        <v>#REF!</v>
      </c>
      <c r="E273" s="825" t="e">
        <f t="shared" si="86"/>
        <v>#REF!</v>
      </c>
      <c r="F273" s="744">
        <v>242388.99</v>
      </c>
      <c r="G273" s="824">
        <f t="shared" si="89"/>
        <v>970922.89</v>
      </c>
      <c r="H273" s="825">
        <f t="shared" si="87"/>
        <v>745932.52</v>
      </c>
      <c r="I273" s="744">
        <v>224990.37</v>
      </c>
      <c r="O273" s="751"/>
    </row>
    <row r="274" spans="2:15" ht="11.25" customHeight="1">
      <c r="B274" s="822" t="s">
        <v>264</v>
      </c>
      <c r="C274" s="823">
        <v>40543</v>
      </c>
      <c r="D274" s="824" t="e">
        <f t="shared" si="88"/>
        <v>#REF!</v>
      </c>
      <c r="E274" s="825" t="e">
        <f t="shared" si="86"/>
        <v>#REF!</v>
      </c>
      <c r="F274" s="744">
        <v>180494.02</v>
      </c>
      <c r="G274" s="824">
        <f t="shared" si="89"/>
        <v>745932.52</v>
      </c>
      <c r="H274" s="825">
        <f t="shared" si="87"/>
        <v>578394.28</v>
      </c>
      <c r="I274" s="744">
        <v>167538.23999999999</v>
      </c>
      <c r="O274" s="751"/>
    </row>
    <row r="275" spans="2:15" ht="11.25" customHeight="1">
      <c r="B275" s="822" t="s">
        <v>265</v>
      </c>
      <c r="C275" s="823">
        <v>40574</v>
      </c>
      <c r="D275" s="824" t="e">
        <f t="shared" si="88"/>
        <v>#REF!</v>
      </c>
      <c r="E275" s="825" t="e">
        <f t="shared" si="86"/>
        <v>#REF!</v>
      </c>
      <c r="F275" s="744">
        <v>25310.91</v>
      </c>
      <c r="G275" s="824">
        <f t="shared" si="89"/>
        <v>578394.28</v>
      </c>
      <c r="H275" s="825">
        <f t="shared" si="87"/>
        <v>554900.19000000006</v>
      </c>
      <c r="I275" s="744">
        <v>23494.09</v>
      </c>
      <c r="O275" s="751"/>
    </row>
    <row r="276" spans="2:15" ht="11.25" customHeight="1">
      <c r="B276" s="822" t="s">
        <v>266</v>
      </c>
      <c r="C276" s="823">
        <v>40602</v>
      </c>
      <c r="D276" s="824" t="e">
        <f t="shared" si="88"/>
        <v>#REF!</v>
      </c>
      <c r="E276" s="825" t="e">
        <f t="shared" si="86"/>
        <v>#REF!</v>
      </c>
      <c r="F276" s="744">
        <v>16841.73</v>
      </c>
      <c r="G276" s="824">
        <f t="shared" si="89"/>
        <v>554900.19000000006</v>
      </c>
      <c r="H276" s="825">
        <f t="shared" si="87"/>
        <v>539267.3600000001</v>
      </c>
      <c r="I276" s="744">
        <v>15632.83</v>
      </c>
      <c r="O276" s="751"/>
    </row>
    <row r="277" spans="2:15" ht="11.25" customHeight="1">
      <c r="B277" s="822" t="s">
        <v>267</v>
      </c>
      <c r="C277" s="823">
        <v>40633</v>
      </c>
      <c r="D277" s="824" t="e">
        <f t="shared" si="88"/>
        <v>#REF!</v>
      </c>
      <c r="E277" s="825" t="e">
        <f t="shared" si="86"/>
        <v>#REF!</v>
      </c>
      <c r="F277" s="744">
        <v>14220.95</v>
      </c>
      <c r="G277" s="824">
        <f t="shared" si="89"/>
        <v>539267.3600000001</v>
      </c>
      <c r="H277" s="825">
        <f t="shared" si="87"/>
        <v>526067.18000000005</v>
      </c>
      <c r="I277" s="744">
        <v>13200.18</v>
      </c>
      <c r="O277" s="751"/>
    </row>
    <row r="278" spans="2:15" ht="11.25" customHeight="1">
      <c r="B278" s="822" t="s">
        <v>268</v>
      </c>
      <c r="C278" s="823">
        <v>40663</v>
      </c>
      <c r="D278" s="824" t="e">
        <f t="shared" si="88"/>
        <v>#REF!</v>
      </c>
      <c r="E278" s="825" t="e">
        <f t="shared" si="86"/>
        <v>#REF!</v>
      </c>
      <c r="F278" s="744">
        <v>17312.650000000001</v>
      </c>
      <c r="G278" s="824">
        <f t="shared" si="89"/>
        <v>526067.18000000005</v>
      </c>
      <c r="H278" s="825">
        <f t="shared" si="87"/>
        <v>509997.24000000005</v>
      </c>
      <c r="I278" s="744">
        <v>16069.94</v>
      </c>
      <c r="O278" s="751"/>
    </row>
    <row r="279" spans="2:15" ht="11.25" customHeight="1">
      <c r="B279" s="822" t="s">
        <v>269</v>
      </c>
      <c r="C279" s="823">
        <v>40694</v>
      </c>
      <c r="D279" s="824" t="e">
        <f t="shared" si="88"/>
        <v>#REF!</v>
      </c>
      <c r="E279" s="825" t="e">
        <f t="shared" si="86"/>
        <v>#REF!</v>
      </c>
      <c r="F279" s="744">
        <v>159509.18</v>
      </c>
      <c r="G279" s="824">
        <f t="shared" si="89"/>
        <v>509997.24000000005</v>
      </c>
      <c r="H279" s="825">
        <f t="shared" si="87"/>
        <v>361937.60000000003</v>
      </c>
      <c r="I279" s="744">
        <v>148059.64000000001</v>
      </c>
      <c r="O279" s="751"/>
    </row>
    <row r="280" spans="2:15" ht="11.25" customHeight="1">
      <c r="B280" s="822" t="s">
        <v>270</v>
      </c>
      <c r="C280" s="823">
        <v>40724</v>
      </c>
      <c r="D280" s="824" t="e">
        <f t="shared" si="88"/>
        <v>#REF!</v>
      </c>
      <c r="E280" s="825" t="e">
        <f t="shared" si="86"/>
        <v>#REF!</v>
      </c>
      <c r="F280" s="744">
        <v>100841.43</v>
      </c>
      <c r="G280" s="824">
        <f t="shared" si="89"/>
        <v>361937.60000000003</v>
      </c>
      <c r="H280" s="825">
        <f t="shared" si="87"/>
        <v>268334.56000000006</v>
      </c>
      <c r="I280" s="744">
        <v>93603.04</v>
      </c>
      <c r="O280" s="751"/>
    </row>
    <row r="281" spans="2:15" ht="11.25" customHeight="1">
      <c r="B281" s="822" t="s">
        <v>271</v>
      </c>
      <c r="C281" s="823">
        <v>40755</v>
      </c>
      <c r="D281" s="824" t="e">
        <f t="shared" si="88"/>
        <v>#REF!</v>
      </c>
      <c r="E281" s="825" t="e">
        <f t="shared" si="86"/>
        <v>#REF!</v>
      </c>
      <c r="F281" s="744" t="e">
        <f>+IF(D$13&gt;C281,0,IF(D281&gt;N246,N$37,D281))+F43</f>
        <v>#REF!</v>
      </c>
      <c r="G281" s="824">
        <f t="shared" si="89"/>
        <v>268334.56000000006</v>
      </c>
      <c r="H281" s="825" t="e">
        <f t="shared" si="87"/>
        <v>#REF!</v>
      </c>
      <c r="I281" s="744" t="e">
        <f>+IF(D$13&gt;C281,0,IF(G281&gt;O246,O$37,G281))</f>
        <v>#REF!</v>
      </c>
      <c r="O281" s="751"/>
    </row>
    <row r="282" spans="2:15" ht="11.25" customHeight="1">
      <c r="B282" s="822" t="s">
        <v>272</v>
      </c>
      <c r="C282" s="823">
        <v>40786</v>
      </c>
      <c r="D282" s="824" t="e">
        <f t="shared" si="88"/>
        <v>#REF!</v>
      </c>
      <c r="E282" s="825" t="e">
        <f t="shared" si="86"/>
        <v>#REF!</v>
      </c>
      <c r="F282" s="744"/>
      <c r="G282" s="824" t="e">
        <f t="shared" si="89"/>
        <v>#REF!</v>
      </c>
      <c r="H282" s="825" t="e">
        <f t="shared" si="87"/>
        <v>#REF!</v>
      </c>
      <c r="I282" s="744"/>
      <c r="O282" s="751"/>
    </row>
    <row r="283" spans="2:15" ht="11.25" customHeight="1">
      <c r="B283" s="822" t="s">
        <v>273</v>
      </c>
      <c r="C283" s="823">
        <v>40816</v>
      </c>
      <c r="D283" s="824" t="e">
        <f t="shared" si="88"/>
        <v>#REF!</v>
      </c>
      <c r="E283" s="825" t="e">
        <f t="shared" si="86"/>
        <v>#REF!</v>
      </c>
      <c r="F283" s="744"/>
      <c r="G283" s="824" t="e">
        <f t="shared" si="89"/>
        <v>#REF!</v>
      </c>
      <c r="H283" s="825" t="e">
        <f t="shared" si="87"/>
        <v>#REF!</v>
      </c>
      <c r="I283" s="744"/>
      <c r="O283" s="751"/>
    </row>
    <row r="284" spans="2:15" ht="11.25" customHeight="1">
      <c r="B284" s="822" t="s">
        <v>1014</v>
      </c>
      <c r="C284" s="823">
        <v>40826</v>
      </c>
      <c r="D284" s="824" t="e">
        <f t="shared" si="88"/>
        <v>#REF!</v>
      </c>
      <c r="E284" s="825" t="e">
        <f t="shared" si="86"/>
        <v>#REF!</v>
      </c>
      <c r="F284" s="744"/>
      <c r="G284" s="824" t="e">
        <f t="shared" si="89"/>
        <v>#REF!</v>
      </c>
      <c r="H284" s="825" t="e">
        <f t="shared" si="87"/>
        <v>#REF!</v>
      </c>
      <c r="I284" s="744"/>
      <c r="O284" s="751"/>
    </row>
    <row r="285" spans="2:15" ht="11.25" customHeight="1">
      <c r="B285" s="822"/>
      <c r="C285" s="823"/>
      <c r="D285" s="824"/>
      <c r="E285" s="825"/>
      <c r="F285" s="744"/>
      <c r="G285" s="824"/>
      <c r="H285" s="825"/>
      <c r="I285" s="744"/>
      <c r="O285" s="751"/>
    </row>
    <row r="286" spans="2:15" ht="11.25" customHeight="1">
      <c r="B286" s="826"/>
      <c r="C286" s="827"/>
      <c r="D286" s="828"/>
      <c r="E286" s="829"/>
      <c r="F286" s="830"/>
      <c r="G286" s="828"/>
      <c r="H286" s="829"/>
      <c r="I286" s="830"/>
      <c r="O286" s="751"/>
    </row>
    <row r="287" spans="2:15" ht="11.25" customHeight="1">
      <c r="B287" s="700"/>
      <c r="C287" s="700"/>
      <c r="D287" s="831" t="s">
        <v>274</v>
      </c>
      <c r="E287" s="788"/>
      <c r="F287" s="832" t="e">
        <f>SUM(F267:F286)</f>
        <v>#REF!</v>
      </c>
      <c r="G287" s="786"/>
      <c r="H287" s="832"/>
      <c r="I287" s="833" t="e">
        <f>SUM(I267:I286)</f>
        <v>#REF!</v>
      </c>
      <c r="O287" s="751"/>
    </row>
    <row r="289" spans="2:18" ht="11.25" customHeight="1">
      <c r="B289" s="814" t="str">
        <f>+'Asfalto IU 13'!B72</f>
        <v>DEDUCCION POR REAJUSTE QUE NO CORRESPONDE DEL ADELANTO DE MATERIALES Nº 02</v>
      </c>
      <c r="G289" s="812"/>
    </row>
    <row r="290" spans="2:18" ht="11.25" customHeight="1">
      <c r="B290" s="834" t="s">
        <v>276</v>
      </c>
    </row>
    <row r="291" spans="2:18" ht="11.25" customHeight="1">
      <c r="B291" s="835" t="s">
        <v>277</v>
      </c>
      <c r="C291" s="715"/>
      <c r="D291" s="715"/>
      <c r="E291" s="715"/>
      <c r="F291" s="715"/>
      <c r="G291" s="715"/>
      <c r="H291" s="715"/>
      <c r="I291" s="715"/>
      <c r="J291" s="715"/>
      <c r="K291" s="715"/>
      <c r="L291" s="715"/>
      <c r="M291" s="715"/>
    </row>
    <row r="292" spans="2:18" ht="11.25" customHeight="1">
      <c r="B292" s="1708" t="s">
        <v>250</v>
      </c>
      <c r="C292" s="1709"/>
      <c r="D292" s="1708" t="s">
        <v>278</v>
      </c>
      <c r="E292" s="1714" t="s">
        <v>279</v>
      </c>
      <c r="F292" s="1712" t="s">
        <v>135</v>
      </c>
      <c r="G292" s="1713"/>
      <c r="H292" s="1723" t="s">
        <v>280</v>
      </c>
      <c r="I292" s="1724"/>
      <c r="J292" s="1725"/>
      <c r="K292" s="1708" t="s">
        <v>281</v>
      </c>
      <c r="L292" s="1726"/>
      <c r="M292" s="1709"/>
      <c r="N292" s="1714" t="s">
        <v>282</v>
      </c>
      <c r="P292" s="1654" t="s">
        <v>136</v>
      </c>
      <c r="Q292" s="1655"/>
    </row>
    <row r="293" spans="2:18" ht="11.25" customHeight="1">
      <c r="B293" s="1710"/>
      <c r="C293" s="1711"/>
      <c r="D293" s="1710"/>
      <c r="E293" s="1715"/>
      <c r="F293" s="1018" t="s">
        <v>283</v>
      </c>
      <c r="G293" s="1018" t="s">
        <v>385</v>
      </c>
      <c r="H293" s="1010" t="s">
        <v>254</v>
      </c>
      <c r="I293" s="1010" t="s">
        <v>284</v>
      </c>
      <c r="J293" s="1009" t="s">
        <v>451</v>
      </c>
      <c r="K293" s="1018" t="s">
        <v>468</v>
      </c>
      <c r="L293" s="1010" t="s">
        <v>467</v>
      </c>
      <c r="M293" s="1010" t="s">
        <v>285</v>
      </c>
      <c r="N293" s="1722"/>
      <c r="P293" s="911" t="s">
        <v>456</v>
      </c>
      <c r="Q293" s="1037" t="s">
        <v>286</v>
      </c>
    </row>
    <row r="294" spans="2:18" ht="11.25" customHeight="1">
      <c r="B294" s="822" t="str">
        <f t="shared" ref="B294:C312" si="90">+B266</f>
        <v>VAL. 01</v>
      </c>
      <c r="C294" s="901">
        <f t="shared" si="90"/>
        <v>40298</v>
      </c>
      <c r="D294" s="824">
        <f>+'Cemento Port I IU 21'!D423</f>
        <v>78066.42</v>
      </c>
      <c r="E294" s="840">
        <f t="shared" ref="E294:E312" si="91">+H266</f>
        <v>1027941.63</v>
      </c>
      <c r="F294" s="841">
        <f>+D258</f>
        <v>7.0999999999999994E-2</v>
      </c>
      <c r="G294" s="842">
        <f>+D259</f>
        <v>0.64788999999999997</v>
      </c>
      <c r="H294" s="843" t="e">
        <f>+D254</f>
        <v>#REF!</v>
      </c>
      <c r="I294" s="744" t="e">
        <f>+IF(D$13&gt;C294,0,ROUND(D294*F294*G294,2))</f>
        <v>#REF!</v>
      </c>
      <c r="J294" s="824" t="e">
        <f>+H294-I294</f>
        <v>#REF!</v>
      </c>
      <c r="K294" s="843" t="str">
        <f t="shared" ref="K294:K312" si="92">+D$256</f>
        <v>347.73</v>
      </c>
      <c r="L294" s="744"/>
      <c r="M294" s="744"/>
      <c r="N294" s="1019" t="e">
        <f t="shared" ref="N294:N312" si="93">+ROUND(I294*(M294-L294)/K294,2)</f>
        <v>#REF!</v>
      </c>
      <c r="O294" s="709"/>
      <c r="P294" s="845">
        <v>40238</v>
      </c>
      <c r="Q294" s="845">
        <v>40299</v>
      </c>
      <c r="R294" s="698" t="s">
        <v>996</v>
      </c>
    </row>
    <row r="295" spans="2:18" ht="11.25" customHeight="1">
      <c r="B295" s="822" t="str">
        <f t="shared" si="90"/>
        <v>VAL. 02</v>
      </c>
      <c r="C295" s="901">
        <f t="shared" si="90"/>
        <v>40329</v>
      </c>
      <c r="D295" s="824">
        <f>+'Cemento Port I IU 21'!D424</f>
        <v>1302063.97</v>
      </c>
      <c r="E295" s="843">
        <f t="shared" si="91"/>
        <v>1027941.63</v>
      </c>
      <c r="F295" s="841">
        <f t="shared" ref="F295:F312" si="94">+F294</f>
        <v>7.0999999999999994E-2</v>
      </c>
      <c r="G295" s="842">
        <f t="shared" ref="G295:G312" si="95">+G294</f>
        <v>0.64788999999999997</v>
      </c>
      <c r="H295" s="843" t="e">
        <f t="shared" ref="H295:H312" si="96">+J294</f>
        <v>#REF!</v>
      </c>
      <c r="I295" s="744" t="e">
        <f t="shared" ref="I295:I300" si="97">+IF(D$13&gt;C295,0,IF(ROUND(D295*F295*G295,2)&gt;J294,J294,ROUND(D295*F295*G295,2)))</f>
        <v>#REF!</v>
      </c>
      <c r="J295" s="824" t="e">
        <f>+H295-I295</f>
        <v>#REF!</v>
      </c>
      <c r="K295" s="843" t="str">
        <f t="shared" si="92"/>
        <v>347.73</v>
      </c>
      <c r="L295" s="744"/>
      <c r="M295" s="744"/>
      <c r="N295" s="1019" t="e">
        <f t="shared" si="93"/>
        <v>#REF!</v>
      </c>
      <c r="O295" s="709"/>
      <c r="P295" s="845">
        <v>40269</v>
      </c>
      <c r="Q295" s="845">
        <v>40330</v>
      </c>
      <c r="R295" s="698" t="s">
        <v>996</v>
      </c>
    </row>
    <row r="296" spans="2:18" ht="11.25" customHeight="1">
      <c r="B296" s="822" t="str">
        <f t="shared" si="90"/>
        <v>VAL. 03</v>
      </c>
      <c r="C296" s="901">
        <f t="shared" si="90"/>
        <v>40359</v>
      </c>
      <c r="D296" s="824">
        <f>+'Cemento Port I IU 21'!D425</f>
        <v>1388847.16</v>
      </c>
      <c r="E296" s="843">
        <f t="shared" si="91"/>
        <v>1027941.63</v>
      </c>
      <c r="F296" s="841">
        <f t="shared" si="94"/>
        <v>7.0999999999999994E-2</v>
      </c>
      <c r="G296" s="842">
        <f t="shared" si="95"/>
        <v>0.64788999999999997</v>
      </c>
      <c r="H296" s="843" t="e">
        <f t="shared" si="96"/>
        <v>#REF!</v>
      </c>
      <c r="I296" s="744" t="e">
        <f t="shared" si="97"/>
        <v>#REF!</v>
      </c>
      <c r="J296" s="824" t="e">
        <f t="shared" ref="J296:J312" si="98">+J295-I296</f>
        <v>#REF!</v>
      </c>
      <c r="K296" s="843" t="str">
        <f t="shared" si="92"/>
        <v>347.73</v>
      </c>
      <c r="L296" s="744"/>
      <c r="M296" s="744"/>
      <c r="N296" s="1019" t="e">
        <f t="shared" si="93"/>
        <v>#REF!</v>
      </c>
      <c r="O296" s="709"/>
      <c r="P296" s="845">
        <v>40299</v>
      </c>
      <c r="Q296" s="845">
        <v>40360</v>
      </c>
      <c r="R296" s="698" t="s">
        <v>996</v>
      </c>
    </row>
    <row r="297" spans="2:18" ht="11.25" customHeight="1">
      <c r="B297" s="822" t="str">
        <f t="shared" si="90"/>
        <v>VAL. 04</v>
      </c>
      <c r="C297" s="901">
        <f t="shared" si="90"/>
        <v>40390</v>
      </c>
      <c r="D297" s="824">
        <f>+'Cemento Port I IU 21'!D426</f>
        <v>0</v>
      </c>
      <c r="E297" s="843">
        <f t="shared" si="91"/>
        <v>1027941.63</v>
      </c>
      <c r="F297" s="841">
        <f t="shared" si="94"/>
        <v>7.0999999999999994E-2</v>
      </c>
      <c r="G297" s="842">
        <f t="shared" si="95"/>
        <v>0.64788999999999997</v>
      </c>
      <c r="H297" s="843" t="e">
        <f t="shared" si="96"/>
        <v>#REF!</v>
      </c>
      <c r="I297" s="744" t="e">
        <f t="shared" si="97"/>
        <v>#REF!</v>
      </c>
      <c r="J297" s="824" t="e">
        <f t="shared" si="98"/>
        <v>#REF!</v>
      </c>
      <c r="K297" s="843" t="str">
        <f t="shared" si="92"/>
        <v>347.73</v>
      </c>
      <c r="L297" s="744"/>
      <c r="M297" s="744"/>
      <c r="N297" s="1019" t="e">
        <f t="shared" si="93"/>
        <v>#REF!</v>
      </c>
      <c r="O297" s="709"/>
      <c r="P297" s="845">
        <v>40330</v>
      </c>
      <c r="Q297" s="845">
        <v>40391</v>
      </c>
      <c r="R297" s="698" t="s">
        <v>996</v>
      </c>
    </row>
    <row r="298" spans="2:18" ht="11.25" customHeight="1">
      <c r="B298" s="822" t="str">
        <f t="shared" si="90"/>
        <v>VAL. 05</v>
      </c>
      <c r="C298" s="901">
        <f t="shared" si="90"/>
        <v>40421</v>
      </c>
      <c r="D298" s="824">
        <f>+'Cemento Port I IU 21'!D427</f>
        <v>0</v>
      </c>
      <c r="E298" s="843">
        <f t="shared" si="91"/>
        <v>1027941.63</v>
      </c>
      <c r="F298" s="841">
        <f t="shared" si="94"/>
        <v>7.0999999999999994E-2</v>
      </c>
      <c r="G298" s="842">
        <f t="shared" si="95"/>
        <v>0.64788999999999997</v>
      </c>
      <c r="H298" s="843" t="e">
        <f t="shared" si="96"/>
        <v>#REF!</v>
      </c>
      <c r="I298" s="744" t="e">
        <f t="shared" si="97"/>
        <v>#REF!</v>
      </c>
      <c r="J298" s="824" t="e">
        <f t="shared" si="98"/>
        <v>#REF!</v>
      </c>
      <c r="K298" s="843" t="str">
        <f t="shared" si="92"/>
        <v>347.73</v>
      </c>
      <c r="L298" s="744"/>
      <c r="M298" s="744"/>
      <c r="N298" s="1019" t="e">
        <f t="shared" si="93"/>
        <v>#REF!</v>
      </c>
      <c r="O298" s="709"/>
      <c r="P298" s="845">
        <v>40360</v>
      </c>
      <c r="Q298" s="845">
        <v>40422</v>
      </c>
    </row>
    <row r="299" spans="2:18" ht="11.25" customHeight="1">
      <c r="B299" s="822" t="str">
        <f t="shared" si="90"/>
        <v>VAL. 06</v>
      </c>
      <c r="C299" s="901">
        <f t="shared" si="90"/>
        <v>40451</v>
      </c>
      <c r="D299" s="824">
        <f>+'Cemento Port I IU 21'!D428</f>
        <v>0</v>
      </c>
      <c r="E299" s="843">
        <f t="shared" si="91"/>
        <v>1007941.51</v>
      </c>
      <c r="F299" s="841">
        <f t="shared" si="94"/>
        <v>7.0999999999999994E-2</v>
      </c>
      <c r="G299" s="842">
        <f t="shared" si="95"/>
        <v>0.64788999999999997</v>
      </c>
      <c r="H299" s="843" t="e">
        <f t="shared" si="96"/>
        <v>#REF!</v>
      </c>
      <c r="I299" s="744" t="e">
        <f t="shared" si="97"/>
        <v>#REF!</v>
      </c>
      <c r="J299" s="824" t="e">
        <f t="shared" si="98"/>
        <v>#REF!</v>
      </c>
      <c r="K299" s="843" t="str">
        <f t="shared" si="92"/>
        <v>347.73</v>
      </c>
      <c r="L299" s="744" t="e">
        <f t="shared" ref="L299:L312" si="99">+D$257</f>
        <v>#REF!</v>
      </c>
      <c r="M299" s="744" t="e">
        <f>+K!#REF!</f>
        <v>#REF!</v>
      </c>
      <c r="N299" s="1019" t="e">
        <f t="shared" si="93"/>
        <v>#REF!</v>
      </c>
      <c r="O299" s="709"/>
      <c r="P299" s="845">
        <v>40391</v>
      </c>
      <c r="Q299" s="845">
        <v>40452</v>
      </c>
    </row>
    <row r="300" spans="2:18" ht="11.25" customHeight="1">
      <c r="B300" s="822" t="str">
        <f t="shared" si="90"/>
        <v>VAL. 07</v>
      </c>
      <c r="C300" s="901">
        <f t="shared" si="90"/>
        <v>40482</v>
      </c>
      <c r="D300" s="824" t="e">
        <f>+'Cemento Port I IU 21'!D429</f>
        <v>#REF!</v>
      </c>
      <c r="E300" s="843">
        <f t="shared" si="91"/>
        <v>970922.89</v>
      </c>
      <c r="F300" s="841">
        <f t="shared" si="94"/>
        <v>7.0999999999999994E-2</v>
      </c>
      <c r="G300" s="842">
        <f t="shared" si="95"/>
        <v>0.64788999999999997</v>
      </c>
      <c r="H300" s="843" t="e">
        <f t="shared" si="96"/>
        <v>#REF!</v>
      </c>
      <c r="I300" s="744" t="e">
        <f t="shared" si="97"/>
        <v>#REF!</v>
      </c>
      <c r="J300" s="824" t="e">
        <f t="shared" si="98"/>
        <v>#REF!</v>
      </c>
      <c r="K300" s="843" t="str">
        <f t="shared" si="92"/>
        <v>347.73</v>
      </c>
      <c r="L300" s="744" t="e">
        <f t="shared" si="99"/>
        <v>#REF!</v>
      </c>
      <c r="M300" s="744" t="e">
        <f>+K!#REF!</f>
        <v>#REF!</v>
      </c>
      <c r="N300" s="1019" t="e">
        <f t="shared" si="93"/>
        <v>#REF!</v>
      </c>
      <c r="O300" s="709"/>
      <c r="P300" s="845">
        <v>40422</v>
      </c>
      <c r="Q300" s="845">
        <v>40483</v>
      </c>
    </row>
    <row r="301" spans="2:18" ht="11.25" customHeight="1">
      <c r="B301" s="822" t="str">
        <f t="shared" si="90"/>
        <v>VAL. 08</v>
      </c>
      <c r="C301" s="901">
        <f t="shared" si="90"/>
        <v>40512</v>
      </c>
      <c r="D301" s="824" t="e">
        <f>+'Cemento Port I IU 21'!D430</f>
        <v>#REF!</v>
      </c>
      <c r="E301" s="849">
        <f t="shared" si="91"/>
        <v>745932.52</v>
      </c>
      <c r="F301" s="841">
        <f t="shared" si="94"/>
        <v>7.0999999999999994E-2</v>
      </c>
      <c r="G301" s="842">
        <f t="shared" si="95"/>
        <v>0.64788999999999997</v>
      </c>
      <c r="H301" s="849" t="e">
        <f t="shared" si="96"/>
        <v>#REF!</v>
      </c>
      <c r="I301" s="744" t="e">
        <f t="shared" ref="I301:I312" si="100">+IF(D$13&gt;C301,0,IF(ROUND(D301*F301*G301,2)&gt;J300,J300,ROUND(D301*F301*G301,2)))</f>
        <v>#REF!</v>
      </c>
      <c r="J301" s="847" t="e">
        <f t="shared" si="98"/>
        <v>#REF!</v>
      </c>
      <c r="K301" s="849" t="str">
        <f t="shared" si="92"/>
        <v>347.73</v>
      </c>
      <c r="L301" s="852" t="e">
        <f t="shared" si="99"/>
        <v>#REF!</v>
      </c>
      <c r="M301" s="744" t="e">
        <f>+K!#REF!</f>
        <v>#REF!</v>
      </c>
      <c r="N301" s="1019" t="e">
        <f t="shared" si="93"/>
        <v>#REF!</v>
      </c>
      <c r="O301" s="709"/>
      <c r="P301" s="845">
        <v>40452</v>
      </c>
      <c r="Q301" s="845">
        <v>40513</v>
      </c>
    </row>
    <row r="302" spans="2:18" ht="11.25" customHeight="1">
      <c r="B302" s="822" t="str">
        <f t="shared" si="90"/>
        <v>VAL. 09</v>
      </c>
      <c r="C302" s="901">
        <f t="shared" si="90"/>
        <v>40543</v>
      </c>
      <c r="D302" s="824" t="e">
        <f>+'Cemento Port I IU 21'!D431</f>
        <v>#REF!</v>
      </c>
      <c r="E302" s="849">
        <f t="shared" si="91"/>
        <v>578394.28</v>
      </c>
      <c r="F302" s="841">
        <f t="shared" si="94"/>
        <v>7.0999999999999994E-2</v>
      </c>
      <c r="G302" s="842">
        <f t="shared" si="95"/>
        <v>0.64788999999999997</v>
      </c>
      <c r="H302" s="849" t="e">
        <f t="shared" si="96"/>
        <v>#REF!</v>
      </c>
      <c r="I302" s="744" t="e">
        <f t="shared" si="100"/>
        <v>#REF!</v>
      </c>
      <c r="J302" s="847" t="e">
        <f t="shared" si="98"/>
        <v>#REF!</v>
      </c>
      <c r="K302" s="849" t="str">
        <f t="shared" si="92"/>
        <v>347.73</v>
      </c>
      <c r="L302" s="852" t="e">
        <f t="shared" si="99"/>
        <v>#REF!</v>
      </c>
      <c r="M302" s="744">
        <v>0</v>
      </c>
      <c r="N302" s="1019" t="e">
        <f t="shared" si="93"/>
        <v>#REF!</v>
      </c>
      <c r="P302" s="845">
        <v>40483</v>
      </c>
      <c r="Q302" s="845">
        <v>40544</v>
      </c>
    </row>
    <row r="303" spans="2:18" ht="11.25" customHeight="1">
      <c r="B303" s="822" t="str">
        <f t="shared" si="90"/>
        <v>VAL. 10</v>
      </c>
      <c r="C303" s="901">
        <f t="shared" si="90"/>
        <v>40574</v>
      </c>
      <c r="D303" s="824" t="e">
        <f>+'Cemento Port I IU 21'!D432</f>
        <v>#REF!</v>
      </c>
      <c r="E303" s="849">
        <f t="shared" si="91"/>
        <v>554900.19000000006</v>
      </c>
      <c r="F303" s="841">
        <f t="shared" si="94"/>
        <v>7.0999999999999994E-2</v>
      </c>
      <c r="G303" s="842">
        <f t="shared" si="95"/>
        <v>0.64788999999999997</v>
      </c>
      <c r="H303" s="849" t="e">
        <f t="shared" si="96"/>
        <v>#REF!</v>
      </c>
      <c r="I303" s="744" t="e">
        <f t="shared" si="100"/>
        <v>#REF!</v>
      </c>
      <c r="J303" s="847" t="e">
        <f t="shared" si="98"/>
        <v>#REF!</v>
      </c>
      <c r="K303" s="849" t="str">
        <f t="shared" si="92"/>
        <v>347.73</v>
      </c>
      <c r="L303" s="852" t="e">
        <f t="shared" si="99"/>
        <v>#REF!</v>
      </c>
      <c r="M303" s="744">
        <v>0</v>
      </c>
      <c r="N303" s="1019" t="e">
        <f t="shared" si="93"/>
        <v>#REF!</v>
      </c>
      <c r="P303" s="845">
        <v>40513</v>
      </c>
      <c r="Q303" s="845">
        <v>40575</v>
      </c>
    </row>
    <row r="304" spans="2:18" ht="11.25" customHeight="1">
      <c r="B304" s="822" t="str">
        <f t="shared" si="90"/>
        <v>VAL. 11</v>
      </c>
      <c r="C304" s="901">
        <f t="shared" si="90"/>
        <v>40602</v>
      </c>
      <c r="D304" s="824" t="e">
        <f>+'Cemento Port I IU 21'!D433</f>
        <v>#REF!</v>
      </c>
      <c r="E304" s="849">
        <f t="shared" si="91"/>
        <v>539267.3600000001</v>
      </c>
      <c r="F304" s="841">
        <f t="shared" si="94"/>
        <v>7.0999999999999994E-2</v>
      </c>
      <c r="G304" s="842">
        <f t="shared" si="95"/>
        <v>0.64788999999999997</v>
      </c>
      <c r="H304" s="849" t="e">
        <f t="shared" si="96"/>
        <v>#REF!</v>
      </c>
      <c r="I304" s="744" t="e">
        <f t="shared" si="100"/>
        <v>#REF!</v>
      </c>
      <c r="J304" s="847" t="e">
        <f t="shared" si="98"/>
        <v>#REF!</v>
      </c>
      <c r="K304" s="849" t="str">
        <f t="shared" si="92"/>
        <v>347.73</v>
      </c>
      <c r="L304" s="852" t="e">
        <f t="shared" si="99"/>
        <v>#REF!</v>
      </c>
      <c r="M304" s="744">
        <v>0</v>
      </c>
      <c r="N304" s="1019" t="e">
        <f t="shared" si="93"/>
        <v>#REF!</v>
      </c>
      <c r="P304" s="845">
        <v>40544</v>
      </c>
      <c r="Q304" s="845">
        <v>40603</v>
      </c>
    </row>
    <row r="305" spans="2:17" ht="11.25" customHeight="1">
      <c r="B305" s="822" t="str">
        <f t="shared" si="90"/>
        <v>VAL. 12</v>
      </c>
      <c r="C305" s="901">
        <f t="shared" si="90"/>
        <v>40633</v>
      </c>
      <c r="D305" s="824" t="e">
        <f>+'Cemento Port I IU 21'!D434</f>
        <v>#REF!</v>
      </c>
      <c r="E305" s="843">
        <f t="shared" si="91"/>
        <v>526067.18000000005</v>
      </c>
      <c r="F305" s="841">
        <f t="shared" si="94"/>
        <v>7.0999999999999994E-2</v>
      </c>
      <c r="G305" s="842">
        <f t="shared" si="95"/>
        <v>0.64788999999999997</v>
      </c>
      <c r="H305" s="843" t="e">
        <f t="shared" si="96"/>
        <v>#REF!</v>
      </c>
      <c r="I305" s="744" t="e">
        <f t="shared" si="100"/>
        <v>#REF!</v>
      </c>
      <c r="J305" s="824" t="e">
        <f t="shared" si="98"/>
        <v>#REF!</v>
      </c>
      <c r="K305" s="843" t="str">
        <f t="shared" si="92"/>
        <v>347.73</v>
      </c>
      <c r="L305" s="744" t="e">
        <f t="shared" si="99"/>
        <v>#REF!</v>
      </c>
      <c r="M305" s="843">
        <v>0</v>
      </c>
      <c r="N305" s="1019" t="e">
        <f t="shared" si="93"/>
        <v>#REF!</v>
      </c>
      <c r="P305" s="845">
        <v>40575</v>
      </c>
      <c r="Q305" s="845">
        <v>40634</v>
      </c>
    </row>
    <row r="306" spans="2:17" ht="11.25" customHeight="1">
      <c r="B306" s="822" t="str">
        <f t="shared" si="90"/>
        <v>VAL. 13</v>
      </c>
      <c r="C306" s="901">
        <f t="shared" si="90"/>
        <v>40663</v>
      </c>
      <c r="D306" s="824" t="e">
        <f>+'Cemento Port I IU 21'!D435</f>
        <v>#REF!</v>
      </c>
      <c r="E306" s="843">
        <f t="shared" si="91"/>
        <v>509997.24000000005</v>
      </c>
      <c r="F306" s="841">
        <f t="shared" si="94"/>
        <v>7.0999999999999994E-2</v>
      </c>
      <c r="G306" s="842">
        <f t="shared" si="95"/>
        <v>0.64788999999999997</v>
      </c>
      <c r="H306" s="843" t="e">
        <f t="shared" si="96"/>
        <v>#REF!</v>
      </c>
      <c r="I306" s="744" t="e">
        <f t="shared" si="100"/>
        <v>#REF!</v>
      </c>
      <c r="J306" s="824" t="e">
        <f t="shared" si="98"/>
        <v>#REF!</v>
      </c>
      <c r="K306" s="843" t="str">
        <f t="shared" si="92"/>
        <v>347.73</v>
      </c>
      <c r="L306" s="744" t="e">
        <f t="shared" si="99"/>
        <v>#REF!</v>
      </c>
      <c r="M306" s="843">
        <v>0</v>
      </c>
      <c r="N306" s="1019" t="e">
        <f t="shared" si="93"/>
        <v>#REF!</v>
      </c>
      <c r="P306" s="845">
        <v>40603</v>
      </c>
      <c r="Q306" s="845">
        <v>40664</v>
      </c>
    </row>
    <row r="307" spans="2:17" ht="11.25" customHeight="1">
      <c r="B307" s="822" t="str">
        <f t="shared" si="90"/>
        <v>VAL. 14</v>
      </c>
      <c r="C307" s="901">
        <f t="shared" si="90"/>
        <v>40694</v>
      </c>
      <c r="D307" s="824" t="e">
        <f>+'Cemento Port I IU 21'!D436</f>
        <v>#REF!</v>
      </c>
      <c r="E307" s="843">
        <f t="shared" si="91"/>
        <v>361937.60000000003</v>
      </c>
      <c r="F307" s="841">
        <f t="shared" si="94"/>
        <v>7.0999999999999994E-2</v>
      </c>
      <c r="G307" s="842">
        <f t="shared" si="95"/>
        <v>0.64788999999999997</v>
      </c>
      <c r="H307" s="843" t="e">
        <f t="shared" si="96"/>
        <v>#REF!</v>
      </c>
      <c r="I307" s="744" t="e">
        <f t="shared" si="100"/>
        <v>#REF!</v>
      </c>
      <c r="J307" s="824" t="e">
        <f t="shared" si="98"/>
        <v>#REF!</v>
      </c>
      <c r="K307" s="843" t="str">
        <f t="shared" si="92"/>
        <v>347.73</v>
      </c>
      <c r="L307" s="744" t="e">
        <f t="shared" si="99"/>
        <v>#REF!</v>
      </c>
      <c r="M307" s="843">
        <v>0</v>
      </c>
      <c r="N307" s="1019" t="e">
        <f t="shared" si="93"/>
        <v>#REF!</v>
      </c>
      <c r="P307" s="845">
        <v>40634</v>
      </c>
      <c r="Q307" s="845">
        <v>40695</v>
      </c>
    </row>
    <row r="308" spans="2:17" ht="11.25" customHeight="1">
      <c r="B308" s="822" t="str">
        <f t="shared" si="90"/>
        <v>VAL. 15</v>
      </c>
      <c r="C308" s="901">
        <f t="shared" si="90"/>
        <v>40724</v>
      </c>
      <c r="D308" s="824" t="e">
        <f>+'Cemento Port I IU 21'!D437</f>
        <v>#REF!</v>
      </c>
      <c r="E308" s="843">
        <f t="shared" si="91"/>
        <v>268334.56000000006</v>
      </c>
      <c r="F308" s="841">
        <f t="shared" si="94"/>
        <v>7.0999999999999994E-2</v>
      </c>
      <c r="G308" s="842">
        <f t="shared" si="95"/>
        <v>0.64788999999999997</v>
      </c>
      <c r="H308" s="843" t="e">
        <f t="shared" si="96"/>
        <v>#REF!</v>
      </c>
      <c r="I308" s="744" t="e">
        <f t="shared" si="100"/>
        <v>#REF!</v>
      </c>
      <c r="J308" s="824" t="e">
        <f t="shared" si="98"/>
        <v>#REF!</v>
      </c>
      <c r="K308" s="843" t="str">
        <f t="shared" si="92"/>
        <v>347.73</v>
      </c>
      <c r="L308" s="744" t="e">
        <f t="shared" si="99"/>
        <v>#REF!</v>
      </c>
      <c r="M308" s="843">
        <v>0</v>
      </c>
      <c r="N308" s="1019" t="e">
        <f t="shared" si="93"/>
        <v>#REF!</v>
      </c>
      <c r="P308" s="845">
        <v>40664</v>
      </c>
      <c r="Q308" s="845">
        <v>40725</v>
      </c>
    </row>
    <row r="309" spans="2:17" ht="11.25" customHeight="1">
      <c r="B309" s="822" t="str">
        <f t="shared" si="90"/>
        <v>VAL. 16</v>
      </c>
      <c r="C309" s="901">
        <f t="shared" si="90"/>
        <v>40755</v>
      </c>
      <c r="D309" s="824" t="e">
        <f>+'Cemento Port I IU 21'!D438</f>
        <v>#REF!</v>
      </c>
      <c r="E309" s="843" t="e">
        <f t="shared" si="91"/>
        <v>#REF!</v>
      </c>
      <c r="F309" s="841">
        <f t="shared" si="94"/>
        <v>7.0999999999999994E-2</v>
      </c>
      <c r="G309" s="842">
        <f t="shared" si="95"/>
        <v>0.64788999999999997</v>
      </c>
      <c r="H309" s="843" t="e">
        <f t="shared" si="96"/>
        <v>#REF!</v>
      </c>
      <c r="I309" s="744" t="e">
        <f t="shared" si="100"/>
        <v>#REF!</v>
      </c>
      <c r="J309" s="824" t="e">
        <f t="shared" si="98"/>
        <v>#REF!</v>
      </c>
      <c r="K309" s="843" t="str">
        <f t="shared" si="92"/>
        <v>347.73</v>
      </c>
      <c r="L309" s="744" t="e">
        <f t="shared" si="99"/>
        <v>#REF!</v>
      </c>
      <c r="M309" s="843">
        <v>0</v>
      </c>
      <c r="N309" s="1019" t="e">
        <f t="shared" si="93"/>
        <v>#REF!</v>
      </c>
      <c r="P309" s="845">
        <v>40695</v>
      </c>
      <c r="Q309" s="845">
        <v>40756</v>
      </c>
    </row>
    <row r="310" spans="2:17" ht="11.25" customHeight="1">
      <c r="B310" s="822" t="str">
        <f t="shared" si="90"/>
        <v>VAL. 17</v>
      </c>
      <c r="C310" s="901">
        <f t="shared" si="90"/>
        <v>40786</v>
      </c>
      <c r="D310" s="824" t="e">
        <f>+'Cemento Port I IU 21'!D439</f>
        <v>#REF!</v>
      </c>
      <c r="E310" s="843" t="e">
        <f t="shared" si="91"/>
        <v>#REF!</v>
      </c>
      <c r="F310" s="841">
        <f t="shared" si="94"/>
        <v>7.0999999999999994E-2</v>
      </c>
      <c r="G310" s="842">
        <f t="shared" si="95"/>
        <v>0.64788999999999997</v>
      </c>
      <c r="H310" s="843" t="e">
        <f t="shared" si="96"/>
        <v>#REF!</v>
      </c>
      <c r="I310" s="744" t="e">
        <f t="shared" si="100"/>
        <v>#REF!</v>
      </c>
      <c r="J310" s="824" t="e">
        <f t="shared" si="98"/>
        <v>#REF!</v>
      </c>
      <c r="K310" s="843" t="str">
        <f t="shared" si="92"/>
        <v>347.73</v>
      </c>
      <c r="L310" s="744" t="e">
        <f t="shared" si="99"/>
        <v>#REF!</v>
      </c>
      <c r="M310" s="843">
        <v>0</v>
      </c>
      <c r="N310" s="1019" t="e">
        <f t="shared" si="93"/>
        <v>#REF!</v>
      </c>
      <c r="P310" s="845">
        <v>40725</v>
      </c>
      <c r="Q310" s="845">
        <v>40787</v>
      </c>
    </row>
    <row r="311" spans="2:17" ht="11.25" customHeight="1">
      <c r="B311" s="822" t="str">
        <f t="shared" si="90"/>
        <v>VAL. 18</v>
      </c>
      <c r="C311" s="901">
        <f t="shared" si="90"/>
        <v>40816</v>
      </c>
      <c r="D311" s="824" t="e">
        <f>+'Cemento Port I IU 21'!D440</f>
        <v>#REF!</v>
      </c>
      <c r="E311" s="843" t="e">
        <f t="shared" si="91"/>
        <v>#REF!</v>
      </c>
      <c r="F311" s="841">
        <f t="shared" si="94"/>
        <v>7.0999999999999994E-2</v>
      </c>
      <c r="G311" s="842">
        <f t="shared" si="95"/>
        <v>0.64788999999999997</v>
      </c>
      <c r="H311" s="843" t="e">
        <f t="shared" si="96"/>
        <v>#REF!</v>
      </c>
      <c r="I311" s="744" t="e">
        <f t="shared" si="100"/>
        <v>#REF!</v>
      </c>
      <c r="J311" s="824" t="e">
        <f t="shared" si="98"/>
        <v>#REF!</v>
      </c>
      <c r="K311" s="843" t="str">
        <f t="shared" si="92"/>
        <v>347.73</v>
      </c>
      <c r="L311" s="744" t="e">
        <f t="shared" si="99"/>
        <v>#REF!</v>
      </c>
      <c r="M311" s="843">
        <v>0</v>
      </c>
      <c r="N311" s="1019" t="e">
        <f t="shared" si="93"/>
        <v>#REF!</v>
      </c>
      <c r="P311" s="845">
        <v>40756</v>
      </c>
      <c r="Q311" s="845">
        <v>40817</v>
      </c>
    </row>
    <row r="312" spans="2:17" ht="11.25" customHeight="1">
      <c r="B312" s="822" t="str">
        <f t="shared" si="90"/>
        <v>VAL. 19</v>
      </c>
      <c r="C312" s="901">
        <f t="shared" si="90"/>
        <v>40826</v>
      </c>
      <c r="D312" s="824">
        <f>+'Cemento Port I IU 21'!D441</f>
        <v>0</v>
      </c>
      <c r="E312" s="843" t="e">
        <f t="shared" si="91"/>
        <v>#REF!</v>
      </c>
      <c r="F312" s="841">
        <f t="shared" si="94"/>
        <v>7.0999999999999994E-2</v>
      </c>
      <c r="G312" s="842">
        <f t="shared" si="95"/>
        <v>0.64788999999999997</v>
      </c>
      <c r="H312" s="843" t="e">
        <f t="shared" si="96"/>
        <v>#REF!</v>
      </c>
      <c r="I312" s="744" t="e">
        <f t="shared" si="100"/>
        <v>#REF!</v>
      </c>
      <c r="J312" s="824" t="e">
        <f t="shared" si="98"/>
        <v>#REF!</v>
      </c>
      <c r="K312" s="843" t="str">
        <f t="shared" si="92"/>
        <v>347.73</v>
      </c>
      <c r="L312" s="744" t="e">
        <f t="shared" si="99"/>
        <v>#REF!</v>
      </c>
      <c r="M312" s="843">
        <v>0</v>
      </c>
      <c r="N312" s="1019" t="e">
        <f t="shared" si="93"/>
        <v>#REF!</v>
      </c>
      <c r="P312" s="845">
        <v>40756</v>
      </c>
      <c r="Q312" s="845">
        <v>40817</v>
      </c>
    </row>
    <row r="313" spans="2:17" ht="11.25" customHeight="1">
      <c r="B313" s="822"/>
      <c r="C313" s="901"/>
      <c r="D313" s="860"/>
      <c r="E313" s="860"/>
      <c r="F313" s="861"/>
      <c r="G313" s="862"/>
      <c r="H313" s="860"/>
      <c r="I313" s="860"/>
      <c r="J313" s="828"/>
      <c r="K313" s="860"/>
      <c r="L313" s="830"/>
      <c r="M313" s="860"/>
      <c r="N313" s="863"/>
      <c r="P313" s="909"/>
      <c r="Q313" s="1038"/>
    </row>
    <row r="314" spans="2:17" ht="11.25" customHeight="1">
      <c r="B314" s="774"/>
      <c r="C314" s="715"/>
      <c r="D314" s="866"/>
      <c r="E314" s="867"/>
      <c r="F314" s="868"/>
      <c r="G314" s="869"/>
      <c r="H314" s="869"/>
      <c r="I314" s="870" t="e">
        <f>SUM(I294:I313)</f>
        <v>#REF!</v>
      </c>
      <c r="J314" s="871"/>
      <c r="K314" s="869"/>
      <c r="L314" s="727"/>
      <c r="M314" s="727"/>
      <c r="N314" s="1020"/>
    </row>
    <row r="315" spans="2:17" ht="11.25" customHeight="1">
      <c r="L315" s="873" t="s">
        <v>274</v>
      </c>
      <c r="M315" s="874"/>
      <c r="N315" s="1021" t="e">
        <f>SUM(N294:N313)</f>
        <v>#REF!</v>
      </c>
      <c r="O315" s="709"/>
    </row>
    <row r="316" spans="2:17" ht="11.25" customHeight="1">
      <c r="L316" s="876" t="s">
        <v>287</v>
      </c>
      <c r="M316" s="877"/>
      <c r="N316" s="1019">
        <v>6526.67</v>
      </c>
    </row>
    <row r="317" spans="2:17" ht="11.25" customHeight="1">
      <c r="L317" s="879" t="s">
        <v>288</v>
      </c>
      <c r="M317" s="880"/>
      <c r="N317" s="1022" t="e">
        <f>N315-N316</f>
        <v>#REF!</v>
      </c>
      <c r="O317" s="709"/>
    </row>
  </sheetData>
  <mergeCells count="139">
    <mergeCell ref="Q168:S168"/>
    <mergeCell ref="Q243:S243"/>
    <mergeCell ref="Q205:S205"/>
    <mergeCell ref="Q234:S234"/>
    <mergeCell ref="Q202:S202"/>
    <mergeCell ref="G151:H151"/>
    <mergeCell ref="I151:J151"/>
    <mergeCell ref="K151:K152"/>
    <mergeCell ref="B205:B206"/>
    <mergeCell ref="C205:C206"/>
    <mergeCell ref="D205:D206"/>
    <mergeCell ref="E205:F205"/>
    <mergeCell ref="B151:B152"/>
    <mergeCell ref="C151:C152"/>
    <mergeCell ref="D151:D152"/>
    <mergeCell ref="B237:B238"/>
    <mergeCell ref="C237:C238"/>
    <mergeCell ref="D237:D238"/>
    <mergeCell ref="E237:F237"/>
    <mergeCell ref="L237:M237"/>
    <mergeCell ref="N237:O237"/>
    <mergeCell ref="Q237:S237"/>
    <mergeCell ref="L205:M205"/>
    <mergeCell ref="N205:O205"/>
    <mergeCell ref="C131:C132"/>
    <mergeCell ref="D131:D132"/>
    <mergeCell ref="E151:F151"/>
    <mergeCell ref="B171:B172"/>
    <mergeCell ref="C171:C172"/>
    <mergeCell ref="D171:D172"/>
    <mergeCell ref="E171:F171"/>
    <mergeCell ref="G114:H114"/>
    <mergeCell ref="I114:J114"/>
    <mergeCell ref="G171:H171"/>
    <mergeCell ref="I171:J171"/>
    <mergeCell ref="G131:H131"/>
    <mergeCell ref="Q114:S114"/>
    <mergeCell ref="L114:M114"/>
    <mergeCell ref="Q131:S131"/>
    <mergeCell ref="Q148:S148"/>
    <mergeCell ref="L151:M151"/>
    <mergeCell ref="N151:O151"/>
    <mergeCell ref="Q151:S151"/>
    <mergeCell ref="I131:J131"/>
    <mergeCell ref="K131:K132"/>
    <mergeCell ref="N131:O131"/>
    <mergeCell ref="K114:K115"/>
    <mergeCell ref="E292:E293"/>
    <mergeCell ref="F292:G292"/>
    <mergeCell ref="F253:G253"/>
    <mergeCell ref="F252:G252"/>
    <mergeCell ref="K56:K57"/>
    <mergeCell ref="B88:B89"/>
    <mergeCell ref="C88:C89"/>
    <mergeCell ref="D88:D89"/>
    <mergeCell ref="E88:F88"/>
    <mergeCell ref="G88:H88"/>
    <mergeCell ref="I88:J88"/>
    <mergeCell ref="K88:K89"/>
    <mergeCell ref="B56:B57"/>
    <mergeCell ref="C56:C57"/>
    <mergeCell ref="D56:D57"/>
    <mergeCell ref="G56:H56"/>
    <mergeCell ref="I56:J56"/>
    <mergeCell ref="E131:F131"/>
    <mergeCell ref="K171:K172"/>
    <mergeCell ref="B114:B115"/>
    <mergeCell ref="C114:C115"/>
    <mergeCell ref="D114:D115"/>
    <mergeCell ref="E114:F114"/>
    <mergeCell ref="B131:B132"/>
    <mergeCell ref="P292:Q292"/>
    <mergeCell ref="B30:B31"/>
    <mergeCell ref="Q171:S171"/>
    <mergeCell ref="Q56:S56"/>
    <mergeCell ref="K292:M292"/>
    <mergeCell ref="F254:G254"/>
    <mergeCell ref="I30:J30"/>
    <mergeCell ref="C30:C31"/>
    <mergeCell ref="G30:H30"/>
    <mergeCell ref="H292:J292"/>
    <mergeCell ref="K205:K206"/>
    <mergeCell ref="G237:H237"/>
    <mergeCell ref="I237:J237"/>
    <mergeCell ref="K237:K238"/>
    <mergeCell ref="G205:H205"/>
    <mergeCell ref="I205:J205"/>
    <mergeCell ref="B292:C293"/>
    <mergeCell ref="B249:O249"/>
    <mergeCell ref="D264:F264"/>
    <mergeCell ref="B263:C265"/>
    <mergeCell ref="D292:D293"/>
    <mergeCell ref="G264:I264"/>
    <mergeCell ref="D263:I263"/>
    <mergeCell ref="N292:N293"/>
    <mergeCell ref="U21:W21"/>
    <mergeCell ref="U30:W30"/>
    <mergeCell ref="L30:M30"/>
    <mergeCell ref="K30:K31"/>
    <mergeCell ref="Q21:S21"/>
    <mergeCell ref="Q30:S30"/>
    <mergeCell ref="D30:D31"/>
    <mergeCell ref="B9:O9"/>
    <mergeCell ref="B10:O10"/>
    <mergeCell ref="E21:F21"/>
    <mergeCell ref="K21:K22"/>
    <mergeCell ref="B11:O11"/>
    <mergeCell ref="D21:D22"/>
    <mergeCell ref="N21:O21"/>
    <mergeCell ref="G21:H21"/>
    <mergeCell ref="B21:B22"/>
    <mergeCell ref="L21:M21"/>
    <mergeCell ref="I21:J21"/>
    <mergeCell ref="C21:C22"/>
    <mergeCell ref="Q27:S27"/>
    <mergeCell ref="U205:W205"/>
    <mergeCell ref="U237:W237"/>
    <mergeCell ref="U151:W151"/>
    <mergeCell ref="U171:W171"/>
    <mergeCell ref="U114:W114"/>
    <mergeCell ref="U131:W131"/>
    <mergeCell ref="N30:O30"/>
    <mergeCell ref="E30:F30"/>
    <mergeCell ref="E56:F56"/>
    <mergeCell ref="U56:W56"/>
    <mergeCell ref="U88:W88"/>
    <mergeCell ref="Q53:S53"/>
    <mergeCell ref="L171:M171"/>
    <mergeCell ref="N171:O171"/>
    <mergeCell ref="L88:M88"/>
    <mergeCell ref="N88:O88"/>
    <mergeCell ref="Q88:S88"/>
    <mergeCell ref="Q111:S111"/>
    <mergeCell ref="Q128:S128"/>
    <mergeCell ref="N56:O56"/>
    <mergeCell ref="L56:M56"/>
    <mergeCell ref="Q85:S85"/>
    <mergeCell ref="N114:O114"/>
    <mergeCell ref="L131:M131"/>
  </mergeCells>
  <phoneticPr fontId="0" type="noConversion"/>
  <printOptions horizontalCentered="1"/>
  <pageMargins left="0.19685039370078741" right="0.19685039370078741" top="0.59055118110236227" bottom="0.65" header="0" footer="0"/>
  <pageSetup paperSize="9" scale="61" fitToHeight="2" orientation="landscape" verticalDpi="300" r:id="rId1"/>
  <headerFooter alignWithMargins="0"/>
  <rowBreaks count="6" manualBreakCount="6">
    <brk id="55" max="14" man="1"/>
    <brk id="112" max="14" man="1"/>
    <brk id="169" max="14" man="1"/>
    <brk id="203" max="14" man="1"/>
    <brk id="248" max="14" man="1"/>
    <brk id="287" max="14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26">
    <tabColor indexed="10"/>
  </sheetPr>
  <dimension ref="B1:W119"/>
  <sheetViews>
    <sheetView showGridLines="0" view="pageBreakPreview" topLeftCell="A87" zoomScaleNormal="100" workbookViewId="0">
      <selection activeCell="A303" sqref="A303"/>
    </sheetView>
  </sheetViews>
  <sheetFormatPr baseColWidth="10" defaultColWidth="11.42578125" defaultRowHeight="11.25" customHeight="1"/>
  <cols>
    <col min="1" max="1" width="1.85546875" style="698" bestFit="1" customWidth="1"/>
    <col min="2" max="2" width="13.42578125" style="698" customWidth="1"/>
    <col min="3" max="3" width="50.85546875" style="698" customWidth="1"/>
    <col min="4" max="4" width="12.7109375" style="698" customWidth="1"/>
    <col min="5" max="5" width="11.7109375" style="698" customWidth="1"/>
    <col min="6" max="6" width="11" style="698" customWidth="1"/>
    <col min="7" max="10" width="10.7109375" style="698" customWidth="1"/>
    <col min="11" max="11" width="8.7109375" style="698" customWidth="1"/>
    <col min="12" max="12" width="11" style="698" customWidth="1"/>
    <col min="13" max="13" width="10.140625" style="698" customWidth="1"/>
    <col min="14" max="14" width="11.42578125" style="698"/>
    <col min="15" max="15" width="11.7109375" style="698" customWidth="1"/>
    <col min="16" max="16" width="9.7109375" style="698" customWidth="1"/>
    <col min="17" max="17" width="9" style="698" bestFit="1" customWidth="1"/>
    <col min="18" max="18" width="11" style="698" bestFit="1" customWidth="1"/>
    <col min="19" max="19" width="7.85546875" style="698" bestFit="1" customWidth="1"/>
    <col min="20" max="16384" width="11.42578125" style="698"/>
  </cols>
  <sheetData>
    <row r="1" spans="2:18" ht="11.25" customHeight="1">
      <c r="B1" s="698" t="s">
        <v>1816</v>
      </c>
      <c r="C1" s="698" t="s">
        <v>1817</v>
      </c>
      <c r="D1" s="699"/>
      <c r="E1" s="699"/>
      <c r="I1" s="700"/>
      <c r="J1" s="700"/>
      <c r="K1" s="700"/>
      <c r="L1" s="700"/>
    </row>
    <row r="2" spans="2:18" s="699" customFormat="1" ht="11.25" customHeight="1">
      <c r="B2" s="698" t="s">
        <v>1818</v>
      </c>
      <c r="C2" s="698" t="s">
        <v>1819</v>
      </c>
      <c r="I2" s="700"/>
      <c r="J2" s="700"/>
      <c r="K2" s="700"/>
      <c r="L2" s="700"/>
    </row>
    <row r="3" spans="2:18" s="699" customFormat="1" ht="11.25" customHeight="1">
      <c r="B3" s="698" t="s">
        <v>1820</v>
      </c>
      <c r="C3" s="698" t="s">
        <v>1821</v>
      </c>
      <c r="I3" s="700"/>
      <c r="J3" s="700"/>
      <c r="K3" s="700"/>
      <c r="L3" s="700"/>
    </row>
    <row r="4" spans="2:18" s="699" customFormat="1" ht="11.25" customHeight="1">
      <c r="B4" s="698"/>
      <c r="C4" s="698" t="s">
        <v>1822</v>
      </c>
      <c r="I4" s="700"/>
      <c r="J4" s="700"/>
      <c r="K4" s="700"/>
      <c r="L4" s="700"/>
    </row>
    <row r="5" spans="2:18" s="699" customFormat="1" ht="11.25" customHeight="1">
      <c r="B5" s="698" t="s">
        <v>1823</v>
      </c>
      <c r="C5" s="698" t="s">
        <v>1824</v>
      </c>
      <c r="I5" s="700"/>
      <c r="J5" s="700"/>
      <c r="K5" s="700"/>
      <c r="L5" s="700"/>
    </row>
    <row r="6" spans="2:18" s="699" customFormat="1" ht="11.25" customHeight="1">
      <c r="B6" s="698" t="s">
        <v>1825</v>
      </c>
      <c r="C6" s="701">
        <v>40451</v>
      </c>
      <c r="I6" s="700"/>
      <c r="J6" s="700"/>
      <c r="K6" s="700"/>
      <c r="L6" s="700"/>
    </row>
    <row r="9" spans="2:18" ht="18">
      <c r="B9" s="1687" t="str">
        <f>+'Asfalto IU 13'!B9:O9</f>
        <v>A M O R T I Z A C I O N     D E L     A D E L A N T O     P A R A     M A T E R I A L E S     Nº  02</v>
      </c>
      <c r="C9" s="1687"/>
      <c r="D9" s="1687"/>
      <c r="E9" s="1687"/>
      <c r="F9" s="1687"/>
      <c r="G9" s="1687"/>
      <c r="H9" s="1687"/>
      <c r="I9" s="1687"/>
      <c r="J9" s="1687"/>
      <c r="K9" s="1687"/>
      <c r="L9" s="1687"/>
      <c r="M9" s="1687"/>
      <c r="N9" s="1687"/>
      <c r="O9" s="1687"/>
      <c r="P9" s="700"/>
      <c r="Q9" s="700"/>
      <c r="R9" s="700"/>
    </row>
    <row r="10" spans="2:18" ht="18">
      <c r="B10" s="1687" t="str">
        <f>+'Asfalto IU 13'!B10:O10</f>
        <v>VALORIZACION Nº 4 - MES DE DICIEMBRE 2021</v>
      </c>
      <c r="C10" s="1687"/>
      <c r="D10" s="1687"/>
      <c r="E10" s="1687"/>
      <c r="F10" s="1687"/>
      <c r="G10" s="1687"/>
      <c r="H10" s="1687"/>
      <c r="I10" s="1687"/>
      <c r="J10" s="1687"/>
      <c r="K10" s="1687"/>
      <c r="L10" s="1687"/>
      <c r="M10" s="1687"/>
      <c r="N10" s="1687"/>
      <c r="O10" s="1687"/>
      <c r="P10" s="700"/>
      <c r="Q10" s="700"/>
      <c r="R10" s="700"/>
    </row>
    <row r="11" spans="2:18" ht="15">
      <c r="B11" s="1707" t="s">
        <v>617</v>
      </c>
      <c r="C11" s="1707"/>
      <c r="D11" s="1707"/>
      <c r="E11" s="1707"/>
      <c r="F11" s="1707"/>
      <c r="G11" s="1707"/>
      <c r="H11" s="1707"/>
      <c r="I11" s="1707"/>
      <c r="J11" s="1707"/>
      <c r="K11" s="1707"/>
      <c r="L11" s="1707"/>
      <c r="M11" s="1707"/>
      <c r="N11" s="1707"/>
      <c r="O11" s="1707"/>
    </row>
    <row r="12" spans="2:18" ht="11.25" customHeight="1">
      <c r="B12" s="698" t="s">
        <v>299</v>
      </c>
      <c r="D12" s="702">
        <v>395600.42</v>
      </c>
      <c r="E12" s="698" t="s">
        <v>178</v>
      </c>
      <c r="I12" s="699" t="s">
        <v>179</v>
      </c>
      <c r="K12" s="699" t="s">
        <v>180</v>
      </c>
      <c r="M12" s="699"/>
    </row>
    <row r="13" spans="2:18" ht="11.25" customHeight="1">
      <c r="B13" s="698" t="s">
        <v>290</v>
      </c>
      <c r="D13" s="703" t="e">
        <f>+'Asfalto IU 13'!D13</f>
        <v>#REF!</v>
      </c>
      <c r="E13" s="704"/>
      <c r="I13" s="698" t="s">
        <v>182</v>
      </c>
    </row>
    <row r="14" spans="2:18" ht="11.25" customHeight="1">
      <c r="B14" s="699" t="s">
        <v>183</v>
      </c>
      <c r="C14" s="699" t="s">
        <v>300</v>
      </c>
      <c r="E14" s="705"/>
      <c r="F14" s="706"/>
      <c r="I14" s="707" t="s">
        <v>185</v>
      </c>
      <c r="K14" s="698" t="s">
        <v>186</v>
      </c>
    </row>
    <row r="15" spans="2:18" ht="11.25" customHeight="1">
      <c r="B15" s="699" t="s">
        <v>187</v>
      </c>
      <c r="C15" s="708" t="s">
        <v>301</v>
      </c>
      <c r="E15" s="705"/>
      <c r="F15" s="706"/>
      <c r="I15" s="707" t="s">
        <v>188</v>
      </c>
      <c r="K15" s="698" t="s">
        <v>189</v>
      </c>
    </row>
    <row r="16" spans="2:18" ht="11.25" customHeight="1">
      <c r="B16" s="698" t="s">
        <v>190</v>
      </c>
      <c r="D16" s="709" t="str">
        <f>+K!K15</f>
        <v>110.38</v>
      </c>
      <c r="I16" s="707" t="s">
        <v>191</v>
      </c>
      <c r="K16" s="698" t="s">
        <v>192</v>
      </c>
    </row>
    <row r="17" spans="2:23" ht="11.25" customHeight="1">
      <c r="B17" s="698" t="str">
        <f>+'Asfalto IU 13'!B17</f>
        <v>Indice INEI a la Fecha del Pago del Adelanto  (Setiembre 2,010)</v>
      </c>
      <c r="D17" s="709" t="e">
        <f>+K!#REF!</f>
        <v>#REF!</v>
      </c>
      <c r="E17" s="710">
        <f>+'Asfalto IU 13'!E17</f>
        <v>0</v>
      </c>
      <c r="I17" s="707" t="s">
        <v>193</v>
      </c>
      <c r="K17" s="698" t="s">
        <v>194</v>
      </c>
    </row>
    <row r="18" spans="2:23" ht="11.25" customHeight="1">
      <c r="I18" s="707" t="s">
        <v>195</v>
      </c>
      <c r="K18" s="698" t="s">
        <v>196</v>
      </c>
      <c r="M18" s="713">
        <v>1</v>
      </c>
    </row>
    <row r="19" spans="2:23" ht="11.25" customHeight="1">
      <c r="B19" s="39" t="s">
        <v>1826</v>
      </c>
      <c r="K19" s="698" t="s">
        <v>197</v>
      </c>
    </row>
    <row r="20" spans="2:23" ht="11.25" customHeight="1">
      <c r="B20" s="1025"/>
      <c r="C20" s="1026"/>
      <c r="D20" s="715"/>
      <c r="E20" s="715"/>
      <c r="F20" s="715"/>
      <c r="G20" s="715"/>
      <c r="H20" s="715"/>
      <c r="I20" s="715"/>
      <c r="J20" s="715"/>
      <c r="K20" s="715"/>
      <c r="L20" s="715"/>
      <c r="M20" s="715"/>
      <c r="N20" s="715"/>
      <c r="O20" s="715"/>
    </row>
    <row r="21" spans="2:23" ht="11.25" customHeight="1">
      <c r="B21" s="1714" t="s">
        <v>198</v>
      </c>
      <c r="C21" s="1714" t="s">
        <v>199</v>
      </c>
      <c r="D21" s="1716" t="s">
        <v>601</v>
      </c>
      <c r="E21" s="1712" t="s">
        <v>200</v>
      </c>
      <c r="F21" s="1713"/>
      <c r="G21" s="1712" t="s">
        <v>201</v>
      </c>
      <c r="H21" s="1713"/>
      <c r="I21" s="1712" t="s">
        <v>202</v>
      </c>
      <c r="J21" s="1713"/>
      <c r="K21" s="1714" t="s">
        <v>203</v>
      </c>
      <c r="L21" s="1712" t="s">
        <v>204</v>
      </c>
      <c r="M21" s="1713"/>
      <c r="N21" s="1712" t="s">
        <v>423</v>
      </c>
      <c r="O21" s="1713"/>
      <c r="P21" s="700"/>
      <c r="Q21" s="1678" t="s">
        <v>205</v>
      </c>
      <c r="R21" s="1679"/>
      <c r="S21" s="1680"/>
      <c r="U21" s="1678" t="s">
        <v>331</v>
      </c>
      <c r="V21" s="1679"/>
      <c r="W21" s="1680"/>
    </row>
    <row r="22" spans="2:23" ht="21.75" customHeight="1">
      <c r="B22" s="1715"/>
      <c r="C22" s="1715"/>
      <c r="D22" s="1717"/>
      <c r="E22" s="1011" t="s">
        <v>206</v>
      </c>
      <c r="F22" s="1012" t="s">
        <v>207</v>
      </c>
      <c r="G22" s="1011" t="s">
        <v>452</v>
      </c>
      <c r="H22" s="1012" t="s">
        <v>208</v>
      </c>
      <c r="I22" s="1011" t="s">
        <v>452</v>
      </c>
      <c r="J22" s="1012" t="s">
        <v>208</v>
      </c>
      <c r="K22" s="1715"/>
      <c r="L22" s="1011" t="s">
        <v>467</v>
      </c>
      <c r="M22" s="1012" t="s">
        <v>468</v>
      </c>
      <c r="N22" s="1011" t="s">
        <v>209</v>
      </c>
      <c r="O22" s="1012" t="s">
        <v>210</v>
      </c>
      <c r="Q22" s="719" t="s">
        <v>211</v>
      </c>
      <c r="R22" s="720" t="s">
        <v>394</v>
      </c>
      <c r="S22" s="721" t="s">
        <v>451</v>
      </c>
      <c r="U22" s="719" t="s">
        <v>211</v>
      </c>
      <c r="V22" s="720" t="s">
        <v>394</v>
      </c>
      <c r="W22" s="721" t="s">
        <v>451</v>
      </c>
    </row>
    <row r="23" spans="2:23" ht="11.25" customHeight="1">
      <c r="B23" s="722" t="str">
        <f>+B$14</f>
        <v>Material:</v>
      </c>
      <c r="C23" s="728" t="str">
        <f>+C14</f>
        <v>MADERA TERCIADA PARA ENCOFRADO</v>
      </c>
      <c r="D23" s="724"/>
      <c r="E23" s="730"/>
      <c r="G23" s="726"/>
      <c r="H23" s="727"/>
      <c r="I23" s="726"/>
      <c r="J23" s="728"/>
      <c r="K23" s="729"/>
      <c r="L23" s="724"/>
      <c r="M23" s="725"/>
      <c r="N23" s="730"/>
      <c r="O23" s="728"/>
      <c r="Q23" s="731"/>
      <c r="R23" s="732"/>
      <c r="S23" s="725"/>
      <c r="U23" s="731"/>
      <c r="V23" s="732"/>
      <c r="W23" s="725"/>
    </row>
    <row r="24" spans="2:23" ht="11.25" customHeight="1">
      <c r="B24" s="722" t="s">
        <v>212</v>
      </c>
      <c r="C24" s="733" t="s">
        <v>956</v>
      </c>
      <c r="D24" s="724"/>
      <c r="E24" s="730"/>
      <c r="F24" s="802"/>
      <c r="G24" s="726"/>
      <c r="H24" s="727"/>
      <c r="I24" s="726"/>
      <c r="J24" s="727"/>
      <c r="K24" s="729"/>
      <c r="L24" s="724"/>
      <c r="M24" s="725"/>
      <c r="N24" s="794"/>
      <c r="O24" s="795"/>
      <c r="Q24" s="724"/>
      <c r="R24" s="735"/>
      <c r="S24" s="725"/>
      <c r="U24" s="960">
        <v>74.41</v>
      </c>
      <c r="V24" s="961">
        <f>+U24</f>
        <v>74.41</v>
      </c>
      <c r="W24" s="952">
        <v>395600.42</v>
      </c>
    </row>
    <row r="25" spans="2:23" ht="11.25" customHeight="1">
      <c r="B25" s="736" t="s">
        <v>53</v>
      </c>
      <c r="C25" s="1013" t="s">
        <v>54</v>
      </c>
      <c r="D25" s="738" t="s">
        <v>173</v>
      </c>
      <c r="E25" s="739">
        <v>1</v>
      </c>
      <c r="F25" s="740">
        <v>2.2000000000000002</v>
      </c>
      <c r="G25" s="741">
        <v>18363.259999999998</v>
      </c>
      <c r="H25" s="742">
        <f t="shared" ref="H25:H43" si="0">+ROUND(E25*F25*G25,2)</f>
        <v>40399.17</v>
      </c>
      <c r="I25" s="743">
        <f>LOOKUP(B25,valoriz!$A$13:$A$242,valoriz!I$13:I$242)</f>
        <v>0</v>
      </c>
      <c r="J25" s="972">
        <f t="shared" ref="J25:J43" si="1">+ROUND(E25*F25*I25,2)</f>
        <v>0</v>
      </c>
      <c r="K25" s="745">
        <v>3.5</v>
      </c>
      <c r="L25" s="746" t="e">
        <f t="shared" ref="L25:L43" si="2">D$17</f>
        <v>#REF!</v>
      </c>
      <c r="M25" s="747" t="str">
        <f t="shared" ref="M25:M43" si="3">D$16</f>
        <v>110.38</v>
      </c>
      <c r="N25" s="748">
        <f t="shared" ref="N25:N43" si="4">+ROUND(J25*K25*M$18,2)</f>
        <v>0</v>
      </c>
      <c r="O25" s="744" t="e">
        <f t="shared" ref="O25:O43" si="5">+ROUND(J25*K25*L25*M$18/M25,2)</f>
        <v>#REF!</v>
      </c>
      <c r="Q25" s="824">
        <v>38426.85</v>
      </c>
      <c r="R25" s="883">
        <f t="shared" ref="R25:R43" si="6">+J25+Q25</f>
        <v>38426.85</v>
      </c>
      <c r="S25" s="882">
        <f t="shared" ref="S25:S43" si="7">+IF((H25-R25)&lt;0,"BAD", H25-R25)</f>
        <v>1972.3199999999997</v>
      </c>
      <c r="T25" s="751">
        <v>5527.72</v>
      </c>
      <c r="U25" s="824" t="e">
        <f>+ROUND(Q25*$K25*$L25/$M25,2)</f>
        <v>#REF!</v>
      </c>
      <c r="V25" s="883" t="e">
        <f t="shared" ref="U25:V43" si="8">+ROUND(R25*$K25*$L25/$M25,2)</f>
        <v>#REF!</v>
      </c>
      <c r="W25" s="882"/>
    </row>
    <row r="26" spans="2:23" ht="11.25" customHeight="1">
      <c r="B26" s="736" t="s">
        <v>57</v>
      </c>
      <c r="C26" s="1013" t="s">
        <v>58</v>
      </c>
      <c r="D26" s="738" t="s">
        <v>174</v>
      </c>
      <c r="E26" s="739">
        <v>0.30399999999999999</v>
      </c>
      <c r="F26" s="740">
        <v>3</v>
      </c>
      <c r="G26" s="752">
        <v>4206</v>
      </c>
      <c r="H26" s="742">
        <f t="shared" si="0"/>
        <v>3835.87</v>
      </c>
      <c r="I26" s="743">
        <f>LOOKUP(B26,valoriz!$A$13:$A$242,valoriz!I$13:I$242)</f>
        <v>0</v>
      </c>
      <c r="J26" s="972">
        <f t="shared" si="1"/>
        <v>0</v>
      </c>
      <c r="K26" s="745">
        <f t="shared" ref="K26:K41" si="9">+K25</f>
        <v>3.5</v>
      </c>
      <c r="L26" s="746" t="e">
        <f t="shared" si="2"/>
        <v>#REF!</v>
      </c>
      <c r="M26" s="747" t="str">
        <f t="shared" si="3"/>
        <v>110.38</v>
      </c>
      <c r="N26" s="748">
        <f t="shared" si="4"/>
        <v>0</v>
      </c>
      <c r="O26" s="744" t="e">
        <f t="shared" si="5"/>
        <v>#REF!</v>
      </c>
      <c r="Q26" s="965">
        <v>3835.87</v>
      </c>
      <c r="R26" s="966">
        <f t="shared" si="6"/>
        <v>3835.87</v>
      </c>
      <c r="S26" s="967">
        <f t="shared" si="7"/>
        <v>0</v>
      </c>
      <c r="T26" s="751">
        <v>183.31</v>
      </c>
      <c r="U26" s="824" t="e">
        <f t="shared" si="8"/>
        <v>#REF!</v>
      </c>
      <c r="V26" s="883" t="e">
        <f t="shared" si="8"/>
        <v>#REF!</v>
      </c>
      <c r="W26" s="882"/>
    </row>
    <row r="27" spans="2:23" ht="11.25" customHeight="1">
      <c r="B27" s="736" t="s">
        <v>59</v>
      </c>
      <c r="C27" s="1013" t="s">
        <v>60</v>
      </c>
      <c r="D27" s="738" t="s">
        <v>174</v>
      </c>
      <c r="E27" s="739">
        <v>0.06</v>
      </c>
      <c r="F27" s="740">
        <v>3</v>
      </c>
      <c r="G27" s="754">
        <v>3942</v>
      </c>
      <c r="H27" s="742">
        <f t="shared" si="0"/>
        <v>709.56</v>
      </c>
      <c r="I27" s="743">
        <f>LOOKUP(B27,valoriz!$A$13:$A$242,valoriz!I$13:I$242)</f>
        <v>0</v>
      </c>
      <c r="J27" s="972">
        <f t="shared" si="1"/>
        <v>0</v>
      </c>
      <c r="K27" s="745">
        <f t="shared" si="9"/>
        <v>3.5</v>
      </c>
      <c r="L27" s="746" t="e">
        <f t="shared" si="2"/>
        <v>#REF!</v>
      </c>
      <c r="M27" s="747" t="str">
        <f t="shared" si="3"/>
        <v>110.38</v>
      </c>
      <c r="N27" s="748">
        <f t="shared" si="4"/>
        <v>0</v>
      </c>
      <c r="O27" s="744" t="e">
        <f t="shared" si="5"/>
        <v>#REF!</v>
      </c>
      <c r="Q27" s="824">
        <v>655.20000000000005</v>
      </c>
      <c r="R27" s="883">
        <f t="shared" si="6"/>
        <v>655.20000000000005</v>
      </c>
      <c r="S27" s="882">
        <f t="shared" si="7"/>
        <v>54.3599999999999</v>
      </c>
      <c r="T27" s="751">
        <v>232.38</v>
      </c>
      <c r="U27" s="824" t="e">
        <f t="shared" si="8"/>
        <v>#REF!</v>
      </c>
      <c r="V27" s="883" t="e">
        <f t="shared" si="8"/>
        <v>#REF!</v>
      </c>
      <c r="W27" s="882"/>
    </row>
    <row r="28" spans="2:23" ht="11.25" customHeight="1">
      <c r="B28" s="736" t="s">
        <v>61</v>
      </c>
      <c r="C28" s="1013" t="s">
        <v>62</v>
      </c>
      <c r="D28" s="755" t="s">
        <v>174</v>
      </c>
      <c r="E28" s="756">
        <v>0.05</v>
      </c>
      <c r="F28" s="740">
        <v>3</v>
      </c>
      <c r="G28" s="754">
        <v>41679.79</v>
      </c>
      <c r="H28" s="742">
        <f t="shared" si="0"/>
        <v>6251.97</v>
      </c>
      <c r="I28" s="743">
        <f>LOOKUP(B28,valoriz!$A$13:$A$242,valoriz!I$13:I$242)</f>
        <v>0</v>
      </c>
      <c r="J28" s="972">
        <f t="shared" si="1"/>
        <v>0</v>
      </c>
      <c r="K28" s="745">
        <f t="shared" si="9"/>
        <v>3.5</v>
      </c>
      <c r="L28" s="746" t="e">
        <f t="shared" si="2"/>
        <v>#REF!</v>
      </c>
      <c r="M28" s="747" t="str">
        <f t="shared" si="3"/>
        <v>110.38</v>
      </c>
      <c r="N28" s="748">
        <f t="shared" si="4"/>
        <v>0</v>
      </c>
      <c r="O28" s="744" t="e">
        <f t="shared" si="5"/>
        <v>#REF!</v>
      </c>
      <c r="Q28" s="824">
        <v>8645.9</v>
      </c>
      <c r="R28" s="883">
        <f t="shared" si="6"/>
        <v>8645.9</v>
      </c>
      <c r="S28" s="882" t="str">
        <f t="shared" si="7"/>
        <v>BAD</v>
      </c>
      <c r="T28" s="751">
        <v>5527.72</v>
      </c>
      <c r="U28" s="824" t="e">
        <f t="shared" si="8"/>
        <v>#REF!</v>
      </c>
      <c r="V28" s="883" t="e">
        <f t="shared" si="8"/>
        <v>#REF!</v>
      </c>
      <c r="W28" s="882"/>
    </row>
    <row r="29" spans="2:23" ht="11.25" customHeight="1">
      <c r="B29" s="757" t="s">
        <v>63</v>
      </c>
      <c r="C29" s="1027" t="s">
        <v>64</v>
      </c>
      <c r="D29" s="755" t="s">
        <v>174</v>
      </c>
      <c r="E29" s="756">
        <v>0.5</v>
      </c>
      <c r="F29" s="740">
        <v>3</v>
      </c>
      <c r="G29" s="754">
        <v>4324.7</v>
      </c>
      <c r="H29" s="742">
        <f t="shared" si="0"/>
        <v>6487.05</v>
      </c>
      <c r="I29" s="743">
        <f>LOOKUP(B29,valoriz!$A$13:$A$242,valoriz!I$13:I$242)</f>
        <v>0</v>
      </c>
      <c r="J29" s="972">
        <f t="shared" si="1"/>
        <v>0</v>
      </c>
      <c r="K29" s="745">
        <f t="shared" si="9"/>
        <v>3.5</v>
      </c>
      <c r="L29" s="746" t="e">
        <f t="shared" si="2"/>
        <v>#REF!</v>
      </c>
      <c r="M29" s="747" t="str">
        <f t="shared" si="3"/>
        <v>110.38</v>
      </c>
      <c r="N29" s="748">
        <f t="shared" si="4"/>
        <v>0</v>
      </c>
      <c r="O29" s="744" t="e">
        <f t="shared" si="5"/>
        <v>#REF!</v>
      </c>
      <c r="Q29" s="824">
        <v>12014.77</v>
      </c>
      <c r="R29" s="883">
        <f t="shared" si="6"/>
        <v>12014.77</v>
      </c>
      <c r="S29" s="882" t="str">
        <f t="shared" si="7"/>
        <v>BAD</v>
      </c>
      <c r="T29" s="751">
        <v>5527.72</v>
      </c>
      <c r="U29" s="824" t="e">
        <f t="shared" si="8"/>
        <v>#REF!</v>
      </c>
      <c r="V29" s="883" t="e">
        <f t="shared" si="8"/>
        <v>#REF!</v>
      </c>
      <c r="W29" s="882"/>
    </row>
    <row r="30" spans="2:23" ht="11.25" customHeight="1">
      <c r="B30" s="757" t="s">
        <v>65</v>
      </c>
      <c r="C30" s="1027" t="s">
        <v>66</v>
      </c>
      <c r="D30" s="755" t="s">
        <v>174</v>
      </c>
      <c r="E30" s="756">
        <v>1.1200000000000001</v>
      </c>
      <c r="F30" s="740">
        <v>3</v>
      </c>
      <c r="G30" s="754">
        <v>93</v>
      </c>
      <c r="H30" s="742">
        <f t="shared" si="0"/>
        <v>312.48</v>
      </c>
      <c r="I30" s="743">
        <f>LOOKUP(B30,valoriz!$A$13:$A$242,valoriz!I$13:I$242)</f>
        <v>0</v>
      </c>
      <c r="J30" s="972">
        <f t="shared" si="1"/>
        <v>0</v>
      </c>
      <c r="K30" s="745">
        <f t="shared" si="9"/>
        <v>3.5</v>
      </c>
      <c r="L30" s="746" t="e">
        <f t="shared" si="2"/>
        <v>#REF!</v>
      </c>
      <c r="M30" s="747" t="str">
        <f t="shared" si="3"/>
        <v>110.38</v>
      </c>
      <c r="N30" s="748">
        <f t="shared" si="4"/>
        <v>0</v>
      </c>
      <c r="O30" s="744" t="e">
        <f t="shared" si="5"/>
        <v>#REF!</v>
      </c>
      <c r="Q30" s="824">
        <v>5685.64</v>
      </c>
      <c r="R30" s="883">
        <f t="shared" si="6"/>
        <v>5685.64</v>
      </c>
      <c r="S30" s="882" t="str">
        <f t="shared" si="7"/>
        <v>BAD</v>
      </c>
      <c r="T30" s="751">
        <v>5527.72</v>
      </c>
      <c r="U30" s="824" t="e">
        <f t="shared" si="8"/>
        <v>#REF!</v>
      </c>
      <c r="V30" s="883" t="e">
        <f t="shared" si="8"/>
        <v>#REF!</v>
      </c>
      <c r="W30" s="882"/>
    </row>
    <row r="31" spans="2:23" ht="11.25" customHeight="1">
      <c r="B31" s="757" t="s">
        <v>67</v>
      </c>
      <c r="C31" s="1027" t="s">
        <v>68</v>
      </c>
      <c r="D31" s="738" t="s">
        <v>174</v>
      </c>
      <c r="E31" s="739">
        <v>0.3</v>
      </c>
      <c r="F31" s="740">
        <v>3</v>
      </c>
      <c r="G31" s="754">
        <v>212</v>
      </c>
      <c r="H31" s="742">
        <f t="shared" si="0"/>
        <v>190.8</v>
      </c>
      <c r="I31" s="743">
        <f>LOOKUP(B31,valoriz!$A$13:$A$242,valoriz!I$13:I$242)</f>
        <v>0</v>
      </c>
      <c r="J31" s="972">
        <f t="shared" si="1"/>
        <v>0</v>
      </c>
      <c r="K31" s="745">
        <f t="shared" si="9"/>
        <v>3.5</v>
      </c>
      <c r="L31" s="746" t="e">
        <f t="shared" si="2"/>
        <v>#REF!</v>
      </c>
      <c r="M31" s="747" t="str">
        <f t="shared" si="3"/>
        <v>110.38</v>
      </c>
      <c r="N31" s="748">
        <f t="shared" si="4"/>
        <v>0</v>
      </c>
      <c r="O31" s="744" t="e">
        <f t="shared" si="5"/>
        <v>#REF!</v>
      </c>
      <c r="Q31" s="824">
        <v>5718.52</v>
      </c>
      <c r="R31" s="883">
        <f t="shared" si="6"/>
        <v>5718.52</v>
      </c>
      <c r="S31" s="882" t="str">
        <f t="shared" si="7"/>
        <v>BAD</v>
      </c>
      <c r="T31" s="751">
        <v>5527.72</v>
      </c>
      <c r="U31" s="824" t="e">
        <f t="shared" si="8"/>
        <v>#REF!</v>
      </c>
      <c r="V31" s="883" t="e">
        <f t="shared" si="8"/>
        <v>#REF!</v>
      </c>
      <c r="W31" s="882"/>
    </row>
    <row r="32" spans="2:23" ht="11.25" customHeight="1">
      <c r="B32" s="757" t="s">
        <v>69</v>
      </c>
      <c r="C32" s="1027" t="s">
        <v>70</v>
      </c>
      <c r="D32" s="738" t="s">
        <v>174</v>
      </c>
      <c r="E32" s="739">
        <v>1</v>
      </c>
      <c r="F32" s="740">
        <v>3</v>
      </c>
      <c r="G32" s="752">
        <v>90</v>
      </c>
      <c r="H32" s="742">
        <f t="shared" si="0"/>
        <v>270</v>
      </c>
      <c r="I32" s="743">
        <f>LOOKUP(B32,valoriz!$A$13:$A$242,valoriz!I$13:I$242)</f>
        <v>0</v>
      </c>
      <c r="J32" s="972">
        <f t="shared" si="1"/>
        <v>0</v>
      </c>
      <c r="K32" s="745">
        <f t="shared" si="9"/>
        <v>3.5</v>
      </c>
      <c r="L32" s="746" t="e">
        <f t="shared" si="2"/>
        <v>#REF!</v>
      </c>
      <c r="M32" s="747" t="str">
        <f t="shared" si="3"/>
        <v>110.38</v>
      </c>
      <c r="N32" s="748">
        <f t="shared" si="4"/>
        <v>0</v>
      </c>
      <c r="O32" s="744" t="e">
        <f t="shared" si="5"/>
        <v>#REF!</v>
      </c>
      <c r="Q32" s="824">
        <v>5527.72</v>
      </c>
      <c r="R32" s="883">
        <f t="shared" si="6"/>
        <v>5527.72</v>
      </c>
      <c r="S32" s="882" t="str">
        <f t="shared" si="7"/>
        <v>BAD</v>
      </c>
      <c r="T32" s="751">
        <v>5527.72</v>
      </c>
      <c r="U32" s="824" t="e">
        <f t="shared" si="8"/>
        <v>#REF!</v>
      </c>
      <c r="V32" s="883" t="e">
        <f t="shared" si="8"/>
        <v>#REF!</v>
      </c>
      <c r="W32" s="882"/>
    </row>
    <row r="33" spans="2:23" ht="11.25" customHeight="1">
      <c r="B33" s="757" t="s">
        <v>71</v>
      </c>
      <c r="C33" s="1027" t="s">
        <v>72</v>
      </c>
      <c r="D33" s="738" t="s">
        <v>174</v>
      </c>
      <c r="E33" s="739">
        <v>0.30399999999999999</v>
      </c>
      <c r="F33" s="740">
        <v>3</v>
      </c>
      <c r="G33" s="752">
        <v>4332.3</v>
      </c>
      <c r="H33" s="742">
        <f t="shared" si="0"/>
        <v>3951.06</v>
      </c>
      <c r="I33" s="743">
        <f>LOOKUP(B33,valoriz!$A$13:$A$242,valoriz!I$13:I$242)</f>
        <v>0</v>
      </c>
      <c r="J33" s="972">
        <f t="shared" si="1"/>
        <v>0</v>
      </c>
      <c r="K33" s="745">
        <f t="shared" si="9"/>
        <v>3.5</v>
      </c>
      <c r="L33" s="746" t="e">
        <f t="shared" si="2"/>
        <v>#REF!</v>
      </c>
      <c r="M33" s="747" t="str">
        <f t="shared" si="3"/>
        <v>110.38</v>
      </c>
      <c r="N33" s="748">
        <f t="shared" si="4"/>
        <v>0</v>
      </c>
      <c r="O33" s="744" t="e">
        <f t="shared" si="5"/>
        <v>#REF!</v>
      </c>
      <c r="Q33" s="824">
        <v>2631.79</v>
      </c>
      <c r="R33" s="883">
        <f t="shared" si="6"/>
        <v>2631.79</v>
      </c>
      <c r="S33" s="882">
        <f t="shared" si="7"/>
        <v>1319.27</v>
      </c>
      <c r="T33" s="1049">
        <v>873</v>
      </c>
      <c r="U33" s="824" t="e">
        <f t="shared" si="8"/>
        <v>#REF!</v>
      </c>
      <c r="V33" s="883" t="e">
        <f t="shared" si="8"/>
        <v>#REF!</v>
      </c>
      <c r="W33" s="882"/>
    </row>
    <row r="34" spans="2:23" ht="11.25" customHeight="1">
      <c r="B34" s="757" t="s">
        <v>73</v>
      </c>
      <c r="C34" s="1027" t="s">
        <v>74</v>
      </c>
      <c r="D34" s="755" t="s">
        <v>174</v>
      </c>
      <c r="E34" s="739">
        <v>0.15</v>
      </c>
      <c r="F34" s="740">
        <v>3</v>
      </c>
      <c r="G34" s="754">
        <v>1965</v>
      </c>
      <c r="H34" s="742">
        <f t="shared" si="0"/>
        <v>884.25</v>
      </c>
      <c r="I34" s="743">
        <f>LOOKUP(B34,valoriz!$A$13:$A$242,valoriz!I$13:I$242)</f>
        <v>0</v>
      </c>
      <c r="J34" s="744">
        <f t="shared" si="1"/>
        <v>0</v>
      </c>
      <c r="K34" s="745">
        <f t="shared" si="9"/>
        <v>3.5</v>
      </c>
      <c r="L34" s="746" t="e">
        <f t="shared" si="2"/>
        <v>#REF!</v>
      </c>
      <c r="M34" s="747" t="str">
        <f t="shared" si="3"/>
        <v>110.38</v>
      </c>
      <c r="N34" s="748">
        <f t="shared" si="4"/>
        <v>0</v>
      </c>
      <c r="O34" s="744" t="e">
        <f t="shared" si="5"/>
        <v>#REF!</v>
      </c>
      <c r="Q34" s="824">
        <v>176.85</v>
      </c>
      <c r="R34" s="883">
        <f t="shared" si="6"/>
        <v>176.85</v>
      </c>
      <c r="S34" s="882">
        <f t="shared" si="7"/>
        <v>707.4</v>
      </c>
      <c r="T34" s="751"/>
      <c r="U34" s="824" t="e">
        <f t="shared" si="8"/>
        <v>#REF!</v>
      </c>
      <c r="V34" s="883" t="e">
        <f t="shared" si="8"/>
        <v>#REF!</v>
      </c>
      <c r="W34" s="882"/>
    </row>
    <row r="35" spans="2:23" ht="11.25" customHeight="1">
      <c r="B35" s="757" t="s">
        <v>75</v>
      </c>
      <c r="C35" s="1027" t="s">
        <v>76</v>
      </c>
      <c r="D35" s="755" t="s">
        <v>174</v>
      </c>
      <c r="E35" s="739">
        <v>0.30399999999999999</v>
      </c>
      <c r="F35" s="740">
        <v>3</v>
      </c>
      <c r="G35" s="754">
        <v>215</v>
      </c>
      <c r="H35" s="742">
        <f t="shared" si="0"/>
        <v>196.08</v>
      </c>
      <c r="I35" s="743">
        <f>LOOKUP(B35,valoriz!$A$13:$A$242,valoriz!I$13:I$242)</f>
        <v>0</v>
      </c>
      <c r="J35" s="744">
        <f t="shared" si="1"/>
        <v>0</v>
      </c>
      <c r="K35" s="745">
        <f t="shared" si="9"/>
        <v>3.5</v>
      </c>
      <c r="L35" s="746" t="e">
        <f t="shared" si="2"/>
        <v>#REF!</v>
      </c>
      <c r="M35" s="747" t="str">
        <f t="shared" si="3"/>
        <v>110.38</v>
      </c>
      <c r="N35" s="748">
        <f t="shared" si="4"/>
        <v>0</v>
      </c>
      <c r="O35" s="744" t="e">
        <f t="shared" si="5"/>
        <v>#REF!</v>
      </c>
      <c r="Q35" s="824">
        <v>0</v>
      </c>
      <c r="R35" s="883">
        <f t="shared" si="6"/>
        <v>0</v>
      </c>
      <c r="S35" s="882">
        <f t="shared" si="7"/>
        <v>196.08</v>
      </c>
      <c r="T35" s="751"/>
      <c r="U35" s="824" t="e">
        <f t="shared" si="8"/>
        <v>#REF!</v>
      </c>
      <c r="V35" s="883" t="e">
        <f t="shared" si="8"/>
        <v>#REF!</v>
      </c>
      <c r="W35" s="882"/>
    </row>
    <row r="36" spans="2:23" ht="11.25" customHeight="1">
      <c r="B36" s="757" t="s">
        <v>77</v>
      </c>
      <c r="C36" s="1027" t="s">
        <v>78</v>
      </c>
      <c r="D36" s="755" t="s">
        <v>174</v>
      </c>
      <c r="E36" s="739">
        <v>0.30399999999999999</v>
      </c>
      <c r="F36" s="740">
        <v>3</v>
      </c>
      <c r="G36" s="754">
        <v>1676</v>
      </c>
      <c r="H36" s="742">
        <f t="shared" si="0"/>
        <v>1528.51</v>
      </c>
      <c r="I36" s="743">
        <f>LOOKUP(B36,valoriz!$A$13:$A$242,valoriz!I$13:I$242)</f>
        <v>0</v>
      </c>
      <c r="J36" s="972">
        <f t="shared" si="1"/>
        <v>0</v>
      </c>
      <c r="K36" s="745">
        <f t="shared" si="9"/>
        <v>3.5</v>
      </c>
      <c r="L36" s="746" t="e">
        <f t="shared" si="2"/>
        <v>#REF!</v>
      </c>
      <c r="M36" s="747" t="str">
        <f t="shared" si="3"/>
        <v>110.38</v>
      </c>
      <c r="N36" s="748">
        <f t="shared" si="4"/>
        <v>0</v>
      </c>
      <c r="O36" s="744" t="e">
        <f t="shared" si="5"/>
        <v>#REF!</v>
      </c>
      <c r="Q36" s="824">
        <v>2285.4699999999998</v>
      </c>
      <c r="R36" s="883">
        <f t="shared" si="6"/>
        <v>2285.4699999999998</v>
      </c>
      <c r="S36" s="882" t="str">
        <f t="shared" si="7"/>
        <v>BAD</v>
      </c>
      <c r="T36" s="751">
        <v>1528.51</v>
      </c>
      <c r="U36" s="824" t="e">
        <f t="shared" si="8"/>
        <v>#REF!</v>
      </c>
      <c r="V36" s="883" t="e">
        <f t="shared" si="8"/>
        <v>#REF!</v>
      </c>
      <c r="W36" s="882"/>
    </row>
    <row r="37" spans="2:23" ht="11.25" customHeight="1">
      <c r="B37" s="757" t="s">
        <v>79</v>
      </c>
      <c r="C37" s="1027" t="s">
        <v>80</v>
      </c>
      <c r="D37" s="755" t="s">
        <v>174</v>
      </c>
      <c r="E37" s="739">
        <v>0.15</v>
      </c>
      <c r="F37" s="740">
        <v>3</v>
      </c>
      <c r="G37" s="754">
        <v>348</v>
      </c>
      <c r="H37" s="742">
        <f t="shared" si="0"/>
        <v>156.6</v>
      </c>
      <c r="I37" s="743">
        <f>LOOKUP(B37,valoriz!$A$13:$A$242,valoriz!I$13:I$242)</f>
        <v>0</v>
      </c>
      <c r="J37" s="744">
        <f t="shared" si="1"/>
        <v>0</v>
      </c>
      <c r="K37" s="745">
        <f t="shared" si="9"/>
        <v>3.5</v>
      </c>
      <c r="L37" s="746" t="e">
        <f t="shared" si="2"/>
        <v>#REF!</v>
      </c>
      <c r="M37" s="747" t="str">
        <f t="shared" si="3"/>
        <v>110.38</v>
      </c>
      <c r="N37" s="748">
        <f t="shared" si="4"/>
        <v>0</v>
      </c>
      <c r="O37" s="744" t="e">
        <f t="shared" si="5"/>
        <v>#REF!</v>
      </c>
      <c r="Q37" s="824">
        <v>0</v>
      </c>
      <c r="R37" s="883">
        <f t="shared" si="6"/>
        <v>0</v>
      </c>
      <c r="S37" s="882">
        <f t="shared" si="7"/>
        <v>156.6</v>
      </c>
      <c r="T37" s="751"/>
      <c r="U37" s="824" t="e">
        <f t="shared" si="8"/>
        <v>#REF!</v>
      </c>
      <c r="V37" s="883" t="e">
        <f t="shared" si="8"/>
        <v>#REF!</v>
      </c>
      <c r="W37" s="882"/>
    </row>
    <row r="38" spans="2:23" ht="11.25" customHeight="1">
      <c r="B38" s="757" t="s">
        <v>81</v>
      </c>
      <c r="C38" s="1027" t="s">
        <v>82</v>
      </c>
      <c r="D38" s="755" t="s">
        <v>601</v>
      </c>
      <c r="E38" s="739">
        <v>2.2000000000000002</v>
      </c>
      <c r="F38" s="740">
        <v>3</v>
      </c>
      <c r="G38" s="754">
        <v>60</v>
      </c>
      <c r="H38" s="742">
        <f t="shared" si="0"/>
        <v>396</v>
      </c>
      <c r="I38" s="743">
        <f>LOOKUP(B38,valoriz!$A$13:$A$242,valoriz!I$13:I$242)</f>
        <v>0</v>
      </c>
      <c r="J38" s="744">
        <f t="shared" si="1"/>
        <v>0</v>
      </c>
      <c r="K38" s="745">
        <f t="shared" si="9"/>
        <v>3.5</v>
      </c>
      <c r="L38" s="746" t="e">
        <f t="shared" si="2"/>
        <v>#REF!</v>
      </c>
      <c r="M38" s="747" t="str">
        <f t="shared" si="3"/>
        <v>110.38</v>
      </c>
      <c r="N38" s="748">
        <f t="shared" si="4"/>
        <v>0</v>
      </c>
      <c r="O38" s="744" t="e">
        <f t="shared" si="5"/>
        <v>#REF!</v>
      </c>
      <c r="Q38" s="824">
        <v>165</v>
      </c>
      <c r="R38" s="883">
        <f t="shared" si="6"/>
        <v>165</v>
      </c>
      <c r="S38" s="882">
        <f t="shared" si="7"/>
        <v>231</v>
      </c>
      <c r="T38" s="751"/>
      <c r="U38" s="824" t="e">
        <f t="shared" si="8"/>
        <v>#REF!</v>
      </c>
      <c r="V38" s="883" t="e">
        <f t="shared" si="8"/>
        <v>#REF!</v>
      </c>
      <c r="W38" s="882"/>
    </row>
    <row r="39" spans="2:23" ht="11.25" customHeight="1">
      <c r="B39" s="757" t="s">
        <v>83</v>
      </c>
      <c r="C39" s="1027" t="s">
        <v>84</v>
      </c>
      <c r="D39" s="755" t="s">
        <v>174</v>
      </c>
      <c r="E39" s="756">
        <v>1.7</v>
      </c>
      <c r="F39" s="740">
        <v>3</v>
      </c>
      <c r="G39" s="760">
        <v>279</v>
      </c>
      <c r="H39" s="742">
        <f t="shared" si="0"/>
        <v>1422.9</v>
      </c>
      <c r="I39" s="743">
        <f>LOOKUP(B39,valoriz!$A$13:$A$242,valoriz!I$13:I$242)</f>
        <v>0</v>
      </c>
      <c r="J39" s="972">
        <f t="shared" si="1"/>
        <v>0</v>
      </c>
      <c r="K39" s="745">
        <f t="shared" si="9"/>
        <v>3.5</v>
      </c>
      <c r="L39" s="746" t="e">
        <f t="shared" si="2"/>
        <v>#REF!</v>
      </c>
      <c r="M39" s="747" t="str">
        <f t="shared" si="3"/>
        <v>110.38</v>
      </c>
      <c r="N39" s="748">
        <f t="shared" si="4"/>
        <v>0</v>
      </c>
      <c r="O39" s="744" t="e">
        <f t="shared" si="5"/>
        <v>#REF!</v>
      </c>
      <c r="Q39" s="965">
        <v>2426.11</v>
      </c>
      <c r="R39" s="966">
        <f t="shared" si="6"/>
        <v>2426.11</v>
      </c>
      <c r="S39" s="967" t="str">
        <f t="shared" si="7"/>
        <v>BAD</v>
      </c>
      <c r="T39" s="751">
        <v>1528.51</v>
      </c>
      <c r="U39" s="824" t="e">
        <f t="shared" si="8"/>
        <v>#REF!</v>
      </c>
      <c r="V39" s="883" t="e">
        <f t="shared" si="8"/>
        <v>#REF!</v>
      </c>
      <c r="W39" s="882"/>
    </row>
    <row r="40" spans="2:23" ht="11.25" customHeight="1">
      <c r="B40" s="757" t="s">
        <v>85</v>
      </c>
      <c r="C40" s="1027" t="s">
        <v>86</v>
      </c>
      <c r="D40" s="755" t="s">
        <v>174</v>
      </c>
      <c r="E40" s="739">
        <v>1.5</v>
      </c>
      <c r="F40" s="740">
        <v>3</v>
      </c>
      <c r="G40" s="760">
        <v>93</v>
      </c>
      <c r="H40" s="759">
        <f t="shared" si="0"/>
        <v>418.5</v>
      </c>
      <c r="I40" s="743">
        <f>LOOKUP(B40,valoriz!$A$13:$A$242,valoriz!I$13:I$242)</f>
        <v>0</v>
      </c>
      <c r="J40" s="744">
        <f t="shared" si="1"/>
        <v>0</v>
      </c>
      <c r="K40" s="745">
        <f t="shared" si="9"/>
        <v>3.5</v>
      </c>
      <c r="L40" s="746" t="e">
        <f t="shared" si="2"/>
        <v>#REF!</v>
      </c>
      <c r="M40" s="747" t="str">
        <f t="shared" si="3"/>
        <v>110.38</v>
      </c>
      <c r="N40" s="748">
        <f t="shared" si="4"/>
        <v>0</v>
      </c>
      <c r="O40" s="744" t="e">
        <f t="shared" si="5"/>
        <v>#REF!</v>
      </c>
      <c r="Q40" s="824">
        <v>279</v>
      </c>
      <c r="R40" s="883">
        <f t="shared" si="6"/>
        <v>279</v>
      </c>
      <c r="S40" s="882">
        <f t="shared" si="7"/>
        <v>139.5</v>
      </c>
      <c r="T40" s="751"/>
      <c r="U40" s="824" t="e">
        <f t="shared" si="8"/>
        <v>#REF!</v>
      </c>
      <c r="V40" s="883" t="e">
        <f t="shared" si="8"/>
        <v>#REF!</v>
      </c>
      <c r="W40" s="882"/>
    </row>
    <row r="41" spans="2:23" ht="11.25" customHeight="1">
      <c r="B41" s="796" t="s">
        <v>91</v>
      </c>
      <c r="C41" s="1023" t="s">
        <v>92</v>
      </c>
      <c r="D41" s="738" t="s">
        <v>173</v>
      </c>
      <c r="E41" s="739">
        <v>1</v>
      </c>
      <c r="F41" s="753">
        <v>0.16</v>
      </c>
      <c r="G41" s="760">
        <v>6590</v>
      </c>
      <c r="H41" s="759">
        <f t="shared" si="0"/>
        <v>1054.4000000000001</v>
      </c>
      <c r="I41" s="743">
        <f>LOOKUP(B41,valoriz!$A$13:$A$242,valoriz!I$13:I$242)</f>
        <v>0</v>
      </c>
      <c r="J41" s="972">
        <f t="shared" si="1"/>
        <v>0</v>
      </c>
      <c r="K41" s="745">
        <f t="shared" si="9"/>
        <v>3.5</v>
      </c>
      <c r="L41" s="746" t="e">
        <f t="shared" si="2"/>
        <v>#REF!</v>
      </c>
      <c r="M41" s="747" t="str">
        <f t="shared" si="3"/>
        <v>110.38</v>
      </c>
      <c r="N41" s="748">
        <f t="shared" si="4"/>
        <v>0</v>
      </c>
      <c r="O41" s="744" t="e">
        <f t="shared" si="5"/>
        <v>#REF!</v>
      </c>
      <c r="Q41" s="824">
        <v>1992.19</v>
      </c>
      <c r="R41" s="883">
        <f t="shared" si="6"/>
        <v>1992.19</v>
      </c>
      <c r="S41" s="882" t="str">
        <f t="shared" si="7"/>
        <v>BAD</v>
      </c>
      <c r="T41" s="751">
        <v>1528.51</v>
      </c>
      <c r="U41" s="824" t="e">
        <f t="shared" si="8"/>
        <v>#REF!</v>
      </c>
      <c r="V41" s="883" t="e">
        <f t="shared" si="8"/>
        <v>#REF!</v>
      </c>
      <c r="W41" s="882"/>
    </row>
    <row r="42" spans="2:23" ht="11.25" customHeight="1">
      <c r="B42" s="736" t="s">
        <v>116</v>
      </c>
      <c r="C42" s="1013" t="s">
        <v>117</v>
      </c>
      <c r="D42" s="738" t="s">
        <v>174</v>
      </c>
      <c r="E42" s="739">
        <v>2</v>
      </c>
      <c r="F42" s="753">
        <v>2.2000000000000002</v>
      </c>
      <c r="G42" s="741">
        <v>2632</v>
      </c>
      <c r="H42" s="759">
        <f t="shared" si="0"/>
        <v>11580.8</v>
      </c>
      <c r="I42" s="743">
        <f>LOOKUP(B42,valoriz!$A$13:$A$242,valoriz!I$13:I$242)</f>
        <v>0</v>
      </c>
      <c r="J42" s="972">
        <f t="shared" si="1"/>
        <v>0</v>
      </c>
      <c r="K42" s="745">
        <f>+K40</f>
        <v>3.5</v>
      </c>
      <c r="L42" s="746" t="e">
        <f t="shared" si="2"/>
        <v>#REF!</v>
      </c>
      <c r="M42" s="747" t="str">
        <f t="shared" si="3"/>
        <v>110.38</v>
      </c>
      <c r="N42" s="748">
        <f t="shared" si="4"/>
        <v>0</v>
      </c>
      <c r="O42" s="744" t="e">
        <f t="shared" si="5"/>
        <v>#REF!</v>
      </c>
      <c r="Q42" s="847">
        <v>5527.72</v>
      </c>
      <c r="R42" s="1039">
        <f t="shared" si="6"/>
        <v>5527.72</v>
      </c>
      <c r="S42" s="1040">
        <f t="shared" si="7"/>
        <v>6053.079999999999</v>
      </c>
      <c r="T42" s="751">
        <v>5527.72</v>
      </c>
      <c r="U42" s="847" t="e">
        <f t="shared" si="8"/>
        <v>#REF!</v>
      </c>
      <c r="V42" s="1039" t="e">
        <f t="shared" si="8"/>
        <v>#REF!</v>
      </c>
      <c r="W42" s="1040"/>
    </row>
    <row r="43" spans="2:23" ht="11.25" customHeight="1">
      <c r="B43" s="1032" t="s">
        <v>118</v>
      </c>
      <c r="C43" s="1023" t="s">
        <v>119</v>
      </c>
      <c r="D43" s="738" t="s">
        <v>174</v>
      </c>
      <c r="E43" s="739">
        <v>0.4</v>
      </c>
      <c r="F43" s="753">
        <v>2.2000000000000002</v>
      </c>
      <c r="G43" s="741">
        <v>55</v>
      </c>
      <c r="H43" s="759">
        <f t="shared" si="0"/>
        <v>48.4</v>
      </c>
      <c r="I43" s="743">
        <f>LOOKUP(B43,valoriz!$A$13:$A$242,valoriz!I$13:I$242)</f>
        <v>0</v>
      </c>
      <c r="J43" s="744">
        <f t="shared" si="1"/>
        <v>0</v>
      </c>
      <c r="K43" s="745">
        <f>+K41</f>
        <v>3.5</v>
      </c>
      <c r="L43" s="746" t="e">
        <f t="shared" si="2"/>
        <v>#REF!</v>
      </c>
      <c r="M43" s="747" t="str">
        <f t="shared" si="3"/>
        <v>110.38</v>
      </c>
      <c r="N43" s="748">
        <f t="shared" si="4"/>
        <v>0</v>
      </c>
      <c r="O43" s="744" t="e">
        <f t="shared" si="5"/>
        <v>#REF!</v>
      </c>
      <c r="Q43" s="828">
        <v>0</v>
      </c>
      <c r="R43" s="1014">
        <f t="shared" si="6"/>
        <v>0</v>
      </c>
      <c r="S43" s="891">
        <f t="shared" si="7"/>
        <v>48.4</v>
      </c>
      <c r="T43" s="751"/>
      <c r="U43" s="828" t="e">
        <f t="shared" si="8"/>
        <v>#REF!</v>
      </c>
      <c r="V43" s="1014" t="e">
        <f t="shared" si="8"/>
        <v>#REF!</v>
      </c>
      <c r="W43" s="891"/>
    </row>
    <row r="44" spans="2:23" ht="11.25" customHeight="1" thickBot="1">
      <c r="B44" s="762"/>
      <c r="C44" s="1015"/>
      <c r="D44" s="764"/>
      <c r="E44" s="765"/>
      <c r="F44" s="766"/>
      <c r="G44" s="799"/>
      <c r="H44" s="800"/>
      <c r="I44" s="799"/>
      <c r="J44" s="801"/>
      <c r="K44" s="770"/>
      <c r="L44" s="771"/>
      <c r="M44" s="772"/>
      <c r="N44" s="773"/>
      <c r="O44" s="769"/>
      <c r="Q44" s="871">
        <f>SUM(Q25:Q43)</f>
        <v>95994.6</v>
      </c>
      <c r="R44" s="896">
        <f>SUM(R25:R43)</f>
        <v>95994.6</v>
      </c>
      <c r="S44" s="897">
        <f>SUM(S25:S43)</f>
        <v>10878.01</v>
      </c>
      <c r="T44" s="751">
        <f>SUM(T25:T43)</f>
        <v>44568.260000000009</v>
      </c>
      <c r="U44" s="871" t="e">
        <f>SUM(U24:U43)</f>
        <v>#REF!</v>
      </c>
      <c r="V44" s="896" t="e">
        <f>SUM(V24:V43)</f>
        <v>#REF!</v>
      </c>
      <c r="W44" s="897" t="e">
        <f>+W24-V44</f>
        <v>#REF!</v>
      </c>
    </row>
    <row r="45" spans="2:23" ht="11.25" customHeight="1">
      <c r="B45" s="775"/>
      <c r="C45" s="776"/>
      <c r="D45" s="777"/>
      <c r="E45" s="777"/>
      <c r="F45" s="778"/>
      <c r="G45" s="779"/>
      <c r="H45" s="780">
        <f>SUM(H25:H44)</f>
        <v>80094.399999999994</v>
      </c>
      <c r="I45" s="779"/>
      <c r="J45" s="780">
        <f>SUM(J25:J44)</f>
        <v>0</v>
      </c>
      <c r="K45" s="781"/>
      <c r="L45" s="777"/>
      <c r="M45" s="778"/>
      <c r="N45" s="782">
        <f>SUM(N25:N44)</f>
        <v>0</v>
      </c>
      <c r="O45" s="783" t="e">
        <f>SUM(O25:O44)</f>
        <v>#REF!</v>
      </c>
      <c r="Q45" s="1654" t="str">
        <f>+IF(SUM(R25:R42)&gt;J46,"Revisar Metrado","OK")</f>
        <v>OK</v>
      </c>
      <c r="R45" s="1719"/>
      <c r="S45" s="1655"/>
      <c r="T45" s="751"/>
      <c r="U45" s="1069">
        <v>55929.05</v>
      </c>
      <c r="V45" s="1047" t="e">
        <f>+O45+U44</f>
        <v>#REF!</v>
      </c>
      <c r="W45" s="1007"/>
    </row>
    <row r="46" spans="2:23" ht="11.25" customHeight="1">
      <c r="B46" s="790"/>
      <c r="C46" s="791"/>
      <c r="D46" s="121"/>
      <c r="E46" s="792"/>
      <c r="F46" s="792"/>
      <c r="G46" s="786"/>
      <c r="H46" s="787" t="s">
        <v>214</v>
      </c>
      <c r="I46" s="788"/>
      <c r="J46" s="899">
        <v>116531</v>
      </c>
      <c r="K46" s="709"/>
      <c r="M46" s="709"/>
      <c r="N46" s="709"/>
      <c r="O46" s="751"/>
      <c r="P46" s="751"/>
    </row>
    <row r="47" spans="2:23" ht="11.25" customHeight="1">
      <c r="B47" s="784"/>
      <c r="C47" s="700"/>
      <c r="H47" s="751"/>
      <c r="J47" s="806" t="s">
        <v>243</v>
      </c>
      <c r="K47" s="874"/>
      <c r="L47" s="874"/>
      <c r="M47" s="807"/>
      <c r="N47" s="808">
        <f>+N45</f>
        <v>0</v>
      </c>
      <c r="O47" s="910" t="e">
        <f>+O45</f>
        <v>#REF!</v>
      </c>
      <c r="P47" s="751"/>
      <c r="Q47" s="751"/>
    </row>
    <row r="48" spans="2:23" ht="11.25" customHeight="1">
      <c r="B48" s="784"/>
      <c r="C48" s="700"/>
      <c r="J48" s="810" t="s">
        <v>244</v>
      </c>
      <c r="K48" s="788"/>
      <c r="L48" s="788"/>
      <c r="M48" s="811"/>
      <c r="N48" s="808" t="e">
        <f>+IF(D$13&gt;C72,0,N47)</f>
        <v>#REF!</v>
      </c>
      <c r="O48" s="809" t="e">
        <f>+IF(D$13&gt;C72,0,O47)</f>
        <v>#REF!</v>
      </c>
    </row>
    <row r="49" spans="2:15" ht="11.25" customHeight="1">
      <c r="B49" s="784"/>
      <c r="C49" s="700"/>
      <c r="K49" s="751"/>
      <c r="L49" s="39"/>
      <c r="M49" s="39"/>
      <c r="N49" s="172"/>
      <c r="O49" s="172"/>
    </row>
    <row r="50" spans="2:15" ht="18">
      <c r="B50" s="1687" t="str">
        <f>+'Asfalto IU 13'!B32:O32</f>
        <v>C O N T R O L   D E L   A D E L A N T O   P A R A   M A T E R I A L E S   Nº 02</v>
      </c>
      <c r="C50" s="1687"/>
      <c r="D50" s="1687"/>
      <c r="E50" s="1687"/>
      <c r="F50" s="1687"/>
      <c r="G50" s="1687"/>
      <c r="H50" s="1687"/>
      <c r="I50" s="1687"/>
      <c r="J50" s="1687"/>
      <c r="K50" s="1687"/>
      <c r="L50" s="1687"/>
      <c r="M50" s="1687"/>
      <c r="N50" s="1687"/>
      <c r="O50" s="1687"/>
    </row>
    <row r="52" spans="2:15" ht="11.25" customHeight="1">
      <c r="B52" s="699" t="str">
        <f>+B14</f>
        <v>Material:</v>
      </c>
      <c r="C52" s="698" t="str">
        <f>+C14</f>
        <v>MADERA TERCIADA PARA ENCOFRADO</v>
      </c>
    </row>
    <row r="53" spans="2:15" ht="11.25" customHeight="1">
      <c r="B53" s="699" t="str">
        <f>+B15</f>
        <v>Indice Unificado:</v>
      </c>
      <c r="C53" s="698" t="str">
        <f>+C15</f>
        <v>45</v>
      </c>
      <c r="D53" s="705" t="s">
        <v>459</v>
      </c>
      <c r="E53" s="706"/>
      <c r="F53" s="1692" t="s">
        <v>451</v>
      </c>
      <c r="G53" s="1692"/>
    </row>
    <row r="54" spans="2:15" ht="11.25" customHeight="1">
      <c r="B54" s="698" t="str">
        <f>+B12</f>
        <v>Monto del Adelanto Especifico para MADERA</v>
      </c>
      <c r="D54" s="702">
        <f>+D12</f>
        <v>395600.42</v>
      </c>
      <c r="E54" s="706"/>
      <c r="F54" s="1691" t="e">
        <f>+D54-I88</f>
        <v>#REF!</v>
      </c>
      <c r="G54" s="1691"/>
    </row>
    <row r="55" spans="2:15" ht="11.25" customHeight="1">
      <c r="B55" s="698" t="s">
        <v>246</v>
      </c>
      <c r="C55" s="812"/>
      <c r="D55" s="702" t="e">
        <f>ROUND(D54/D58*D57,2)</f>
        <v>#REF!</v>
      </c>
      <c r="E55" s="706"/>
      <c r="F55" s="1691" t="e">
        <f>+D55-F88</f>
        <v>#REF!</v>
      </c>
      <c r="G55" s="1691"/>
    </row>
    <row r="56" spans="2:15" ht="11.25" customHeight="1">
      <c r="B56" s="698" t="str">
        <f>+B13</f>
        <v xml:space="preserve">Fecha de Pago del Adelanto  : </v>
      </c>
      <c r="D56" s="703" t="e">
        <f>+D13</f>
        <v>#REF!</v>
      </c>
      <c r="E56" s="706"/>
    </row>
    <row r="57" spans="2:15" ht="11.25" customHeight="1">
      <c r="B57" s="698" t="str">
        <f>+B16</f>
        <v>Indice INEI a la Fecha del P. Base   (Abril 2,009)</v>
      </c>
      <c r="D57" s="709" t="str">
        <f>+D16</f>
        <v>110.38</v>
      </c>
      <c r="E57" s="121"/>
    </row>
    <row r="58" spans="2:15" ht="11.25" customHeight="1">
      <c r="B58" s="698" t="str">
        <f>+B17</f>
        <v>Indice INEI a la Fecha del Pago del Adelanto  (Setiembre 2,010)</v>
      </c>
      <c r="D58" s="709" t="e">
        <f>+D17</f>
        <v>#REF!</v>
      </c>
      <c r="E58" s="709"/>
    </row>
    <row r="59" spans="2:15" ht="11.25" customHeight="1">
      <c r="B59" s="698" t="s">
        <v>247</v>
      </c>
      <c r="D59" s="698">
        <v>5.8999999999999997E-2</v>
      </c>
    </row>
    <row r="60" spans="2:15" ht="11.25" customHeight="1">
      <c r="B60" s="698" t="s">
        <v>248</v>
      </c>
      <c r="D60" s="813">
        <v>8.4750000000000006E-2</v>
      </c>
    </row>
    <row r="62" spans="2:15" ht="11.25" customHeight="1">
      <c r="B62" s="814" t="str">
        <f>+'Asfalto IU 13'!B44</f>
        <v>AMORTIZACION DEL ADELANTO DE MATERIALES Nº 02</v>
      </c>
    </row>
    <row r="64" spans="2:15" ht="11.25" customHeight="1">
      <c r="B64" s="1708" t="s">
        <v>250</v>
      </c>
      <c r="C64" s="1709"/>
      <c r="D64" s="1712" t="s">
        <v>251</v>
      </c>
      <c r="E64" s="1718"/>
      <c r="F64" s="1718"/>
      <c r="G64" s="1718"/>
      <c r="H64" s="1718"/>
      <c r="I64" s="1713"/>
      <c r="L64" s="815"/>
      <c r="M64" s="815"/>
    </row>
    <row r="65" spans="2:15" ht="11.25" customHeight="1">
      <c r="B65" s="1720"/>
      <c r="C65" s="1721"/>
      <c r="D65" s="1712" t="s">
        <v>252</v>
      </c>
      <c r="E65" s="1718"/>
      <c r="F65" s="1713"/>
      <c r="G65" s="1712" t="s">
        <v>253</v>
      </c>
      <c r="H65" s="1718"/>
      <c r="I65" s="1713"/>
    </row>
    <row r="66" spans="2:15" ht="11.25" customHeight="1">
      <c r="B66" s="1710"/>
      <c r="C66" s="1711"/>
      <c r="D66" s="1009" t="s">
        <v>254</v>
      </c>
      <c r="E66" s="1017" t="s">
        <v>451</v>
      </c>
      <c r="F66" s="1010" t="s">
        <v>255</v>
      </c>
      <c r="G66" s="1009" t="s">
        <v>254</v>
      </c>
      <c r="H66" s="1017" t="s">
        <v>451</v>
      </c>
      <c r="I66" s="1010" t="s">
        <v>255</v>
      </c>
      <c r="O66" s="751"/>
    </row>
    <row r="67" spans="2:15" ht="11.25" customHeight="1">
      <c r="B67" s="817" t="s">
        <v>256</v>
      </c>
      <c r="C67" s="818">
        <v>40298</v>
      </c>
      <c r="D67" s="819" t="e">
        <f>+D55</f>
        <v>#REF!</v>
      </c>
      <c r="E67" s="820" t="e">
        <f t="shared" ref="E67:E85" si="10">+D67-F67</f>
        <v>#REF!</v>
      </c>
      <c r="F67" s="908"/>
      <c r="G67" s="819">
        <f>+D54</f>
        <v>395600.42</v>
      </c>
      <c r="H67" s="820">
        <f t="shared" ref="H67:H85" si="11">+G67-I67</f>
        <v>395600.42</v>
      </c>
      <c r="I67" s="908"/>
      <c r="O67" s="751"/>
    </row>
    <row r="68" spans="2:15" ht="11.25" customHeight="1">
      <c r="B68" s="822" t="s">
        <v>257</v>
      </c>
      <c r="C68" s="823">
        <v>40329</v>
      </c>
      <c r="D68" s="824" t="e">
        <f>+D67</f>
        <v>#REF!</v>
      </c>
      <c r="E68" s="825" t="e">
        <f t="shared" si="10"/>
        <v>#REF!</v>
      </c>
      <c r="F68" s="795"/>
      <c r="G68" s="824">
        <f>+G67</f>
        <v>395600.42</v>
      </c>
      <c r="H68" s="825">
        <f t="shared" si="11"/>
        <v>395600.42</v>
      </c>
      <c r="I68" s="795"/>
      <c r="J68" s="751"/>
      <c r="K68" s="751"/>
      <c r="O68" s="751"/>
    </row>
    <row r="69" spans="2:15" ht="11.25" customHeight="1">
      <c r="B69" s="822" t="s">
        <v>258</v>
      </c>
      <c r="C69" s="823">
        <v>40359</v>
      </c>
      <c r="D69" s="824" t="e">
        <f t="shared" ref="D69:D85" si="12">+E68</f>
        <v>#REF!</v>
      </c>
      <c r="E69" s="825" t="e">
        <f t="shared" si="10"/>
        <v>#REF!</v>
      </c>
      <c r="F69" s="795"/>
      <c r="G69" s="824">
        <f t="shared" ref="G69:G85" si="13">+H68</f>
        <v>395600.42</v>
      </c>
      <c r="H69" s="825">
        <f t="shared" si="11"/>
        <v>395600.42</v>
      </c>
      <c r="I69" s="795"/>
      <c r="J69" s="751"/>
      <c r="K69" s="751"/>
      <c r="O69" s="751"/>
    </row>
    <row r="70" spans="2:15" ht="11.25" customHeight="1">
      <c r="B70" s="822" t="s">
        <v>259</v>
      </c>
      <c r="C70" s="823">
        <v>40390</v>
      </c>
      <c r="D70" s="824" t="e">
        <f t="shared" si="12"/>
        <v>#REF!</v>
      </c>
      <c r="E70" s="825" t="e">
        <f t="shared" si="10"/>
        <v>#REF!</v>
      </c>
      <c r="F70" s="795"/>
      <c r="G70" s="824">
        <f t="shared" si="13"/>
        <v>395600.42</v>
      </c>
      <c r="H70" s="825">
        <f t="shared" si="11"/>
        <v>395600.42</v>
      </c>
      <c r="I70" s="795"/>
      <c r="J70" s="751"/>
      <c r="K70" s="751"/>
      <c r="O70" s="751"/>
    </row>
    <row r="71" spans="2:15" ht="11.25" customHeight="1">
      <c r="B71" s="822" t="s">
        <v>260</v>
      </c>
      <c r="C71" s="823">
        <v>40421</v>
      </c>
      <c r="D71" s="824" t="e">
        <f t="shared" si="12"/>
        <v>#REF!</v>
      </c>
      <c r="E71" s="825" t="e">
        <f t="shared" si="10"/>
        <v>#REF!</v>
      </c>
      <c r="F71" s="795"/>
      <c r="G71" s="824">
        <f t="shared" si="13"/>
        <v>395600.42</v>
      </c>
      <c r="H71" s="825">
        <f t="shared" si="11"/>
        <v>395600.42</v>
      </c>
      <c r="I71" s="795"/>
      <c r="J71" s="751"/>
      <c r="K71" s="751"/>
      <c r="O71" s="751"/>
    </row>
    <row r="72" spans="2:15" ht="11.25" customHeight="1">
      <c r="B72" s="822" t="s">
        <v>261</v>
      </c>
      <c r="C72" s="823">
        <v>40451</v>
      </c>
      <c r="D72" s="824" t="e">
        <f t="shared" si="12"/>
        <v>#REF!</v>
      </c>
      <c r="E72" s="825" t="e">
        <f t="shared" si="10"/>
        <v>#REF!</v>
      </c>
      <c r="F72" s="795">
        <v>24582.639999999999</v>
      </c>
      <c r="G72" s="824">
        <f t="shared" si="13"/>
        <v>395600.42</v>
      </c>
      <c r="H72" s="825">
        <f t="shared" si="11"/>
        <v>372092.57999999996</v>
      </c>
      <c r="I72" s="795">
        <v>23507.84</v>
      </c>
      <c r="J72" s="751"/>
      <c r="K72" s="751"/>
      <c r="O72" s="751"/>
    </row>
    <row r="73" spans="2:15" ht="11.25" customHeight="1">
      <c r="B73" s="822" t="s">
        <v>262</v>
      </c>
      <c r="C73" s="823">
        <v>40482</v>
      </c>
      <c r="D73" s="824" t="e">
        <f t="shared" si="12"/>
        <v>#REF!</v>
      </c>
      <c r="E73" s="825" t="e">
        <f t="shared" si="10"/>
        <v>#REF!</v>
      </c>
      <c r="F73" s="744">
        <v>34011.18</v>
      </c>
      <c r="G73" s="824">
        <f t="shared" si="13"/>
        <v>372092.57999999996</v>
      </c>
      <c r="H73" s="825">
        <f t="shared" si="11"/>
        <v>339671.36999999994</v>
      </c>
      <c r="I73" s="744">
        <v>32421.21</v>
      </c>
      <c r="J73" s="751"/>
      <c r="K73" s="751"/>
      <c r="O73" s="751"/>
    </row>
    <row r="74" spans="2:15" ht="11.25" customHeight="1">
      <c r="B74" s="822" t="s">
        <v>263</v>
      </c>
      <c r="C74" s="823">
        <v>40512</v>
      </c>
      <c r="D74" s="824" t="e">
        <f t="shared" si="12"/>
        <v>#REF!</v>
      </c>
      <c r="E74" s="825" t="e">
        <f t="shared" si="10"/>
        <v>#REF!</v>
      </c>
      <c r="F74" s="744">
        <v>37390.33</v>
      </c>
      <c r="G74" s="824">
        <f t="shared" si="13"/>
        <v>339671.36999999994</v>
      </c>
      <c r="H74" s="825">
        <f t="shared" si="11"/>
        <v>304028.98999999993</v>
      </c>
      <c r="I74" s="744">
        <v>35642.379999999997</v>
      </c>
      <c r="O74" s="751"/>
    </row>
    <row r="75" spans="2:15" ht="11.25" customHeight="1">
      <c r="B75" s="822" t="s">
        <v>264</v>
      </c>
      <c r="C75" s="823">
        <v>40543</v>
      </c>
      <c r="D75" s="824" t="e">
        <f t="shared" si="12"/>
        <v>#REF!</v>
      </c>
      <c r="E75" s="825" t="e">
        <f t="shared" si="10"/>
        <v>#REF!</v>
      </c>
      <c r="F75" s="744">
        <v>9751.15</v>
      </c>
      <c r="G75" s="824">
        <f t="shared" si="13"/>
        <v>304028.98999999993</v>
      </c>
      <c r="H75" s="825">
        <f t="shared" si="11"/>
        <v>294733.69999999995</v>
      </c>
      <c r="I75" s="744">
        <v>9295.2900000000009</v>
      </c>
      <c r="O75" s="751"/>
    </row>
    <row r="76" spans="2:15" ht="11.25" customHeight="1">
      <c r="B76" s="822" t="s">
        <v>265</v>
      </c>
      <c r="C76" s="823">
        <v>40574</v>
      </c>
      <c r="D76" s="824" t="e">
        <f t="shared" si="12"/>
        <v>#REF!</v>
      </c>
      <c r="E76" s="825" t="e">
        <f t="shared" si="10"/>
        <v>#REF!</v>
      </c>
      <c r="F76" s="744">
        <v>14305.45</v>
      </c>
      <c r="G76" s="824">
        <f t="shared" si="13"/>
        <v>294733.69999999995</v>
      </c>
      <c r="H76" s="825">
        <f t="shared" si="11"/>
        <v>281096.99999999994</v>
      </c>
      <c r="I76" s="744">
        <v>13636.7</v>
      </c>
      <c r="O76" s="751"/>
    </row>
    <row r="77" spans="2:15" ht="11.25" customHeight="1">
      <c r="B77" s="822" t="s">
        <v>266</v>
      </c>
      <c r="C77" s="823">
        <v>40602</v>
      </c>
      <c r="D77" s="824" t="e">
        <f t="shared" si="12"/>
        <v>#REF!</v>
      </c>
      <c r="E77" s="825" t="e">
        <f t="shared" si="10"/>
        <v>#REF!</v>
      </c>
      <c r="F77" s="744">
        <v>16341.5</v>
      </c>
      <c r="G77" s="824">
        <f t="shared" si="13"/>
        <v>281096.99999999994</v>
      </c>
      <c r="H77" s="825">
        <f t="shared" si="11"/>
        <v>265519.43999999994</v>
      </c>
      <c r="I77" s="744">
        <v>15577.56</v>
      </c>
      <c r="O77" s="751"/>
    </row>
    <row r="78" spans="2:15" ht="11.25" customHeight="1">
      <c r="B78" s="822" t="s">
        <v>267</v>
      </c>
      <c r="C78" s="823">
        <v>40633</v>
      </c>
      <c r="D78" s="824" t="e">
        <f t="shared" si="12"/>
        <v>#REF!</v>
      </c>
      <c r="E78" s="825" t="e">
        <f t="shared" si="10"/>
        <v>#REF!</v>
      </c>
      <c r="F78" s="744">
        <v>11908.23</v>
      </c>
      <c r="G78" s="824">
        <f t="shared" si="13"/>
        <v>265519.43999999994</v>
      </c>
      <c r="H78" s="825">
        <f t="shared" si="11"/>
        <v>254167.89999999994</v>
      </c>
      <c r="I78" s="744">
        <v>11351.54</v>
      </c>
      <c r="O78" s="751"/>
    </row>
    <row r="79" spans="2:15" ht="11.25" customHeight="1">
      <c r="B79" s="822" t="s">
        <v>268</v>
      </c>
      <c r="C79" s="823">
        <v>40663</v>
      </c>
      <c r="D79" s="824" t="e">
        <f t="shared" si="12"/>
        <v>#REF!</v>
      </c>
      <c r="E79" s="825" t="e">
        <f t="shared" si="10"/>
        <v>#REF!</v>
      </c>
      <c r="F79" s="744">
        <v>13263.06</v>
      </c>
      <c r="G79" s="824">
        <f t="shared" si="13"/>
        <v>254167.89999999994</v>
      </c>
      <c r="H79" s="825">
        <f t="shared" si="11"/>
        <v>241524.87999999995</v>
      </c>
      <c r="I79" s="744">
        <v>12643.02</v>
      </c>
      <c r="O79" s="751"/>
    </row>
    <row r="80" spans="2:15" ht="11.25" customHeight="1">
      <c r="B80" s="822" t="s">
        <v>269</v>
      </c>
      <c r="C80" s="823">
        <v>40694</v>
      </c>
      <c r="D80" s="824" t="e">
        <f t="shared" si="12"/>
        <v>#REF!</v>
      </c>
      <c r="E80" s="825" t="e">
        <f t="shared" si="10"/>
        <v>#REF!</v>
      </c>
      <c r="F80" s="744">
        <v>10872.96</v>
      </c>
      <c r="G80" s="824">
        <f t="shared" si="13"/>
        <v>241524.87999999995</v>
      </c>
      <c r="H80" s="825">
        <f t="shared" si="11"/>
        <v>231160.21999999994</v>
      </c>
      <c r="I80" s="744">
        <v>10364.66</v>
      </c>
      <c r="O80" s="751"/>
    </row>
    <row r="81" spans="2:18" ht="11.25" customHeight="1">
      <c r="B81" s="822" t="s">
        <v>270</v>
      </c>
      <c r="C81" s="823">
        <v>40724</v>
      </c>
      <c r="D81" s="824" t="e">
        <f t="shared" si="12"/>
        <v>#REF!</v>
      </c>
      <c r="E81" s="825" t="e">
        <f t="shared" si="10"/>
        <v>#REF!</v>
      </c>
      <c r="F81" s="744">
        <v>163554.68</v>
      </c>
      <c r="G81" s="824">
        <f t="shared" si="13"/>
        <v>231160.21999999994</v>
      </c>
      <c r="H81" s="825">
        <f t="shared" si="11"/>
        <v>75251.479999999952</v>
      </c>
      <c r="I81" s="744">
        <v>155908.74</v>
      </c>
      <c r="O81" s="751"/>
    </row>
    <row r="82" spans="2:18" ht="11.25" customHeight="1">
      <c r="B82" s="822" t="s">
        <v>271</v>
      </c>
      <c r="C82" s="823">
        <v>40755</v>
      </c>
      <c r="D82" s="824" t="e">
        <f t="shared" si="12"/>
        <v>#REF!</v>
      </c>
      <c r="E82" s="825" t="e">
        <f t="shared" si="10"/>
        <v>#REF!</v>
      </c>
      <c r="F82" s="744" t="e">
        <f>+IF(D$13&gt;C82,0,IF(D82&gt;N48,N$37,D82))</f>
        <v>#REF!</v>
      </c>
      <c r="G82" s="824">
        <f t="shared" si="13"/>
        <v>75251.479999999952</v>
      </c>
      <c r="H82" s="825" t="e">
        <f t="shared" si="11"/>
        <v>#REF!</v>
      </c>
      <c r="I82" s="744" t="e">
        <f>+IF(D$13&gt;C82,0,IF(G82&gt;O48,O$37,G82))</f>
        <v>#REF!</v>
      </c>
      <c r="O82" s="751"/>
    </row>
    <row r="83" spans="2:18" ht="11.25" customHeight="1">
      <c r="B83" s="822" t="s">
        <v>272</v>
      </c>
      <c r="C83" s="823">
        <v>40786</v>
      </c>
      <c r="D83" s="824" t="e">
        <f t="shared" si="12"/>
        <v>#REF!</v>
      </c>
      <c r="E83" s="825" t="e">
        <f t="shared" si="10"/>
        <v>#REF!</v>
      </c>
      <c r="F83" s="744"/>
      <c r="G83" s="824" t="e">
        <f t="shared" si="13"/>
        <v>#REF!</v>
      </c>
      <c r="H83" s="825" t="e">
        <f t="shared" si="11"/>
        <v>#REF!</v>
      </c>
      <c r="I83" s="744"/>
      <c r="O83" s="751"/>
    </row>
    <row r="84" spans="2:18" ht="11.25" customHeight="1">
      <c r="B84" s="822" t="s">
        <v>273</v>
      </c>
      <c r="C84" s="823">
        <v>40816</v>
      </c>
      <c r="D84" s="824" t="e">
        <f t="shared" si="12"/>
        <v>#REF!</v>
      </c>
      <c r="E84" s="825" t="e">
        <f t="shared" si="10"/>
        <v>#REF!</v>
      </c>
      <c r="F84" s="744"/>
      <c r="G84" s="824" t="e">
        <f t="shared" si="13"/>
        <v>#REF!</v>
      </c>
      <c r="H84" s="825" t="e">
        <f t="shared" si="11"/>
        <v>#REF!</v>
      </c>
      <c r="I84" s="744"/>
      <c r="O84" s="751"/>
    </row>
    <row r="85" spans="2:18" ht="11.25" customHeight="1">
      <c r="B85" s="822" t="s">
        <v>1014</v>
      </c>
      <c r="C85" s="823">
        <v>40826</v>
      </c>
      <c r="D85" s="824" t="e">
        <f t="shared" si="12"/>
        <v>#REF!</v>
      </c>
      <c r="E85" s="825" t="e">
        <f t="shared" si="10"/>
        <v>#REF!</v>
      </c>
      <c r="F85" s="744"/>
      <c r="G85" s="824" t="e">
        <f t="shared" si="13"/>
        <v>#REF!</v>
      </c>
      <c r="H85" s="825" t="e">
        <f t="shared" si="11"/>
        <v>#REF!</v>
      </c>
      <c r="I85" s="744"/>
      <c r="O85" s="751"/>
    </row>
    <row r="86" spans="2:18" ht="11.25" customHeight="1">
      <c r="B86" s="822"/>
      <c r="C86" s="823"/>
      <c r="D86" s="824"/>
      <c r="E86" s="825"/>
      <c r="F86" s="744"/>
      <c r="G86" s="824"/>
      <c r="H86" s="825"/>
      <c r="I86" s="744"/>
      <c r="O86" s="751"/>
    </row>
    <row r="87" spans="2:18" ht="11.25" customHeight="1">
      <c r="B87" s="826"/>
      <c r="C87" s="827"/>
      <c r="D87" s="828"/>
      <c r="E87" s="829"/>
      <c r="F87" s="830"/>
      <c r="G87" s="828"/>
      <c r="H87" s="829"/>
      <c r="I87" s="830"/>
      <c r="O87" s="751"/>
    </row>
    <row r="88" spans="2:18" ht="11.25" customHeight="1">
      <c r="B88" s="700"/>
      <c r="C88" s="700"/>
      <c r="D88" s="831" t="s">
        <v>274</v>
      </c>
      <c r="E88" s="788"/>
      <c r="F88" s="832" t="e">
        <f>SUM(F68:F87)</f>
        <v>#REF!</v>
      </c>
      <c r="G88" s="786"/>
      <c r="H88" s="832"/>
      <c r="I88" s="833" t="e">
        <f>SUM(I68:I87)</f>
        <v>#REF!</v>
      </c>
      <c r="O88" s="751"/>
    </row>
    <row r="89" spans="2:18" ht="11.25" customHeight="1">
      <c r="B89" s="700"/>
      <c r="C89" s="700"/>
      <c r="D89" s="707"/>
      <c r="F89" s="751"/>
      <c r="H89" s="751"/>
      <c r="I89" s="751"/>
      <c r="O89" s="751"/>
    </row>
    <row r="90" spans="2:18" ht="11.25" customHeight="1">
      <c r="B90" s="700"/>
      <c r="C90" s="700"/>
      <c r="D90" s="707"/>
      <c r="F90" s="751"/>
      <c r="H90" s="751"/>
      <c r="I90" s="751"/>
      <c r="O90" s="751"/>
    </row>
    <row r="91" spans="2:18" ht="11.25" customHeight="1">
      <c r="B91" s="814" t="str">
        <f>+'Asfalto IU 13'!B72</f>
        <v>DEDUCCION POR REAJUSTE QUE NO CORRESPONDE DEL ADELANTO DE MATERIALES Nº 02</v>
      </c>
    </row>
    <row r="92" spans="2:18" ht="11.25" customHeight="1">
      <c r="B92" s="834" t="s">
        <v>276</v>
      </c>
    </row>
    <row r="93" spans="2:18" ht="11.25" customHeight="1">
      <c r="B93" s="835" t="s">
        <v>277</v>
      </c>
      <c r="C93" s="715"/>
      <c r="D93" s="715"/>
      <c r="E93" s="715"/>
      <c r="F93" s="715"/>
      <c r="G93" s="715"/>
      <c r="H93" s="715"/>
      <c r="I93" s="715"/>
      <c r="J93" s="715"/>
      <c r="K93" s="715"/>
      <c r="L93" s="715"/>
      <c r="M93" s="715"/>
    </row>
    <row r="94" spans="2:18" ht="11.25" customHeight="1">
      <c r="B94" s="1708" t="s">
        <v>250</v>
      </c>
      <c r="C94" s="1709"/>
      <c r="D94" s="1708" t="s">
        <v>278</v>
      </c>
      <c r="E94" s="1714" t="s">
        <v>279</v>
      </c>
      <c r="F94" s="1712" t="s">
        <v>135</v>
      </c>
      <c r="G94" s="1713"/>
      <c r="H94" s="1723" t="s">
        <v>280</v>
      </c>
      <c r="I94" s="1724"/>
      <c r="J94" s="1725"/>
      <c r="K94" s="1708" t="s">
        <v>281</v>
      </c>
      <c r="L94" s="1726"/>
      <c r="M94" s="1709"/>
      <c r="N94" s="1714" t="s">
        <v>282</v>
      </c>
      <c r="P94" s="1705" t="s">
        <v>136</v>
      </c>
      <c r="Q94" s="1706"/>
    </row>
    <row r="95" spans="2:18" ht="11.25" customHeight="1">
      <c r="B95" s="1710"/>
      <c r="C95" s="1711"/>
      <c r="D95" s="1710"/>
      <c r="E95" s="1715"/>
      <c r="F95" s="1018" t="s">
        <v>283</v>
      </c>
      <c r="G95" s="1018" t="s">
        <v>385</v>
      </c>
      <c r="H95" s="1010" t="s">
        <v>254</v>
      </c>
      <c r="I95" s="1010" t="s">
        <v>284</v>
      </c>
      <c r="J95" s="1009" t="s">
        <v>451</v>
      </c>
      <c r="K95" s="1018" t="s">
        <v>468</v>
      </c>
      <c r="L95" s="1010" t="s">
        <v>467</v>
      </c>
      <c r="M95" s="1010" t="s">
        <v>285</v>
      </c>
      <c r="N95" s="1722"/>
      <c r="P95" s="911" t="s">
        <v>456</v>
      </c>
      <c r="Q95" s="839" t="s">
        <v>286</v>
      </c>
    </row>
    <row r="96" spans="2:18" ht="11.25" customHeight="1">
      <c r="B96" s="822" t="str">
        <f t="shared" ref="B96:C114" si="14">+B67</f>
        <v>VAL. 01</v>
      </c>
      <c r="C96" s="901">
        <f t="shared" si="14"/>
        <v>40298</v>
      </c>
      <c r="D96" s="824">
        <f>+'Cemento Port I IU 21'!D423</f>
        <v>78066.42</v>
      </c>
      <c r="E96" s="840">
        <f t="shared" ref="E96:E114" si="15">+H67</f>
        <v>395600.42</v>
      </c>
      <c r="F96" s="841">
        <f>+D59</f>
        <v>5.8999999999999997E-2</v>
      </c>
      <c r="G96" s="842">
        <f>+D60</f>
        <v>8.4750000000000006E-2</v>
      </c>
      <c r="H96" s="843" t="e">
        <f>+D55</f>
        <v>#REF!</v>
      </c>
      <c r="I96" s="744" t="e">
        <f>+IF(D$13&gt;C96,0,ROUND(D96*F96*G96,2))</f>
        <v>#REF!</v>
      </c>
      <c r="J96" s="824" t="e">
        <f>+H96-I96</f>
        <v>#REF!</v>
      </c>
      <c r="K96" s="843" t="str">
        <f t="shared" ref="K96:K114" si="16">+D$57</f>
        <v>110.38</v>
      </c>
      <c r="L96" s="744"/>
      <c r="M96" s="744"/>
      <c r="N96" s="1019" t="e">
        <f t="shared" ref="N96:N114" si="17">+ROUND(I96*(M96-L96)/K96,2)</f>
        <v>#REF!</v>
      </c>
      <c r="O96" s="709"/>
      <c r="P96" s="845">
        <v>40238</v>
      </c>
      <c r="Q96" s="845">
        <v>40299</v>
      </c>
      <c r="R96" s="698" t="s">
        <v>996</v>
      </c>
    </row>
    <row r="97" spans="2:18" ht="11.25" customHeight="1">
      <c r="B97" s="822" t="str">
        <f t="shared" si="14"/>
        <v>VAL. 02</v>
      </c>
      <c r="C97" s="901">
        <f t="shared" si="14"/>
        <v>40329</v>
      </c>
      <c r="D97" s="824">
        <f>+'Cemento Port I IU 21'!D424</f>
        <v>1302063.97</v>
      </c>
      <c r="E97" s="843">
        <f t="shared" si="15"/>
        <v>395600.42</v>
      </c>
      <c r="F97" s="841">
        <f t="shared" ref="F97:F114" si="18">+F96</f>
        <v>5.8999999999999997E-2</v>
      </c>
      <c r="G97" s="842">
        <f t="shared" ref="G97:G114" si="19">+G96</f>
        <v>8.4750000000000006E-2</v>
      </c>
      <c r="H97" s="843" t="e">
        <f t="shared" ref="H97:H114" si="20">+J96</f>
        <v>#REF!</v>
      </c>
      <c r="I97" s="744" t="e">
        <f t="shared" ref="I97:I114" si="21">+IF(D$13&gt;C97,0,IF(ROUND(D97*F97*G97,2)&gt;J96,J96,ROUND(D97*F97*G97,2)))</f>
        <v>#REF!</v>
      </c>
      <c r="J97" s="824" t="e">
        <f>+H97-I97</f>
        <v>#REF!</v>
      </c>
      <c r="K97" s="843" t="str">
        <f t="shared" si="16"/>
        <v>110.38</v>
      </c>
      <c r="L97" s="744"/>
      <c r="M97" s="744"/>
      <c r="N97" s="1019" t="e">
        <f t="shared" si="17"/>
        <v>#REF!</v>
      </c>
      <c r="O97" s="709"/>
      <c r="P97" s="845">
        <v>40269</v>
      </c>
      <c r="Q97" s="845">
        <v>40330</v>
      </c>
      <c r="R97" s="698" t="s">
        <v>996</v>
      </c>
    </row>
    <row r="98" spans="2:18" ht="11.25" customHeight="1">
      <c r="B98" s="822" t="str">
        <f t="shared" si="14"/>
        <v>VAL. 03</v>
      </c>
      <c r="C98" s="901">
        <f t="shared" si="14"/>
        <v>40359</v>
      </c>
      <c r="D98" s="824">
        <f>+'Cemento Port I IU 21'!D425</f>
        <v>1388847.16</v>
      </c>
      <c r="E98" s="843">
        <f t="shared" si="15"/>
        <v>395600.42</v>
      </c>
      <c r="F98" s="841">
        <f t="shared" si="18"/>
        <v>5.8999999999999997E-2</v>
      </c>
      <c r="G98" s="842">
        <f t="shared" si="19"/>
        <v>8.4750000000000006E-2</v>
      </c>
      <c r="H98" s="843" t="e">
        <f t="shared" si="20"/>
        <v>#REF!</v>
      </c>
      <c r="I98" s="744" t="e">
        <f t="shared" si="21"/>
        <v>#REF!</v>
      </c>
      <c r="J98" s="824" t="e">
        <f t="shared" ref="J98:J114" si="22">+J97-I98</f>
        <v>#REF!</v>
      </c>
      <c r="K98" s="843" t="str">
        <f t="shared" si="16"/>
        <v>110.38</v>
      </c>
      <c r="L98" s="744"/>
      <c r="M98" s="744"/>
      <c r="N98" s="1019" t="e">
        <f t="shared" si="17"/>
        <v>#REF!</v>
      </c>
      <c r="O98" s="709"/>
      <c r="P98" s="845">
        <v>40299</v>
      </c>
      <c r="Q98" s="845">
        <v>40360</v>
      </c>
      <c r="R98" s="698" t="s">
        <v>996</v>
      </c>
    </row>
    <row r="99" spans="2:18" ht="11.25" customHeight="1">
      <c r="B99" s="822" t="str">
        <f t="shared" si="14"/>
        <v>VAL. 04</v>
      </c>
      <c r="C99" s="901">
        <f t="shared" si="14"/>
        <v>40390</v>
      </c>
      <c r="D99" s="824">
        <f>+'Cemento Port I IU 21'!D426</f>
        <v>0</v>
      </c>
      <c r="E99" s="843">
        <f t="shared" si="15"/>
        <v>395600.42</v>
      </c>
      <c r="F99" s="841">
        <f t="shared" si="18"/>
        <v>5.8999999999999997E-2</v>
      </c>
      <c r="G99" s="842">
        <f t="shared" si="19"/>
        <v>8.4750000000000006E-2</v>
      </c>
      <c r="H99" s="843" t="e">
        <f t="shared" si="20"/>
        <v>#REF!</v>
      </c>
      <c r="I99" s="744" t="e">
        <f t="shared" si="21"/>
        <v>#REF!</v>
      </c>
      <c r="J99" s="824" t="e">
        <f t="shared" si="22"/>
        <v>#REF!</v>
      </c>
      <c r="K99" s="843" t="str">
        <f t="shared" si="16"/>
        <v>110.38</v>
      </c>
      <c r="L99" s="744"/>
      <c r="M99" s="744"/>
      <c r="N99" s="1019" t="e">
        <f t="shared" si="17"/>
        <v>#REF!</v>
      </c>
      <c r="O99" s="709"/>
      <c r="P99" s="845">
        <v>40330</v>
      </c>
      <c r="Q99" s="845">
        <v>40391</v>
      </c>
      <c r="R99" s="698" t="s">
        <v>996</v>
      </c>
    </row>
    <row r="100" spans="2:18" ht="11.25" customHeight="1">
      <c r="B100" s="822" t="str">
        <f t="shared" si="14"/>
        <v>VAL. 05</v>
      </c>
      <c r="C100" s="901">
        <f t="shared" si="14"/>
        <v>40421</v>
      </c>
      <c r="D100" s="824">
        <f>+'Cemento Port I IU 21'!D427</f>
        <v>0</v>
      </c>
      <c r="E100" s="843">
        <f t="shared" si="15"/>
        <v>395600.42</v>
      </c>
      <c r="F100" s="841">
        <f t="shared" si="18"/>
        <v>5.8999999999999997E-2</v>
      </c>
      <c r="G100" s="842">
        <f t="shared" si="19"/>
        <v>8.4750000000000006E-2</v>
      </c>
      <c r="H100" s="843" t="e">
        <f t="shared" si="20"/>
        <v>#REF!</v>
      </c>
      <c r="I100" s="744" t="e">
        <f t="shared" si="21"/>
        <v>#REF!</v>
      </c>
      <c r="J100" s="824" t="e">
        <f t="shared" si="22"/>
        <v>#REF!</v>
      </c>
      <c r="K100" s="843" t="str">
        <f t="shared" si="16"/>
        <v>110.38</v>
      </c>
      <c r="L100" s="744"/>
      <c r="M100" s="744"/>
      <c r="N100" s="1019" t="e">
        <f t="shared" si="17"/>
        <v>#REF!</v>
      </c>
      <c r="O100" s="709"/>
      <c r="P100" s="845">
        <v>40360</v>
      </c>
      <c r="Q100" s="845">
        <v>40422</v>
      </c>
    </row>
    <row r="101" spans="2:18" ht="11.25" customHeight="1">
      <c r="B101" s="822" t="str">
        <f t="shared" si="14"/>
        <v>VAL. 06</v>
      </c>
      <c r="C101" s="901">
        <f t="shared" si="14"/>
        <v>40451</v>
      </c>
      <c r="D101" s="824">
        <f>+'Cemento Port I IU 21'!D428</f>
        <v>0</v>
      </c>
      <c r="E101" s="843">
        <f t="shared" si="15"/>
        <v>372092.57999999996</v>
      </c>
      <c r="F101" s="841">
        <f t="shared" si="18"/>
        <v>5.8999999999999997E-2</v>
      </c>
      <c r="G101" s="842">
        <f t="shared" si="19"/>
        <v>8.4750000000000006E-2</v>
      </c>
      <c r="H101" s="843" t="e">
        <f t="shared" si="20"/>
        <v>#REF!</v>
      </c>
      <c r="I101" s="744" t="e">
        <f t="shared" si="21"/>
        <v>#REF!</v>
      </c>
      <c r="J101" s="824" t="e">
        <f t="shared" si="22"/>
        <v>#REF!</v>
      </c>
      <c r="K101" s="843" t="str">
        <f t="shared" si="16"/>
        <v>110.38</v>
      </c>
      <c r="L101" s="744" t="e">
        <f>+D$58</f>
        <v>#REF!</v>
      </c>
      <c r="M101" s="744" t="e">
        <f>+K!#REF!</f>
        <v>#REF!</v>
      </c>
      <c r="N101" s="1019" t="e">
        <f t="shared" si="17"/>
        <v>#REF!</v>
      </c>
      <c r="O101" s="709"/>
      <c r="P101" s="845">
        <v>40391</v>
      </c>
      <c r="Q101" s="845">
        <v>40452</v>
      </c>
    </row>
    <row r="102" spans="2:18" ht="11.25" customHeight="1">
      <c r="B102" s="822" t="str">
        <f t="shared" si="14"/>
        <v>VAL. 07</v>
      </c>
      <c r="C102" s="901">
        <f t="shared" si="14"/>
        <v>40482</v>
      </c>
      <c r="D102" s="824" t="e">
        <f>+'Cemento Port I IU 21'!D429</f>
        <v>#REF!</v>
      </c>
      <c r="E102" s="843">
        <f t="shared" si="15"/>
        <v>339671.36999999994</v>
      </c>
      <c r="F102" s="841">
        <f t="shared" si="18"/>
        <v>5.8999999999999997E-2</v>
      </c>
      <c r="G102" s="842">
        <f t="shared" si="19"/>
        <v>8.4750000000000006E-2</v>
      </c>
      <c r="H102" s="843" t="e">
        <f t="shared" si="20"/>
        <v>#REF!</v>
      </c>
      <c r="I102" s="744" t="e">
        <f t="shared" si="21"/>
        <v>#REF!</v>
      </c>
      <c r="J102" s="824" t="e">
        <f t="shared" si="22"/>
        <v>#REF!</v>
      </c>
      <c r="K102" s="843" t="str">
        <f t="shared" si="16"/>
        <v>110.38</v>
      </c>
      <c r="L102" s="744" t="e">
        <f t="shared" ref="L102:L114" si="23">+D$58</f>
        <v>#REF!</v>
      </c>
      <c r="M102" s="744" t="e">
        <f>+K!#REF!</f>
        <v>#REF!</v>
      </c>
      <c r="N102" s="1019" t="e">
        <f t="shared" si="17"/>
        <v>#REF!</v>
      </c>
      <c r="O102" s="709"/>
      <c r="P102" s="845">
        <v>40422</v>
      </c>
      <c r="Q102" s="845">
        <v>40483</v>
      </c>
    </row>
    <row r="103" spans="2:18" ht="11.25" customHeight="1">
      <c r="B103" s="822" t="str">
        <f t="shared" si="14"/>
        <v>VAL. 08</v>
      </c>
      <c r="C103" s="901">
        <f t="shared" si="14"/>
        <v>40512</v>
      </c>
      <c r="D103" s="824" t="e">
        <f>+'Cemento Port I IU 21'!D430</f>
        <v>#REF!</v>
      </c>
      <c r="E103" s="849">
        <f t="shared" si="15"/>
        <v>304028.98999999993</v>
      </c>
      <c r="F103" s="841">
        <f t="shared" si="18"/>
        <v>5.8999999999999997E-2</v>
      </c>
      <c r="G103" s="842">
        <f t="shared" si="19"/>
        <v>8.4750000000000006E-2</v>
      </c>
      <c r="H103" s="849" t="e">
        <f t="shared" si="20"/>
        <v>#REF!</v>
      </c>
      <c r="I103" s="744" t="e">
        <f t="shared" si="21"/>
        <v>#REF!</v>
      </c>
      <c r="J103" s="847" t="e">
        <f t="shared" si="22"/>
        <v>#REF!</v>
      </c>
      <c r="K103" s="849" t="str">
        <f t="shared" si="16"/>
        <v>110.38</v>
      </c>
      <c r="L103" s="852" t="e">
        <f t="shared" si="23"/>
        <v>#REF!</v>
      </c>
      <c r="M103" s="744" t="e">
        <f>+K!#REF!</f>
        <v>#REF!</v>
      </c>
      <c r="N103" s="1019" t="e">
        <f t="shared" si="17"/>
        <v>#REF!</v>
      </c>
      <c r="P103" s="845">
        <v>40452</v>
      </c>
      <c r="Q103" s="845">
        <v>40513</v>
      </c>
    </row>
    <row r="104" spans="2:18" ht="11.25" customHeight="1">
      <c r="B104" s="822" t="str">
        <f t="shared" si="14"/>
        <v>VAL. 09</v>
      </c>
      <c r="C104" s="901">
        <f t="shared" si="14"/>
        <v>40543</v>
      </c>
      <c r="D104" s="824" t="e">
        <f>+'Cemento Port I IU 21'!D431</f>
        <v>#REF!</v>
      </c>
      <c r="E104" s="849">
        <f t="shared" si="15"/>
        <v>294733.69999999995</v>
      </c>
      <c r="F104" s="841">
        <f t="shared" si="18"/>
        <v>5.8999999999999997E-2</v>
      </c>
      <c r="G104" s="842">
        <f t="shared" si="19"/>
        <v>8.4750000000000006E-2</v>
      </c>
      <c r="H104" s="849" t="e">
        <f t="shared" si="20"/>
        <v>#REF!</v>
      </c>
      <c r="I104" s="744" t="e">
        <f t="shared" si="21"/>
        <v>#REF!</v>
      </c>
      <c r="J104" s="847" t="e">
        <f t="shared" si="22"/>
        <v>#REF!</v>
      </c>
      <c r="K104" s="849" t="str">
        <f t="shared" si="16"/>
        <v>110.38</v>
      </c>
      <c r="L104" s="852" t="e">
        <f t="shared" si="23"/>
        <v>#REF!</v>
      </c>
      <c r="M104" s="744" t="e">
        <f>+K!#REF!</f>
        <v>#REF!</v>
      </c>
      <c r="N104" s="1019" t="e">
        <f t="shared" si="17"/>
        <v>#REF!</v>
      </c>
      <c r="P104" s="845">
        <v>40483</v>
      </c>
      <c r="Q104" s="845">
        <v>40544</v>
      </c>
    </row>
    <row r="105" spans="2:18" ht="11.25" customHeight="1">
      <c r="B105" s="822" t="str">
        <f t="shared" si="14"/>
        <v>VAL. 10</v>
      </c>
      <c r="C105" s="901">
        <f t="shared" si="14"/>
        <v>40574</v>
      </c>
      <c r="D105" s="824" t="e">
        <f>+'Cemento Port I IU 21'!D432</f>
        <v>#REF!</v>
      </c>
      <c r="E105" s="849">
        <f t="shared" si="15"/>
        <v>281096.99999999994</v>
      </c>
      <c r="F105" s="841">
        <f t="shared" si="18"/>
        <v>5.8999999999999997E-2</v>
      </c>
      <c r="G105" s="842">
        <f t="shared" si="19"/>
        <v>8.4750000000000006E-2</v>
      </c>
      <c r="H105" s="849" t="e">
        <f t="shared" si="20"/>
        <v>#REF!</v>
      </c>
      <c r="I105" s="744" t="e">
        <f t="shared" si="21"/>
        <v>#REF!</v>
      </c>
      <c r="J105" s="847" t="e">
        <f t="shared" si="22"/>
        <v>#REF!</v>
      </c>
      <c r="K105" s="849" t="str">
        <f t="shared" si="16"/>
        <v>110.38</v>
      </c>
      <c r="L105" s="852" t="e">
        <f t="shared" si="23"/>
        <v>#REF!</v>
      </c>
      <c r="M105" s="744" t="e">
        <f>+K!#REF!</f>
        <v>#REF!</v>
      </c>
      <c r="N105" s="1019" t="e">
        <f t="shared" si="17"/>
        <v>#REF!</v>
      </c>
      <c r="P105" s="845">
        <v>40513</v>
      </c>
      <c r="Q105" s="845">
        <v>40575</v>
      </c>
    </row>
    <row r="106" spans="2:18" ht="11.25" customHeight="1">
      <c r="B106" s="822" t="str">
        <f t="shared" si="14"/>
        <v>VAL. 11</v>
      </c>
      <c r="C106" s="901">
        <f t="shared" si="14"/>
        <v>40602</v>
      </c>
      <c r="D106" s="824" t="e">
        <f>+'Cemento Port I IU 21'!D433</f>
        <v>#REF!</v>
      </c>
      <c r="E106" s="849">
        <f t="shared" si="15"/>
        <v>265519.43999999994</v>
      </c>
      <c r="F106" s="841">
        <f t="shared" si="18"/>
        <v>5.8999999999999997E-2</v>
      </c>
      <c r="G106" s="842">
        <f t="shared" si="19"/>
        <v>8.4750000000000006E-2</v>
      </c>
      <c r="H106" s="849" t="e">
        <f t="shared" si="20"/>
        <v>#REF!</v>
      </c>
      <c r="I106" s="744" t="e">
        <f t="shared" si="21"/>
        <v>#REF!</v>
      </c>
      <c r="J106" s="847" t="e">
        <f t="shared" si="22"/>
        <v>#REF!</v>
      </c>
      <c r="K106" s="849" t="str">
        <f t="shared" si="16"/>
        <v>110.38</v>
      </c>
      <c r="L106" s="852" t="e">
        <f t="shared" si="23"/>
        <v>#REF!</v>
      </c>
      <c r="M106" s="744" t="e">
        <f>+K!#REF!</f>
        <v>#REF!</v>
      </c>
      <c r="N106" s="1019" t="e">
        <f t="shared" si="17"/>
        <v>#REF!</v>
      </c>
      <c r="P106" s="845">
        <v>40544</v>
      </c>
      <c r="Q106" s="845">
        <v>40603</v>
      </c>
    </row>
    <row r="107" spans="2:18" ht="11.25" customHeight="1">
      <c r="B107" s="822" t="str">
        <f t="shared" si="14"/>
        <v>VAL. 12</v>
      </c>
      <c r="C107" s="901">
        <f t="shared" si="14"/>
        <v>40633</v>
      </c>
      <c r="D107" s="824" t="e">
        <f>+'Cemento Port I IU 21'!D434</f>
        <v>#REF!</v>
      </c>
      <c r="E107" s="843">
        <f t="shared" si="15"/>
        <v>254167.89999999994</v>
      </c>
      <c r="F107" s="841">
        <f t="shared" si="18"/>
        <v>5.8999999999999997E-2</v>
      </c>
      <c r="G107" s="842">
        <f t="shared" si="19"/>
        <v>8.4750000000000006E-2</v>
      </c>
      <c r="H107" s="843" t="e">
        <f t="shared" si="20"/>
        <v>#REF!</v>
      </c>
      <c r="I107" s="744" t="e">
        <f t="shared" si="21"/>
        <v>#REF!</v>
      </c>
      <c r="J107" s="824" t="e">
        <f t="shared" si="22"/>
        <v>#REF!</v>
      </c>
      <c r="K107" s="843" t="str">
        <f t="shared" si="16"/>
        <v>110.38</v>
      </c>
      <c r="L107" s="744" t="e">
        <f t="shared" si="23"/>
        <v>#REF!</v>
      </c>
      <c r="M107" s="744" t="e">
        <f>+K!#REF!</f>
        <v>#REF!</v>
      </c>
      <c r="N107" s="1019" t="e">
        <f t="shared" si="17"/>
        <v>#REF!</v>
      </c>
      <c r="P107" s="845">
        <v>40575</v>
      </c>
      <c r="Q107" s="845">
        <v>40634</v>
      </c>
    </row>
    <row r="108" spans="2:18" ht="11.25" customHeight="1">
      <c r="B108" s="822" t="str">
        <f t="shared" si="14"/>
        <v>VAL. 13</v>
      </c>
      <c r="C108" s="901">
        <f t="shared" si="14"/>
        <v>40663</v>
      </c>
      <c r="D108" s="824" t="e">
        <f>+'Cemento Port I IU 21'!D435</f>
        <v>#REF!</v>
      </c>
      <c r="E108" s="843">
        <f t="shared" si="15"/>
        <v>241524.87999999995</v>
      </c>
      <c r="F108" s="841">
        <f t="shared" si="18"/>
        <v>5.8999999999999997E-2</v>
      </c>
      <c r="G108" s="842">
        <f t="shared" si="19"/>
        <v>8.4750000000000006E-2</v>
      </c>
      <c r="H108" s="843" t="e">
        <f t="shared" si="20"/>
        <v>#REF!</v>
      </c>
      <c r="I108" s="744" t="e">
        <f t="shared" si="21"/>
        <v>#REF!</v>
      </c>
      <c r="J108" s="824" t="e">
        <f t="shared" si="22"/>
        <v>#REF!</v>
      </c>
      <c r="K108" s="843" t="str">
        <f t="shared" si="16"/>
        <v>110.38</v>
      </c>
      <c r="L108" s="744" t="e">
        <f t="shared" si="23"/>
        <v>#REF!</v>
      </c>
      <c r="M108" s="744" t="e">
        <f>+K!#REF!</f>
        <v>#REF!</v>
      </c>
      <c r="N108" s="1019" t="e">
        <f t="shared" si="17"/>
        <v>#REF!</v>
      </c>
      <c r="P108" s="845">
        <v>40603</v>
      </c>
      <c r="Q108" s="845">
        <v>40664</v>
      </c>
    </row>
    <row r="109" spans="2:18" ht="11.25" customHeight="1">
      <c r="B109" s="822" t="str">
        <f t="shared" si="14"/>
        <v>VAL. 14</v>
      </c>
      <c r="C109" s="901">
        <f t="shared" si="14"/>
        <v>40694</v>
      </c>
      <c r="D109" s="824" t="e">
        <f>+'Cemento Port I IU 21'!D436</f>
        <v>#REF!</v>
      </c>
      <c r="E109" s="843">
        <f t="shared" si="15"/>
        <v>231160.21999999994</v>
      </c>
      <c r="F109" s="841">
        <f t="shared" si="18"/>
        <v>5.8999999999999997E-2</v>
      </c>
      <c r="G109" s="842">
        <f t="shared" si="19"/>
        <v>8.4750000000000006E-2</v>
      </c>
      <c r="H109" s="843" t="e">
        <f t="shared" si="20"/>
        <v>#REF!</v>
      </c>
      <c r="I109" s="744" t="e">
        <f t="shared" si="21"/>
        <v>#REF!</v>
      </c>
      <c r="J109" s="824" t="e">
        <f t="shared" si="22"/>
        <v>#REF!</v>
      </c>
      <c r="K109" s="843" t="str">
        <f t="shared" si="16"/>
        <v>110.38</v>
      </c>
      <c r="L109" s="744" t="e">
        <f t="shared" si="23"/>
        <v>#REF!</v>
      </c>
      <c r="M109" s="744" t="e">
        <f>+K!#REF!</f>
        <v>#REF!</v>
      </c>
      <c r="N109" s="1019" t="e">
        <f t="shared" si="17"/>
        <v>#REF!</v>
      </c>
      <c r="P109" s="845">
        <v>40634</v>
      </c>
      <c r="Q109" s="845">
        <v>40695</v>
      </c>
    </row>
    <row r="110" spans="2:18" ht="11.25" customHeight="1">
      <c r="B110" s="822" t="str">
        <f t="shared" si="14"/>
        <v>VAL. 15</v>
      </c>
      <c r="C110" s="901">
        <f t="shared" si="14"/>
        <v>40724</v>
      </c>
      <c r="D110" s="824" t="e">
        <f>+'Cemento Port I IU 21'!D437</f>
        <v>#REF!</v>
      </c>
      <c r="E110" s="843">
        <f t="shared" si="15"/>
        <v>75251.479999999952</v>
      </c>
      <c r="F110" s="841">
        <f t="shared" si="18"/>
        <v>5.8999999999999997E-2</v>
      </c>
      <c r="G110" s="842">
        <f t="shared" si="19"/>
        <v>8.4750000000000006E-2</v>
      </c>
      <c r="H110" s="843" t="e">
        <f t="shared" si="20"/>
        <v>#REF!</v>
      </c>
      <c r="I110" s="744" t="e">
        <f t="shared" si="21"/>
        <v>#REF!</v>
      </c>
      <c r="J110" s="824" t="e">
        <f t="shared" si="22"/>
        <v>#REF!</v>
      </c>
      <c r="K110" s="843" t="str">
        <f t="shared" si="16"/>
        <v>110.38</v>
      </c>
      <c r="L110" s="744" t="e">
        <f t="shared" si="23"/>
        <v>#REF!</v>
      </c>
      <c r="M110" s="744" t="e">
        <f>+K!#REF!</f>
        <v>#REF!</v>
      </c>
      <c r="N110" s="1019" t="e">
        <f t="shared" si="17"/>
        <v>#REF!</v>
      </c>
      <c r="P110" s="845">
        <v>40664</v>
      </c>
      <c r="Q110" s="845">
        <v>40725</v>
      </c>
    </row>
    <row r="111" spans="2:18" ht="11.25" customHeight="1">
      <c r="B111" s="822" t="str">
        <f t="shared" si="14"/>
        <v>VAL. 16</v>
      </c>
      <c r="C111" s="901">
        <f t="shared" si="14"/>
        <v>40755</v>
      </c>
      <c r="D111" s="824" t="e">
        <f>+'Cemento Port I IU 21'!D438</f>
        <v>#REF!</v>
      </c>
      <c r="E111" s="843" t="e">
        <f t="shared" si="15"/>
        <v>#REF!</v>
      </c>
      <c r="F111" s="841">
        <f t="shared" si="18"/>
        <v>5.8999999999999997E-2</v>
      </c>
      <c r="G111" s="842">
        <f t="shared" si="19"/>
        <v>8.4750000000000006E-2</v>
      </c>
      <c r="H111" s="843" t="e">
        <f t="shared" si="20"/>
        <v>#REF!</v>
      </c>
      <c r="I111" s="744" t="e">
        <f t="shared" si="21"/>
        <v>#REF!</v>
      </c>
      <c r="J111" s="824" t="e">
        <f t="shared" si="22"/>
        <v>#REF!</v>
      </c>
      <c r="K111" s="843" t="str">
        <f t="shared" si="16"/>
        <v>110.38</v>
      </c>
      <c r="L111" s="744" t="e">
        <f t="shared" si="23"/>
        <v>#REF!</v>
      </c>
      <c r="M111" s="972" t="e">
        <f>+K!#REF!</f>
        <v>#REF!</v>
      </c>
      <c r="N111" s="1019" t="e">
        <f t="shared" si="17"/>
        <v>#REF!</v>
      </c>
      <c r="P111" s="845">
        <v>40695</v>
      </c>
      <c r="Q111" s="845">
        <v>40756</v>
      </c>
    </row>
    <row r="112" spans="2:18" ht="11.25" customHeight="1">
      <c r="B112" s="822" t="str">
        <f t="shared" si="14"/>
        <v>VAL. 17</v>
      </c>
      <c r="C112" s="901">
        <f t="shared" si="14"/>
        <v>40786</v>
      </c>
      <c r="D112" s="824" t="e">
        <f>+'Cemento Port I IU 21'!D439</f>
        <v>#REF!</v>
      </c>
      <c r="E112" s="843" t="e">
        <f t="shared" si="15"/>
        <v>#REF!</v>
      </c>
      <c r="F112" s="841">
        <f t="shared" si="18"/>
        <v>5.8999999999999997E-2</v>
      </c>
      <c r="G112" s="842">
        <f t="shared" si="19"/>
        <v>8.4750000000000006E-2</v>
      </c>
      <c r="H112" s="843" t="e">
        <f t="shared" si="20"/>
        <v>#REF!</v>
      </c>
      <c r="I112" s="744" t="e">
        <f t="shared" si="21"/>
        <v>#REF!</v>
      </c>
      <c r="J112" s="824" t="e">
        <f t="shared" si="22"/>
        <v>#REF!</v>
      </c>
      <c r="K112" s="843" t="str">
        <f t="shared" si="16"/>
        <v>110.38</v>
      </c>
      <c r="L112" s="744" t="e">
        <f t="shared" si="23"/>
        <v>#REF!</v>
      </c>
      <c r="M112" s="843">
        <v>0</v>
      </c>
      <c r="N112" s="1019" t="e">
        <f t="shared" si="17"/>
        <v>#REF!</v>
      </c>
      <c r="P112" s="845">
        <v>40725</v>
      </c>
      <c r="Q112" s="845">
        <v>40787</v>
      </c>
    </row>
    <row r="113" spans="2:17" ht="11.25" customHeight="1">
      <c r="B113" s="822" t="str">
        <f t="shared" si="14"/>
        <v>VAL. 18</v>
      </c>
      <c r="C113" s="901">
        <f t="shared" si="14"/>
        <v>40816</v>
      </c>
      <c r="D113" s="824" t="e">
        <f>+'Cemento Port I IU 21'!D440</f>
        <v>#REF!</v>
      </c>
      <c r="E113" s="843" t="e">
        <f t="shared" si="15"/>
        <v>#REF!</v>
      </c>
      <c r="F113" s="841">
        <f t="shared" si="18"/>
        <v>5.8999999999999997E-2</v>
      </c>
      <c r="G113" s="842">
        <f t="shared" si="19"/>
        <v>8.4750000000000006E-2</v>
      </c>
      <c r="H113" s="843" t="e">
        <f t="shared" si="20"/>
        <v>#REF!</v>
      </c>
      <c r="I113" s="744" t="e">
        <f t="shared" si="21"/>
        <v>#REF!</v>
      </c>
      <c r="J113" s="824" t="e">
        <f t="shared" si="22"/>
        <v>#REF!</v>
      </c>
      <c r="K113" s="843" t="str">
        <f t="shared" si="16"/>
        <v>110.38</v>
      </c>
      <c r="L113" s="744" t="e">
        <f t="shared" si="23"/>
        <v>#REF!</v>
      </c>
      <c r="M113" s="843">
        <v>0</v>
      </c>
      <c r="N113" s="1019" t="e">
        <f t="shared" si="17"/>
        <v>#REF!</v>
      </c>
      <c r="P113" s="845">
        <v>40756</v>
      </c>
      <c r="Q113" s="845">
        <v>40817</v>
      </c>
    </row>
    <row r="114" spans="2:17" ht="11.25" customHeight="1">
      <c r="B114" s="822" t="str">
        <f t="shared" si="14"/>
        <v>VAL. 19</v>
      </c>
      <c r="C114" s="901">
        <f t="shared" si="14"/>
        <v>40826</v>
      </c>
      <c r="D114" s="824">
        <f>+'Cemento Port I IU 21'!D441</f>
        <v>0</v>
      </c>
      <c r="E114" s="843" t="e">
        <f t="shared" si="15"/>
        <v>#REF!</v>
      </c>
      <c r="F114" s="841">
        <f t="shared" si="18"/>
        <v>5.8999999999999997E-2</v>
      </c>
      <c r="G114" s="842">
        <f t="shared" si="19"/>
        <v>8.4750000000000006E-2</v>
      </c>
      <c r="H114" s="843" t="e">
        <f t="shared" si="20"/>
        <v>#REF!</v>
      </c>
      <c r="I114" s="744" t="e">
        <f t="shared" si="21"/>
        <v>#REF!</v>
      </c>
      <c r="J114" s="824" t="e">
        <f t="shared" si="22"/>
        <v>#REF!</v>
      </c>
      <c r="K114" s="843" t="str">
        <f t="shared" si="16"/>
        <v>110.38</v>
      </c>
      <c r="L114" s="744" t="e">
        <f t="shared" si="23"/>
        <v>#REF!</v>
      </c>
      <c r="M114" s="843">
        <v>0</v>
      </c>
      <c r="N114" s="1019" t="e">
        <f t="shared" si="17"/>
        <v>#REF!</v>
      </c>
      <c r="P114" s="845">
        <v>40756</v>
      </c>
      <c r="Q114" s="845">
        <v>40817</v>
      </c>
    </row>
    <row r="115" spans="2:17" ht="11.25" customHeight="1">
      <c r="B115" s="858"/>
      <c r="C115" s="912"/>
      <c r="D115" s="860"/>
      <c r="E115" s="860"/>
      <c r="F115" s="861"/>
      <c r="G115" s="862"/>
      <c r="H115" s="860"/>
      <c r="I115" s="860"/>
      <c r="J115" s="828"/>
      <c r="K115" s="860"/>
      <c r="L115" s="830"/>
      <c r="M115" s="860"/>
      <c r="N115" s="863"/>
      <c r="P115" s="864"/>
      <c r="Q115" s="865"/>
    </row>
    <row r="116" spans="2:17" ht="11.25" customHeight="1">
      <c r="B116" s="774"/>
      <c r="C116" s="715"/>
      <c r="D116" s="866"/>
      <c r="E116" s="867"/>
      <c r="F116" s="868"/>
      <c r="G116" s="869"/>
      <c r="H116" s="869"/>
      <c r="I116" s="870" t="e">
        <f>SUM(I96:I115)</f>
        <v>#REF!</v>
      </c>
      <c r="J116" s="871"/>
      <c r="K116" s="869"/>
      <c r="L116" s="727"/>
      <c r="M116" s="727"/>
      <c r="N116" s="1020"/>
    </row>
    <row r="117" spans="2:17" ht="11.25" customHeight="1">
      <c r="L117" s="873" t="s">
        <v>274</v>
      </c>
      <c r="M117" s="874"/>
      <c r="N117" s="1021" t="e">
        <f>SUM(N96:N115)</f>
        <v>#REF!</v>
      </c>
      <c r="O117" s="709"/>
    </row>
    <row r="118" spans="2:17" ht="11.25" customHeight="1">
      <c r="L118" s="876" t="s">
        <v>287</v>
      </c>
      <c r="M118" s="877"/>
      <c r="N118" s="1019">
        <v>2225.64</v>
      </c>
    </row>
    <row r="119" spans="2:17" ht="11.25" customHeight="1">
      <c r="L119" s="879" t="s">
        <v>288</v>
      </c>
      <c r="M119" s="880"/>
      <c r="N119" s="1022" t="e">
        <f>N117-N118</f>
        <v>#REF!</v>
      </c>
      <c r="O119" s="709"/>
    </row>
  </sheetData>
  <mergeCells count="31">
    <mergeCell ref="D64:I64"/>
    <mergeCell ref="K94:M94"/>
    <mergeCell ref="P94:Q94"/>
    <mergeCell ref="L21:M21"/>
    <mergeCell ref="D65:F65"/>
    <mergeCell ref="D94:D95"/>
    <mergeCell ref="E94:E95"/>
    <mergeCell ref="G65:I65"/>
    <mergeCell ref="F53:G53"/>
    <mergeCell ref="F55:G55"/>
    <mergeCell ref="U21:W21"/>
    <mergeCell ref="Q21:S21"/>
    <mergeCell ref="N21:O21"/>
    <mergeCell ref="B50:O50"/>
    <mergeCell ref="N94:N95"/>
    <mergeCell ref="C21:C22"/>
    <mergeCell ref="I21:J21"/>
    <mergeCell ref="G21:H21"/>
    <mergeCell ref="Q45:S45"/>
    <mergeCell ref="F94:G94"/>
    <mergeCell ref="F54:G54"/>
    <mergeCell ref="B94:C95"/>
    <mergeCell ref="B64:C66"/>
    <mergeCell ref="K21:K22"/>
    <mergeCell ref="H94:J94"/>
    <mergeCell ref="E21:F21"/>
    <mergeCell ref="B9:O9"/>
    <mergeCell ref="B10:O10"/>
    <mergeCell ref="B11:O11"/>
    <mergeCell ref="D21:D22"/>
    <mergeCell ref="B21:B22"/>
  </mergeCells>
  <phoneticPr fontId="0" type="noConversion"/>
  <printOptions horizontalCentered="1"/>
  <pageMargins left="0.19685039370078741" right="0.19685039370078741" top="0.59055118110236227" bottom="0.74" header="0" footer="0"/>
  <pageSetup paperSize="9" scale="64" fitToHeight="2" orientation="landscape" verticalDpi="300" r:id="rId1"/>
  <headerFooter alignWithMargins="0"/>
  <rowBreaks count="2" manualBreakCount="2">
    <brk id="49" max="14" man="1"/>
    <brk id="89" max="14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7">
    <tabColor indexed="10"/>
  </sheetPr>
  <dimension ref="B1:AB116"/>
  <sheetViews>
    <sheetView showGridLines="0" view="pageBreakPreview" topLeftCell="A87" zoomScaleNormal="100" workbookViewId="0">
      <selection activeCell="A303" sqref="A303"/>
    </sheetView>
  </sheetViews>
  <sheetFormatPr baseColWidth="10" defaultColWidth="11.42578125" defaultRowHeight="11.25" customHeight="1"/>
  <cols>
    <col min="1" max="1" width="1.85546875" style="698" bestFit="1" customWidth="1"/>
    <col min="2" max="2" width="13.5703125" style="698" customWidth="1"/>
    <col min="3" max="3" width="50.85546875" style="698" customWidth="1"/>
    <col min="4" max="4" width="12.7109375" style="698" customWidth="1"/>
    <col min="5" max="5" width="11.7109375" style="698" customWidth="1"/>
    <col min="6" max="6" width="11" style="698" customWidth="1"/>
    <col min="7" max="10" width="10.7109375" style="698" customWidth="1"/>
    <col min="11" max="11" width="8.7109375" style="698" customWidth="1"/>
    <col min="12" max="12" width="11" style="698" customWidth="1"/>
    <col min="13" max="13" width="10.140625" style="698" customWidth="1"/>
    <col min="14" max="14" width="12.5703125" style="698" bestFit="1" customWidth="1"/>
    <col min="15" max="15" width="11.7109375" style="698" customWidth="1"/>
    <col min="16" max="16" width="9.7109375" style="698" customWidth="1"/>
    <col min="17" max="17" width="9" style="698" bestFit="1" customWidth="1"/>
    <col min="18" max="18" width="11" style="698" bestFit="1" customWidth="1"/>
    <col min="19" max="19" width="8.7109375" style="698" bestFit="1" customWidth="1"/>
    <col min="20" max="16384" width="11.42578125" style="698"/>
  </cols>
  <sheetData>
    <row r="1" spans="2:18" ht="11.25" customHeight="1">
      <c r="B1" s="698" t="s">
        <v>1816</v>
      </c>
      <c r="C1" s="698" t="s">
        <v>1817</v>
      </c>
      <c r="D1" s="699"/>
      <c r="E1" s="699"/>
      <c r="I1" s="700"/>
      <c r="J1" s="700"/>
      <c r="K1" s="700"/>
      <c r="L1" s="700"/>
    </row>
    <row r="2" spans="2:18" s="699" customFormat="1" ht="11.25" customHeight="1">
      <c r="B2" s="698" t="s">
        <v>1818</v>
      </c>
      <c r="C2" s="698" t="s">
        <v>1819</v>
      </c>
      <c r="I2" s="700"/>
      <c r="J2" s="700"/>
      <c r="K2" s="700"/>
      <c r="L2" s="700"/>
    </row>
    <row r="3" spans="2:18" s="699" customFormat="1" ht="11.25" customHeight="1">
      <c r="B3" s="698" t="s">
        <v>1820</v>
      </c>
      <c r="C3" s="698" t="s">
        <v>1821</v>
      </c>
      <c r="I3" s="700"/>
      <c r="J3" s="700"/>
      <c r="K3" s="700"/>
      <c r="L3" s="700"/>
    </row>
    <row r="4" spans="2:18" s="699" customFormat="1" ht="11.25" customHeight="1">
      <c r="B4" s="698"/>
      <c r="C4" s="698" t="s">
        <v>1822</v>
      </c>
      <c r="I4" s="700"/>
      <c r="J4" s="700"/>
      <c r="K4" s="700"/>
      <c r="L4" s="700"/>
    </row>
    <row r="5" spans="2:18" s="699" customFormat="1" ht="11.25" customHeight="1">
      <c r="B5" s="698" t="s">
        <v>1823</v>
      </c>
      <c r="C5" s="698" t="s">
        <v>1824</v>
      </c>
      <c r="I5" s="700"/>
      <c r="J5" s="700"/>
      <c r="K5" s="700"/>
      <c r="L5" s="700"/>
    </row>
    <row r="6" spans="2:18" s="699" customFormat="1" ht="11.25" customHeight="1">
      <c r="B6" s="698" t="s">
        <v>1825</v>
      </c>
      <c r="C6" s="701">
        <v>40451</v>
      </c>
      <c r="I6" s="700"/>
      <c r="J6" s="700"/>
      <c r="K6" s="700"/>
      <c r="L6" s="700"/>
    </row>
    <row r="9" spans="2:18" ht="18">
      <c r="B9" s="1687" t="str">
        <f>+'Asfalto IU 13'!B9:O9</f>
        <v>A M O R T I Z A C I O N     D E L     A D E L A N T O     P A R A     M A T E R I A L E S     Nº  02</v>
      </c>
      <c r="C9" s="1687"/>
      <c r="D9" s="1687"/>
      <c r="E9" s="1687"/>
      <c r="F9" s="1687"/>
      <c r="G9" s="1687"/>
      <c r="H9" s="1687"/>
      <c r="I9" s="1687"/>
      <c r="J9" s="1687"/>
      <c r="K9" s="1687"/>
      <c r="L9" s="1687"/>
      <c r="M9" s="1687"/>
      <c r="N9" s="1687"/>
      <c r="O9" s="1687"/>
      <c r="P9" s="700"/>
      <c r="Q9" s="700"/>
      <c r="R9" s="700"/>
    </row>
    <row r="10" spans="2:18" ht="18">
      <c r="B10" s="1687" t="str">
        <f>+'Asfalto IU 13'!B10:O10</f>
        <v>VALORIZACION Nº 4 - MES DE DICIEMBRE 2021</v>
      </c>
      <c r="C10" s="1687"/>
      <c r="D10" s="1687"/>
      <c r="E10" s="1687"/>
      <c r="F10" s="1687"/>
      <c r="G10" s="1687"/>
      <c r="H10" s="1687"/>
      <c r="I10" s="1687"/>
      <c r="J10" s="1687"/>
      <c r="K10" s="1687"/>
      <c r="L10" s="1687"/>
      <c r="M10" s="1687"/>
      <c r="N10" s="1687"/>
      <c r="O10" s="1687"/>
      <c r="P10" s="700"/>
      <c r="Q10" s="700"/>
      <c r="R10" s="700"/>
    </row>
    <row r="11" spans="2:18" ht="15">
      <c r="B11" s="1707" t="s">
        <v>617</v>
      </c>
      <c r="C11" s="1707"/>
      <c r="D11" s="1707"/>
      <c r="E11" s="1707"/>
      <c r="F11" s="1707"/>
      <c r="G11" s="1707"/>
      <c r="H11" s="1707"/>
      <c r="I11" s="1707"/>
      <c r="J11" s="1707"/>
      <c r="K11" s="1707"/>
      <c r="L11" s="1707"/>
      <c r="M11" s="1707"/>
      <c r="N11" s="1707"/>
      <c r="O11" s="1707"/>
    </row>
    <row r="12" spans="2:18" ht="11.25" customHeight="1">
      <c r="B12" s="698" t="s">
        <v>1008</v>
      </c>
      <c r="D12" s="702">
        <v>5447608.9900000002</v>
      </c>
      <c r="E12" s="698" t="s">
        <v>178</v>
      </c>
      <c r="I12" s="699" t="s">
        <v>179</v>
      </c>
      <c r="K12" s="699" t="s">
        <v>180</v>
      </c>
      <c r="M12" s="699"/>
    </row>
    <row r="13" spans="2:18" ht="11.25" customHeight="1">
      <c r="B13" s="698" t="s">
        <v>290</v>
      </c>
      <c r="D13" s="703" t="e">
        <f>+'Asfalto IU 13'!D13</f>
        <v>#REF!</v>
      </c>
      <c r="E13" s="704"/>
      <c r="I13" s="698" t="s">
        <v>182</v>
      </c>
    </row>
    <row r="14" spans="2:18" ht="11.25" customHeight="1">
      <c r="B14" s="699" t="s">
        <v>183</v>
      </c>
      <c r="C14" s="699" t="s">
        <v>1009</v>
      </c>
      <c r="E14" s="705"/>
      <c r="F14" s="706"/>
      <c r="I14" s="707" t="s">
        <v>185</v>
      </c>
      <c r="K14" s="698" t="s">
        <v>186</v>
      </c>
    </row>
    <row r="15" spans="2:18" ht="11.25" customHeight="1">
      <c r="B15" s="699" t="s">
        <v>187</v>
      </c>
      <c r="C15" s="708" t="s">
        <v>305</v>
      </c>
      <c r="E15" s="705"/>
      <c r="F15" s="706"/>
      <c r="I15" s="707" t="s">
        <v>188</v>
      </c>
      <c r="K15" s="698" t="s">
        <v>189</v>
      </c>
    </row>
    <row r="16" spans="2:18" ht="11.25" customHeight="1">
      <c r="B16" s="698" t="s">
        <v>190</v>
      </c>
      <c r="D16" s="709" t="e">
        <f>+K!#REF!</f>
        <v>#REF!</v>
      </c>
      <c r="I16" s="707" t="s">
        <v>191</v>
      </c>
      <c r="K16" s="698" t="s">
        <v>192</v>
      </c>
    </row>
    <row r="17" spans="2:28" ht="11.25" customHeight="1">
      <c r="B17" s="698" t="str">
        <f>+'Asfalto IU 13'!B17</f>
        <v>Indice INEI a la Fecha del Pago del Adelanto  (Setiembre 2,010)</v>
      </c>
      <c r="D17" s="709" t="e">
        <f>+K!#REF!</f>
        <v>#REF!</v>
      </c>
      <c r="E17" s="710">
        <f>+'Asfalto IU 13'!E17</f>
        <v>0</v>
      </c>
      <c r="I17" s="707" t="s">
        <v>193</v>
      </c>
      <c r="K17" s="698" t="s">
        <v>194</v>
      </c>
    </row>
    <row r="18" spans="2:28" ht="11.25" customHeight="1">
      <c r="I18" s="711" t="s">
        <v>195</v>
      </c>
      <c r="J18" s="712"/>
      <c r="K18" s="712" t="s">
        <v>196</v>
      </c>
      <c r="L18" s="712"/>
      <c r="M18" s="713">
        <v>1</v>
      </c>
      <c r="N18" s="714"/>
    </row>
    <row r="19" spans="2:28" ht="11.25" customHeight="1">
      <c r="B19" s="39" t="s">
        <v>1826</v>
      </c>
      <c r="K19" s="698" t="s">
        <v>197</v>
      </c>
    </row>
    <row r="20" spans="2:28" ht="11.25" customHeight="1">
      <c r="B20" s="715"/>
      <c r="C20" s="715"/>
      <c r="D20" s="715"/>
      <c r="E20" s="715"/>
      <c r="F20" s="715"/>
      <c r="G20" s="715"/>
      <c r="H20" s="715"/>
      <c r="I20" s="715"/>
      <c r="J20" s="715"/>
      <c r="K20" s="715"/>
      <c r="L20" s="715"/>
      <c r="M20" s="715"/>
      <c r="N20" s="715"/>
      <c r="O20" s="715"/>
    </row>
    <row r="21" spans="2:28" ht="11.25" customHeight="1">
      <c r="B21" s="1714" t="s">
        <v>198</v>
      </c>
      <c r="C21" s="1714" t="s">
        <v>199</v>
      </c>
      <c r="D21" s="1716" t="s">
        <v>601</v>
      </c>
      <c r="E21" s="1712" t="s">
        <v>200</v>
      </c>
      <c r="F21" s="1713"/>
      <c r="G21" s="1712" t="s">
        <v>201</v>
      </c>
      <c r="H21" s="1713"/>
      <c r="I21" s="1712" t="s">
        <v>202</v>
      </c>
      <c r="J21" s="1713"/>
      <c r="K21" s="1714" t="s">
        <v>203</v>
      </c>
      <c r="L21" s="1712" t="s">
        <v>204</v>
      </c>
      <c r="M21" s="1713"/>
      <c r="N21" s="1712" t="s">
        <v>423</v>
      </c>
      <c r="O21" s="1713"/>
      <c r="P21" s="700"/>
      <c r="Q21" s="1678" t="s">
        <v>205</v>
      </c>
      <c r="R21" s="1679"/>
      <c r="S21" s="1680"/>
      <c r="U21" s="1678" t="s">
        <v>331</v>
      </c>
      <c r="V21" s="1679"/>
      <c r="W21" s="1680"/>
    </row>
    <row r="22" spans="2:28" ht="22.5" customHeight="1">
      <c r="B22" s="1715"/>
      <c r="C22" s="1715"/>
      <c r="D22" s="1717"/>
      <c r="E22" s="1011" t="s">
        <v>206</v>
      </c>
      <c r="F22" s="1012" t="s">
        <v>207</v>
      </c>
      <c r="G22" s="1011" t="s">
        <v>452</v>
      </c>
      <c r="H22" s="1012" t="s">
        <v>208</v>
      </c>
      <c r="I22" s="1011" t="s">
        <v>452</v>
      </c>
      <c r="J22" s="1012" t="s">
        <v>208</v>
      </c>
      <c r="K22" s="1715"/>
      <c r="L22" s="1011" t="s">
        <v>467</v>
      </c>
      <c r="M22" s="1012" t="s">
        <v>468</v>
      </c>
      <c r="N22" s="1011" t="s">
        <v>209</v>
      </c>
      <c r="O22" s="1012" t="s">
        <v>210</v>
      </c>
      <c r="Q22" s="719" t="s">
        <v>211</v>
      </c>
      <c r="R22" s="720" t="s">
        <v>394</v>
      </c>
      <c r="S22" s="721" t="s">
        <v>451</v>
      </c>
      <c r="U22" s="719" t="s">
        <v>211</v>
      </c>
      <c r="V22" s="720" t="s">
        <v>394</v>
      </c>
      <c r="W22" s="721" t="s">
        <v>451</v>
      </c>
      <c r="X22" s="698" t="s">
        <v>818</v>
      </c>
    </row>
    <row r="23" spans="2:28" ht="11.25" customHeight="1">
      <c r="B23" s="722" t="str">
        <f>+B$14</f>
        <v>Material:</v>
      </c>
      <c r="C23" s="728" t="str">
        <f>+C14</f>
        <v>EQUIPO MECANICO</v>
      </c>
      <c r="D23" s="724"/>
      <c r="E23" s="730"/>
      <c r="F23" s="728"/>
      <c r="G23" s="726"/>
      <c r="H23" s="727"/>
      <c r="I23" s="726"/>
      <c r="J23" s="728"/>
      <c r="K23" s="729"/>
      <c r="L23" s="724"/>
      <c r="M23" s="725"/>
      <c r="N23" s="730"/>
      <c r="O23" s="728"/>
      <c r="Q23" s="731"/>
      <c r="R23" s="732"/>
      <c r="S23" s="725"/>
      <c r="U23" s="731"/>
      <c r="V23" s="732"/>
      <c r="W23" s="725"/>
      <c r="X23" s="1727" t="s">
        <v>819</v>
      </c>
      <c r="Y23" s="1727" t="s">
        <v>820</v>
      </c>
      <c r="Z23" s="1727" t="s">
        <v>821</v>
      </c>
      <c r="AA23" s="1727" t="s">
        <v>822</v>
      </c>
      <c r="AB23" s="1727" t="s">
        <v>451</v>
      </c>
    </row>
    <row r="24" spans="2:28" ht="11.25" customHeight="1">
      <c r="B24" s="722" t="s">
        <v>212</v>
      </c>
      <c r="C24" s="1041" t="s">
        <v>304</v>
      </c>
      <c r="D24" s="724"/>
      <c r="E24" s="730"/>
      <c r="F24" s="803"/>
      <c r="G24" s="726"/>
      <c r="H24" s="727"/>
      <c r="I24" s="726"/>
      <c r="J24" s="727"/>
      <c r="K24" s="729"/>
      <c r="L24" s="724"/>
      <c r="M24" s="725"/>
      <c r="N24" s="730"/>
      <c r="O24" s="728"/>
      <c r="Q24" s="724"/>
      <c r="R24" s="735"/>
      <c r="S24" s="725"/>
      <c r="U24" s="960">
        <v>1997.82</v>
      </c>
      <c r="V24" s="961">
        <f>+U24</f>
        <v>1997.82</v>
      </c>
      <c r="W24" s="952">
        <v>5447608.9900000002</v>
      </c>
      <c r="X24" s="1704"/>
      <c r="Y24" s="1704"/>
      <c r="Z24" s="1704" t="s">
        <v>821</v>
      </c>
      <c r="AA24" s="1704" t="s">
        <v>821</v>
      </c>
      <c r="AB24" s="1704" t="s">
        <v>451</v>
      </c>
    </row>
    <row r="25" spans="2:28" ht="11.25" customHeight="1">
      <c r="B25" s="1032" t="s">
        <v>3</v>
      </c>
      <c r="C25" s="1023" t="s">
        <v>4</v>
      </c>
      <c r="D25" s="738" t="s">
        <v>602</v>
      </c>
      <c r="E25" s="739">
        <v>1</v>
      </c>
      <c r="F25" s="740">
        <v>79.5</v>
      </c>
      <c r="G25" s="741">
        <v>82.19</v>
      </c>
      <c r="H25" s="742">
        <f t="shared" ref="H25:H39" si="0">+ROUND(E25*F25*G25,2)</f>
        <v>6534.11</v>
      </c>
      <c r="I25" s="743">
        <f>LOOKUP(B25,valoriz!$A$13:$A$242,valoriz!I$13:I$242)</f>
        <v>0</v>
      </c>
      <c r="J25" s="744">
        <f>+ROUND(E25*F25*I25,2)</f>
        <v>0</v>
      </c>
      <c r="K25" s="745">
        <v>7.61</v>
      </c>
      <c r="L25" s="746" t="e">
        <f t="shared" ref="L25:L39" si="1">D$17</f>
        <v>#REF!</v>
      </c>
      <c r="M25" s="747" t="e">
        <f t="shared" ref="M25:M39" si="2">D$16</f>
        <v>#REF!</v>
      </c>
      <c r="N25" s="748">
        <f t="shared" ref="N25:N39" si="3">+ROUND(J25*K25*M$18,2)</f>
        <v>0</v>
      </c>
      <c r="O25" s="744" t="e">
        <f t="shared" ref="O25:O39" si="4">+ROUND(J25*K25*L25*M$18/M25,2)</f>
        <v>#REF!</v>
      </c>
      <c r="Q25" s="824">
        <v>2532.87</v>
      </c>
      <c r="R25" s="883">
        <f t="shared" ref="R25:R39" si="5">+J25+Q25</f>
        <v>2532.87</v>
      </c>
      <c r="S25" s="882">
        <f t="shared" ref="S25:S39" si="6">+IF((H25-R25)&lt;0,"BAD", H25-R25)</f>
        <v>4001.24</v>
      </c>
      <c r="T25" s="751"/>
      <c r="U25" s="824" t="e">
        <f t="shared" ref="U25:V39" si="7">+ROUND(Q25*$K25*$L25/$M25,2)</f>
        <v>#REF!</v>
      </c>
      <c r="V25" s="883" t="e">
        <f t="shared" si="7"/>
        <v>#REF!</v>
      </c>
      <c r="W25" s="882"/>
      <c r="X25" s="1063">
        <v>8.2800000000000011</v>
      </c>
      <c r="Y25" s="1064">
        <v>2.160000000000001</v>
      </c>
      <c r="Z25" s="1064">
        <f>+X25-Y25</f>
        <v>6.12</v>
      </c>
      <c r="AA25" s="1064">
        <v>5.47</v>
      </c>
      <c r="AB25" s="1064">
        <f>+Z25-AA25</f>
        <v>0.65000000000000036</v>
      </c>
    </row>
    <row r="26" spans="2:28" ht="11.25" customHeight="1">
      <c r="B26" s="1032" t="s">
        <v>13</v>
      </c>
      <c r="C26" s="1042" t="s">
        <v>16</v>
      </c>
      <c r="D26" s="738" t="s">
        <v>173</v>
      </c>
      <c r="E26" s="739">
        <v>1</v>
      </c>
      <c r="F26" s="740">
        <f>9656.87/272878.07</f>
        <v>3.5388955953844149E-2</v>
      </c>
      <c r="G26" s="741">
        <v>279869</v>
      </c>
      <c r="H26" s="742">
        <f t="shared" si="0"/>
        <v>9904.27</v>
      </c>
      <c r="I26" s="743">
        <f>LOOKUP(B26,valoriz!$A$13:$A$242,valoriz!I$13:I$242)</f>
        <v>0</v>
      </c>
      <c r="J26" s="744">
        <f t="shared" ref="J26:J39" si="8">+ROUND(E26*F26*I26,2)</f>
        <v>0</v>
      </c>
      <c r="K26" s="745">
        <f>+K25</f>
        <v>7.61</v>
      </c>
      <c r="L26" s="746" t="e">
        <f t="shared" si="1"/>
        <v>#REF!</v>
      </c>
      <c r="M26" s="747" t="e">
        <f t="shared" si="2"/>
        <v>#REF!</v>
      </c>
      <c r="N26" s="748">
        <f t="shared" si="3"/>
        <v>0</v>
      </c>
      <c r="O26" s="744" t="e">
        <f t="shared" si="4"/>
        <v>#REF!</v>
      </c>
      <c r="Q26" s="824">
        <v>7312.04</v>
      </c>
      <c r="R26" s="883">
        <f t="shared" si="5"/>
        <v>7312.04</v>
      </c>
      <c r="S26" s="882">
        <f t="shared" si="6"/>
        <v>2592.2300000000005</v>
      </c>
      <c r="T26" s="751">
        <f>247.4+200</f>
        <v>447.4</v>
      </c>
      <c r="U26" s="824" t="e">
        <f t="shared" si="7"/>
        <v>#REF!</v>
      </c>
      <c r="V26" s="883" t="e">
        <f t="shared" si="7"/>
        <v>#REF!</v>
      </c>
      <c r="W26" s="882"/>
      <c r="X26" s="1065">
        <v>58325.729999999996</v>
      </c>
      <c r="Y26" s="1066">
        <v>45432.59</v>
      </c>
      <c r="Z26" s="1066">
        <f>+X26-Y26</f>
        <v>12893.14</v>
      </c>
      <c r="AA26" s="1066">
        <v>12893.14</v>
      </c>
      <c r="AB26" s="1066">
        <f t="shared" ref="AB26:AB39" si="9">+Z26-AA26</f>
        <v>0</v>
      </c>
    </row>
    <row r="27" spans="2:28" ht="11.25" customHeight="1">
      <c r="B27" s="1032" t="s">
        <v>17</v>
      </c>
      <c r="C27" s="1023" t="s">
        <v>18</v>
      </c>
      <c r="D27" s="738" t="s">
        <v>291</v>
      </c>
      <c r="E27" s="739">
        <v>1</v>
      </c>
      <c r="F27" s="740">
        <f>20872.84/74490.65</f>
        <v>0.28020751597683741</v>
      </c>
      <c r="G27" s="741">
        <v>77138.490000000005</v>
      </c>
      <c r="H27" s="742">
        <f t="shared" si="0"/>
        <v>21614.78</v>
      </c>
      <c r="I27" s="743">
        <f>LOOKUP(B27,valoriz!$A$13:$A$242,valoriz!I$13:I$242)</f>
        <v>0</v>
      </c>
      <c r="J27" s="744">
        <f t="shared" si="8"/>
        <v>0</v>
      </c>
      <c r="K27" s="745">
        <f>+K25</f>
        <v>7.61</v>
      </c>
      <c r="L27" s="746" t="e">
        <f t="shared" si="1"/>
        <v>#REF!</v>
      </c>
      <c r="M27" s="747" t="e">
        <f t="shared" si="2"/>
        <v>#REF!</v>
      </c>
      <c r="N27" s="748">
        <f t="shared" si="3"/>
        <v>0</v>
      </c>
      <c r="O27" s="744" t="e">
        <f t="shared" si="4"/>
        <v>#REF!</v>
      </c>
      <c r="Q27" s="824">
        <v>17999.73</v>
      </c>
      <c r="R27" s="883">
        <f t="shared" si="5"/>
        <v>17999.73</v>
      </c>
      <c r="S27" s="882">
        <f t="shared" si="6"/>
        <v>3615.0499999999993</v>
      </c>
      <c r="T27" s="751">
        <f>536.45+200</f>
        <v>736.45</v>
      </c>
      <c r="U27" s="824" t="e">
        <f t="shared" si="7"/>
        <v>#REF!</v>
      </c>
      <c r="V27" s="883" t="e">
        <f t="shared" si="7"/>
        <v>#REF!</v>
      </c>
      <c r="W27" s="882"/>
      <c r="X27" s="1065">
        <v>16338.640000000001</v>
      </c>
      <c r="Y27" s="1066">
        <v>10894.37</v>
      </c>
      <c r="Z27" s="1066">
        <f t="shared" ref="Z27:Z38" si="10">+X27-Y27</f>
        <v>5444.27</v>
      </c>
      <c r="AA27" s="1066">
        <v>4710.9799999999996</v>
      </c>
      <c r="AB27" s="1066">
        <f t="shared" si="9"/>
        <v>733.29000000000087</v>
      </c>
    </row>
    <row r="28" spans="2:28" ht="11.25" customHeight="1">
      <c r="B28" s="1032" t="s">
        <v>19</v>
      </c>
      <c r="C28" s="1023" t="s">
        <v>20</v>
      </c>
      <c r="D28" s="738" t="s">
        <v>291</v>
      </c>
      <c r="E28" s="739">
        <v>1</v>
      </c>
      <c r="F28" s="740">
        <f>77778.69/98958.16</f>
        <v>0.78597550722446741</v>
      </c>
      <c r="G28" s="741">
        <v>99328.85</v>
      </c>
      <c r="H28" s="742">
        <f t="shared" si="0"/>
        <v>78070.039999999994</v>
      </c>
      <c r="I28" s="743">
        <f>LOOKUP(B28,valoriz!$A$13:$A$242,valoriz!I$13:I$242)</f>
        <v>0</v>
      </c>
      <c r="J28" s="744">
        <f t="shared" si="8"/>
        <v>0</v>
      </c>
      <c r="K28" s="745">
        <f>+K26</f>
        <v>7.61</v>
      </c>
      <c r="L28" s="746" t="e">
        <f t="shared" si="1"/>
        <v>#REF!</v>
      </c>
      <c r="M28" s="747" t="e">
        <f t="shared" si="2"/>
        <v>#REF!</v>
      </c>
      <c r="N28" s="748">
        <f t="shared" si="3"/>
        <v>0</v>
      </c>
      <c r="O28" s="744" t="e">
        <f t="shared" si="4"/>
        <v>#REF!</v>
      </c>
      <c r="Q28" s="824">
        <v>47780.78</v>
      </c>
      <c r="R28" s="883">
        <f t="shared" si="5"/>
        <v>47780.78</v>
      </c>
      <c r="S28" s="882">
        <f t="shared" si="6"/>
        <v>30289.259999999995</v>
      </c>
      <c r="T28" s="751">
        <f>291.35+200</f>
        <v>491.35</v>
      </c>
      <c r="U28" s="824" t="e">
        <f t="shared" si="7"/>
        <v>#REF!</v>
      </c>
      <c r="V28" s="883" t="e">
        <f t="shared" si="7"/>
        <v>#REF!</v>
      </c>
      <c r="W28" s="882"/>
      <c r="X28" s="1065">
        <v>17754.91</v>
      </c>
      <c r="Y28" s="1066">
        <v>13618.82</v>
      </c>
      <c r="Z28" s="1066">
        <f t="shared" si="10"/>
        <v>4136.09</v>
      </c>
      <c r="AA28" s="1066">
        <v>4136.09</v>
      </c>
      <c r="AB28" s="1066">
        <f t="shared" si="9"/>
        <v>0</v>
      </c>
    </row>
    <row r="29" spans="2:28" ht="11.25" customHeight="1">
      <c r="B29" s="1032" t="s">
        <v>21</v>
      </c>
      <c r="C29" s="1023" t="s">
        <v>22</v>
      </c>
      <c r="D29" s="738" t="s">
        <v>291</v>
      </c>
      <c r="E29" s="739">
        <v>1</v>
      </c>
      <c r="F29" s="740">
        <f>67717.72/195515.15</f>
        <v>0.34635535916270427</v>
      </c>
      <c r="G29" s="741">
        <v>197126.84</v>
      </c>
      <c r="H29" s="742">
        <f t="shared" si="0"/>
        <v>68275.94</v>
      </c>
      <c r="I29" s="743">
        <f>LOOKUP(B29,valoriz!$A$13:$A$242,valoriz!I$13:I$242)</f>
        <v>0</v>
      </c>
      <c r="J29" s="744">
        <f t="shared" si="8"/>
        <v>0</v>
      </c>
      <c r="K29" s="745">
        <f>+K27</f>
        <v>7.61</v>
      </c>
      <c r="L29" s="746" t="e">
        <f t="shared" si="1"/>
        <v>#REF!</v>
      </c>
      <c r="M29" s="747" t="e">
        <f t="shared" si="2"/>
        <v>#REF!</v>
      </c>
      <c r="N29" s="748">
        <f t="shared" si="3"/>
        <v>0</v>
      </c>
      <c r="O29" s="744" t="e">
        <f t="shared" si="4"/>
        <v>#REF!</v>
      </c>
      <c r="Q29" s="824">
        <v>47432.28</v>
      </c>
      <c r="R29" s="883">
        <f t="shared" si="5"/>
        <v>47432.28</v>
      </c>
      <c r="S29" s="882">
        <f t="shared" si="6"/>
        <v>20843.660000000003</v>
      </c>
      <c r="T29" s="751">
        <v>615.07000000000005</v>
      </c>
      <c r="U29" s="824" t="e">
        <f t="shared" si="7"/>
        <v>#REF!</v>
      </c>
      <c r="V29" s="883" t="e">
        <f t="shared" si="7"/>
        <v>#REF!</v>
      </c>
      <c r="W29" s="882"/>
      <c r="X29" s="1065">
        <v>34521.64</v>
      </c>
      <c r="Y29" s="1066">
        <v>24503.11</v>
      </c>
      <c r="Z29" s="1066">
        <f t="shared" si="10"/>
        <v>10018.529999999999</v>
      </c>
      <c r="AA29" s="1066">
        <v>10018.530000000001</v>
      </c>
      <c r="AB29" s="1066">
        <f t="shared" si="9"/>
        <v>0</v>
      </c>
    </row>
    <row r="30" spans="2:28" ht="11.25" customHeight="1">
      <c r="B30" s="1032" t="s">
        <v>25</v>
      </c>
      <c r="C30" s="1023" t="s">
        <v>26</v>
      </c>
      <c r="D30" s="738" t="s">
        <v>291</v>
      </c>
      <c r="E30" s="739">
        <v>1</v>
      </c>
      <c r="F30" s="740">
        <f>5776.83/8258.93</f>
        <v>0.69946470063313282</v>
      </c>
      <c r="G30" s="741">
        <v>8258.93</v>
      </c>
      <c r="H30" s="742">
        <f t="shared" si="0"/>
        <v>5776.83</v>
      </c>
      <c r="I30" s="743">
        <f>LOOKUP(B30,valoriz!$A$13:$A$242,valoriz!I$13:I$242)-AA30</f>
        <v>0</v>
      </c>
      <c r="J30" s="744">
        <f t="shared" si="8"/>
        <v>0</v>
      </c>
      <c r="K30" s="745">
        <f>+K28</f>
        <v>7.61</v>
      </c>
      <c r="L30" s="746" t="e">
        <f t="shared" si="1"/>
        <v>#REF!</v>
      </c>
      <c r="M30" s="747" t="e">
        <f t="shared" si="2"/>
        <v>#REF!</v>
      </c>
      <c r="N30" s="748">
        <f t="shared" si="3"/>
        <v>0</v>
      </c>
      <c r="O30" s="744" t="e">
        <f t="shared" si="4"/>
        <v>#REF!</v>
      </c>
      <c r="Q30" s="824">
        <v>4098.59</v>
      </c>
      <c r="R30" s="883">
        <f t="shared" si="5"/>
        <v>4098.59</v>
      </c>
      <c r="S30" s="882">
        <f t="shared" si="6"/>
        <v>1678.2399999999998</v>
      </c>
      <c r="T30" s="751"/>
      <c r="U30" s="824" t="e">
        <f t="shared" si="7"/>
        <v>#REF!</v>
      </c>
      <c r="V30" s="883" t="e">
        <f t="shared" si="7"/>
        <v>#REF!</v>
      </c>
      <c r="W30" s="882"/>
      <c r="X30" s="1065">
        <v>140</v>
      </c>
      <c r="Y30" s="1066">
        <v>0</v>
      </c>
      <c r="Z30" s="1066">
        <f t="shared" si="10"/>
        <v>140</v>
      </c>
      <c r="AA30" s="1066">
        <v>0</v>
      </c>
      <c r="AB30" s="1066">
        <f t="shared" si="9"/>
        <v>140</v>
      </c>
    </row>
    <row r="31" spans="2:28" ht="11.25" customHeight="1">
      <c r="B31" s="1032" t="s">
        <v>27</v>
      </c>
      <c r="C31" s="1023" t="s">
        <v>28</v>
      </c>
      <c r="D31" s="738" t="s">
        <v>291</v>
      </c>
      <c r="E31" s="739">
        <v>1</v>
      </c>
      <c r="F31" s="740">
        <f>76041.95/47824.45</f>
        <v>1.5900224675871861</v>
      </c>
      <c r="G31" s="1032">
        <v>47824.45</v>
      </c>
      <c r="H31" s="742">
        <f>+ROUND(E31*F31*G31,2)</f>
        <v>76041.95</v>
      </c>
      <c r="I31" s="743">
        <f>LOOKUP(B31,valoriz!$A$13:$A$242,valoriz!I$13:I$242)</f>
        <v>0</v>
      </c>
      <c r="J31" s="744">
        <f t="shared" si="8"/>
        <v>0</v>
      </c>
      <c r="K31" s="745">
        <f>+K29</f>
        <v>7.61</v>
      </c>
      <c r="L31" s="746" t="e">
        <f t="shared" si="1"/>
        <v>#REF!</v>
      </c>
      <c r="M31" s="747" t="e">
        <f t="shared" si="2"/>
        <v>#REF!</v>
      </c>
      <c r="N31" s="748">
        <f t="shared" si="3"/>
        <v>0</v>
      </c>
      <c r="O31" s="744" t="e">
        <f t="shared" si="4"/>
        <v>#REF!</v>
      </c>
      <c r="Q31" s="824">
        <v>44736.684999999998</v>
      </c>
      <c r="R31" s="883">
        <f t="shared" si="5"/>
        <v>44736.684999999998</v>
      </c>
      <c r="S31" s="882">
        <f>+IF((H31-R31)&lt;0,"BAD", H31-R31)</f>
        <v>31305.264999999999</v>
      </c>
      <c r="T31" s="964">
        <f>62610.53*0.2</f>
        <v>12522.106</v>
      </c>
      <c r="U31" s="824" t="e">
        <f t="shared" si="7"/>
        <v>#REF!</v>
      </c>
      <c r="V31" s="883" t="e">
        <f t="shared" si="7"/>
        <v>#REF!</v>
      </c>
      <c r="W31" s="882"/>
      <c r="X31" s="1065">
        <v>4223.66</v>
      </c>
      <c r="Y31" s="1066">
        <v>0</v>
      </c>
      <c r="Z31" s="1066">
        <f t="shared" si="10"/>
        <v>4223.66</v>
      </c>
      <c r="AA31" s="1066">
        <v>4223.66</v>
      </c>
      <c r="AB31" s="1066">
        <f t="shared" si="9"/>
        <v>0</v>
      </c>
    </row>
    <row r="32" spans="2:28" ht="11.25" customHeight="1">
      <c r="B32" s="1032" t="s">
        <v>29</v>
      </c>
      <c r="C32" s="1042" t="s">
        <v>30</v>
      </c>
      <c r="D32" s="738" t="s">
        <v>291</v>
      </c>
      <c r="E32" s="739">
        <v>1</v>
      </c>
      <c r="F32" s="740">
        <f>100584.06/62570.23</f>
        <v>1.6075386010248003</v>
      </c>
      <c r="G32" s="1032">
        <v>62570.23</v>
      </c>
      <c r="H32" s="742">
        <f t="shared" si="0"/>
        <v>100584.06</v>
      </c>
      <c r="I32" s="743">
        <f>LOOKUP(B32,valoriz!$A$13:$A$242,valoriz!I$13:I$242)-AA32</f>
        <v>0</v>
      </c>
      <c r="J32" s="744">
        <f t="shared" si="8"/>
        <v>0</v>
      </c>
      <c r="K32" s="745">
        <f>+K31</f>
        <v>7.61</v>
      </c>
      <c r="L32" s="746" t="e">
        <f t="shared" si="1"/>
        <v>#REF!</v>
      </c>
      <c r="M32" s="747" t="e">
        <f t="shared" si="2"/>
        <v>#REF!</v>
      </c>
      <c r="N32" s="748">
        <f t="shared" si="3"/>
        <v>0</v>
      </c>
      <c r="O32" s="744" t="e">
        <f t="shared" si="4"/>
        <v>#REF!</v>
      </c>
      <c r="Q32" s="824">
        <v>68065.789999999994</v>
      </c>
      <c r="R32" s="883">
        <f t="shared" si="5"/>
        <v>68065.789999999994</v>
      </c>
      <c r="S32" s="882">
        <f t="shared" si="6"/>
        <v>32518.270000000004</v>
      </c>
      <c r="T32" s="751"/>
      <c r="U32" s="824" t="e">
        <f t="shared" si="7"/>
        <v>#REF!</v>
      </c>
      <c r="V32" s="883" t="e">
        <f t="shared" si="7"/>
        <v>#REF!</v>
      </c>
      <c r="W32" s="882"/>
      <c r="X32" s="1065">
        <v>8285.2800000000007</v>
      </c>
      <c r="Y32" s="1066">
        <v>8285.2800000000007</v>
      </c>
      <c r="Z32" s="1066">
        <f t="shared" si="10"/>
        <v>0</v>
      </c>
      <c r="AA32" s="1066">
        <v>0</v>
      </c>
      <c r="AB32" s="1066">
        <f t="shared" si="9"/>
        <v>0</v>
      </c>
    </row>
    <row r="33" spans="2:28" ht="11.25" customHeight="1">
      <c r="B33" s="1032" t="s">
        <v>31</v>
      </c>
      <c r="C33" s="1023" t="s">
        <v>32</v>
      </c>
      <c r="D33" s="738" t="s">
        <v>173</v>
      </c>
      <c r="E33" s="756">
        <v>1</v>
      </c>
      <c r="F33" s="904">
        <f>8677.14/379247.65</f>
        <v>2.2879878095487208E-2</v>
      </c>
      <c r="G33" s="1032">
        <v>379247.65</v>
      </c>
      <c r="H33" s="742">
        <f t="shared" si="0"/>
        <v>8677.14</v>
      </c>
      <c r="I33" s="743">
        <f>LOOKUP(B33,valoriz!$A$13:$A$242,valoriz!I$13:I$242)-AA33</f>
        <v>0</v>
      </c>
      <c r="J33" s="744">
        <f t="shared" si="8"/>
        <v>0</v>
      </c>
      <c r="K33" s="1043">
        <f>+K25</f>
        <v>7.61</v>
      </c>
      <c r="L33" s="746" t="e">
        <f t="shared" si="1"/>
        <v>#REF!</v>
      </c>
      <c r="M33" s="747" t="e">
        <f t="shared" si="2"/>
        <v>#REF!</v>
      </c>
      <c r="N33" s="748">
        <f t="shared" si="3"/>
        <v>0</v>
      </c>
      <c r="O33" s="744" t="e">
        <f t="shared" si="4"/>
        <v>#REF!</v>
      </c>
      <c r="Q33" s="824">
        <v>5895.73</v>
      </c>
      <c r="R33" s="883">
        <f t="shared" si="5"/>
        <v>5895.73</v>
      </c>
      <c r="S33" s="882">
        <f t="shared" si="6"/>
        <v>2781.41</v>
      </c>
      <c r="T33" s="751"/>
      <c r="U33" s="824" t="e">
        <f t="shared" si="7"/>
        <v>#REF!</v>
      </c>
      <c r="V33" s="883" t="e">
        <f t="shared" si="7"/>
        <v>#REF!</v>
      </c>
      <c r="W33" s="882"/>
      <c r="X33" s="1065">
        <v>48951.360000000001</v>
      </c>
      <c r="Y33" s="1066">
        <v>48951.360000000001</v>
      </c>
      <c r="Z33" s="1066">
        <f t="shared" si="10"/>
        <v>0</v>
      </c>
      <c r="AA33" s="1066">
        <v>0</v>
      </c>
      <c r="AB33" s="1066">
        <f t="shared" si="9"/>
        <v>0</v>
      </c>
    </row>
    <row r="34" spans="2:28" ht="11.25" customHeight="1">
      <c r="B34" s="1032" t="s">
        <v>33</v>
      </c>
      <c r="C34" s="1042" t="s">
        <v>34</v>
      </c>
      <c r="D34" s="738" t="s">
        <v>291</v>
      </c>
      <c r="E34" s="756">
        <v>1</v>
      </c>
      <c r="F34" s="904">
        <f>104209.68/27948.77</f>
        <v>3.7285962852748078</v>
      </c>
      <c r="G34" s="1032">
        <v>27948.77</v>
      </c>
      <c r="H34" s="742">
        <f t="shared" si="0"/>
        <v>104209.68</v>
      </c>
      <c r="I34" s="743">
        <f>LOOKUP(B34,valoriz!$A$13:$A$242,valoriz!I$13:I$242)-AA34</f>
        <v>0</v>
      </c>
      <c r="J34" s="744">
        <f t="shared" si="8"/>
        <v>0</v>
      </c>
      <c r="K34" s="1043">
        <f>+K25</f>
        <v>7.61</v>
      </c>
      <c r="L34" s="746" t="e">
        <f t="shared" si="1"/>
        <v>#REF!</v>
      </c>
      <c r="M34" s="747" t="e">
        <f t="shared" si="2"/>
        <v>#REF!</v>
      </c>
      <c r="N34" s="748">
        <f t="shared" si="3"/>
        <v>0</v>
      </c>
      <c r="O34" s="744" t="e">
        <f t="shared" si="4"/>
        <v>#REF!</v>
      </c>
      <c r="Q34" s="824">
        <v>66309.58</v>
      </c>
      <c r="R34" s="883">
        <f t="shared" si="5"/>
        <v>66309.58</v>
      </c>
      <c r="S34" s="882">
        <f t="shared" si="6"/>
        <v>37900.099999999991</v>
      </c>
      <c r="T34" s="751"/>
      <c r="U34" s="824" t="e">
        <f t="shared" si="7"/>
        <v>#REF!</v>
      </c>
      <c r="V34" s="883" t="e">
        <f t="shared" si="7"/>
        <v>#REF!</v>
      </c>
      <c r="W34" s="882"/>
      <c r="X34" s="1065">
        <v>0</v>
      </c>
      <c r="Y34" s="1066">
        <v>0</v>
      </c>
      <c r="Z34" s="1066">
        <f t="shared" si="10"/>
        <v>0</v>
      </c>
      <c r="AA34" s="1066">
        <v>0</v>
      </c>
      <c r="AB34" s="1066">
        <f t="shared" si="9"/>
        <v>0</v>
      </c>
    </row>
    <row r="35" spans="2:28" ht="11.25" customHeight="1">
      <c r="B35" s="1032" t="s">
        <v>99</v>
      </c>
      <c r="C35" s="1023" t="s">
        <v>100</v>
      </c>
      <c r="D35" s="738" t="s">
        <v>306</v>
      </c>
      <c r="E35" s="756">
        <v>1</v>
      </c>
      <c r="F35" s="904">
        <f>48734.22/292084.06</f>
        <v>0.16684998147451113</v>
      </c>
      <c r="G35" s="1032">
        <v>293212.55</v>
      </c>
      <c r="H35" s="742">
        <f t="shared" si="0"/>
        <v>48922.51</v>
      </c>
      <c r="I35" s="743">
        <f>LOOKUP(B35,valoriz!$A$13:$A$242,valoriz!I$13:I$242)</f>
        <v>0</v>
      </c>
      <c r="J35" s="744">
        <f t="shared" si="8"/>
        <v>0</v>
      </c>
      <c r="K35" s="1043">
        <f>+K25</f>
        <v>7.61</v>
      </c>
      <c r="L35" s="746" t="e">
        <f t="shared" si="1"/>
        <v>#REF!</v>
      </c>
      <c r="M35" s="747" t="e">
        <f t="shared" si="2"/>
        <v>#REF!</v>
      </c>
      <c r="N35" s="748">
        <f t="shared" si="3"/>
        <v>0</v>
      </c>
      <c r="O35" s="744" t="e">
        <f t="shared" si="4"/>
        <v>#REF!</v>
      </c>
      <c r="Q35" s="824">
        <v>37100.69</v>
      </c>
      <c r="R35" s="883">
        <f t="shared" si="5"/>
        <v>37100.69</v>
      </c>
      <c r="S35" s="882">
        <f t="shared" si="6"/>
        <v>11821.82</v>
      </c>
      <c r="T35" s="751">
        <v>3573.03</v>
      </c>
      <c r="U35" s="824" t="e">
        <f t="shared" si="7"/>
        <v>#REF!</v>
      </c>
      <c r="V35" s="883" t="e">
        <f t="shared" si="7"/>
        <v>#REF!</v>
      </c>
      <c r="W35" s="882"/>
      <c r="X35" s="1065">
        <v>52615.43</v>
      </c>
      <c r="Y35" s="1066">
        <v>32469.03</v>
      </c>
      <c r="Z35" s="1066">
        <f t="shared" si="10"/>
        <v>20146.400000000001</v>
      </c>
      <c r="AA35" s="1066">
        <v>20146.400000000001</v>
      </c>
      <c r="AB35" s="1066">
        <f t="shared" si="9"/>
        <v>0</v>
      </c>
    </row>
    <row r="36" spans="2:28" ht="11.25" customHeight="1">
      <c r="B36" s="1032" t="s">
        <v>101</v>
      </c>
      <c r="C36" s="1023" t="s">
        <v>102</v>
      </c>
      <c r="D36" s="738" t="s">
        <v>306</v>
      </c>
      <c r="E36" s="756">
        <v>1</v>
      </c>
      <c r="F36" s="904">
        <f>179445.35/5388749.2</f>
        <v>3.3300000304337787E-2</v>
      </c>
      <c r="G36" s="1032">
        <v>5388921.7000000002</v>
      </c>
      <c r="H36" s="742">
        <f t="shared" si="0"/>
        <v>179451.09</v>
      </c>
      <c r="I36" s="743">
        <f>LOOKUP(B36,valoriz!$A$13:$A$242,valoriz!I$13:I$242)</f>
        <v>0</v>
      </c>
      <c r="J36" s="744">
        <f t="shared" si="8"/>
        <v>0</v>
      </c>
      <c r="K36" s="1043">
        <f>+K25</f>
        <v>7.61</v>
      </c>
      <c r="L36" s="746" t="e">
        <f t="shared" si="1"/>
        <v>#REF!</v>
      </c>
      <c r="M36" s="747" t="e">
        <f t="shared" si="2"/>
        <v>#REF!</v>
      </c>
      <c r="N36" s="748">
        <f t="shared" si="3"/>
        <v>0</v>
      </c>
      <c r="O36" s="744" t="e">
        <f t="shared" si="4"/>
        <v>#REF!</v>
      </c>
      <c r="Q36" s="824">
        <v>116672.2</v>
      </c>
      <c r="R36" s="883">
        <f t="shared" si="5"/>
        <v>116672.2</v>
      </c>
      <c r="S36" s="882">
        <f t="shared" si="6"/>
        <v>62778.89</v>
      </c>
      <c r="T36" s="751">
        <v>6262.63</v>
      </c>
      <c r="U36" s="824" t="e">
        <f t="shared" si="7"/>
        <v>#REF!</v>
      </c>
      <c r="V36" s="883" t="e">
        <f t="shared" si="7"/>
        <v>#REF!</v>
      </c>
      <c r="W36" s="882"/>
      <c r="X36" s="1065">
        <v>278840.59999999998</v>
      </c>
      <c r="Y36" s="1066">
        <v>92931.099999999977</v>
      </c>
      <c r="Z36" s="1066">
        <f t="shared" si="10"/>
        <v>185909.5</v>
      </c>
      <c r="AA36" s="1066">
        <v>185909.5</v>
      </c>
      <c r="AB36" s="1066">
        <f t="shared" si="9"/>
        <v>0</v>
      </c>
    </row>
    <row r="37" spans="2:28" ht="11.25" customHeight="1">
      <c r="B37" s="1032" t="s">
        <v>103</v>
      </c>
      <c r="C37" s="1023" t="s">
        <v>104</v>
      </c>
      <c r="D37" s="738" t="s">
        <v>306</v>
      </c>
      <c r="E37" s="756">
        <v>1</v>
      </c>
      <c r="F37" s="904">
        <f>9396.69/27842.04</f>
        <v>0.33750005387536258</v>
      </c>
      <c r="G37" s="1032">
        <v>27842.04</v>
      </c>
      <c r="H37" s="742">
        <f t="shared" si="0"/>
        <v>9396.69</v>
      </c>
      <c r="I37" s="743">
        <f>LOOKUP(B37,valoriz!$A$13:$A$242,valoriz!I$13:I$242)-AA37</f>
        <v>0</v>
      </c>
      <c r="J37" s="744">
        <f t="shared" si="8"/>
        <v>0</v>
      </c>
      <c r="K37" s="1043">
        <f>+K25</f>
        <v>7.61</v>
      </c>
      <c r="L37" s="746" t="e">
        <f t="shared" si="1"/>
        <v>#REF!</v>
      </c>
      <c r="M37" s="747" t="e">
        <f t="shared" si="2"/>
        <v>#REF!</v>
      </c>
      <c r="N37" s="748">
        <f t="shared" si="3"/>
        <v>0</v>
      </c>
      <c r="O37" s="744" t="e">
        <f t="shared" si="4"/>
        <v>#REF!</v>
      </c>
      <c r="Q37" s="824">
        <v>6648.66</v>
      </c>
      <c r="R37" s="883">
        <f t="shared" si="5"/>
        <v>6648.66</v>
      </c>
      <c r="S37" s="882">
        <f t="shared" si="6"/>
        <v>2748.0300000000007</v>
      </c>
      <c r="T37" s="1049">
        <f>80.61+830.31</f>
        <v>910.92</v>
      </c>
      <c r="U37" s="824" t="e">
        <f t="shared" si="7"/>
        <v>#REF!</v>
      </c>
      <c r="V37" s="883" t="e">
        <f t="shared" si="7"/>
        <v>#REF!</v>
      </c>
      <c r="W37" s="882"/>
      <c r="X37" s="1065">
        <v>0</v>
      </c>
      <c r="Y37" s="1066">
        <v>0</v>
      </c>
      <c r="Z37" s="1066">
        <f t="shared" si="10"/>
        <v>0</v>
      </c>
      <c r="AA37" s="1066">
        <v>0</v>
      </c>
      <c r="AB37" s="1066">
        <f t="shared" si="9"/>
        <v>0</v>
      </c>
    </row>
    <row r="38" spans="2:28" ht="11.25" customHeight="1">
      <c r="B38" s="1032" t="s">
        <v>105</v>
      </c>
      <c r="C38" s="1023" t="s">
        <v>106</v>
      </c>
      <c r="D38" s="738" t="s">
        <v>306</v>
      </c>
      <c r="E38" s="756">
        <v>1</v>
      </c>
      <c r="F38" s="904">
        <f>16679.58/494209.8</f>
        <v>3.3749998482425887E-2</v>
      </c>
      <c r="G38" s="1032">
        <v>494209.8</v>
      </c>
      <c r="H38" s="742">
        <f t="shared" si="0"/>
        <v>16679.580000000002</v>
      </c>
      <c r="I38" s="743">
        <f>LOOKUP(B38,valoriz!$A$13:$A$242,valoriz!I$13:I$242)-AA38</f>
        <v>0</v>
      </c>
      <c r="J38" s="744">
        <f t="shared" si="8"/>
        <v>0</v>
      </c>
      <c r="K38" s="1043">
        <f>+K25</f>
        <v>7.61</v>
      </c>
      <c r="L38" s="746" t="e">
        <f t="shared" si="1"/>
        <v>#REF!</v>
      </c>
      <c r="M38" s="747" t="e">
        <f t="shared" si="2"/>
        <v>#REF!</v>
      </c>
      <c r="N38" s="748">
        <f t="shared" si="3"/>
        <v>0</v>
      </c>
      <c r="O38" s="744" t="e">
        <f t="shared" si="4"/>
        <v>#REF!</v>
      </c>
      <c r="Q38" s="824">
        <v>8900.3799999999992</v>
      </c>
      <c r="R38" s="883">
        <f t="shared" si="5"/>
        <v>8900.3799999999992</v>
      </c>
      <c r="S38" s="882">
        <f t="shared" si="6"/>
        <v>7779.2000000000025</v>
      </c>
      <c r="T38" s="751">
        <v>1055.9100000000001</v>
      </c>
      <c r="U38" s="824" t="e">
        <f t="shared" si="7"/>
        <v>#REF!</v>
      </c>
      <c r="V38" s="883" t="e">
        <f t="shared" si="7"/>
        <v>#REF!</v>
      </c>
      <c r="W38" s="882"/>
      <c r="X38" s="1065">
        <v>0</v>
      </c>
      <c r="Y38" s="1066">
        <v>0</v>
      </c>
      <c r="Z38" s="1066">
        <f t="shared" si="10"/>
        <v>0</v>
      </c>
      <c r="AA38" s="1066">
        <v>0</v>
      </c>
      <c r="AB38" s="1066">
        <f t="shared" si="9"/>
        <v>0</v>
      </c>
    </row>
    <row r="39" spans="2:28" ht="11.25" customHeight="1">
      <c r="B39" s="1032" t="s">
        <v>113</v>
      </c>
      <c r="C39" s="1023" t="s">
        <v>115</v>
      </c>
      <c r="D39" s="738" t="s">
        <v>291</v>
      </c>
      <c r="E39" s="756">
        <v>1</v>
      </c>
      <c r="F39" s="904">
        <f>47801.93/776005.4</f>
        <v>6.1599996597961816E-2</v>
      </c>
      <c r="G39" s="1044">
        <v>917544.22</v>
      </c>
      <c r="H39" s="742">
        <f t="shared" si="0"/>
        <v>56520.72</v>
      </c>
      <c r="I39" s="743">
        <f>LOOKUP(B39,valoriz!$A$13:$A$242,valoriz!I$13:I$242)</f>
        <v>0</v>
      </c>
      <c r="J39" s="744">
        <f t="shared" si="8"/>
        <v>0</v>
      </c>
      <c r="K39" s="1043">
        <f>+K25</f>
        <v>7.61</v>
      </c>
      <c r="L39" s="746" t="e">
        <f t="shared" si="1"/>
        <v>#REF!</v>
      </c>
      <c r="M39" s="747" t="e">
        <f t="shared" si="2"/>
        <v>#REF!</v>
      </c>
      <c r="N39" s="748">
        <f t="shared" si="3"/>
        <v>0</v>
      </c>
      <c r="O39" s="744" t="e">
        <f t="shared" si="4"/>
        <v>#REF!</v>
      </c>
      <c r="Q39" s="828">
        <v>50197.36</v>
      </c>
      <c r="R39" s="1014">
        <f t="shared" si="5"/>
        <v>50197.36</v>
      </c>
      <c r="S39" s="891">
        <f t="shared" si="6"/>
        <v>6323.3600000000006</v>
      </c>
      <c r="T39" s="751">
        <v>4689.4799999999996</v>
      </c>
      <c r="U39" s="828" t="e">
        <f t="shared" si="7"/>
        <v>#REF!</v>
      </c>
      <c r="V39" s="1014" t="e">
        <f t="shared" si="7"/>
        <v>#REF!</v>
      </c>
      <c r="W39" s="891"/>
      <c r="X39" s="1067">
        <v>371255.12</v>
      </c>
      <c r="Y39" s="1068">
        <v>176406.33</v>
      </c>
      <c r="Z39" s="1068">
        <f>+X39-Y39</f>
        <v>194848.79</v>
      </c>
      <c r="AA39" s="1068">
        <v>64800.34</v>
      </c>
      <c r="AB39" s="1068">
        <f t="shared" si="9"/>
        <v>130048.45000000001</v>
      </c>
    </row>
    <row r="40" spans="2:28" ht="11.25" customHeight="1" thickBot="1">
      <c r="B40" s="762"/>
      <c r="C40" s="1024"/>
      <c r="D40" s="764"/>
      <c r="E40" s="798"/>
      <c r="F40" s="804"/>
      <c r="G40" s="767"/>
      <c r="H40" s="768"/>
      <c r="I40" s="767"/>
      <c r="J40" s="769"/>
      <c r="K40" s="770"/>
      <c r="L40" s="771"/>
      <c r="M40" s="772"/>
      <c r="N40" s="773"/>
      <c r="O40" s="769"/>
      <c r="Q40" s="871">
        <f>SUM(Q25:Q39)</f>
        <v>531683.36499999999</v>
      </c>
      <c r="R40" s="896">
        <f>SUM(R25:R39)</f>
        <v>531683.36499999999</v>
      </c>
      <c r="S40" s="897">
        <f>SUM(S25:S39)</f>
        <v>258976.02500000002</v>
      </c>
      <c r="T40" s="751">
        <f>SUM(T25:T39)</f>
        <v>31304.345999999998</v>
      </c>
      <c r="U40" s="871" t="e">
        <f>SUM(U24:U39)</f>
        <v>#REF!</v>
      </c>
      <c r="V40" s="896" t="e">
        <f>SUM(V24:V39)</f>
        <v>#REF!</v>
      </c>
      <c r="W40" s="897" t="e">
        <f>+W24-V40</f>
        <v>#REF!</v>
      </c>
    </row>
    <row r="41" spans="2:28" ht="11.25" customHeight="1">
      <c r="B41" s="775"/>
      <c r="C41" s="776"/>
      <c r="D41" s="777"/>
      <c r="E41" s="777"/>
      <c r="F41" s="778"/>
      <c r="G41" s="779"/>
      <c r="H41" s="780">
        <f>SUM(H25:H40)</f>
        <v>790659.38999999978</v>
      </c>
      <c r="I41" s="779"/>
      <c r="J41" s="780">
        <f>SUM(J25:J40)</f>
        <v>0</v>
      </c>
      <c r="K41" s="781"/>
      <c r="L41" s="777"/>
      <c r="M41" s="778"/>
      <c r="N41" s="782">
        <f>SUM(N25:N40)</f>
        <v>0</v>
      </c>
      <c r="O41" s="783" t="e">
        <f>SUM(O25:O40)</f>
        <v>#REF!</v>
      </c>
      <c r="Q41" s="1654" t="str">
        <f>+IF(SUM(R25:R39)&gt;J42,"Revisar Metrado","OK")</f>
        <v>OK</v>
      </c>
      <c r="R41" s="1719"/>
      <c r="S41" s="1655"/>
      <c r="T41" s="751"/>
      <c r="U41" s="1069">
        <v>1122223.1299999999</v>
      </c>
      <c r="V41" s="1047" t="e">
        <f>+O41+U40</f>
        <v>#REF!</v>
      </c>
      <c r="W41" s="1007"/>
    </row>
    <row r="42" spans="2:28" ht="11.25" customHeight="1">
      <c r="B42" s="784"/>
      <c r="C42" s="785"/>
      <c r="G42" s="786"/>
      <c r="H42" s="787" t="s">
        <v>214</v>
      </c>
      <c r="I42" s="788"/>
      <c r="J42" s="899">
        <v>779907.66</v>
      </c>
      <c r="K42" s="751"/>
    </row>
    <row r="43" spans="2:28" ht="11.25" customHeight="1">
      <c r="B43" s="784"/>
      <c r="C43" s="700"/>
      <c r="J43" s="906" t="s">
        <v>307</v>
      </c>
      <c r="K43" s="832"/>
      <c r="L43" s="811"/>
      <c r="M43" s="811"/>
      <c r="N43" s="913">
        <f>+N41</f>
        <v>0</v>
      </c>
      <c r="O43" s="914" t="e">
        <f>+O41</f>
        <v>#REF!</v>
      </c>
      <c r="P43" s="751"/>
      <c r="Q43" s="751"/>
    </row>
    <row r="44" spans="2:28" ht="11.25" customHeight="1">
      <c r="B44" s="784"/>
      <c r="C44" s="785"/>
      <c r="H44" s="751"/>
      <c r="J44" s="906" t="s">
        <v>308</v>
      </c>
      <c r="K44" s="832"/>
      <c r="L44" s="474"/>
      <c r="M44" s="811"/>
      <c r="N44" s="808" t="e">
        <f>+IF(D$13&gt;C68,0,N43)</f>
        <v>#REF!</v>
      </c>
      <c r="O44" s="809" t="e">
        <f>+IF(D$13&gt;C68,0,O43)</f>
        <v>#REF!</v>
      </c>
    </row>
    <row r="45" spans="2:28" ht="11.25" customHeight="1">
      <c r="B45" s="784"/>
      <c r="C45" s="785"/>
      <c r="H45" s="751"/>
      <c r="J45"/>
      <c r="K45"/>
      <c r="L45"/>
      <c r="M45"/>
      <c r="N45"/>
      <c r="O45"/>
    </row>
    <row r="46" spans="2:28" ht="18">
      <c r="B46" s="1687" t="str">
        <f>+'Asfalto IU 13'!B32:O32</f>
        <v>C O N T R O L   D E L   A D E L A N T O   P A R A   M A T E R I A L E S   Nº 02</v>
      </c>
      <c r="C46" s="1687"/>
      <c r="D46" s="1687"/>
      <c r="E46" s="1687"/>
      <c r="F46" s="1687"/>
      <c r="G46" s="1687"/>
      <c r="H46" s="1687"/>
      <c r="I46" s="1687"/>
      <c r="J46" s="1687"/>
      <c r="K46" s="1687"/>
      <c r="L46" s="1687"/>
      <c r="M46" s="1687"/>
      <c r="N46" s="1687"/>
      <c r="O46" s="1687"/>
    </row>
    <row r="48" spans="2:28" ht="11.25" customHeight="1">
      <c r="B48" s="699" t="str">
        <f>+B14</f>
        <v>Material:</v>
      </c>
      <c r="C48" s="698" t="str">
        <f>+C14</f>
        <v>EQUIPO MECANICO</v>
      </c>
    </row>
    <row r="49" spans="2:15" ht="11.25" customHeight="1">
      <c r="B49" s="699" t="str">
        <f>+B15</f>
        <v>Indice Unificado:</v>
      </c>
      <c r="C49" s="698" t="str">
        <f>+C15</f>
        <v>49</v>
      </c>
      <c r="D49" s="705" t="s">
        <v>459</v>
      </c>
      <c r="E49" s="706"/>
      <c r="F49" s="1692" t="s">
        <v>451</v>
      </c>
      <c r="G49" s="1692"/>
    </row>
    <row r="50" spans="2:15" ht="11.25" customHeight="1">
      <c r="B50" s="698" t="str">
        <f>+B12</f>
        <v>Monto del Adelanto Especifico para COMBUSTIBLE</v>
      </c>
      <c r="D50" s="702">
        <f>+D12</f>
        <v>5447608.9900000002</v>
      </c>
      <c r="E50" s="706"/>
      <c r="F50" s="1691" t="e">
        <f>+D50-I84</f>
        <v>#REF!</v>
      </c>
      <c r="G50" s="1691"/>
    </row>
    <row r="51" spans="2:15" ht="11.25" customHeight="1">
      <c r="B51" s="698" t="s">
        <v>246</v>
      </c>
      <c r="C51" s="812"/>
      <c r="D51" s="702" t="e">
        <f>ROUND(D50/D54*D53,2)</f>
        <v>#REF!</v>
      </c>
      <c r="E51" s="706"/>
      <c r="F51" s="1691" t="e">
        <f>+D51-F84</f>
        <v>#REF!</v>
      </c>
      <c r="G51" s="1691"/>
    </row>
    <row r="52" spans="2:15" ht="11.25" customHeight="1">
      <c r="B52" s="698" t="str">
        <f>+B13</f>
        <v xml:space="preserve">Fecha de Pago del Adelanto  : </v>
      </c>
      <c r="D52" s="703" t="e">
        <f>+D13</f>
        <v>#REF!</v>
      </c>
      <c r="E52" s="706"/>
    </row>
    <row r="53" spans="2:15" ht="11.25" customHeight="1">
      <c r="B53" s="698" t="str">
        <f>+B16</f>
        <v>Indice INEI a la Fecha del P. Base   (Abril 2,009)</v>
      </c>
      <c r="D53" s="709" t="e">
        <f>+D16</f>
        <v>#REF!</v>
      </c>
      <c r="E53" s="121"/>
    </row>
    <row r="54" spans="2:15" ht="11.25" customHeight="1">
      <c r="B54" s="698" t="str">
        <f>+B17</f>
        <v>Indice INEI a la Fecha del Pago del Adelanto  (Setiembre 2,010)</v>
      </c>
      <c r="D54" s="709" t="e">
        <f>+D17</f>
        <v>#REF!</v>
      </c>
      <c r="E54" s="709"/>
    </row>
    <row r="55" spans="2:15" ht="11.25" customHeight="1">
      <c r="B55" s="698" t="s">
        <v>247</v>
      </c>
      <c r="D55" s="698">
        <v>0.497</v>
      </c>
    </row>
    <row r="56" spans="2:15" ht="11.25" customHeight="1">
      <c r="B56" s="698" t="s">
        <v>248</v>
      </c>
      <c r="D56" s="813">
        <v>0.51307999999999998</v>
      </c>
    </row>
    <row r="58" spans="2:15" ht="11.25" customHeight="1">
      <c r="B58" s="814" t="str">
        <f>+'Asfalto IU 13'!B44</f>
        <v>AMORTIZACION DEL ADELANTO DE MATERIALES Nº 02</v>
      </c>
    </row>
    <row r="60" spans="2:15" ht="11.25" customHeight="1">
      <c r="B60" s="1708" t="s">
        <v>250</v>
      </c>
      <c r="C60" s="1709"/>
      <c r="D60" s="1712" t="s">
        <v>251</v>
      </c>
      <c r="E60" s="1718"/>
      <c r="F60" s="1718"/>
      <c r="G60" s="1718"/>
      <c r="H60" s="1718"/>
      <c r="I60" s="1713"/>
      <c r="L60" s="815"/>
      <c r="M60" s="815"/>
    </row>
    <row r="61" spans="2:15" ht="11.25" customHeight="1">
      <c r="B61" s="1720"/>
      <c r="C61" s="1721"/>
      <c r="D61" s="1712" t="s">
        <v>252</v>
      </c>
      <c r="E61" s="1718"/>
      <c r="F61" s="1713"/>
      <c r="G61" s="1712" t="s">
        <v>253</v>
      </c>
      <c r="H61" s="1718"/>
      <c r="I61" s="1713"/>
    </row>
    <row r="62" spans="2:15" ht="11.25" customHeight="1">
      <c r="B62" s="1710"/>
      <c r="C62" s="1711"/>
      <c r="D62" s="1009" t="s">
        <v>254</v>
      </c>
      <c r="E62" s="1017" t="s">
        <v>451</v>
      </c>
      <c r="F62" s="1010" t="s">
        <v>255</v>
      </c>
      <c r="G62" s="1009" t="s">
        <v>254</v>
      </c>
      <c r="H62" s="1017" t="s">
        <v>451</v>
      </c>
      <c r="I62" s="1010" t="s">
        <v>255</v>
      </c>
      <c r="O62" s="751"/>
    </row>
    <row r="63" spans="2:15" ht="11.25" customHeight="1">
      <c r="B63" s="817" t="s">
        <v>256</v>
      </c>
      <c r="C63" s="818">
        <v>40298</v>
      </c>
      <c r="D63" s="819" t="e">
        <f>+D51</f>
        <v>#REF!</v>
      </c>
      <c r="E63" s="820" t="e">
        <f t="shared" ref="E63:E81" si="11">+D63-F63</f>
        <v>#REF!</v>
      </c>
      <c r="F63" s="821"/>
      <c r="G63" s="819">
        <f>+D50</f>
        <v>5447608.9900000002</v>
      </c>
      <c r="H63" s="820">
        <f t="shared" ref="H63:H81" si="12">+G63-I63</f>
        <v>5447608.9900000002</v>
      </c>
      <c r="I63" s="821"/>
      <c r="O63" s="751"/>
    </row>
    <row r="64" spans="2:15" ht="11.25" customHeight="1">
      <c r="B64" s="822" t="s">
        <v>257</v>
      </c>
      <c r="C64" s="823">
        <v>40329</v>
      </c>
      <c r="D64" s="824" t="e">
        <f>+D63</f>
        <v>#REF!</v>
      </c>
      <c r="E64" s="825" t="e">
        <f t="shared" si="11"/>
        <v>#REF!</v>
      </c>
      <c r="F64" s="744"/>
      <c r="G64" s="824">
        <f>+G63</f>
        <v>5447608.9900000002</v>
      </c>
      <c r="H64" s="825">
        <f t="shared" si="12"/>
        <v>5447608.9900000002</v>
      </c>
      <c r="I64" s="744"/>
      <c r="J64" s="751"/>
      <c r="O64" s="751"/>
    </row>
    <row r="65" spans="2:15" ht="11.25" customHeight="1">
      <c r="B65" s="822" t="s">
        <v>258</v>
      </c>
      <c r="C65" s="823">
        <v>40359</v>
      </c>
      <c r="D65" s="824" t="e">
        <f t="shared" ref="D65:D81" si="13">+E64</f>
        <v>#REF!</v>
      </c>
      <c r="E65" s="825" t="e">
        <f t="shared" si="11"/>
        <v>#REF!</v>
      </c>
      <c r="F65" s="744"/>
      <c r="G65" s="824">
        <f t="shared" ref="G65:G81" si="14">+H64</f>
        <v>5447608.9900000002</v>
      </c>
      <c r="H65" s="825">
        <f t="shared" si="12"/>
        <v>5447608.9900000002</v>
      </c>
      <c r="I65" s="744"/>
      <c r="J65" s="751"/>
      <c r="O65" s="751"/>
    </row>
    <row r="66" spans="2:15" ht="11.25" customHeight="1">
      <c r="B66" s="822" t="s">
        <v>259</v>
      </c>
      <c r="C66" s="823">
        <v>40390</v>
      </c>
      <c r="D66" s="824" t="e">
        <f t="shared" si="13"/>
        <v>#REF!</v>
      </c>
      <c r="E66" s="825" t="e">
        <f t="shared" si="11"/>
        <v>#REF!</v>
      </c>
      <c r="F66" s="744"/>
      <c r="G66" s="824">
        <f t="shared" si="14"/>
        <v>5447608.9900000002</v>
      </c>
      <c r="H66" s="825">
        <f t="shared" si="12"/>
        <v>5447608.9900000002</v>
      </c>
      <c r="I66" s="744"/>
      <c r="J66" s="751"/>
      <c r="O66" s="751"/>
    </row>
    <row r="67" spans="2:15" ht="11.25" customHeight="1">
      <c r="B67" s="822" t="s">
        <v>260</v>
      </c>
      <c r="C67" s="823">
        <v>40421</v>
      </c>
      <c r="D67" s="824" t="e">
        <f t="shared" si="13"/>
        <v>#REF!</v>
      </c>
      <c r="E67" s="825" t="e">
        <f t="shared" si="11"/>
        <v>#REF!</v>
      </c>
      <c r="F67" s="744"/>
      <c r="G67" s="824">
        <f t="shared" si="14"/>
        <v>5447608.9900000002</v>
      </c>
      <c r="H67" s="825">
        <f t="shared" si="12"/>
        <v>5447608.9900000002</v>
      </c>
      <c r="I67" s="744"/>
      <c r="J67" s="751"/>
      <c r="O67" s="751"/>
    </row>
    <row r="68" spans="2:15" ht="11.25" customHeight="1">
      <c r="B68" s="822" t="s">
        <v>261</v>
      </c>
      <c r="C68" s="823">
        <v>40451</v>
      </c>
      <c r="D68" s="824" t="e">
        <f t="shared" si="13"/>
        <v>#REF!</v>
      </c>
      <c r="E68" s="825" t="e">
        <f t="shared" si="11"/>
        <v>#REF!</v>
      </c>
      <c r="F68" s="744">
        <v>514561.8</v>
      </c>
      <c r="G68" s="824">
        <f t="shared" si="14"/>
        <v>5447608.9900000002</v>
      </c>
      <c r="H68" s="825">
        <f t="shared" si="12"/>
        <v>4980955.8100000005</v>
      </c>
      <c r="I68" s="744">
        <v>466653.18</v>
      </c>
      <c r="J68" s="751"/>
      <c r="O68" s="751"/>
    </row>
    <row r="69" spans="2:15" ht="11.25" customHeight="1">
      <c r="B69" s="822" t="s">
        <v>262</v>
      </c>
      <c r="C69" s="823">
        <v>40482</v>
      </c>
      <c r="D69" s="824" t="e">
        <f t="shared" si="13"/>
        <v>#REF!</v>
      </c>
      <c r="E69" s="825" t="e">
        <f t="shared" si="11"/>
        <v>#REF!</v>
      </c>
      <c r="F69" s="744">
        <v>725981.59999999986</v>
      </c>
      <c r="G69" s="824">
        <f t="shared" si="14"/>
        <v>4980955.8100000005</v>
      </c>
      <c r="H69" s="825">
        <f t="shared" si="12"/>
        <v>4325385.8600000003</v>
      </c>
      <c r="I69" s="744">
        <v>655569.94999999995</v>
      </c>
      <c r="J69" s="751"/>
      <c r="O69" s="751"/>
    </row>
    <row r="70" spans="2:15" ht="11.25" customHeight="1">
      <c r="B70" s="822" t="s">
        <v>263</v>
      </c>
      <c r="C70" s="823">
        <v>40512</v>
      </c>
      <c r="D70" s="824" t="e">
        <f t="shared" si="13"/>
        <v>#REF!</v>
      </c>
      <c r="E70" s="825" t="e">
        <f t="shared" si="11"/>
        <v>#REF!</v>
      </c>
      <c r="F70" s="744">
        <v>439926.72</v>
      </c>
      <c r="G70" s="824">
        <f t="shared" si="14"/>
        <v>4325385.8600000003</v>
      </c>
      <c r="H70" s="825">
        <f t="shared" si="12"/>
        <v>3928126.8400000003</v>
      </c>
      <c r="I70" s="744">
        <v>397259.02</v>
      </c>
      <c r="O70" s="751"/>
    </row>
    <row r="71" spans="2:15" ht="11.25" customHeight="1">
      <c r="B71" s="822" t="s">
        <v>264</v>
      </c>
      <c r="C71" s="823">
        <v>40543</v>
      </c>
      <c r="D71" s="824" t="e">
        <f t="shared" si="13"/>
        <v>#REF!</v>
      </c>
      <c r="E71" s="825" t="e">
        <f t="shared" si="11"/>
        <v>#REF!</v>
      </c>
      <c r="F71" s="744">
        <v>372927.82</v>
      </c>
      <c r="G71" s="824">
        <f t="shared" si="14"/>
        <v>3928126.8400000003</v>
      </c>
      <c r="H71" s="825">
        <f t="shared" si="12"/>
        <v>3591368.6300000004</v>
      </c>
      <c r="I71" s="744">
        <v>336758.21</v>
      </c>
      <c r="O71" s="751"/>
    </row>
    <row r="72" spans="2:15" ht="11.25" customHeight="1">
      <c r="B72" s="822" t="s">
        <v>265</v>
      </c>
      <c r="C72" s="823">
        <v>40574</v>
      </c>
      <c r="D72" s="824" t="e">
        <f t="shared" si="13"/>
        <v>#REF!</v>
      </c>
      <c r="E72" s="825" t="e">
        <f t="shared" si="11"/>
        <v>#REF!</v>
      </c>
      <c r="F72" s="744">
        <v>30122.14</v>
      </c>
      <c r="G72" s="824">
        <f t="shared" si="14"/>
        <v>3591368.6300000004</v>
      </c>
      <c r="H72" s="825">
        <f t="shared" si="12"/>
        <v>3564167.99</v>
      </c>
      <c r="I72" s="744">
        <v>27200.639999999999</v>
      </c>
      <c r="O72" s="751"/>
    </row>
    <row r="73" spans="2:15" ht="11.25" customHeight="1">
      <c r="B73" s="822" t="s">
        <v>266</v>
      </c>
      <c r="C73" s="823">
        <v>40602</v>
      </c>
      <c r="D73" s="824" t="e">
        <f t="shared" si="13"/>
        <v>#REF!</v>
      </c>
      <c r="E73" s="825" t="e">
        <f t="shared" si="11"/>
        <v>#REF!</v>
      </c>
      <c r="F73" s="744">
        <v>135794.89000000001</v>
      </c>
      <c r="G73" s="824">
        <f t="shared" si="14"/>
        <v>3564167.99</v>
      </c>
      <c r="H73" s="825">
        <f t="shared" si="12"/>
        <v>3441543.6</v>
      </c>
      <c r="I73" s="744">
        <v>122624.39</v>
      </c>
      <c r="O73" s="751"/>
    </row>
    <row r="74" spans="2:15" ht="11.25" customHeight="1">
      <c r="B74" s="822" t="s">
        <v>267</v>
      </c>
      <c r="C74" s="823">
        <v>40633</v>
      </c>
      <c r="D74" s="824" t="e">
        <f t="shared" si="13"/>
        <v>#REF!</v>
      </c>
      <c r="E74" s="825" t="e">
        <f t="shared" si="11"/>
        <v>#REF!</v>
      </c>
      <c r="F74" s="744">
        <v>40695.39</v>
      </c>
      <c r="G74" s="824">
        <f t="shared" si="14"/>
        <v>3441543.6</v>
      </c>
      <c r="H74" s="825">
        <f t="shared" si="12"/>
        <v>3404795.19</v>
      </c>
      <c r="I74" s="744">
        <v>36748.410000000003</v>
      </c>
      <c r="O74" s="751"/>
    </row>
    <row r="75" spans="2:15" ht="11.25" customHeight="1">
      <c r="B75" s="822" t="s">
        <v>268</v>
      </c>
      <c r="C75" s="823">
        <v>40663</v>
      </c>
      <c r="D75" s="824" t="e">
        <f t="shared" si="13"/>
        <v>#REF!</v>
      </c>
      <c r="E75" s="825" t="e">
        <f t="shared" si="11"/>
        <v>#REF!</v>
      </c>
      <c r="F75" s="744">
        <v>161494.39000000001</v>
      </c>
      <c r="G75" s="824">
        <f t="shared" si="14"/>
        <v>3404795.19</v>
      </c>
      <c r="H75" s="825">
        <f t="shared" si="12"/>
        <v>3258963.84</v>
      </c>
      <c r="I75" s="744">
        <v>145831.35</v>
      </c>
      <c r="O75" s="751"/>
    </row>
    <row r="76" spans="2:15" ht="11.25" customHeight="1">
      <c r="B76" s="822" t="s">
        <v>269</v>
      </c>
      <c r="C76" s="823">
        <v>40694</v>
      </c>
      <c r="D76" s="824" t="e">
        <f t="shared" si="13"/>
        <v>#REF!</v>
      </c>
      <c r="E76" s="825" t="e">
        <f t="shared" si="11"/>
        <v>#REF!</v>
      </c>
      <c r="F76" s="744">
        <v>512156.82</v>
      </c>
      <c r="G76" s="824">
        <f t="shared" si="14"/>
        <v>3258963.84</v>
      </c>
      <c r="H76" s="825">
        <f t="shared" si="12"/>
        <v>2796480.1999999997</v>
      </c>
      <c r="I76" s="744">
        <v>462483.64</v>
      </c>
      <c r="O76" s="751"/>
    </row>
    <row r="77" spans="2:15" ht="11.25" customHeight="1">
      <c r="B77" s="822" t="s">
        <v>270</v>
      </c>
      <c r="C77" s="823">
        <v>40724</v>
      </c>
      <c r="D77" s="824" t="e">
        <f t="shared" si="13"/>
        <v>#REF!</v>
      </c>
      <c r="E77" s="825" t="e">
        <f t="shared" si="11"/>
        <v>#REF!</v>
      </c>
      <c r="F77" s="744">
        <v>1112448.8700000001</v>
      </c>
      <c r="G77" s="824">
        <f t="shared" si="14"/>
        <v>2796480.1999999997</v>
      </c>
      <c r="H77" s="825">
        <f t="shared" si="12"/>
        <v>1791925.7399999998</v>
      </c>
      <c r="I77" s="744">
        <v>1004554.46</v>
      </c>
      <c r="O77" s="751"/>
    </row>
    <row r="78" spans="2:15" ht="11.25" customHeight="1">
      <c r="B78" s="822" t="s">
        <v>271</v>
      </c>
      <c r="C78" s="823">
        <v>40755</v>
      </c>
      <c r="D78" s="824" t="e">
        <f t="shared" si="13"/>
        <v>#REF!</v>
      </c>
      <c r="E78" s="825" t="e">
        <f t="shared" si="11"/>
        <v>#REF!</v>
      </c>
      <c r="F78" s="744" t="e">
        <f>+IF(D$13&gt;C78,0,N$44)</f>
        <v>#REF!</v>
      </c>
      <c r="G78" s="824">
        <f t="shared" si="14"/>
        <v>1791925.7399999998</v>
      </c>
      <c r="H78" s="825" t="e">
        <f t="shared" si="12"/>
        <v>#REF!</v>
      </c>
      <c r="I78" s="744" t="e">
        <f>+IF(D$13&gt;C78,0,O$44)</f>
        <v>#REF!</v>
      </c>
      <c r="O78" s="751"/>
    </row>
    <row r="79" spans="2:15" ht="11.25" customHeight="1">
      <c r="B79" s="822" t="s">
        <v>272</v>
      </c>
      <c r="C79" s="823">
        <v>40786</v>
      </c>
      <c r="D79" s="824" t="e">
        <f t="shared" si="13"/>
        <v>#REF!</v>
      </c>
      <c r="E79" s="825" t="e">
        <f t="shared" si="11"/>
        <v>#REF!</v>
      </c>
      <c r="F79" s="744"/>
      <c r="G79" s="824" t="e">
        <f t="shared" si="14"/>
        <v>#REF!</v>
      </c>
      <c r="H79" s="825" t="e">
        <f t="shared" si="12"/>
        <v>#REF!</v>
      </c>
      <c r="I79" s="744"/>
      <c r="O79" s="751"/>
    </row>
    <row r="80" spans="2:15" ht="11.25" customHeight="1">
      <c r="B80" s="822" t="s">
        <v>273</v>
      </c>
      <c r="C80" s="823">
        <v>40816</v>
      </c>
      <c r="D80" s="824" t="e">
        <f t="shared" si="13"/>
        <v>#REF!</v>
      </c>
      <c r="E80" s="825" t="e">
        <f t="shared" si="11"/>
        <v>#REF!</v>
      </c>
      <c r="F80" s="744"/>
      <c r="G80" s="824" t="e">
        <f t="shared" si="14"/>
        <v>#REF!</v>
      </c>
      <c r="H80" s="825" t="e">
        <f t="shared" si="12"/>
        <v>#REF!</v>
      </c>
      <c r="I80" s="744"/>
      <c r="O80" s="751"/>
    </row>
    <row r="81" spans="2:18" ht="11.25" customHeight="1">
      <c r="B81" s="822" t="s">
        <v>1014</v>
      </c>
      <c r="C81" s="823">
        <v>40826</v>
      </c>
      <c r="D81" s="824" t="e">
        <f t="shared" si="13"/>
        <v>#REF!</v>
      </c>
      <c r="E81" s="825" t="e">
        <f t="shared" si="11"/>
        <v>#REF!</v>
      </c>
      <c r="F81" s="744"/>
      <c r="G81" s="824" t="e">
        <f t="shared" si="14"/>
        <v>#REF!</v>
      </c>
      <c r="H81" s="825" t="e">
        <f t="shared" si="12"/>
        <v>#REF!</v>
      </c>
      <c r="I81" s="744"/>
      <c r="O81" s="751"/>
    </row>
    <row r="82" spans="2:18" ht="11.25" customHeight="1">
      <c r="B82" s="822"/>
      <c r="C82" s="823"/>
      <c r="D82" s="824"/>
      <c r="E82" s="825"/>
      <c r="F82" s="744"/>
      <c r="G82" s="824"/>
      <c r="H82" s="825"/>
      <c r="I82" s="744"/>
      <c r="O82" s="751"/>
    </row>
    <row r="83" spans="2:18" ht="11.25" customHeight="1">
      <c r="B83" s="826"/>
      <c r="C83" s="827"/>
      <c r="D83" s="828"/>
      <c r="E83" s="829"/>
      <c r="F83" s="830"/>
      <c r="G83" s="828"/>
      <c r="H83" s="829"/>
      <c r="I83" s="830"/>
      <c r="O83" s="751"/>
    </row>
    <row r="84" spans="2:18" ht="11.25" customHeight="1">
      <c r="B84" s="700"/>
      <c r="C84" s="700"/>
      <c r="D84" s="831" t="s">
        <v>274</v>
      </c>
      <c r="E84" s="788"/>
      <c r="F84" s="832" t="e">
        <f>SUM(F63:F83)</f>
        <v>#REF!</v>
      </c>
      <c r="G84" s="786"/>
      <c r="H84" s="832"/>
      <c r="I84" s="833" t="e">
        <f>SUM(I64:I83)</f>
        <v>#REF!</v>
      </c>
      <c r="O84" s="751"/>
    </row>
    <row r="86" spans="2:18" ht="11.25" customHeight="1">
      <c r="B86" s="814" t="str">
        <f>+'Asfalto IU 13'!B72</f>
        <v>DEDUCCION POR REAJUSTE QUE NO CORRESPONDE DEL ADELANTO DE MATERIALES Nº 02</v>
      </c>
    </row>
    <row r="87" spans="2:18" ht="11.25" customHeight="1">
      <c r="B87" s="834" t="s">
        <v>276</v>
      </c>
    </row>
    <row r="88" spans="2:18" ht="11.25" customHeight="1">
      <c r="B88" s="835" t="s">
        <v>277</v>
      </c>
      <c r="C88" s="715"/>
      <c r="D88" s="715"/>
      <c r="E88" s="715"/>
      <c r="F88" s="715"/>
      <c r="G88" s="715"/>
      <c r="H88" s="715"/>
      <c r="I88" s="715"/>
      <c r="J88" s="715"/>
      <c r="K88" s="715"/>
      <c r="L88" s="715"/>
      <c r="M88" s="715"/>
    </row>
    <row r="89" spans="2:18" ht="11.25" customHeight="1">
      <c r="B89" s="1708" t="s">
        <v>250</v>
      </c>
      <c r="C89" s="1709"/>
      <c r="D89" s="1708" t="s">
        <v>278</v>
      </c>
      <c r="E89" s="1714" t="s">
        <v>279</v>
      </c>
      <c r="F89" s="1712" t="s">
        <v>135</v>
      </c>
      <c r="G89" s="1713"/>
      <c r="H89" s="1723" t="s">
        <v>280</v>
      </c>
      <c r="I89" s="1724"/>
      <c r="J89" s="1725"/>
      <c r="K89" s="1708" t="s">
        <v>281</v>
      </c>
      <c r="L89" s="1726"/>
      <c r="M89" s="1709"/>
      <c r="N89" s="1714" t="s">
        <v>282</v>
      </c>
      <c r="P89" s="1654" t="s">
        <v>136</v>
      </c>
      <c r="Q89" s="1655"/>
    </row>
    <row r="90" spans="2:18" ht="11.25" customHeight="1">
      <c r="B90" s="1710"/>
      <c r="C90" s="1711"/>
      <c r="D90" s="1710"/>
      <c r="E90" s="1715"/>
      <c r="F90" s="1018" t="s">
        <v>283</v>
      </c>
      <c r="G90" s="1018" t="s">
        <v>385</v>
      </c>
      <c r="H90" s="1010" t="s">
        <v>254</v>
      </c>
      <c r="I90" s="1010" t="s">
        <v>284</v>
      </c>
      <c r="J90" s="1009" t="s">
        <v>451</v>
      </c>
      <c r="K90" s="1018" t="s">
        <v>468</v>
      </c>
      <c r="L90" s="1010" t="s">
        <v>467</v>
      </c>
      <c r="M90" s="1010" t="s">
        <v>285</v>
      </c>
      <c r="N90" s="1722"/>
      <c r="P90" s="911" t="s">
        <v>456</v>
      </c>
      <c r="Q90" s="839" t="s">
        <v>286</v>
      </c>
    </row>
    <row r="91" spans="2:18" ht="11.25" customHeight="1">
      <c r="B91" s="822" t="str">
        <f t="shared" ref="B91:C109" si="15">+B63</f>
        <v>VAL. 01</v>
      </c>
      <c r="C91" s="901">
        <f t="shared" si="15"/>
        <v>40298</v>
      </c>
      <c r="D91" s="824">
        <f>+'Cemento Port I IU 21'!D423</f>
        <v>78066.42</v>
      </c>
      <c r="E91" s="840">
        <f t="shared" ref="E91:E109" si="16">+H63</f>
        <v>5447608.9900000002</v>
      </c>
      <c r="F91" s="841">
        <f>+D55</f>
        <v>0.497</v>
      </c>
      <c r="G91" s="842">
        <f>+D$56</f>
        <v>0.51307999999999998</v>
      </c>
      <c r="H91" s="843" t="e">
        <f>+D51</f>
        <v>#REF!</v>
      </c>
      <c r="I91" s="744" t="e">
        <f>+IF(D$13&gt;C91,0,ROUND(D91*F91*G91,2))</f>
        <v>#REF!</v>
      </c>
      <c r="J91" s="824" t="e">
        <f>+H91-I91</f>
        <v>#REF!</v>
      </c>
      <c r="K91" s="843" t="e">
        <f t="shared" ref="K91:K109" si="17">+D$53</f>
        <v>#REF!</v>
      </c>
      <c r="L91" s="744"/>
      <c r="M91" s="744"/>
      <c r="N91" s="1019" t="e">
        <f t="shared" ref="N91:N109" si="18">+ROUND(I91*(M91-L91)/K91,2)</f>
        <v>#REF!</v>
      </c>
      <c r="O91" s="709"/>
      <c r="P91" s="845">
        <v>40238</v>
      </c>
      <c r="Q91" s="845">
        <v>40299</v>
      </c>
      <c r="R91" s="698" t="s">
        <v>996</v>
      </c>
    </row>
    <row r="92" spans="2:18" ht="11.25" customHeight="1">
      <c r="B92" s="822" t="str">
        <f t="shared" si="15"/>
        <v>VAL. 02</v>
      </c>
      <c r="C92" s="901">
        <f t="shared" si="15"/>
        <v>40329</v>
      </c>
      <c r="D92" s="824">
        <f>+'Cemento Port I IU 21'!D424</f>
        <v>1302063.97</v>
      </c>
      <c r="E92" s="843">
        <f t="shared" si="16"/>
        <v>5447608.9900000002</v>
      </c>
      <c r="F92" s="841">
        <f t="shared" ref="F92:F109" si="19">+F91</f>
        <v>0.497</v>
      </c>
      <c r="G92" s="842">
        <f t="shared" ref="G92:G109" si="20">+G91</f>
        <v>0.51307999999999998</v>
      </c>
      <c r="H92" s="843" t="e">
        <f t="shared" ref="H92:H109" si="21">+J91</f>
        <v>#REF!</v>
      </c>
      <c r="I92" s="744" t="e">
        <f t="shared" ref="I92:I109" si="22">+IF(D$13&gt;C92,0,IF(ROUND(D92*F92*G92,2)&gt;J91,J91,ROUND(D92*F92*G92,2)))</f>
        <v>#REF!</v>
      </c>
      <c r="J92" s="824" t="e">
        <f>+H92-I92</f>
        <v>#REF!</v>
      </c>
      <c r="K92" s="843" t="e">
        <f t="shared" si="17"/>
        <v>#REF!</v>
      </c>
      <c r="L92" s="744"/>
      <c r="M92" s="744"/>
      <c r="N92" s="1019" t="e">
        <f t="shared" si="18"/>
        <v>#REF!</v>
      </c>
      <c r="O92" s="709"/>
      <c r="P92" s="845">
        <v>40269</v>
      </c>
      <c r="Q92" s="845">
        <v>40330</v>
      </c>
      <c r="R92" s="698" t="s">
        <v>996</v>
      </c>
    </row>
    <row r="93" spans="2:18" ht="11.25" customHeight="1">
      <c r="B93" s="822" t="str">
        <f t="shared" si="15"/>
        <v>VAL. 03</v>
      </c>
      <c r="C93" s="901">
        <f t="shared" si="15"/>
        <v>40359</v>
      </c>
      <c r="D93" s="824">
        <f>+'Cemento Port I IU 21'!D425</f>
        <v>1388847.16</v>
      </c>
      <c r="E93" s="843">
        <f t="shared" si="16"/>
        <v>5447608.9900000002</v>
      </c>
      <c r="F93" s="841">
        <f t="shared" si="19"/>
        <v>0.497</v>
      </c>
      <c r="G93" s="842">
        <f t="shared" si="20"/>
        <v>0.51307999999999998</v>
      </c>
      <c r="H93" s="843" t="e">
        <f t="shared" si="21"/>
        <v>#REF!</v>
      </c>
      <c r="I93" s="744" t="e">
        <f t="shared" si="22"/>
        <v>#REF!</v>
      </c>
      <c r="J93" s="824" t="e">
        <f t="shared" ref="J93:J109" si="23">+J92-I93</f>
        <v>#REF!</v>
      </c>
      <c r="K93" s="843" t="e">
        <f t="shared" si="17"/>
        <v>#REF!</v>
      </c>
      <c r="L93" s="744"/>
      <c r="M93" s="744"/>
      <c r="N93" s="1019" t="e">
        <f t="shared" si="18"/>
        <v>#REF!</v>
      </c>
      <c r="O93" s="709"/>
      <c r="P93" s="845">
        <v>40299</v>
      </c>
      <c r="Q93" s="845">
        <v>40360</v>
      </c>
      <c r="R93" s="698" t="s">
        <v>996</v>
      </c>
    </row>
    <row r="94" spans="2:18" ht="11.25" customHeight="1">
      <c r="B94" s="822" t="str">
        <f t="shared" si="15"/>
        <v>VAL. 04</v>
      </c>
      <c r="C94" s="901">
        <f t="shared" si="15"/>
        <v>40390</v>
      </c>
      <c r="D94" s="824">
        <f>+'Cemento Port I IU 21'!D426</f>
        <v>0</v>
      </c>
      <c r="E94" s="843">
        <f t="shared" si="16"/>
        <v>5447608.9900000002</v>
      </c>
      <c r="F94" s="841">
        <f t="shared" si="19"/>
        <v>0.497</v>
      </c>
      <c r="G94" s="842">
        <f t="shared" si="20"/>
        <v>0.51307999999999998</v>
      </c>
      <c r="H94" s="843" t="e">
        <f t="shared" si="21"/>
        <v>#REF!</v>
      </c>
      <c r="I94" s="744" t="e">
        <f t="shared" si="22"/>
        <v>#REF!</v>
      </c>
      <c r="J94" s="824" t="e">
        <f t="shared" si="23"/>
        <v>#REF!</v>
      </c>
      <c r="K94" s="843" t="e">
        <f t="shared" si="17"/>
        <v>#REF!</v>
      </c>
      <c r="L94" s="744"/>
      <c r="M94" s="744"/>
      <c r="N94" s="1019" t="e">
        <f t="shared" si="18"/>
        <v>#REF!</v>
      </c>
      <c r="O94" s="709"/>
      <c r="P94" s="845">
        <v>40330</v>
      </c>
      <c r="Q94" s="845">
        <v>40391</v>
      </c>
      <c r="R94" s="698" t="s">
        <v>996</v>
      </c>
    </row>
    <row r="95" spans="2:18" ht="11.25" customHeight="1">
      <c r="B95" s="822" t="str">
        <f t="shared" si="15"/>
        <v>VAL. 05</v>
      </c>
      <c r="C95" s="901">
        <f t="shared" si="15"/>
        <v>40421</v>
      </c>
      <c r="D95" s="824">
        <f>+'Cemento Port I IU 21'!D427</f>
        <v>0</v>
      </c>
      <c r="E95" s="843">
        <f t="shared" si="16"/>
        <v>5447608.9900000002</v>
      </c>
      <c r="F95" s="841">
        <f t="shared" si="19"/>
        <v>0.497</v>
      </c>
      <c r="G95" s="842">
        <f t="shared" si="20"/>
        <v>0.51307999999999998</v>
      </c>
      <c r="H95" s="843" t="e">
        <f t="shared" si="21"/>
        <v>#REF!</v>
      </c>
      <c r="I95" s="744" t="e">
        <f t="shared" si="22"/>
        <v>#REF!</v>
      </c>
      <c r="J95" s="824" t="e">
        <f t="shared" si="23"/>
        <v>#REF!</v>
      </c>
      <c r="K95" s="843" t="e">
        <f t="shared" si="17"/>
        <v>#REF!</v>
      </c>
      <c r="L95" s="744"/>
      <c r="M95" s="744"/>
      <c r="N95" s="1019" t="e">
        <f t="shared" si="18"/>
        <v>#REF!</v>
      </c>
      <c r="O95" s="709"/>
      <c r="P95" s="845">
        <v>40360</v>
      </c>
      <c r="Q95" s="845">
        <v>40422</v>
      </c>
    </row>
    <row r="96" spans="2:18" ht="11.25" customHeight="1">
      <c r="B96" s="822" t="str">
        <f t="shared" si="15"/>
        <v>VAL. 06</v>
      </c>
      <c r="C96" s="901">
        <f t="shared" si="15"/>
        <v>40451</v>
      </c>
      <c r="D96" s="824">
        <f>+'Cemento Port I IU 21'!D428</f>
        <v>0</v>
      </c>
      <c r="E96" s="843">
        <f t="shared" si="16"/>
        <v>4980955.8100000005</v>
      </c>
      <c r="F96" s="841">
        <f t="shared" si="19"/>
        <v>0.497</v>
      </c>
      <c r="G96" s="842">
        <f t="shared" si="20"/>
        <v>0.51307999999999998</v>
      </c>
      <c r="H96" s="843" t="e">
        <f t="shared" si="21"/>
        <v>#REF!</v>
      </c>
      <c r="I96" s="744" t="e">
        <f t="shared" si="22"/>
        <v>#REF!</v>
      </c>
      <c r="J96" s="824" t="e">
        <f t="shared" si="23"/>
        <v>#REF!</v>
      </c>
      <c r="K96" s="843" t="e">
        <f t="shared" si="17"/>
        <v>#REF!</v>
      </c>
      <c r="L96" s="744" t="e">
        <f t="shared" ref="L96:L109" si="24">+D$54</f>
        <v>#REF!</v>
      </c>
      <c r="M96" s="744" t="e">
        <f>+K!#REF!</f>
        <v>#REF!</v>
      </c>
      <c r="N96" s="1019" t="e">
        <f t="shared" si="18"/>
        <v>#REF!</v>
      </c>
      <c r="O96" s="709"/>
      <c r="P96" s="845">
        <v>40391</v>
      </c>
      <c r="Q96" s="845">
        <v>40452</v>
      </c>
    </row>
    <row r="97" spans="2:17" ht="11.25" customHeight="1">
      <c r="B97" s="822" t="str">
        <f t="shared" si="15"/>
        <v>VAL. 07</v>
      </c>
      <c r="C97" s="901">
        <f t="shared" si="15"/>
        <v>40482</v>
      </c>
      <c r="D97" s="824" t="e">
        <f>+'Cemento Port I IU 21'!D429</f>
        <v>#REF!</v>
      </c>
      <c r="E97" s="843">
        <f t="shared" si="16"/>
        <v>4325385.8600000003</v>
      </c>
      <c r="F97" s="841">
        <f t="shared" si="19"/>
        <v>0.497</v>
      </c>
      <c r="G97" s="842">
        <f t="shared" si="20"/>
        <v>0.51307999999999998</v>
      </c>
      <c r="H97" s="843" t="e">
        <f t="shared" si="21"/>
        <v>#REF!</v>
      </c>
      <c r="I97" s="744" t="e">
        <f t="shared" si="22"/>
        <v>#REF!</v>
      </c>
      <c r="J97" s="824" t="e">
        <f t="shared" si="23"/>
        <v>#REF!</v>
      </c>
      <c r="K97" s="843" t="e">
        <f t="shared" si="17"/>
        <v>#REF!</v>
      </c>
      <c r="L97" s="744" t="e">
        <f t="shared" si="24"/>
        <v>#REF!</v>
      </c>
      <c r="M97" s="744" t="e">
        <f>+K!#REF!</f>
        <v>#REF!</v>
      </c>
      <c r="N97" s="1019" t="e">
        <f>+ROUND(I97*(M97-L97)/K97,2)</f>
        <v>#REF!</v>
      </c>
      <c r="O97" s="709"/>
      <c r="P97" s="845">
        <v>40422</v>
      </c>
      <c r="Q97" s="845">
        <v>40483</v>
      </c>
    </row>
    <row r="98" spans="2:17" ht="11.25" customHeight="1">
      <c r="B98" s="822" t="str">
        <f t="shared" si="15"/>
        <v>VAL. 08</v>
      </c>
      <c r="C98" s="901">
        <f t="shared" si="15"/>
        <v>40512</v>
      </c>
      <c r="D98" s="824" t="e">
        <f>+'Cemento Port I IU 21'!D430</f>
        <v>#REF!</v>
      </c>
      <c r="E98" s="849">
        <f t="shared" si="16"/>
        <v>3928126.8400000003</v>
      </c>
      <c r="F98" s="841">
        <f t="shared" si="19"/>
        <v>0.497</v>
      </c>
      <c r="G98" s="842">
        <f t="shared" si="20"/>
        <v>0.51307999999999998</v>
      </c>
      <c r="H98" s="849" t="e">
        <f t="shared" si="21"/>
        <v>#REF!</v>
      </c>
      <c r="I98" s="744" t="e">
        <f t="shared" si="22"/>
        <v>#REF!</v>
      </c>
      <c r="J98" s="847" t="e">
        <f t="shared" si="23"/>
        <v>#REF!</v>
      </c>
      <c r="K98" s="849" t="e">
        <f t="shared" si="17"/>
        <v>#REF!</v>
      </c>
      <c r="L98" s="852" t="e">
        <f t="shared" si="24"/>
        <v>#REF!</v>
      </c>
      <c r="M98" s="744" t="e">
        <f>+K!#REF!</f>
        <v>#REF!</v>
      </c>
      <c r="N98" s="1019" t="e">
        <f t="shared" si="18"/>
        <v>#REF!</v>
      </c>
      <c r="P98" s="845">
        <v>40452</v>
      </c>
      <c r="Q98" s="845">
        <v>40513</v>
      </c>
    </row>
    <row r="99" spans="2:17" ht="11.25" customHeight="1">
      <c r="B99" s="822" t="str">
        <f t="shared" si="15"/>
        <v>VAL. 09</v>
      </c>
      <c r="C99" s="901">
        <f t="shared" si="15"/>
        <v>40543</v>
      </c>
      <c r="D99" s="824" t="e">
        <f>+'Cemento Port I IU 21'!D431</f>
        <v>#REF!</v>
      </c>
      <c r="E99" s="849">
        <f t="shared" si="16"/>
        <v>3591368.6300000004</v>
      </c>
      <c r="F99" s="841">
        <f t="shared" si="19"/>
        <v>0.497</v>
      </c>
      <c r="G99" s="842">
        <f t="shared" si="20"/>
        <v>0.51307999999999998</v>
      </c>
      <c r="H99" s="849" t="e">
        <f t="shared" si="21"/>
        <v>#REF!</v>
      </c>
      <c r="I99" s="744" t="e">
        <f t="shared" si="22"/>
        <v>#REF!</v>
      </c>
      <c r="J99" s="847" t="e">
        <f t="shared" si="23"/>
        <v>#REF!</v>
      </c>
      <c r="K99" s="849" t="e">
        <f t="shared" si="17"/>
        <v>#REF!</v>
      </c>
      <c r="L99" s="852" t="e">
        <f t="shared" si="24"/>
        <v>#REF!</v>
      </c>
      <c r="M99" s="744">
        <v>0</v>
      </c>
      <c r="N99" s="1019" t="e">
        <f t="shared" si="18"/>
        <v>#REF!</v>
      </c>
      <c r="O99" s="709"/>
      <c r="P99" s="845">
        <v>40483</v>
      </c>
      <c r="Q99" s="845">
        <v>40544</v>
      </c>
    </row>
    <row r="100" spans="2:17" ht="11.25" customHeight="1">
      <c r="B100" s="822" t="str">
        <f t="shared" si="15"/>
        <v>VAL. 10</v>
      </c>
      <c r="C100" s="901">
        <f t="shared" si="15"/>
        <v>40574</v>
      </c>
      <c r="D100" s="824" t="e">
        <f>+'Cemento Port I IU 21'!D432</f>
        <v>#REF!</v>
      </c>
      <c r="E100" s="849">
        <f t="shared" si="16"/>
        <v>3564167.99</v>
      </c>
      <c r="F100" s="841">
        <f t="shared" si="19"/>
        <v>0.497</v>
      </c>
      <c r="G100" s="842">
        <f t="shared" si="20"/>
        <v>0.51307999999999998</v>
      </c>
      <c r="H100" s="849" t="e">
        <f t="shared" si="21"/>
        <v>#REF!</v>
      </c>
      <c r="I100" s="744" t="e">
        <f t="shared" si="22"/>
        <v>#REF!</v>
      </c>
      <c r="J100" s="847" t="e">
        <f t="shared" si="23"/>
        <v>#REF!</v>
      </c>
      <c r="K100" s="849" t="e">
        <f t="shared" si="17"/>
        <v>#REF!</v>
      </c>
      <c r="L100" s="852" t="e">
        <f t="shared" si="24"/>
        <v>#REF!</v>
      </c>
      <c r="M100" s="744">
        <v>0</v>
      </c>
      <c r="N100" s="1019" t="e">
        <f t="shared" si="18"/>
        <v>#REF!</v>
      </c>
      <c r="P100" s="845">
        <v>40513</v>
      </c>
      <c r="Q100" s="845">
        <v>40575</v>
      </c>
    </row>
    <row r="101" spans="2:17" ht="11.25" customHeight="1">
      <c r="B101" s="822" t="str">
        <f t="shared" si="15"/>
        <v>VAL. 11</v>
      </c>
      <c r="C101" s="901">
        <f t="shared" si="15"/>
        <v>40602</v>
      </c>
      <c r="D101" s="824" t="e">
        <f>+'Cemento Port I IU 21'!D433</f>
        <v>#REF!</v>
      </c>
      <c r="E101" s="849">
        <f t="shared" si="16"/>
        <v>3441543.6</v>
      </c>
      <c r="F101" s="841">
        <f t="shared" si="19"/>
        <v>0.497</v>
      </c>
      <c r="G101" s="842">
        <f t="shared" si="20"/>
        <v>0.51307999999999998</v>
      </c>
      <c r="H101" s="849" t="e">
        <f t="shared" si="21"/>
        <v>#REF!</v>
      </c>
      <c r="I101" s="744" t="e">
        <f t="shared" si="22"/>
        <v>#REF!</v>
      </c>
      <c r="J101" s="847" t="e">
        <f t="shared" si="23"/>
        <v>#REF!</v>
      </c>
      <c r="K101" s="849" t="e">
        <f t="shared" si="17"/>
        <v>#REF!</v>
      </c>
      <c r="L101" s="852" t="e">
        <f t="shared" si="24"/>
        <v>#REF!</v>
      </c>
      <c r="M101" s="744">
        <v>0</v>
      </c>
      <c r="N101" s="1019" t="e">
        <f t="shared" si="18"/>
        <v>#REF!</v>
      </c>
      <c r="P101" s="845">
        <v>40544</v>
      </c>
      <c r="Q101" s="845">
        <v>40603</v>
      </c>
    </row>
    <row r="102" spans="2:17" ht="11.25" customHeight="1">
      <c r="B102" s="822" t="str">
        <f t="shared" si="15"/>
        <v>VAL. 12</v>
      </c>
      <c r="C102" s="901">
        <f t="shared" si="15"/>
        <v>40633</v>
      </c>
      <c r="D102" s="824" t="e">
        <f>+'Cemento Port I IU 21'!D434</f>
        <v>#REF!</v>
      </c>
      <c r="E102" s="843">
        <f t="shared" si="16"/>
        <v>3404795.19</v>
      </c>
      <c r="F102" s="841">
        <f t="shared" si="19"/>
        <v>0.497</v>
      </c>
      <c r="G102" s="842">
        <f t="shared" si="20"/>
        <v>0.51307999999999998</v>
      </c>
      <c r="H102" s="843" t="e">
        <f t="shared" si="21"/>
        <v>#REF!</v>
      </c>
      <c r="I102" s="744" t="e">
        <f t="shared" si="22"/>
        <v>#REF!</v>
      </c>
      <c r="J102" s="824" t="e">
        <f t="shared" si="23"/>
        <v>#REF!</v>
      </c>
      <c r="K102" s="843" t="e">
        <f t="shared" si="17"/>
        <v>#REF!</v>
      </c>
      <c r="L102" s="744" t="e">
        <f t="shared" si="24"/>
        <v>#REF!</v>
      </c>
      <c r="M102" s="843">
        <v>0</v>
      </c>
      <c r="N102" s="1019" t="e">
        <f t="shared" si="18"/>
        <v>#REF!</v>
      </c>
      <c r="P102" s="845">
        <v>40575</v>
      </c>
      <c r="Q102" s="845">
        <v>40634</v>
      </c>
    </row>
    <row r="103" spans="2:17" ht="11.25" customHeight="1">
      <c r="B103" s="822" t="str">
        <f t="shared" si="15"/>
        <v>VAL. 13</v>
      </c>
      <c r="C103" s="901">
        <f t="shared" si="15"/>
        <v>40663</v>
      </c>
      <c r="D103" s="824" t="e">
        <f>+'Cemento Port I IU 21'!D435</f>
        <v>#REF!</v>
      </c>
      <c r="E103" s="843">
        <f t="shared" si="16"/>
        <v>3258963.84</v>
      </c>
      <c r="F103" s="841">
        <f t="shared" si="19"/>
        <v>0.497</v>
      </c>
      <c r="G103" s="842">
        <f t="shared" si="20"/>
        <v>0.51307999999999998</v>
      </c>
      <c r="H103" s="843" t="e">
        <f t="shared" si="21"/>
        <v>#REF!</v>
      </c>
      <c r="I103" s="744" t="e">
        <f t="shared" si="22"/>
        <v>#REF!</v>
      </c>
      <c r="J103" s="824" t="e">
        <f t="shared" si="23"/>
        <v>#REF!</v>
      </c>
      <c r="K103" s="843" t="e">
        <f t="shared" si="17"/>
        <v>#REF!</v>
      </c>
      <c r="L103" s="744" t="e">
        <f t="shared" si="24"/>
        <v>#REF!</v>
      </c>
      <c r="M103" s="843">
        <v>0</v>
      </c>
      <c r="N103" s="1019" t="e">
        <f t="shared" si="18"/>
        <v>#REF!</v>
      </c>
      <c r="P103" s="845">
        <v>40603</v>
      </c>
      <c r="Q103" s="845">
        <v>40664</v>
      </c>
    </row>
    <row r="104" spans="2:17" ht="11.25" customHeight="1">
      <c r="B104" s="822" t="str">
        <f t="shared" si="15"/>
        <v>VAL. 14</v>
      </c>
      <c r="C104" s="901">
        <f t="shared" si="15"/>
        <v>40694</v>
      </c>
      <c r="D104" s="824" t="e">
        <f>+'Cemento Port I IU 21'!D436</f>
        <v>#REF!</v>
      </c>
      <c r="E104" s="843">
        <f t="shared" si="16"/>
        <v>2796480.1999999997</v>
      </c>
      <c r="F104" s="841">
        <f t="shared" si="19"/>
        <v>0.497</v>
      </c>
      <c r="G104" s="842">
        <f t="shared" si="20"/>
        <v>0.51307999999999998</v>
      </c>
      <c r="H104" s="843" t="e">
        <f t="shared" si="21"/>
        <v>#REF!</v>
      </c>
      <c r="I104" s="744" t="e">
        <f t="shared" si="22"/>
        <v>#REF!</v>
      </c>
      <c r="J104" s="824" t="e">
        <f t="shared" si="23"/>
        <v>#REF!</v>
      </c>
      <c r="K104" s="843" t="e">
        <f t="shared" si="17"/>
        <v>#REF!</v>
      </c>
      <c r="L104" s="744" t="e">
        <f t="shared" si="24"/>
        <v>#REF!</v>
      </c>
      <c r="M104" s="843">
        <v>0</v>
      </c>
      <c r="N104" s="1019" t="e">
        <f t="shared" si="18"/>
        <v>#REF!</v>
      </c>
      <c r="P104" s="845">
        <v>40634</v>
      </c>
      <c r="Q104" s="845">
        <v>40695</v>
      </c>
    </row>
    <row r="105" spans="2:17" ht="11.25" customHeight="1">
      <c r="B105" s="822" t="str">
        <f t="shared" si="15"/>
        <v>VAL. 15</v>
      </c>
      <c r="C105" s="901">
        <f t="shared" si="15"/>
        <v>40724</v>
      </c>
      <c r="D105" s="824" t="e">
        <f>+'Cemento Port I IU 21'!D437</f>
        <v>#REF!</v>
      </c>
      <c r="E105" s="843">
        <f t="shared" si="16"/>
        <v>1791925.7399999998</v>
      </c>
      <c r="F105" s="841">
        <f t="shared" si="19"/>
        <v>0.497</v>
      </c>
      <c r="G105" s="842">
        <f t="shared" si="20"/>
        <v>0.51307999999999998</v>
      </c>
      <c r="H105" s="843" t="e">
        <f t="shared" si="21"/>
        <v>#REF!</v>
      </c>
      <c r="I105" s="744" t="e">
        <f t="shared" si="22"/>
        <v>#REF!</v>
      </c>
      <c r="J105" s="824" t="e">
        <f t="shared" si="23"/>
        <v>#REF!</v>
      </c>
      <c r="K105" s="843" t="e">
        <f t="shared" si="17"/>
        <v>#REF!</v>
      </c>
      <c r="L105" s="744" t="e">
        <f t="shared" si="24"/>
        <v>#REF!</v>
      </c>
      <c r="M105" s="843">
        <v>0</v>
      </c>
      <c r="N105" s="1019" t="e">
        <f t="shared" si="18"/>
        <v>#REF!</v>
      </c>
      <c r="P105" s="845">
        <v>40664</v>
      </c>
      <c r="Q105" s="845">
        <v>40725</v>
      </c>
    </row>
    <row r="106" spans="2:17" ht="11.25" customHeight="1">
      <c r="B106" s="822" t="str">
        <f t="shared" si="15"/>
        <v>VAL. 16</v>
      </c>
      <c r="C106" s="901">
        <f t="shared" si="15"/>
        <v>40755</v>
      </c>
      <c r="D106" s="824" t="e">
        <f>+'Cemento Port I IU 21'!D438</f>
        <v>#REF!</v>
      </c>
      <c r="E106" s="843" t="e">
        <f t="shared" si="16"/>
        <v>#REF!</v>
      </c>
      <c r="F106" s="841">
        <f t="shared" si="19"/>
        <v>0.497</v>
      </c>
      <c r="G106" s="842">
        <f t="shared" si="20"/>
        <v>0.51307999999999998</v>
      </c>
      <c r="H106" s="843" t="e">
        <f t="shared" si="21"/>
        <v>#REF!</v>
      </c>
      <c r="I106" s="744" t="e">
        <f t="shared" si="22"/>
        <v>#REF!</v>
      </c>
      <c r="J106" s="824" t="e">
        <f t="shared" si="23"/>
        <v>#REF!</v>
      </c>
      <c r="K106" s="843" t="e">
        <f t="shared" si="17"/>
        <v>#REF!</v>
      </c>
      <c r="L106" s="744" t="e">
        <f t="shared" si="24"/>
        <v>#REF!</v>
      </c>
      <c r="M106" s="843">
        <v>0</v>
      </c>
      <c r="N106" s="1019" t="e">
        <f t="shared" si="18"/>
        <v>#REF!</v>
      </c>
      <c r="P106" s="845">
        <v>40695</v>
      </c>
      <c r="Q106" s="845">
        <v>40756</v>
      </c>
    </row>
    <row r="107" spans="2:17" ht="11.25" customHeight="1">
      <c r="B107" s="822" t="str">
        <f t="shared" si="15"/>
        <v>VAL. 17</v>
      </c>
      <c r="C107" s="901">
        <f t="shared" si="15"/>
        <v>40786</v>
      </c>
      <c r="D107" s="824" t="e">
        <f>+'Cemento Port I IU 21'!D439</f>
        <v>#REF!</v>
      </c>
      <c r="E107" s="843" t="e">
        <f t="shared" si="16"/>
        <v>#REF!</v>
      </c>
      <c r="F107" s="841">
        <f t="shared" si="19"/>
        <v>0.497</v>
      </c>
      <c r="G107" s="842">
        <f t="shared" si="20"/>
        <v>0.51307999999999998</v>
      </c>
      <c r="H107" s="843" t="e">
        <f t="shared" si="21"/>
        <v>#REF!</v>
      </c>
      <c r="I107" s="744" t="e">
        <f t="shared" si="22"/>
        <v>#REF!</v>
      </c>
      <c r="J107" s="824" t="e">
        <f t="shared" si="23"/>
        <v>#REF!</v>
      </c>
      <c r="K107" s="843" t="e">
        <f t="shared" si="17"/>
        <v>#REF!</v>
      </c>
      <c r="L107" s="744" t="e">
        <f t="shared" si="24"/>
        <v>#REF!</v>
      </c>
      <c r="M107" s="843">
        <v>0</v>
      </c>
      <c r="N107" s="1019" t="e">
        <f t="shared" si="18"/>
        <v>#REF!</v>
      </c>
      <c r="P107" s="845">
        <v>40725</v>
      </c>
      <c r="Q107" s="845">
        <v>40787</v>
      </c>
    </row>
    <row r="108" spans="2:17" ht="11.25" customHeight="1">
      <c r="B108" s="822" t="str">
        <f t="shared" si="15"/>
        <v>VAL. 18</v>
      </c>
      <c r="C108" s="901">
        <f t="shared" si="15"/>
        <v>40816</v>
      </c>
      <c r="D108" s="824" t="e">
        <f>+'Cemento Port I IU 21'!D440</f>
        <v>#REF!</v>
      </c>
      <c r="E108" s="843" t="e">
        <f t="shared" si="16"/>
        <v>#REF!</v>
      </c>
      <c r="F108" s="841">
        <f t="shared" si="19"/>
        <v>0.497</v>
      </c>
      <c r="G108" s="842">
        <f t="shared" si="20"/>
        <v>0.51307999999999998</v>
      </c>
      <c r="H108" s="843" t="e">
        <f t="shared" si="21"/>
        <v>#REF!</v>
      </c>
      <c r="I108" s="744" t="e">
        <f t="shared" si="22"/>
        <v>#REF!</v>
      </c>
      <c r="J108" s="824" t="e">
        <f t="shared" si="23"/>
        <v>#REF!</v>
      </c>
      <c r="K108" s="843" t="e">
        <f t="shared" si="17"/>
        <v>#REF!</v>
      </c>
      <c r="L108" s="744" t="e">
        <f t="shared" si="24"/>
        <v>#REF!</v>
      </c>
      <c r="M108" s="843">
        <v>0</v>
      </c>
      <c r="N108" s="1019" t="e">
        <f t="shared" si="18"/>
        <v>#REF!</v>
      </c>
      <c r="P108" s="845">
        <v>40756</v>
      </c>
      <c r="Q108" s="845">
        <v>40817</v>
      </c>
    </row>
    <row r="109" spans="2:17" ht="11.25" customHeight="1">
      <c r="B109" s="822" t="str">
        <f t="shared" si="15"/>
        <v>VAL. 19</v>
      </c>
      <c r="C109" s="901">
        <f t="shared" si="15"/>
        <v>40826</v>
      </c>
      <c r="D109" s="824">
        <f>+'Cemento Port I IU 21'!D441</f>
        <v>0</v>
      </c>
      <c r="E109" s="843" t="e">
        <f t="shared" si="16"/>
        <v>#REF!</v>
      </c>
      <c r="F109" s="841">
        <f t="shared" si="19"/>
        <v>0.497</v>
      </c>
      <c r="G109" s="842">
        <f t="shared" si="20"/>
        <v>0.51307999999999998</v>
      </c>
      <c r="H109" s="843" t="e">
        <f t="shared" si="21"/>
        <v>#REF!</v>
      </c>
      <c r="I109" s="744" t="e">
        <f t="shared" si="22"/>
        <v>#REF!</v>
      </c>
      <c r="J109" s="824" t="e">
        <f t="shared" si="23"/>
        <v>#REF!</v>
      </c>
      <c r="K109" s="843" t="e">
        <f t="shared" si="17"/>
        <v>#REF!</v>
      </c>
      <c r="L109" s="744" t="e">
        <f t="shared" si="24"/>
        <v>#REF!</v>
      </c>
      <c r="M109" s="843">
        <v>0</v>
      </c>
      <c r="N109" s="1019" t="e">
        <f t="shared" si="18"/>
        <v>#REF!</v>
      </c>
      <c r="P109" s="845">
        <v>40756</v>
      </c>
      <c r="Q109" s="845">
        <v>40817</v>
      </c>
    </row>
    <row r="110" spans="2:17" ht="11.25" customHeight="1">
      <c r="B110" s="858"/>
      <c r="C110" s="917"/>
      <c r="D110" s="860"/>
      <c r="E110" s="860"/>
      <c r="F110" s="861"/>
      <c r="G110" s="918"/>
      <c r="H110" s="860"/>
      <c r="I110" s="860"/>
      <c r="J110" s="828"/>
      <c r="K110" s="860"/>
      <c r="L110" s="830"/>
      <c r="M110" s="860"/>
      <c r="N110" s="863"/>
      <c r="P110" s="919"/>
      <c r="Q110" s="920"/>
    </row>
    <row r="111" spans="2:17" ht="11.25" customHeight="1">
      <c r="B111" s="774"/>
      <c r="C111" s="715"/>
      <c r="D111" s="866"/>
      <c r="E111" s="867"/>
      <c r="F111" s="868"/>
      <c r="G111" s="869"/>
      <c r="H111" s="869"/>
      <c r="I111" s="870" t="e">
        <f>SUM(I91:I110)</f>
        <v>#REF!</v>
      </c>
      <c r="J111" s="871"/>
      <c r="K111" s="869"/>
      <c r="L111" s="727"/>
      <c r="M111" s="727"/>
      <c r="N111" s="1020"/>
    </row>
    <row r="112" spans="2:17" ht="11.25" customHeight="1">
      <c r="C112" s="874"/>
      <c r="D112" s="921"/>
      <c r="L112" s="873" t="s">
        <v>274</v>
      </c>
      <c r="M112" s="874"/>
      <c r="N112" s="1021" t="e">
        <f>SUM(N91:N110)</f>
        <v>#REF!</v>
      </c>
      <c r="O112" s="709"/>
    </row>
    <row r="113" spans="4:15" ht="11.25" customHeight="1">
      <c r="D113" s="751"/>
      <c r="L113" s="876" t="s">
        <v>287</v>
      </c>
      <c r="M113" s="877"/>
      <c r="N113" s="1019">
        <v>16656.71</v>
      </c>
    </row>
    <row r="114" spans="4:15" ht="11.25" customHeight="1">
      <c r="D114" s="922"/>
      <c r="L114" s="879" t="s">
        <v>288</v>
      </c>
      <c r="M114" s="880"/>
      <c r="N114" s="1022" t="e">
        <f>N112-N113</f>
        <v>#REF!</v>
      </c>
      <c r="O114" s="709"/>
    </row>
    <row r="115" spans="4:15" ht="11.25" customHeight="1">
      <c r="D115" s="751"/>
    </row>
    <row r="116" spans="4:15" ht="11.25" customHeight="1">
      <c r="D116" s="923"/>
    </row>
  </sheetData>
  <mergeCells count="36">
    <mergeCell ref="B9:O9"/>
    <mergeCell ref="B10:O10"/>
    <mergeCell ref="E21:F21"/>
    <mergeCell ref="K21:K22"/>
    <mergeCell ref="L21:M21"/>
    <mergeCell ref="B11:O11"/>
    <mergeCell ref="C21:C22"/>
    <mergeCell ref="B89:C90"/>
    <mergeCell ref="B46:O46"/>
    <mergeCell ref="B21:B22"/>
    <mergeCell ref="D60:I60"/>
    <mergeCell ref="B60:C62"/>
    <mergeCell ref="N89:N90"/>
    <mergeCell ref="E89:E90"/>
    <mergeCell ref="F89:G89"/>
    <mergeCell ref="H89:J89"/>
    <mergeCell ref="K89:M89"/>
    <mergeCell ref="F49:G49"/>
    <mergeCell ref="F51:G51"/>
    <mergeCell ref="P89:Q89"/>
    <mergeCell ref="D89:D90"/>
    <mergeCell ref="N21:O21"/>
    <mergeCell ref="G21:H21"/>
    <mergeCell ref="I21:J21"/>
    <mergeCell ref="D61:F61"/>
    <mergeCell ref="G61:I61"/>
    <mergeCell ref="Q21:S21"/>
    <mergeCell ref="D21:D22"/>
    <mergeCell ref="F50:G50"/>
    <mergeCell ref="Q41:S41"/>
    <mergeCell ref="U21:W21"/>
    <mergeCell ref="AB23:AB24"/>
    <mergeCell ref="X23:X24"/>
    <mergeCell ref="Y23:Y24"/>
    <mergeCell ref="Z23:Z24"/>
    <mergeCell ref="AA23:AA24"/>
  </mergeCells>
  <phoneticPr fontId="0" type="noConversion"/>
  <printOptions horizontalCentered="1"/>
  <pageMargins left="0.19685039370078741" right="0.19685039370078741" top="0.59055118110236227" bottom="0.79" header="0" footer="0"/>
  <pageSetup paperSize="9" scale="70" fitToHeight="2" orientation="landscape" verticalDpi="300" r:id="rId1"/>
  <headerFooter alignWithMargins="0"/>
  <rowBreaks count="2" manualBreakCount="2">
    <brk id="45" max="14" man="1"/>
    <brk id="85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indexed="57"/>
    <pageSetUpPr fitToPage="1"/>
  </sheetPr>
  <dimension ref="A6:I67"/>
  <sheetViews>
    <sheetView showGridLines="0" view="pageBreakPreview" zoomScaleNormal="90" zoomScaleSheetLayoutView="100" workbookViewId="0">
      <selection activeCell="B30" sqref="B30"/>
    </sheetView>
  </sheetViews>
  <sheetFormatPr baseColWidth="10" defaultColWidth="11.42578125" defaultRowHeight="12.75"/>
  <cols>
    <col min="1" max="1" width="38.140625" style="700" customWidth="1"/>
    <col min="2" max="2" width="23" style="700" customWidth="1"/>
    <col min="3" max="3" width="22.5703125" style="700" customWidth="1"/>
    <col min="4" max="4" width="16.42578125" style="700" customWidth="1"/>
    <col min="5" max="6" width="11.42578125" style="700"/>
    <col min="7" max="7" width="13.85546875" style="700" customWidth="1"/>
    <col min="8" max="16384" width="11.42578125" style="700"/>
  </cols>
  <sheetData>
    <row r="6" spans="1:5" ht="18.75">
      <c r="A6" s="1610" t="s">
        <v>215</v>
      </c>
      <c r="B6" s="1610"/>
      <c r="C6" s="1610"/>
      <c r="D6" s="1610"/>
      <c r="E6" s="1610"/>
    </row>
    <row r="7" spans="1:5" ht="18.75">
      <c r="A7" s="1233"/>
      <c r="B7" s="1233"/>
      <c r="C7" s="1233"/>
      <c r="D7" s="1233"/>
      <c r="E7" s="1233"/>
    </row>
    <row r="8" spans="1:5" ht="66.599999999999994" customHeight="1">
      <c r="A8" s="1234" t="s">
        <v>383</v>
      </c>
      <c r="B8" s="1612" t="s">
        <v>1341</v>
      </c>
      <c r="C8" s="1612"/>
      <c r="D8" s="1612"/>
    </row>
    <row r="9" spans="1:5">
      <c r="A9" s="994" t="s">
        <v>216</v>
      </c>
      <c r="B9" s="700" t="s">
        <v>1156</v>
      </c>
    </row>
    <row r="10" spans="1:5">
      <c r="A10" s="994" t="s">
        <v>448</v>
      </c>
      <c r="B10" s="700" t="s">
        <v>1340</v>
      </c>
    </row>
    <row r="11" spans="1:5">
      <c r="A11" s="994"/>
      <c r="B11" s="1611"/>
      <c r="C11" s="1611"/>
      <c r="D11" s="1611"/>
      <c r="E11" s="1611"/>
    </row>
    <row r="12" spans="1:5">
      <c r="A12" s="994"/>
      <c r="B12" s="1611"/>
      <c r="C12" s="1611"/>
      <c r="D12" s="1611"/>
      <c r="E12" s="1611"/>
    </row>
    <row r="13" spans="1:5">
      <c r="A13" s="994" t="s">
        <v>412</v>
      </c>
      <c r="B13" s="700" t="s">
        <v>1342</v>
      </c>
    </row>
    <row r="14" spans="1:5">
      <c r="A14" s="994" t="s">
        <v>217</v>
      </c>
      <c r="B14" s="700" t="s">
        <v>1343</v>
      </c>
    </row>
    <row r="15" spans="1:5">
      <c r="A15" s="994"/>
    </row>
    <row r="16" spans="1:5">
      <c r="A16" s="994" t="s">
        <v>218</v>
      </c>
      <c r="B16" s="700" t="s">
        <v>1728</v>
      </c>
    </row>
    <row r="17" spans="1:4">
      <c r="A17" s="994" t="s">
        <v>220</v>
      </c>
      <c r="B17" s="995" t="s">
        <v>1729</v>
      </c>
    </row>
    <row r="18" spans="1:4">
      <c r="A18" s="994"/>
      <c r="B18" s="996"/>
      <c r="D18" s="940"/>
    </row>
    <row r="19" spans="1:4">
      <c r="A19" s="994" t="s">
        <v>221</v>
      </c>
      <c r="B19" s="997" t="s">
        <v>1730</v>
      </c>
      <c r="C19" s="700" t="s">
        <v>2</v>
      </c>
      <c r="D19" s="940"/>
    </row>
    <row r="20" spans="1:4" hidden="1">
      <c r="A20" s="994" t="s">
        <v>111</v>
      </c>
      <c r="B20" s="997"/>
      <c r="C20" s="700" t="s">
        <v>1274</v>
      </c>
      <c r="D20" s="940" t="s">
        <v>1273</v>
      </c>
    </row>
    <row r="21" spans="1:4" hidden="1">
      <c r="A21" s="994" t="s">
        <v>111</v>
      </c>
      <c r="B21" s="997"/>
      <c r="C21" s="700" t="s">
        <v>1331</v>
      </c>
      <c r="D21" s="940" t="s">
        <v>1332</v>
      </c>
    </row>
    <row r="22" spans="1:4">
      <c r="A22" s="994"/>
      <c r="B22" s="997"/>
      <c r="D22" s="940"/>
    </row>
    <row r="23" spans="1:4">
      <c r="A23" s="994" t="s">
        <v>222</v>
      </c>
      <c r="B23" s="995" t="s">
        <v>1731</v>
      </c>
    </row>
    <row r="24" spans="1:4" hidden="1">
      <c r="A24" s="994"/>
      <c r="B24" s="995"/>
      <c r="C24" s="700" t="s">
        <v>1275</v>
      </c>
    </row>
    <row r="25" spans="1:4" hidden="1">
      <c r="A25" s="994"/>
      <c r="B25" s="995"/>
      <c r="C25" s="700" t="s">
        <v>1333</v>
      </c>
    </row>
    <row r="26" spans="1:4">
      <c r="A26" s="994" t="s">
        <v>112</v>
      </c>
      <c r="B26" s="1533" t="s">
        <v>1732</v>
      </c>
    </row>
    <row r="27" spans="1:4">
      <c r="A27" s="994"/>
      <c r="B27" s="995"/>
    </row>
    <row r="28" spans="1:4">
      <c r="A28" s="994"/>
      <c r="B28" s="1004"/>
      <c r="C28" s="39"/>
    </row>
    <row r="29" spans="1:4">
      <c r="A29" s="994"/>
    </row>
    <row r="30" spans="1:4">
      <c r="A30" s="994" t="s">
        <v>223</v>
      </c>
      <c r="B30" s="999">
        <v>11202117.9</v>
      </c>
      <c r="C30" s="700" t="s">
        <v>224</v>
      </c>
    </row>
    <row r="31" spans="1:4" hidden="1">
      <c r="A31" s="994" t="s">
        <v>240</v>
      </c>
      <c r="B31" s="999">
        <f>(+B30+B46+B49-B54-B57)*0</f>
        <v>0</v>
      </c>
      <c r="C31" s="940" t="s">
        <v>242</v>
      </c>
    </row>
    <row r="32" spans="1:4">
      <c r="A32" s="994"/>
      <c r="B32" s="999"/>
      <c r="C32" s="940" t="s">
        <v>1737</v>
      </c>
    </row>
    <row r="33" spans="1:9">
      <c r="A33" s="994"/>
      <c r="B33" s="999"/>
      <c r="C33" s="940"/>
    </row>
    <row r="34" spans="1:9">
      <c r="A34" s="1000" t="s">
        <v>225</v>
      </c>
      <c r="C34" s="940"/>
    </row>
    <row r="35" spans="1:9">
      <c r="A35" s="994" t="s">
        <v>226</v>
      </c>
      <c r="B35" s="999">
        <f>949332.03*1.18-0.01</f>
        <v>1120211.7853999999</v>
      </c>
      <c r="C35" s="1001"/>
    </row>
    <row r="36" spans="1:9">
      <c r="A36" s="994" t="s">
        <v>227</v>
      </c>
      <c r="B36" s="995" t="s">
        <v>1733</v>
      </c>
      <c r="C36" s="1001"/>
      <c r="D36" s="1569"/>
    </row>
    <row r="37" spans="1:9">
      <c r="A37" s="994"/>
      <c r="B37" s="995"/>
      <c r="C37" s="1001"/>
    </row>
    <row r="38" spans="1:9" hidden="1">
      <c r="A38" s="994" t="s">
        <v>226</v>
      </c>
      <c r="B38" s="999">
        <v>0</v>
      </c>
      <c r="C38" s="1001" t="s">
        <v>1267</v>
      </c>
    </row>
    <row r="39" spans="1:9" hidden="1">
      <c r="A39" s="994" t="s">
        <v>227</v>
      </c>
      <c r="B39" s="995">
        <v>0</v>
      </c>
      <c r="C39" s="1001"/>
    </row>
    <row r="40" spans="1:9" hidden="1">
      <c r="A40" s="1002"/>
      <c r="B40" s="998"/>
    </row>
    <row r="41" spans="1:9">
      <c r="A41" s="1000" t="s">
        <v>228</v>
      </c>
      <c r="C41" s="1001"/>
    </row>
    <row r="42" spans="1:9">
      <c r="A42" s="994" t="s">
        <v>229</v>
      </c>
      <c r="B42" s="999">
        <v>2240423.5789999999</v>
      </c>
      <c r="C42" s="700" t="s">
        <v>1735</v>
      </c>
    </row>
    <row r="43" spans="1:9">
      <c r="A43" s="1003" t="s">
        <v>227</v>
      </c>
      <c r="B43" s="995" t="s">
        <v>1734</v>
      </c>
    </row>
    <row r="44" spans="1:9">
      <c r="A44" s="994"/>
    </row>
    <row r="45" spans="1:9" hidden="1">
      <c r="A45" s="1000" t="s">
        <v>230</v>
      </c>
    </row>
    <row r="46" spans="1:9" hidden="1">
      <c r="A46" s="994" t="s">
        <v>231</v>
      </c>
      <c r="B46" s="999"/>
      <c r="G46" s="994" t="s">
        <v>231</v>
      </c>
      <c r="I46" s="700">
        <v>2132800.36</v>
      </c>
    </row>
    <row r="47" spans="1:9" hidden="1">
      <c r="A47" s="1003" t="s">
        <v>232</v>
      </c>
      <c r="G47" s="1003" t="s">
        <v>232</v>
      </c>
      <c r="I47" s="700" t="s">
        <v>233</v>
      </c>
    </row>
    <row r="48" spans="1:9" hidden="1">
      <c r="A48" s="1003" t="s">
        <v>234</v>
      </c>
      <c r="B48" s="995"/>
      <c r="G48" s="1003" t="s">
        <v>234</v>
      </c>
      <c r="I48" s="700">
        <v>40375</v>
      </c>
    </row>
    <row r="49" spans="1:9" hidden="1">
      <c r="A49" s="994" t="s">
        <v>235</v>
      </c>
      <c r="B49" s="999"/>
      <c r="G49" s="994" t="s">
        <v>235</v>
      </c>
      <c r="I49" s="700">
        <v>4314619.09</v>
      </c>
    </row>
    <row r="50" spans="1:9" hidden="1">
      <c r="A50" s="1003" t="s">
        <v>232</v>
      </c>
      <c r="G50" s="1003" t="s">
        <v>232</v>
      </c>
      <c r="I50" s="700" t="s">
        <v>236</v>
      </c>
    </row>
    <row r="51" spans="1:9" hidden="1">
      <c r="A51" s="1003" t="s">
        <v>234</v>
      </c>
      <c r="B51" s="995"/>
      <c r="G51" s="1003" t="s">
        <v>234</v>
      </c>
      <c r="I51" s="700">
        <v>40403</v>
      </c>
    </row>
    <row r="52" spans="1:9" hidden="1">
      <c r="A52" s="1003"/>
      <c r="B52" s="995"/>
    </row>
    <row r="53" spans="1:9" hidden="1">
      <c r="A53" s="1000" t="s">
        <v>237</v>
      </c>
    </row>
    <row r="54" spans="1:9" hidden="1">
      <c r="A54" s="994" t="s">
        <v>1276</v>
      </c>
      <c r="B54" s="999"/>
      <c r="G54" s="994" t="s">
        <v>239</v>
      </c>
    </row>
    <row r="55" spans="1:9" hidden="1">
      <c r="A55" s="1003" t="s">
        <v>232</v>
      </c>
      <c r="G55" s="1003" t="s">
        <v>232</v>
      </c>
    </row>
    <row r="56" spans="1:9" hidden="1">
      <c r="A56" s="1003" t="s">
        <v>234</v>
      </c>
      <c r="B56" s="995"/>
      <c r="G56" s="1003" t="s">
        <v>234</v>
      </c>
    </row>
    <row r="57" spans="1:9" hidden="1">
      <c r="A57" s="994" t="s">
        <v>1277</v>
      </c>
      <c r="B57" s="999"/>
      <c r="G57" s="994" t="s">
        <v>6</v>
      </c>
    </row>
    <row r="58" spans="1:9" hidden="1">
      <c r="A58" s="1003" t="s">
        <v>232</v>
      </c>
      <c r="G58" s="1003" t="s">
        <v>232</v>
      </c>
    </row>
    <row r="59" spans="1:9" hidden="1">
      <c r="A59" s="1003" t="s">
        <v>234</v>
      </c>
      <c r="B59" s="995"/>
      <c r="G59" s="1003" t="s">
        <v>234</v>
      </c>
    </row>
    <row r="60" spans="1:9" hidden="1">
      <c r="A60" s="1003"/>
      <c r="B60" s="995"/>
    </row>
    <row r="61" spans="1:9" hidden="1">
      <c r="A61" s="1000" t="s">
        <v>1334</v>
      </c>
    </row>
    <row r="62" spans="1:9" hidden="1">
      <c r="A62" s="994" t="s">
        <v>238</v>
      </c>
      <c r="B62" s="999" t="s">
        <v>1278</v>
      </c>
    </row>
    <row r="63" spans="1:9" hidden="1">
      <c r="A63" s="1003" t="s">
        <v>1155</v>
      </c>
      <c r="B63" s="1157" t="s">
        <v>1264</v>
      </c>
    </row>
    <row r="64" spans="1:9" hidden="1">
      <c r="A64" s="1003" t="s">
        <v>234</v>
      </c>
      <c r="B64" s="995">
        <v>44007</v>
      </c>
    </row>
    <row r="65" spans="1:7" hidden="1">
      <c r="A65" s="994" t="s">
        <v>1335</v>
      </c>
      <c r="B65" s="999" t="s">
        <v>1338</v>
      </c>
      <c r="G65" s="999" t="s">
        <v>1263</v>
      </c>
    </row>
    <row r="66" spans="1:7" hidden="1">
      <c r="A66" s="1003" t="s">
        <v>1155</v>
      </c>
      <c r="B66" s="1157" t="s">
        <v>1336</v>
      </c>
      <c r="G66" s="1157" t="s">
        <v>1264</v>
      </c>
    </row>
    <row r="67" spans="1:7" hidden="1">
      <c r="A67" s="1003" t="s">
        <v>234</v>
      </c>
      <c r="B67" s="995">
        <v>44255</v>
      </c>
      <c r="G67" s="995">
        <v>44022</v>
      </c>
    </row>
  </sheetData>
  <mergeCells count="3">
    <mergeCell ref="A6:E6"/>
    <mergeCell ref="B11:E12"/>
    <mergeCell ref="B8:D8"/>
  </mergeCells>
  <phoneticPr fontId="92" type="noConversion"/>
  <pageMargins left="0.74803149606299213" right="0.74803149606299213" top="0.98425196850393704" bottom="0.98425196850393704" header="0" footer="0"/>
  <pageSetup paperSize="9" scale="78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8">
    <tabColor indexed="10"/>
  </sheetPr>
  <dimension ref="B1:W100"/>
  <sheetViews>
    <sheetView showGridLines="0" view="pageBreakPreview" topLeftCell="A88" zoomScaleNormal="100" workbookViewId="0">
      <selection activeCell="A303" sqref="A303"/>
    </sheetView>
  </sheetViews>
  <sheetFormatPr baseColWidth="10" defaultColWidth="11.42578125" defaultRowHeight="11.25" customHeight="1"/>
  <cols>
    <col min="1" max="1" width="1.85546875" style="698" bestFit="1" customWidth="1"/>
    <col min="2" max="2" width="13.85546875" style="698" customWidth="1"/>
    <col min="3" max="3" width="50.85546875" style="698" customWidth="1"/>
    <col min="4" max="4" width="12.7109375" style="698" customWidth="1"/>
    <col min="5" max="5" width="11.7109375" style="698" customWidth="1"/>
    <col min="6" max="6" width="11" style="698" customWidth="1"/>
    <col min="7" max="10" width="10.7109375" style="698" customWidth="1"/>
    <col min="11" max="11" width="8.7109375" style="698" customWidth="1"/>
    <col min="12" max="12" width="11" style="698" customWidth="1"/>
    <col min="13" max="13" width="10.140625" style="698" customWidth="1"/>
    <col min="14" max="14" width="11.42578125" style="698"/>
    <col min="15" max="15" width="11.7109375" style="698" customWidth="1"/>
    <col min="16" max="16" width="9.7109375" style="698" customWidth="1"/>
    <col min="17" max="17" width="9" style="698" bestFit="1" customWidth="1"/>
    <col min="18" max="18" width="11" style="698" bestFit="1" customWidth="1"/>
    <col min="19" max="19" width="10" style="698" bestFit="1" customWidth="1"/>
    <col min="20" max="16384" width="11.42578125" style="698"/>
  </cols>
  <sheetData>
    <row r="1" spans="2:18" ht="11.25" customHeight="1">
      <c r="B1" s="698" t="s">
        <v>1816</v>
      </c>
      <c r="C1" s="698" t="s">
        <v>1817</v>
      </c>
      <c r="D1" s="699"/>
      <c r="E1" s="699"/>
      <c r="I1" s="700"/>
      <c r="J1" s="700"/>
      <c r="K1" s="700"/>
      <c r="L1" s="700"/>
    </row>
    <row r="2" spans="2:18" s="699" customFormat="1" ht="11.25" customHeight="1">
      <c r="B2" s="698" t="s">
        <v>1818</v>
      </c>
      <c r="C2" s="698" t="s">
        <v>1819</v>
      </c>
      <c r="I2" s="700"/>
      <c r="J2" s="700"/>
      <c r="K2" s="700"/>
      <c r="L2" s="700"/>
    </row>
    <row r="3" spans="2:18" s="699" customFormat="1" ht="11.25" customHeight="1">
      <c r="B3" s="698" t="s">
        <v>1820</v>
      </c>
      <c r="C3" s="698" t="s">
        <v>1821</v>
      </c>
      <c r="I3" s="700"/>
      <c r="J3" s="700"/>
      <c r="K3" s="700"/>
      <c r="L3" s="700"/>
    </row>
    <row r="4" spans="2:18" s="699" customFormat="1" ht="11.25" customHeight="1">
      <c r="B4" s="698"/>
      <c r="C4" s="698" t="s">
        <v>1822</v>
      </c>
      <c r="I4" s="700"/>
      <c r="J4" s="700"/>
      <c r="K4" s="700"/>
      <c r="L4" s="700"/>
    </row>
    <row r="5" spans="2:18" s="699" customFormat="1" ht="11.25" customHeight="1">
      <c r="B5" s="698" t="s">
        <v>1823</v>
      </c>
      <c r="C5" s="698" t="s">
        <v>1824</v>
      </c>
      <c r="I5" s="700"/>
      <c r="J5" s="700"/>
      <c r="K5" s="700"/>
      <c r="L5" s="700"/>
    </row>
    <row r="6" spans="2:18" s="699" customFormat="1" ht="11.25" customHeight="1">
      <c r="B6" s="698" t="s">
        <v>1825</v>
      </c>
      <c r="C6" s="701">
        <v>40451</v>
      </c>
      <c r="D6" s="3"/>
      <c r="E6" s="3"/>
      <c r="I6" s="700"/>
      <c r="J6" s="700"/>
      <c r="K6" s="700"/>
      <c r="L6" s="700"/>
    </row>
    <row r="9" spans="2:18" ht="18">
      <c r="B9" s="1687" t="str">
        <f>+'Asfalto IU 13'!B9:O9</f>
        <v>A M O R T I Z A C I O N     D E L     A D E L A N T O     P A R A     M A T E R I A L E S     Nº  02</v>
      </c>
      <c r="C9" s="1687"/>
      <c r="D9" s="1687"/>
      <c r="E9" s="1687"/>
      <c r="F9" s="1687"/>
      <c r="G9" s="1687"/>
      <c r="H9" s="1687"/>
      <c r="I9" s="1687"/>
      <c r="J9" s="1687"/>
      <c r="K9" s="1687"/>
      <c r="L9" s="1687"/>
      <c r="M9" s="1687"/>
      <c r="N9" s="1687"/>
      <c r="O9" s="1687"/>
      <c r="P9" s="700"/>
      <c r="Q9" s="700"/>
      <c r="R9" s="700"/>
    </row>
    <row r="10" spans="2:18" ht="18">
      <c r="B10" s="1687" t="str">
        <f>+'Asfalto IU 13'!B10:O10</f>
        <v>VALORIZACION Nº 4 - MES DE DICIEMBRE 2021</v>
      </c>
      <c r="C10" s="1687"/>
      <c r="D10" s="1687"/>
      <c r="E10" s="1687"/>
      <c r="F10" s="1687"/>
      <c r="G10" s="1687"/>
      <c r="H10" s="1687"/>
      <c r="I10" s="1687"/>
      <c r="J10" s="1687"/>
      <c r="K10" s="1687"/>
      <c r="L10" s="1687"/>
      <c r="M10" s="1687"/>
      <c r="N10" s="1687"/>
      <c r="O10" s="1687"/>
      <c r="P10" s="700"/>
      <c r="Q10" s="700"/>
      <c r="R10" s="700"/>
    </row>
    <row r="11" spans="2:18" ht="15">
      <c r="B11" s="1707" t="s">
        <v>617</v>
      </c>
      <c r="C11" s="1707"/>
      <c r="D11" s="1707"/>
      <c r="E11" s="1707"/>
      <c r="F11" s="1707"/>
      <c r="G11" s="1707"/>
      <c r="H11" s="1707"/>
      <c r="I11" s="1707"/>
      <c r="J11" s="1707"/>
      <c r="K11" s="1707"/>
      <c r="L11" s="1707"/>
      <c r="M11" s="1707"/>
      <c r="N11" s="1707"/>
      <c r="O11" s="1707"/>
    </row>
    <row r="12" spans="2:18" ht="11.25" customHeight="1">
      <c r="B12" s="698" t="s">
        <v>1010</v>
      </c>
      <c r="D12" s="702">
        <v>1397930.56</v>
      </c>
      <c r="E12" s="698" t="s">
        <v>178</v>
      </c>
      <c r="I12" s="699" t="s">
        <v>179</v>
      </c>
      <c r="K12" s="699" t="s">
        <v>180</v>
      </c>
      <c r="M12" s="699"/>
    </row>
    <row r="13" spans="2:18" ht="11.25" customHeight="1">
      <c r="B13" s="698" t="s">
        <v>181</v>
      </c>
      <c r="D13" s="703" t="e">
        <f>+'Asfalto IU 13'!D13</f>
        <v>#REF!</v>
      </c>
      <c r="E13" s="704"/>
      <c r="I13" s="698" t="s">
        <v>182</v>
      </c>
    </row>
    <row r="14" spans="2:18" ht="11.25" customHeight="1">
      <c r="B14" s="699" t="s">
        <v>183</v>
      </c>
      <c r="C14" s="699" t="s">
        <v>1011</v>
      </c>
      <c r="E14" s="705"/>
      <c r="F14" s="706"/>
      <c r="I14" s="707" t="s">
        <v>185</v>
      </c>
      <c r="K14" s="698" t="s">
        <v>186</v>
      </c>
    </row>
    <row r="15" spans="2:18" ht="11.25" customHeight="1">
      <c r="B15" s="699" t="s">
        <v>187</v>
      </c>
      <c r="C15" s="708" t="s">
        <v>1012</v>
      </c>
      <c r="E15" s="705"/>
      <c r="F15" s="706"/>
      <c r="I15" s="707" t="s">
        <v>188</v>
      </c>
      <c r="K15" s="698" t="s">
        <v>189</v>
      </c>
    </row>
    <row r="16" spans="2:18" ht="11.25" customHeight="1">
      <c r="B16" s="698" t="s">
        <v>190</v>
      </c>
      <c r="D16" s="709" t="e">
        <f>+K!#REF!</f>
        <v>#REF!</v>
      </c>
      <c r="I16" s="707" t="s">
        <v>191</v>
      </c>
      <c r="K16" s="698" t="s">
        <v>192</v>
      </c>
    </row>
    <row r="17" spans="2:23" ht="11.25" customHeight="1">
      <c r="B17" s="698" t="s">
        <v>990</v>
      </c>
      <c r="D17" s="709" t="e">
        <f>+K!#REF!</f>
        <v>#REF!</v>
      </c>
      <c r="E17" s="1008">
        <f>+'Asfalto IU 13'!E17</f>
        <v>0</v>
      </c>
      <c r="I17" s="707" t="s">
        <v>193</v>
      </c>
      <c r="K17" s="698" t="s">
        <v>194</v>
      </c>
    </row>
    <row r="18" spans="2:23" ht="11.25" customHeight="1">
      <c r="I18" s="711" t="s">
        <v>195</v>
      </c>
      <c r="J18" s="712"/>
      <c r="K18" s="712" t="s">
        <v>196</v>
      </c>
      <c r="L18" s="712"/>
      <c r="M18" s="713">
        <v>1</v>
      </c>
      <c r="N18" s="714"/>
    </row>
    <row r="19" spans="2:23" ht="11.25" customHeight="1">
      <c r="B19" s="39" t="str">
        <f>+'Asfalto IU 13'!B19</f>
        <v>1.- CALCULO DE LA AMORTIZACION CON EL AVANCE DE LA VALORIZACION Nº 09 (MAR 21)</v>
      </c>
      <c r="K19" s="698" t="s">
        <v>197</v>
      </c>
    </row>
    <row r="20" spans="2:23" ht="11.25" customHeight="1">
      <c r="B20" s="715"/>
      <c r="C20" s="715"/>
      <c r="D20" s="715"/>
      <c r="E20" s="715"/>
      <c r="F20" s="715"/>
      <c r="G20" s="715"/>
      <c r="H20" s="715"/>
      <c r="I20" s="715"/>
      <c r="J20" s="715"/>
      <c r="K20" s="715"/>
      <c r="L20" s="715"/>
      <c r="M20" s="715"/>
      <c r="N20" s="715"/>
      <c r="O20" s="715"/>
    </row>
    <row r="21" spans="2:23" ht="11.25" customHeight="1">
      <c r="B21" s="1714" t="s">
        <v>198</v>
      </c>
      <c r="C21" s="1714" t="s">
        <v>199</v>
      </c>
      <c r="D21" s="1716" t="s">
        <v>601</v>
      </c>
      <c r="E21" s="1712" t="s">
        <v>200</v>
      </c>
      <c r="F21" s="1713"/>
      <c r="G21" s="1712" t="s">
        <v>201</v>
      </c>
      <c r="H21" s="1713"/>
      <c r="I21" s="1712" t="s">
        <v>202</v>
      </c>
      <c r="J21" s="1713"/>
      <c r="K21" s="1714" t="s">
        <v>203</v>
      </c>
      <c r="L21" s="1712" t="s">
        <v>204</v>
      </c>
      <c r="M21" s="1713"/>
      <c r="N21" s="1712" t="s">
        <v>423</v>
      </c>
      <c r="O21" s="1713"/>
      <c r="P21" s="700"/>
      <c r="Q21" s="1678" t="s">
        <v>205</v>
      </c>
      <c r="R21" s="1679"/>
      <c r="S21" s="1680"/>
      <c r="U21" s="1678" t="s">
        <v>331</v>
      </c>
      <c r="V21" s="1679"/>
      <c r="W21" s="1680"/>
    </row>
    <row r="22" spans="2:23" ht="21" customHeight="1">
      <c r="B22" s="1715"/>
      <c r="C22" s="1715"/>
      <c r="D22" s="1717"/>
      <c r="E22" s="1011" t="s">
        <v>206</v>
      </c>
      <c r="F22" s="1012" t="s">
        <v>207</v>
      </c>
      <c r="G22" s="1011" t="s">
        <v>452</v>
      </c>
      <c r="H22" s="1012" t="s">
        <v>208</v>
      </c>
      <c r="I22" s="1011" t="s">
        <v>452</v>
      </c>
      <c r="J22" s="1012" t="s">
        <v>208</v>
      </c>
      <c r="K22" s="1715"/>
      <c r="L22" s="1011" t="s">
        <v>467</v>
      </c>
      <c r="M22" s="1012" t="s">
        <v>468</v>
      </c>
      <c r="N22" s="1011" t="s">
        <v>209</v>
      </c>
      <c r="O22" s="1012" t="s">
        <v>210</v>
      </c>
      <c r="Q22" s="719" t="s">
        <v>211</v>
      </c>
      <c r="R22" s="720" t="s">
        <v>394</v>
      </c>
      <c r="S22" s="721" t="s">
        <v>451</v>
      </c>
      <c r="U22" s="719" t="s">
        <v>211</v>
      </c>
      <c r="V22" s="720" t="s">
        <v>394</v>
      </c>
      <c r="W22" s="721" t="s">
        <v>451</v>
      </c>
    </row>
    <row r="23" spans="2:23" ht="11.25" customHeight="1">
      <c r="B23" s="722" t="str">
        <f>+B$14</f>
        <v>Material:</v>
      </c>
      <c r="C23" s="723" t="str">
        <f>+C14</f>
        <v>PETROLEO DIESEL</v>
      </c>
      <c r="D23" s="724"/>
      <c r="E23" s="724"/>
      <c r="F23" s="725"/>
      <c r="G23" s="726"/>
      <c r="H23" s="727"/>
      <c r="I23" s="726"/>
      <c r="J23" s="728"/>
      <c r="K23" s="729"/>
      <c r="L23" s="724"/>
      <c r="M23" s="725"/>
      <c r="N23" s="730"/>
      <c r="O23" s="728"/>
      <c r="Q23" s="731"/>
      <c r="R23" s="732"/>
      <c r="S23" s="725"/>
      <c r="U23" s="731"/>
      <c r="V23" s="732"/>
      <c r="W23" s="725"/>
    </row>
    <row r="24" spans="2:23" ht="11.25" customHeight="1">
      <c r="B24" s="722" t="s">
        <v>212</v>
      </c>
      <c r="C24" s="733" t="s">
        <v>1013</v>
      </c>
      <c r="D24" s="724"/>
      <c r="E24" s="724"/>
      <c r="F24" s="734"/>
      <c r="G24" s="726"/>
      <c r="H24" s="727"/>
      <c r="I24" s="726"/>
      <c r="J24" s="727"/>
      <c r="K24" s="729"/>
      <c r="L24" s="724"/>
      <c r="M24" s="725"/>
      <c r="N24" s="730"/>
      <c r="O24" s="728"/>
      <c r="Q24" s="724"/>
      <c r="R24" s="735"/>
      <c r="S24" s="725"/>
      <c r="U24" s="724"/>
      <c r="V24" s="735"/>
      <c r="W24" s="952">
        <v>1397930.56</v>
      </c>
    </row>
    <row r="25" spans="2:23" ht="11.25" customHeight="1">
      <c r="B25" s="796" t="s">
        <v>33</v>
      </c>
      <c r="C25" s="1042" t="s">
        <v>34</v>
      </c>
      <c r="D25" s="738" t="s">
        <v>291</v>
      </c>
      <c r="E25" s="739">
        <v>1.03</v>
      </c>
      <c r="F25" s="740">
        <v>5.7030000000000003</v>
      </c>
      <c r="G25" s="741">
        <v>27948.77</v>
      </c>
      <c r="H25" s="742">
        <f>+ROUND(E25*F25*G25,2)</f>
        <v>164173.59</v>
      </c>
      <c r="I25" s="743">
        <f>LOOKUP(B25,valoriz!$A$13:$A$242,valoriz!I$13:I$242)</f>
        <v>0</v>
      </c>
      <c r="J25" s="744">
        <f>+ROUND(E25*F25*I25,2)</f>
        <v>0</v>
      </c>
      <c r="K25" s="745">
        <v>7.61</v>
      </c>
      <c r="L25" s="746" t="e">
        <f>D$17</f>
        <v>#REF!</v>
      </c>
      <c r="M25" s="747" t="e">
        <f>D$16</f>
        <v>#REF!</v>
      </c>
      <c r="N25" s="748">
        <f>+ROUND(J25*K25*M$18,2)</f>
        <v>0</v>
      </c>
      <c r="O25" s="744" t="e">
        <f>+ROUND(J25*K25*L25*M$18/M25,2)</f>
        <v>#REF!</v>
      </c>
      <c r="Q25" s="828">
        <v>104465.16</v>
      </c>
      <c r="R25" s="1014">
        <f>+J25+Q25</f>
        <v>104465.16</v>
      </c>
      <c r="S25" s="891">
        <f>+IF((H25-R25)&lt;0,"BAD", H25-R25)</f>
        <v>59708.429999999993</v>
      </c>
      <c r="T25" s="751"/>
      <c r="U25" s="828" t="e">
        <f>+ROUND(Q25*$K25*$L25/$M25,2)</f>
        <v>#REF!</v>
      </c>
      <c r="V25" s="1014" t="e">
        <f>+ROUND(R25*$K25*$L25/$M25,2)</f>
        <v>#REF!</v>
      </c>
      <c r="W25" s="891"/>
    </row>
    <row r="26" spans="2:23" ht="11.25" customHeight="1" thickBot="1">
      <c r="B26" s="762"/>
      <c r="C26" s="1024"/>
      <c r="D26" s="764"/>
      <c r="E26" s="765"/>
      <c r="F26" s="766"/>
      <c r="G26" s="767"/>
      <c r="H26" s="768"/>
      <c r="I26" s="767"/>
      <c r="J26" s="769"/>
      <c r="K26" s="770"/>
      <c r="L26" s="771"/>
      <c r="M26" s="772"/>
      <c r="N26" s="773"/>
      <c r="O26" s="769"/>
      <c r="Q26" s="871">
        <f>SUM(Q25)</f>
        <v>104465.16</v>
      </c>
      <c r="R26" s="896">
        <f>SUM(R25)</f>
        <v>104465.16</v>
      </c>
      <c r="S26" s="897">
        <f>SUM(S25)</f>
        <v>59708.429999999993</v>
      </c>
      <c r="T26" s="751"/>
      <c r="U26" s="871" t="e">
        <f>SUM(U25)</f>
        <v>#REF!</v>
      </c>
      <c r="V26" s="896" t="e">
        <f>SUM(V25)</f>
        <v>#REF!</v>
      </c>
      <c r="W26" s="897" t="e">
        <f>+W24-V27</f>
        <v>#REF!</v>
      </c>
    </row>
    <row r="27" spans="2:23" ht="11.25" customHeight="1">
      <c r="B27" s="775"/>
      <c r="C27" s="776"/>
      <c r="D27" s="777"/>
      <c r="E27" s="777"/>
      <c r="F27" s="778"/>
      <c r="G27" s="779"/>
      <c r="H27" s="780">
        <f>SUM(H25:H26)</f>
        <v>164173.59</v>
      </c>
      <c r="I27" s="779"/>
      <c r="J27" s="780">
        <f>SUM(J25:J26)</f>
        <v>0</v>
      </c>
      <c r="K27" s="781"/>
      <c r="L27" s="777"/>
      <c r="M27" s="778"/>
      <c r="N27" s="782">
        <f>SUM(N25:N26)</f>
        <v>0</v>
      </c>
      <c r="O27" s="783" t="e">
        <f>SUM(O25:O26)</f>
        <v>#REF!</v>
      </c>
      <c r="Q27" s="1654" t="str">
        <f>+IF(SUM(R25:R25)&gt;J28,"Revisar Metrado","OK")</f>
        <v>OK</v>
      </c>
      <c r="R27" s="1719"/>
      <c r="S27" s="1655"/>
      <c r="U27" s="1046" t="e">
        <f>+ROUND(Q26*$K25*$L25/$M25,2)</f>
        <v>#REF!</v>
      </c>
      <c r="V27" s="1047" t="e">
        <f>+O27+U27</f>
        <v>#REF!</v>
      </c>
      <c r="W27" s="1007"/>
    </row>
    <row r="28" spans="2:23" ht="11.25" customHeight="1">
      <c r="B28" s="784"/>
      <c r="C28" s="785"/>
      <c r="G28" s="786"/>
      <c r="H28" s="787" t="s">
        <v>214</v>
      </c>
      <c r="I28" s="788"/>
      <c r="J28" s="899">
        <v>158330</v>
      </c>
      <c r="K28" s="751"/>
    </row>
    <row r="29" spans="2:23" ht="11.25" customHeight="1">
      <c r="B29" s="784"/>
      <c r="C29" s="785"/>
      <c r="J29" s="806" t="s">
        <v>243</v>
      </c>
      <c r="K29" s="807"/>
      <c r="L29" s="807"/>
      <c r="M29" s="807"/>
      <c r="N29" s="808">
        <f>+N27</f>
        <v>0</v>
      </c>
      <c r="O29" s="809" t="e">
        <f>+O27</f>
        <v>#REF!</v>
      </c>
      <c r="P29" s="751"/>
      <c r="Q29" s="751"/>
    </row>
    <row r="30" spans="2:23" ht="11.25" customHeight="1">
      <c r="B30" s="784"/>
      <c r="C30" s="785"/>
      <c r="J30" s="810" t="s">
        <v>244</v>
      </c>
      <c r="K30" s="811"/>
      <c r="L30" s="811"/>
      <c r="M30" s="811"/>
      <c r="N30" s="808" t="e">
        <f>+IF(D$13&gt;C54,0,N29)</f>
        <v>#REF!</v>
      </c>
      <c r="O30" s="809" t="e">
        <f>+IF(D$13&gt;C54,0,O29)</f>
        <v>#REF!</v>
      </c>
    </row>
    <row r="31" spans="2:23" ht="11.25" customHeight="1">
      <c r="B31" s="784"/>
      <c r="C31" s="785"/>
      <c r="K31" s="751"/>
    </row>
    <row r="32" spans="2:23" ht="18">
      <c r="B32" s="1687" t="s">
        <v>993</v>
      </c>
      <c r="C32" s="1687"/>
      <c r="D32" s="1687"/>
      <c r="E32" s="1687"/>
      <c r="F32" s="1687"/>
      <c r="G32" s="1687"/>
      <c r="H32" s="1687"/>
      <c r="I32" s="1687"/>
      <c r="J32" s="1687"/>
      <c r="K32" s="1687"/>
      <c r="L32" s="1687"/>
      <c r="M32" s="1687"/>
      <c r="N32" s="1687"/>
      <c r="O32" s="1687"/>
    </row>
    <row r="34" spans="2:15" ht="11.25" customHeight="1">
      <c r="B34" s="699" t="str">
        <f>+B14</f>
        <v>Material:</v>
      </c>
      <c r="C34" s="698" t="str">
        <f>+C14</f>
        <v>PETROLEO DIESEL</v>
      </c>
    </row>
    <row r="35" spans="2:15" ht="11.25" customHeight="1">
      <c r="B35" s="699" t="str">
        <f>+B15</f>
        <v>Indice Unificado:</v>
      </c>
      <c r="C35" s="1016" t="str">
        <f>+C15</f>
        <v>53</v>
      </c>
      <c r="D35" s="705" t="s">
        <v>459</v>
      </c>
      <c r="E35" s="706"/>
      <c r="F35" s="1692" t="s">
        <v>451</v>
      </c>
      <c r="G35" s="1692"/>
    </row>
    <row r="36" spans="2:15" ht="11.25" customHeight="1">
      <c r="B36" s="698" t="str">
        <f>+B12</f>
        <v>Monto del Adelanto Especifico para PETROLEO DIESEL</v>
      </c>
      <c r="D36" s="702">
        <f>+D12</f>
        <v>1397930.56</v>
      </c>
      <c r="E36" s="706"/>
      <c r="F36" s="1691" t="e">
        <f>+D36-I70</f>
        <v>#REF!</v>
      </c>
      <c r="G36" s="1691"/>
    </row>
    <row r="37" spans="2:15" ht="11.25" customHeight="1">
      <c r="B37" s="698" t="s">
        <v>246</v>
      </c>
      <c r="C37" s="812"/>
      <c r="D37" s="702" t="e">
        <f>ROUND(D36/D40*D39,2)</f>
        <v>#REF!</v>
      </c>
      <c r="E37" s="706"/>
      <c r="F37" s="1691" t="e">
        <f>+D37-F70</f>
        <v>#REF!</v>
      </c>
      <c r="G37" s="1691"/>
    </row>
    <row r="38" spans="2:15" ht="11.25" customHeight="1">
      <c r="B38" s="698" t="str">
        <f>+B13</f>
        <v xml:space="preserve">Fecha de Pago del Adelanto: </v>
      </c>
      <c r="D38" s="703" t="e">
        <f>+D13</f>
        <v>#REF!</v>
      </c>
      <c r="E38" s="706"/>
    </row>
    <row r="39" spans="2:15" ht="11.25" customHeight="1">
      <c r="B39" s="698" t="str">
        <f>+B16</f>
        <v>Indice INEI a la Fecha del P. Base   (Abril 2,009)</v>
      </c>
      <c r="D39" s="709" t="e">
        <f>+D16</f>
        <v>#REF!</v>
      </c>
      <c r="E39" s="121"/>
    </row>
    <row r="40" spans="2:15" ht="11.25" customHeight="1">
      <c r="B40" s="698" t="str">
        <f>+B17</f>
        <v>Indice INEI a la Fecha del Pago del Adelanto  (Setiembre 2,010)</v>
      </c>
      <c r="D40" s="709" t="e">
        <f>+D17</f>
        <v>#REF!</v>
      </c>
      <c r="E40" s="709"/>
    </row>
    <row r="41" spans="2:15" ht="11.25" customHeight="1">
      <c r="B41" s="698" t="s">
        <v>247</v>
      </c>
      <c r="D41" s="698">
        <v>7.0999999999999994E-2</v>
      </c>
    </row>
    <row r="42" spans="2:15" ht="11.25" customHeight="1">
      <c r="B42" s="698" t="s">
        <v>248</v>
      </c>
      <c r="D42" s="813">
        <v>0.25352000000000002</v>
      </c>
    </row>
    <row r="44" spans="2:15" ht="11.25" customHeight="1">
      <c r="B44" s="814" t="str">
        <f>+'Asfalto IU 13'!B44</f>
        <v>AMORTIZACION DEL ADELANTO DE MATERIALES Nº 02</v>
      </c>
    </row>
    <row r="46" spans="2:15" ht="11.25" customHeight="1">
      <c r="B46" s="1708" t="s">
        <v>250</v>
      </c>
      <c r="C46" s="1709"/>
      <c r="D46" s="1712" t="s">
        <v>251</v>
      </c>
      <c r="E46" s="1718"/>
      <c r="F46" s="1718"/>
      <c r="G46" s="1718"/>
      <c r="H46" s="1718"/>
      <c r="I46" s="1713"/>
      <c r="L46" s="815"/>
      <c r="M46" s="815"/>
    </row>
    <row r="47" spans="2:15" ht="11.25" customHeight="1">
      <c r="B47" s="1720"/>
      <c r="C47" s="1721"/>
      <c r="D47" s="1712" t="s">
        <v>252</v>
      </c>
      <c r="E47" s="1718"/>
      <c r="F47" s="1713"/>
      <c r="G47" s="1712" t="s">
        <v>253</v>
      </c>
      <c r="H47" s="1718"/>
      <c r="I47" s="1713"/>
    </row>
    <row r="48" spans="2:15" ht="11.25" customHeight="1">
      <c r="B48" s="1710"/>
      <c r="C48" s="1711"/>
      <c r="D48" s="1009" t="s">
        <v>254</v>
      </c>
      <c r="E48" s="1017" t="s">
        <v>451</v>
      </c>
      <c r="F48" s="1010" t="s">
        <v>255</v>
      </c>
      <c r="G48" s="1009" t="s">
        <v>254</v>
      </c>
      <c r="H48" s="1017" t="s">
        <v>451</v>
      </c>
      <c r="I48" s="1010" t="s">
        <v>255</v>
      </c>
      <c r="O48" s="751"/>
    </row>
    <row r="49" spans="2:15" ht="11.25" customHeight="1">
      <c r="B49" s="817" t="s">
        <v>256</v>
      </c>
      <c r="C49" s="818">
        <f>+'Cemento Port I IU 21'!C395</f>
        <v>44500</v>
      </c>
      <c r="D49" s="819" t="e">
        <f>+D37</f>
        <v>#REF!</v>
      </c>
      <c r="E49" s="820" t="e">
        <f t="shared" ref="E49:E67" si="0">+D49-F49</f>
        <v>#REF!</v>
      </c>
      <c r="F49" s="821"/>
      <c r="G49" s="819">
        <f>+D36</f>
        <v>1397930.56</v>
      </c>
      <c r="H49" s="820">
        <f t="shared" ref="H49:H67" si="1">+G49-I49</f>
        <v>1397930.56</v>
      </c>
      <c r="I49" s="821"/>
      <c r="L49" s="751"/>
      <c r="O49" s="751"/>
    </row>
    <row r="50" spans="2:15" ht="11.25" customHeight="1">
      <c r="B50" s="822" t="s">
        <v>257</v>
      </c>
      <c r="C50" s="823">
        <f>+'Cemento Port I IU 21'!C396</f>
        <v>44530</v>
      </c>
      <c r="D50" s="824" t="e">
        <f>+D49</f>
        <v>#REF!</v>
      </c>
      <c r="E50" s="825" t="e">
        <f t="shared" si="0"/>
        <v>#REF!</v>
      </c>
      <c r="F50" s="744"/>
      <c r="G50" s="824">
        <f>+G49</f>
        <v>1397930.56</v>
      </c>
      <c r="H50" s="825">
        <f t="shared" si="1"/>
        <v>1397930.56</v>
      </c>
      <c r="I50" s="744"/>
      <c r="K50" s="751"/>
      <c r="L50" s="751"/>
      <c r="O50" s="751"/>
    </row>
    <row r="51" spans="2:15" ht="11.25" customHeight="1">
      <c r="B51" s="822" t="s">
        <v>258</v>
      </c>
      <c r="C51" s="823">
        <f>+'Cemento Port I IU 21'!C397</f>
        <v>44561</v>
      </c>
      <c r="D51" s="824" t="e">
        <f t="shared" ref="D51:D67" si="2">+E50</f>
        <v>#REF!</v>
      </c>
      <c r="E51" s="825" t="e">
        <f t="shared" si="0"/>
        <v>#REF!</v>
      </c>
      <c r="F51" s="744"/>
      <c r="G51" s="824">
        <f t="shared" ref="G51:G67" si="3">+H50</f>
        <v>1397930.56</v>
      </c>
      <c r="H51" s="825">
        <f t="shared" si="1"/>
        <v>1397930.56</v>
      </c>
      <c r="I51" s="744"/>
      <c r="L51" s="751"/>
      <c r="O51" s="751"/>
    </row>
    <row r="52" spans="2:15" ht="11.25" customHeight="1">
      <c r="B52" s="822" t="s">
        <v>259</v>
      </c>
      <c r="C52" s="823">
        <f>+'Cemento Port I IU 21'!C398</f>
        <v>44592</v>
      </c>
      <c r="D52" s="824" t="e">
        <f t="shared" si="2"/>
        <v>#REF!</v>
      </c>
      <c r="E52" s="825" t="e">
        <f t="shared" si="0"/>
        <v>#REF!</v>
      </c>
      <c r="F52" s="744"/>
      <c r="G52" s="824">
        <f t="shared" si="3"/>
        <v>1397930.56</v>
      </c>
      <c r="H52" s="825">
        <f t="shared" si="1"/>
        <v>1397930.56</v>
      </c>
      <c r="I52" s="744"/>
      <c r="L52" s="751"/>
      <c r="O52" s="751"/>
    </row>
    <row r="53" spans="2:15" ht="11.25" customHeight="1">
      <c r="B53" s="822" t="s">
        <v>260</v>
      </c>
      <c r="C53" s="823">
        <f>+'Cemento Port I IU 21'!C399</f>
        <v>44620</v>
      </c>
      <c r="D53" s="824" t="e">
        <f t="shared" si="2"/>
        <v>#REF!</v>
      </c>
      <c r="E53" s="825" t="e">
        <f t="shared" si="0"/>
        <v>#REF!</v>
      </c>
      <c r="F53" s="744"/>
      <c r="G53" s="824">
        <f t="shared" si="3"/>
        <v>1397930.56</v>
      </c>
      <c r="H53" s="825">
        <f t="shared" si="1"/>
        <v>1397930.56</v>
      </c>
      <c r="I53" s="744"/>
      <c r="L53" s="751"/>
      <c r="O53" s="751"/>
    </row>
    <row r="54" spans="2:15" ht="11.25" customHeight="1">
      <c r="B54" s="822" t="s">
        <v>261</v>
      </c>
      <c r="C54" s="823">
        <f>+'Cemento Port I IU 21'!C400</f>
        <v>0</v>
      </c>
      <c r="D54" s="824" t="e">
        <f t="shared" si="2"/>
        <v>#REF!</v>
      </c>
      <c r="E54" s="825" t="e">
        <f t="shared" si="0"/>
        <v>#REF!</v>
      </c>
      <c r="F54" s="744">
        <v>0</v>
      </c>
      <c r="G54" s="824">
        <f t="shared" si="3"/>
        <v>1397930.56</v>
      </c>
      <c r="H54" s="825">
        <f t="shared" si="1"/>
        <v>1397930.56</v>
      </c>
      <c r="I54" s="744">
        <v>0</v>
      </c>
      <c r="L54" s="751"/>
      <c r="O54" s="751"/>
    </row>
    <row r="55" spans="2:15" ht="11.25" customHeight="1">
      <c r="B55" s="822" t="s">
        <v>262</v>
      </c>
      <c r="C55" s="823" t="e">
        <f>+'Cemento Port I IU 21'!C401</f>
        <v>#REF!</v>
      </c>
      <c r="D55" s="824" t="e">
        <f t="shared" si="2"/>
        <v>#REF!</v>
      </c>
      <c r="E55" s="825" t="e">
        <f t="shared" si="0"/>
        <v>#REF!</v>
      </c>
      <c r="F55" s="744">
        <v>0</v>
      </c>
      <c r="G55" s="824">
        <f t="shared" si="3"/>
        <v>1397930.56</v>
      </c>
      <c r="H55" s="825">
        <f t="shared" si="1"/>
        <v>1397930.56</v>
      </c>
      <c r="I55" s="744">
        <v>0</v>
      </c>
      <c r="L55" s="751"/>
      <c r="O55" s="751"/>
    </row>
    <row r="56" spans="2:15" ht="11.25" customHeight="1">
      <c r="B56" s="822" t="s">
        <v>263</v>
      </c>
      <c r="C56" s="823" t="e">
        <f>+'Cemento Port I IU 21'!C402</f>
        <v>#REF!</v>
      </c>
      <c r="D56" s="824" t="e">
        <f t="shared" si="2"/>
        <v>#REF!</v>
      </c>
      <c r="E56" s="825" t="e">
        <f t="shared" si="0"/>
        <v>#REF!</v>
      </c>
      <c r="F56" s="744">
        <v>237428.35</v>
      </c>
      <c r="G56" s="824">
        <f t="shared" si="3"/>
        <v>1397930.56</v>
      </c>
      <c r="H56" s="825">
        <f>+G56-I56</f>
        <v>1123993.46</v>
      </c>
      <c r="I56" s="744">
        <v>273937.09999999998</v>
      </c>
      <c r="L56" s="751"/>
      <c r="O56" s="751"/>
    </row>
    <row r="57" spans="2:15" ht="11.25" customHeight="1">
      <c r="B57" s="822" t="s">
        <v>264</v>
      </c>
      <c r="C57" s="823" t="e">
        <f>+'Cemento Port I IU 21'!C403</f>
        <v>#REF!</v>
      </c>
      <c r="D57" s="824" t="e">
        <f t="shared" si="2"/>
        <v>#REF!</v>
      </c>
      <c r="E57" s="825" t="e">
        <f t="shared" si="0"/>
        <v>#REF!</v>
      </c>
      <c r="F57" s="744">
        <v>196876.64</v>
      </c>
      <c r="G57" s="824">
        <f t="shared" si="3"/>
        <v>1123993.46</v>
      </c>
      <c r="H57" s="825">
        <f t="shared" si="1"/>
        <v>896843.6</v>
      </c>
      <c r="I57" s="744">
        <v>227149.86</v>
      </c>
      <c r="L57" s="751"/>
      <c r="O57" s="751"/>
    </row>
    <row r="58" spans="2:15" ht="11.25" customHeight="1">
      <c r="B58" s="822" t="s">
        <v>265</v>
      </c>
      <c r="C58" s="823" t="e">
        <f>+'Cemento Port I IU 21'!C404</f>
        <v>#REF!</v>
      </c>
      <c r="D58" s="824" t="e">
        <f t="shared" si="2"/>
        <v>#REF!</v>
      </c>
      <c r="E58" s="825" t="e">
        <f t="shared" si="0"/>
        <v>#REF!</v>
      </c>
      <c r="F58" s="744">
        <v>0</v>
      </c>
      <c r="G58" s="824">
        <f t="shared" si="3"/>
        <v>896843.6</v>
      </c>
      <c r="H58" s="825">
        <f t="shared" si="1"/>
        <v>896843.6</v>
      </c>
      <c r="I58" s="744">
        <v>0</v>
      </c>
      <c r="O58" s="751"/>
    </row>
    <row r="59" spans="2:15" ht="11.25" customHeight="1">
      <c r="B59" s="822" t="s">
        <v>266</v>
      </c>
      <c r="C59" s="823" t="e">
        <f>+'Cemento Port I IU 21'!C405</f>
        <v>#REF!</v>
      </c>
      <c r="D59" s="824" t="e">
        <f t="shared" si="2"/>
        <v>#REF!</v>
      </c>
      <c r="E59" s="825" t="e">
        <f t="shared" si="0"/>
        <v>#REF!</v>
      </c>
      <c r="F59" s="744">
        <v>0</v>
      </c>
      <c r="G59" s="824">
        <f t="shared" si="3"/>
        <v>896843.6</v>
      </c>
      <c r="H59" s="825">
        <f t="shared" si="1"/>
        <v>896843.6</v>
      </c>
      <c r="I59" s="744">
        <v>0</v>
      </c>
      <c r="O59" s="751"/>
    </row>
    <row r="60" spans="2:15" ht="11.25" customHeight="1">
      <c r="B60" s="822" t="s">
        <v>267</v>
      </c>
      <c r="C60" s="823" t="e">
        <f>+'Cemento Port I IU 21'!C406</f>
        <v>#REF!</v>
      </c>
      <c r="D60" s="824" t="e">
        <f t="shared" si="2"/>
        <v>#REF!</v>
      </c>
      <c r="E60" s="825" t="e">
        <f t="shared" si="0"/>
        <v>#REF!</v>
      </c>
      <c r="F60" s="744">
        <v>0</v>
      </c>
      <c r="G60" s="824">
        <f t="shared" si="3"/>
        <v>896843.6</v>
      </c>
      <c r="H60" s="825">
        <f t="shared" si="1"/>
        <v>896843.6</v>
      </c>
      <c r="I60" s="744">
        <v>0</v>
      </c>
      <c r="O60" s="751"/>
    </row>
    <row r="61" spans="2:15" ht="11.25" customHeight="1">
      <c r="B61" s="822" t="s">
        <v>268</v>
      </c>
      <c r="C61" s="823" t="e">
        <f>+'Cemento Port I IU 21'!C407</f>
        <v>#REF!</v>
      </c>
      <c r="D61" s="824" t="e">
        <f t="shared" si="2"/>
        <v>#REF!</v>
      </c>
      <c r="E61" s="825" t="e">
        <f t="shared" si="0"/>
        <v>#REF!</v>
      </c>
      <c r="F61" s="744">
        <v>0</v>
      </c>
      <c r="G61" s="824">
        <f t="shared" si="3"/>
        <v>896843.6</v>
      </c>
      <c r="H61" s="825">
        <f t="shared" si="1"/>
        <v>896843.6</v>
      </c>
      <c r="I61" s="744">
        <v>0</v>
      </c>
      <c r="O61" s="751"/>
    </row>
    <row r="62" spans="2:15" ht="11.25" customHeight="1">
      <c r="B62" s="822" t="s">
        <v>269</v>
      </c>
      <c r="C62" s="823" t="e">
        <f>+'Cemento Port I IU 21'!C408</f>
        <v>#REF!</v>
      </c>
      <c r="D62" s="824" t="e">
        <f t="shared" si="2"/>
        <v>#REF!</v>
      </c>
      <c r="E62" s="825" t="e">
        <f t="shared" si="0"/>
        <v>#REF!</v>
      </c>
      <c r="F62" s="744">
        <v>186677.94</v>
      </c>
      <c r="G62" s="824">
        <f t="shared" si="3"/>
        <v>896843.6</v>
      </c>
      <c r="H62" s="825">
        <f t="shared" si="1"/>
        <v>681460.65999999992</v>
      </c>
      <c r="I62" s="744">
        <v>215382.94</v>
      </c>
      <c r="O62" s="751"/>
    </row>
    <row r="63" spans="2:15" ht="11.25" customHeight="1">
      <c r="B63" s="822" t="s">
        <v>270</v>
      </c>
      <c r="C63" s="823" t="e">
        <f>+'Cemento Port I IU 21'!C409</f>
        <v>#REF!</v>
      </c>
      <c r="D63" s="824" t="e">
        <f t="shared" si="2"/>
        <v>#REF!</v>
      </c>
      <c r="E63" s="825" t="e">
        <f t="shared" si="0"/>
        <v>#REF!</v>
      </c>
      <c r="F63" s="744">
        <v>173996.94</v>
      </c>
      <c r="G63" s="824">
        <f t="shared" si="3"/>
        <v>681460.65999999992</v>
      </c>
      <c r="H63" s="825">
        <f t="shared" si="1"/>
        <v>480708.64999999991</v>
      </c>
      <c r="I63" s="744">
        <v>200752.01</v>
      </c>
      <c r="O63" s="751"/>
    </row>
    <row r="64" spans="2:15" ht="11.25" customHeight="1">
      <c r="B64" s="822" t="s">
        <v>271</v>
      </c>
      <c r="C64" s="823" t="e">
        <f>+'Cemento Port I IU 21'!C410</f>
        <v>#REF!</v>
      </c>
      <c r="D64" s="824" t="e">
        <f t="shared" si="2"/>
        <v>#REF!</v>
      </c>
      <c r="E64" s="825" t="e">
        <f t="shared" si="0"/>
        <v>#REF!</v>
      </c>
      <c r="F64" s="744" t="e">
        <f>+IF(D$13&gt;C64,0,N$30)</f>
        <v>#REF!</v>
      </c>
      <c r="G64" s="824">
        <f t="shared" si="3"/>
        <v>480708.64999999991</v>
      </c>
      <c r="H64" s="825" t="e">
        <f t="shared" si="1"/>
        <v>#REF!</v>
      </c>
      <c r="I64" s="744" t="e">
        <f>+IF(D$13&gt;C64,0,O$30)</f>
        <v>#REF!</v>
      </c>
      <c r="O64" s="751"/>
    </row>
    <row r="65" spans="2:18" ht="11.25" customHeight="1">
      <c r="B65" s="822" t="s">
        <v>272</v>
      </c>
      <c r="C65" s="823" t="e">
        <f>+'Cemento Port I IU 21'!C411</f>
        <v>#REF!</v>
      </c>
      <c r="D65" s="824" t="e">
        <f t="shared" si="2"/>
        <v>#REF!</v>
      </c>
      <c r="E65" s="825" t="e">
        <f t="shared" si="0"/>
        <v>#REF!</v>
      </c>
      <c r="F65" s="744"/>
      <c r="G65" s="824" t="e">
        <f t="shared" si="3"/>
        <v>#REF!</v>
      </c>
      <c r="H65" s="825" t="e">
        <f t="shared" si="1"/>
        <v>#REF!</v>
      </c>
      <c r="I65" s="744"/>
      <c r="J65" s="710"/>
      <c r="O65" s="751"/>
    </row>
    <row r="66" spans="2:18" ht="11.25" customHeight="1">
      <c r="B66" s="822" t="s">
        <v>273</v>
      </c>
      <c r="C66" s="823" t="e">
        <f>+'Cemento Port I IU 21'!C412</f>
        <v>#REF!</v>
      </c>
      <c r="D66" s="824" t="e">
        <f t="shared" si="2"/>
        <v>#REF!</v>
      </c>
      <c r="E66" s="825" t="e">
        <f t="shared" si="0"/>
        <v>#REF!</v>
      </c>
      <c r="F66" s="744"/>
      <c r="G66" s="824" t="e">
        <f t="shared" si="3"/>
        <v>#REF!</v>
      </c>
      <c r="H66" s="825" t="e">
        <f t="shared" si="1"/>
        <v>#REF!</v>
      </c>
      <c r="I66" s="744"/>
      <c r="J66" s="710"/>
      <c r="O66" s="751"/>
    </row>
    <row r="67" spans="2:18" ht="11.25" customHeight="1">
      <c r="B67" s="822" t="s">
        <v>1014</v>
      </c>
      <c r="C67" s="823">
        <f>+'Cemento Port I IU 21'!C413</f>
        <v>0</v>
      </c>
      <c r="D67" s="824" t="e">
        <f t="shared" si="2"/>
        <v>#REF!</v>
      </c>
      <c r="E67" s="825" t="e">
        <f t="shared" si="0"/>
        <v>#REF!</v>
      </c>
      <c r="F67" s="744"/>
      <c r="G67" s="824" t="e">
        <f t="shared" si="3"/>
        <v>#REF!</v>
      </c>
      <c r="H67" s="825" t="e">
        <f t="shared" si="1"/>
        <v>#REF!</v>
      </c>
      <c r="I67" s="744"/>
      <c r="J67" s="710"/>
      <c r="O67" s="751"/>
    </row>
    <row r="68" spans="2:18" ht="11.25" customHeight="1">
      <c r="B68" s="822"/>
      <c r="C68" s="823"/>
      <c r="D68" s="824"/>
      <c r="E68" s="825"/>
      <c r="F68" s="744"/>
      <c r="G68" s="824"/>
      <c r="H68" s="825"/>
      <c r="I68" s="744"/>
      <c r="J68" s="710"/>
      <c r="O68" s="751"/>
    </row>
    <row r="69" spans="2:18" ht="11.25" customHeight="1">
      <c r="B69" s="826"/>
      <c r="C69" s="827"/>
      <c r="D69" s="828"/>
      <c r="E69" s="829"/>
      <c r="F69" s="830"/>
      <c r="G69" s="828"/>
      <c r="H69" s="829"/>
      <c r="I69" s="830"/>
      <c r="O69" s="751"/>
    </row>
    <row r="70" spans="2:18" ht="11.25" customHeight="1">
      <c r="B70" s="700"/>
      <c r="C70" s="700"/>
      <c r="D70" s="831" t="s">
        <v>274</v>
      </c>
      <c r="E70" s="788"/>
      <c r="F70" s="832" t="e">
        <f>SUM(F49:F69)</f>
        <v>#REF!</v>
      </c>
      <c r="G70" s="786"/>
      <c r="H70" s="832"/>
      <c r="I70" s="833" t="e">
        <f>SUM(I49:I69)</f>
        <v>#REF!</v>
      </c>
      <c r="O70" s="751"/>
    </row>
    <row r="72" spans="2:18" ht="11.25" customHeight="1">
      <c r="B72" s="814" t="str">
        <f>+'Asfalto IU 13'!B72</f>
        <v>DEDUCCION POR REAJUSTE QUE NO CORRESPONDE DEL ADELANTO DE MATERIALES Nº 02</v>
      </c>
    </row>
    <row r="73" spans="2:18" ht="11.25" customHeight="1">
      <c r="B73" s="834" t="s">
        <v>276</v>
      </c>
    </row>
    <row r="74" spans="2:18" ht="11.25" customHeight="1">
      <c r="B74" s="835" t="s">
        <v>277</v>
      </c>
      <c r="C74" s="715"/>
      <c r="D74" s="715"/>
      <c r="E74" s="715"/>
      <c r="F74" s="715"/>
      <c r="G74" s="715"/>
      <c r="H74" s="715"/>
      <c r="I74" s="715"/>
      <c r="J74" s="715"/>
      <c r="K74" s="715"/>
      <c r="L74" s="715"/>
      <c r="M74" s="715"/>
    </row>
    <row r="75" spans="2:18" ht="11.25" customHeight="1">
      <c r="B75" s="1708" t="s">
        <v>250</v>
      </c>
      <c r="C75" s="1709"/>
      <c r="D75" s="1708" t="s">
        <v>278</v>
      </c>
      <c r="E75" s="1714" t="s">
        <v>279</v>
      </c>
      <c r="F75" s="1712" t="s">
        <v>135</v>
      </c>
      <c r="G75" s="1713"/>
      <c r="H75" s="1723" t="s">
        <v>280</v>
      </c>
      <c r="I75" s="1724"/>
      <c r="J75" s="1725"/>
      <c r="K75" s="1708" t="s">
        <v>281</v>
      </c>
      <c r="L75" s="1726"/>
      <c r="M75" s="1709"/>
      <c r="N75" s="1714" t="s">
        <v>282</v>
      </c>
      <c r="P75" s="1654" t="s">
        <v>136</v>
      </c>
      <c r="Q75" s="1655"/>
    </row>
    <row r="76" spans="2:18" ht="11.25" customHeight="1">
      <c r="B76" s="1710"/>
      <c r="C76" s="1711"/>
      <c r="D76" s="1710"/>
      <c r="E76" s="1715"/>
      <c r="F76" s="1018" t="s">
        <v>283</v>
      </c>
      <c r="G76" s="1018" t="s">
        <v>385</v>
      </c>
      <c r="H76" s="1010" t="s">
        <v>254</v>
      </c>
      <c r="I76" s="1010" t="s">
        <v>284</v>
      </c>
      <c r="J76" s="1009" t="s">
        <v>451</v>
      </c>
      <c r="K76" s="1018" t="s">
        <v>468</v>
      </c>
      <c r="L76" s="1010" t="s">
        <v>467</v>
      </c>
      <c r="M76" s="1010" t="s">
        <v>285</v>
      </c>
      <c r="N76" s="1722"/>
      <c r="P76" s="838" t="s">
        <v>456</v>
      </c>
      <c r="Q76" s="839" t="s">
        <v>286</v>
      </c>
    </row>
    <row r="77" spans="2:18" ht="11.25" customHeight="1">
      <c r="B77" s="817" t="str">
        <f t="shared" ref="B77:C95" si="4">+B49</f>
        <v>VAL. 01</v>
      </c>
      <c r="C77" s="818">
        <f t="shared" si="4"/>
        <v>44500</v>
      </c>
      <c r="D77" s="824">
        <f>+'Cemento Port I IU 21'!D423</f>
        <v>78066.42</v>
      </c>
      <c r="E77" s="840">
        <f t="shared" ref="E77:E95" si="5">+H49</f>
        <v>1397930.56</v>
      </c>
      <c r="F77" s="841">
        <f>+D41</f>
        <v>7.0999999999999994E-2</v>
      </c>
      <c r="G77" s="842">
        <f>+D42</f>
        <v>0.25352000000000002</v>
      </c>
      <c r="H77" s="843" t="e">
        <f>+D37</f>
        <v>#REF!</v>
      </c>
      <c r="I77" s="744" t="e">
        <f>+IF(D$13&gt;C77,0,ROUND(D77*F77*G77,2))</f>
        <v>#REF!</v>
      </c>
      <c r="J77" s="824" t="e">
        <f>+H77-I77</f>
        <v>#REF!</v>
      </c>
      <c r="K77" s="843" t="e">
        <f t="shared" ref="K77:K95" si="6">+D$39</f>
        <v>#REF!</v>
      </c>
      <c r="L77" s="744"/>
      <c r="M77" s="744"/>
      <c r="N77" s="1019" t="e">
        <f t="shared" ref="N77:N95" si="7">+ROUND(I77*(M77-L77)/K77,2)</f>
        <v>#REF!</v>
      </c>
      <c r="O77" s="751"/>
      <c r="P77" s="845">
        <v>40238</v>
      </c>
      <c r="Q77" s="846">
        <v>40299</v>
      </c>
      <c r="R77" s="698" t="s">
        <v>996</v>
      </c>
    </row>
    <row r="78" spans="2:18" ht="11.25" customHeight="1">
      <c r="B78" s="822" t="str">
        <f t="shared" si="4"/>
        <v>VAL. 02</v>
      </c>
      <c r="C78" s="823">
        <f t="shared" si="4"/>
        <v>44530</v>
      </c>
      <c r="D78" s="824">
        <f>+'Cemento Port I IU 21'!D424</f>
        <v>1302063.97</v>
      </c>
      <c r="E78" s="843">
        <f t="shared" si="5"/>
        <v>1397930.56</v>
      </c>
      <c r="F78" s="841">
        <f t="shared" ref="F78:F95" si="8">+F77</f>
        <v>7.0999999999999994E-2</v>
      </c>
      <c r="G78" s="842">
        <f t="shared" ref="G78:G95" si="9">+G77</f>
        <v>0.25352000000000002</v>
      </c>
      <c r="H78" s="843" t="e">
        <f t="shared" ref="H78:H95" si="10">+J77</f>
        <v>#REF!</v>
      </c>
      <c r="I78" s="744" t="e">
        <f t="shared" ref="I78:I95" si="11">+IF(D$13&gt;C78,0,IF(ROUND(D78*F78*G78,2)&gt;J77,J77,ROUND(D78*F78*G78,2)))</f>
        <v>#REF!</v>
      </c>
      <c r="J78" s="847" t="e">
        <f t="shared" ref="J78:J89" si="12">+ROUND(J77-I78,2)</f>
        <v>#REF!</v>
      </c>
      <c r="K78" s="843" t="e">
        <f t="shared" si="6"/>
        <v>#REF!</v>
      </c>
      <c r="L78" s="744"/>
      <c r="M78" s="744"/>
      <c r="N78" s="1019" t="e">
        <f t="shared" si="7"/>
        <v>#REF!</v>
      </c>
      <c r="O78" s="751"/>
      <c r="P78" s="845">
        <v>40269</v>
      </c>
      <c r="Q78" s="846">
        <v>40330</v>
      </c>
      <c r="R78" s="698" t="s">
        <v>996</v>
      </c>
    </row>
    <row r="79" spans="2:18" ht="11.25" customHeight="1">
      <c r="B79" s="822" t="str">
        <f t="shared" si="4"/>
        <v>VAL. 03</v>
      </c>
      <c r="C79" s="823">
        <f t="shared" si="4"/>
        <v>44561</v>
      </c>
      <c r="D79" s="824">
        <f>+'Cemento Port I IU 21'!D425</f>
        <v>1388847.16</v>
      </c>
      <c r="E79" s="843">
        <f t="shared" si="5"/>
        <v>1397930.56</v>
      </c>
      <c r="F79" s="841">
        <f t="shared" si="8"/>
        <v>7.0999999999999994E-2</v>
      </c>
      <c r="G79" s="842">
        <f t="shared" si="9"/>
        <v>0.25352000000000002</v>
      </c>
      <c r="H79" s="843" t="e">
        <f t="shared" si="10"/>
        <v>#REF!</v>
      </c>
      <c r="I79" s="744" t="e">
        <f t="shared" si="11"/>
        <v>#REF!</v>
      </c>
      <c r="J79" s="847" t="e">
        <f t="shared" si="12"/>
        <v>#REF!</v>
      </c>
      <c r="K79" s="843" t="e">
        <f t="shared" si="6"/>
        <v>#REF!</v>
      </c>
      <c r="L79" s="744"/>
      <c r="M79" s="744"/>
      <c r="N79" s="1019" t="e">
        <f t="shared" si="7"/>
        <v>#REF!</v>
      </c>
      <c r="O79" s="751"/>
      <c r="P79" s="845">
        <v>40299</v>
      </c>
      <c r="Q79" s="846">
        <v>40360</v>
      </c>
      <c r="R79" s="698" t="s">
        <v>996</v>
      </c>
    </row>
    <row r="80" spans="2:18" ht="11.25" customHeight="1">
      <c r="B80" s="822" t="str">
        <f t="shared" si="4"/>
        <v>VAL. 04</v>
      </c>
      <c r="C80" s="823">
        <f t="shared" si="4"/>
        <v>44592</v>
      </c>
      <c r="D80" s="824">
        <f>+'Cemento Port I IU 21'!D426</f>
        <v>0</v>
      </c>
      <c r="E80" s="843">
        <f t="shared" si="5"/>
        <v>1397930.56</v>
      </c>
      <c r="F80" s="841">
        <f t="shared" si="8"/>
        <v>7.0999999999999994E-2</v>
      </c>
      <c r="G80" s="842">
        <f t="shared" si="9"/>
        <v>0.25352000000000002</v>
      </c>
      <c r="H80" s="843" t="e">
        <f t="shared" si="10"/>
        <v>#REF!</v>
      </c>
      <c r="I80" s="744" t="e">
        <f t="shared" si="11"/>
        <v>#REF!</v>
      </c>
      <c r="J80" s="847" t="e">
        <f t="shared" si="12"/>
        <v>#REF!</v>
      </c>
      <c r="K80" s="843" t="e">
        <f t="shared" si="6"/>
        <v>#REF!</v>
      </c>
      <c r="L80" s="744"/>
      <c r="M80" s="744"/>
      <c r="N80" s="1019" t="e">
        <f t="shared" si="7"/>
        <v>#REF!</v>
      </c>
      <c r="O80" s="751"/>
      <c r="P80" s="845">
        <v>40330</v>
      </c>
      <c r="Q80" s="846">
        <v>40391</v>
      </c>
      <c r="R80" s="698" t="s">
        <v>996</v>
      </c>
    </row>
    <row r="81" spans="2:17" ht="11.25" customHeight="1">
      <c r="B81" s="822" t="str">
        <f t="shared" si="4"/>
        <v>VAL. 05</v>
      </c>
      <c r="C81" s="823">
        <f t="shared" si="4"/>
        <v>44620</v>
      </c>
      <c r="D81" s="824">
        <f>+'Cemento Port I IU 21'!D427</f>
        <v>0</v>
      </c>
      <c r="E81" s="843">
        <f t="shared" si="5"/>
        <v>1397930.56</v>
      </c>
      <c r="F81" s="841">
        <f t="shared" si="8"/>
        <v>7.0999999999999994E-2</v>
      </c>
      <c r="G81" s="842">
        <f t="shared" si="9"/>
        <v>0.25352000000000002</v>
      </c>
      <c r="H81" s="843" t="e">
        <f t="shared" si="10"/>
        <v>#REF!</v>
      </c>
      <c r="I81" s="744" t="e">
        <f t="shared" si="11"/>
        <v>#REF!</v>
      </c>
      <c r="J81" s="847" t="e">
        <f t="shared" si="12"/>
        <v>#REF!</v>
      </c>
      <c r="K81" s="843" t="e">
        <f t="shared" si="6"/>
        <v>#REF!</v>
      </c>
      <c r="L81" s="744"/>
      <c r="M81" s="744"/>
      <c r="N81" s="1019" t="e">
        <f t="shared" si="7"/>
        <v>#REF!</v>
      </c>
      <c r="O81" s="751"/>
      <c r="P81" s="845">
        <v>40360</v>
      </c>
      <c r="Q81" s="846">
        <v>40422</v>
      </c>
    </row>
    <row r="82" spans="2:17" ht="11.25" customHeight="1">
      <c r="B82" s="822" t="str">
        <f t="shared" si="4"/>
        <v>VAL. 06</v>
      </c>
      <c r="C82" s="823">
        <f t="shared" si="4"/>
        <v>0</v>
      </c>
      <c r="D82" s="824">
        <f>+'Cemento Port I IU 21'!D428</f>
        <v>0</v>
      </c>
      <c r="E82" s="843">
        <f t="shared" si="5"/>
        <v>1397930.56</v>
      </c>
      <c r="F82" s="841">
        <f t="shared" si="8"/>
        <v>7.0999999999999994E-2</v>
      </c>
      <c r="G82" s="842">
        <f t="shared" si="9"/>
        <v>0.25352000000000002</v>
      </c>
      <c r="H82" s="843" t="e">
        <f t="shared" si="10"/>
        <v>#REF!</v>
      </c>
      <c r="I82" s="744" t="e">
        <f t="shared" si="11"/>
        <v>#REF!</v>
      </c>
      <c r="J82" s="847" t="e">
        <f t="shared" si="12"/>
        <v>#REF!</v>
      </c>
      <c r="K82" s="843" t="e">
        <f t="shared" si="6"/>
        <v>#REF!</v>
      </c>
      <c r="L82" s="744" t="e">
        <f t="shared" ref="L82:L95" si="13">+D$40</f>
        <v>#REF!</v>
      </c>
      <c r="M82" s="744" t="e">
        <f>+K!#REF!</f>
        <v>#REF!</v>
      </c>
      <c r="N82" s="1019" t="e">
        <f t="shared" si="7"/>
        <v>#REF!</v>
      </c>
      <c r="O82" s="751"/>
      <c r="P82" s="845">
        <v>40391</v>
      </c>
      <c r="Q82" s="846">
        <v>40452</v>
      </c>
    </row>
    <row r="83" spans="2:17" ht="11.25" customHeight="1">
      <c r="B83" s="822" t="str">
        <f t="shared" si="4"/>
        <v>VAL. 07</v>
      </c>
      <c r="C83" s="823" t="e">
        <f t="shared" si="4"/>
        <v>#REF!</v>
      </c>
      <c r="D83" s="824" t="e">
        <f>+'Cemento Port I IU 21'!D429</f>
        <v>#REF!</v>
      </c>
      <c r="E83" s="843">
        <f t="shared" si="5"/>
        <v>1397930.56</v>
      </c>
      <c r="F83" s="841">
        <f t="shared" si="8"/>
        <v>7.0999999999999994E-2</v>
      </c>
      <c r="G83" s="842">
        <f t="shared" si="9"/>
        <v>0.25352000000000002</v>
      </c>
      <c r="H83" s="843" t="e">
        <f t="shared" si="10"/>
        <v>#REF!</v>
      </c>
      <c r="I83" s="744" t="e">
        <f t="shared" si="11"/>
        <v>#REF!</v>
      </c>
      <c r="J83" s="847" t="e">
        <f t="shared" si="12"/>
        <v>#REF!</v>
      </c>
      <c r="K83" s="843" t="e">
        <f t="shared" si="6"/>
        <v>#REF!</v>
      </c>
      <c r="L83" s="744" t="e">
        <f t="shared" si="13"/>
        <v>#REF!</v>
      </c>
      <c r="M83" s="744" t="e">
        <f>+K!#REF!</f>
        <v>#REF!</v>
      </c>
      <c r="N83" s="1019" t="e">
        <f t="shared" si="7"/>
        <v>#REF!</v>
      </c>
      <c r="O83" s="751"/>
      <c r="P83" s="845">
        <v>40422</v>
      </c>
      <c r="Q83" s="846">
        <v>40483</v>
      </c>
    </row>
    <row r="84" spans="2:17" ht="11.25" customHeight="1">
      <c r="B84" s="822" t="str">
        <f t="shared" si="4"/>
        <v>VAL. 08</v>
      </c>
      <c r="C84" s="823" t="e">
        <f t="shared" si="4"/>
        <v>#REF!</v>
      </c>
      <c r="D84" s="824" t="e">
        <f>+'Cemento Port I IU 21'!D430</f>
        <v>#REF!</v>
      </c>
      <c r="E84" s="849">
        <f>+H56</f>
        <v>1123993.46</v>
      </c>
      <c r="F84" s="841">
        <f t="shared" si="8"/>
        <v>7.0999999999999994E-2</v>
      </c>
      <c r="G84" s="842">
        <f t="shared" si="9"/>
        <v>0.25352000000000002</v>
      </c>
      <c r="H84" s="843" t="e">
        <f t="shared" si="10"/>
        <v>#REF!</v>
      </c>
      <c r="I84" s="744" t="e">
        <f t="shared" si="11"/>
        <v>#REF!</v>
      </c>
      <c r="J84" s="847" t="e">
        <f t="shared" si="12"/>
        <v>#REF!</v>
      </c>
      <c r="K84" s="849" t="e">
        <f t="shared" si="6"/>
        <v>#REF!</v>
      </c>
      <c r="L84" s="852" t="e">
        <f t="shared" si="13"/>
        <v>#REF!</v>
      </c>
      <c r="M84" s="744" t="e">
        <f>+K!#REF!</f>
        <v>#REF!</v>
      </c>
      <c r="N84" s="1019" t="e">
        <f t="shared" si="7"/>
        <v>#REF!</v>
      </c>
      <c r="P84" s="845">
        <v>40452</v>
      </c>
      <c r="Q84" s="846">
        <v>40513</v>
      </c>
    </row>
    <row r="85" spans="2:17" ht="11.25" customHeight="1">
      <c r="B85" s="822" t="str">
        <f t="shared" si="4"/>
        <v>VAL. 09</v>
      </c>
      <c r="C85" s="823" t="e">
        <f t="shared" si="4"/>
        <v>#REF!</v>
      </c>
      <c r="D85" s="824" t="e">
        <f>+'Cemento Port I IU 21'!D431</f>
        <v>#REF!</v>
      </c>
      <c r="E85" s="849">
        <f t="shared" si="5"/>
        <v>896843.6</v>
      </c>
      <c r="F85" s="841">
        <f t="shared" si="8"/>
        <v>7.0999999999999994E-2</v>
      </c>
      <c r="G85" s="842">
        <f t="shared" si="9"/>
        <v>0.25352000000000002</v>
      </c>
      <c r="H85" s="843" t="e">
        <f t="shared" si="10"/>
        <v>#REF!</v>
      </c>
      <c r="I85" s="744" t="e">
        <f t="shared" si="11"/>
        <v>#REF!</v>
      </c>
      <c r="J85" s="847" t="e">
        <f t="shared" si="12"/>
        <v>#REF!</v>
      </c>
      <c r="K85" s="849" t="e">
        <f t="shared" si="6"/>
        <v>#REF!</v>
      </c>
      <c r="L85" s="852" t="e">
        <f t="shared" si="13"/>
        <v>#REF!</v>
      </c>
      <c r="M85" s="744" t="e">
        <f>+K!#REF!</f>
        <v>#REF!</v>
      </c>
      <c r="N85" s="1019" t="e">
        <f t="shared" si="7"/>
        <v>#REF!</v>
      </c>
      <c r="P85" s="845">
        <v>40483</v>
      </c>
      <c r="Q85" s="846">
        <v>40544</v>
      </c>
    </row>
    <row r="86" spans="2:17" ht="11.25" customHeight="1">
      <c r="B86" s="822" t="str">
        <f t="shared" si="4"/>
        <v>VAL. 10</v>
      </c>
      <c r="C86" s="823" t="e">
        <f t="shared" si="4"/>
        <v>#REF!</v>
      </c>
      <c r="D86" s="824" t="e">
        <f>+'Cemento Port I IU 21'!D432</f>
        <v>#REF!</v>
      </c>
      <c r="E86" s="849">
        <f t="shared" si="5"/>
        <v>896843.6</v>
      </c>
      <c r="F86" s="841">
        <f t="shared" si="8"/>
        <v>7.0999999999999994E-2</v>
      </c>
      <c r="G86" s="842">
        <f t="shared" si="9"/>
        <v>0.25352000000000002</v>
      </c>
      <c r="H86" s="843" t="e">
        <f t="shared" si="10"/>
        <v>#REF!</v>
      </c>
      <c r="I86" s="744" t="e">
        <f t="shared" si="11"/>
        <v>#REF!</v>
      </c>
      <c r="J86" s="847" t="e">
        <f t="shared" si="12"/>
        <v>#REF!</v>
      </c>
      <c r="K86" s="849" t="e">
        <f t="shared" si="6"/>
        <v>#REF!</v>
      </c>
      <c r="L86" s="852" t="e">
        <f t="shared" si="13"/>
        <v>#REF!</v>
      </c>
      <c r="M86" s="744" t="e">
        <f>+K!#REF!</f>
        <v>#REF!</v>
      </c>
      <c r="N86" s="1019" t="e">
        <f t="shared" si="7"/>
        <v>#REF!</v>
      </c>
      <c r="P86" s="845">
        <v>40513</v>
      </c>
      <c r="Q86" s="846">
        <v>40575</v>
      </c>
    </row>
    <row r="87" spans="2:17" ht="11.25" customHeight="1">
      <c r="B87" s="822" t="str">
        <f t="shared" si="4"/>
        <v>VAL. 11</v>
      </c>
      <c r="C87" s="823" t="e">
        <f t="shared" si="4"/>
        <v>#REF!</v>
      </c>
      <c r="D87" s="824" t="e">
        <f>+'Cemento Port I IU 21'!D433</f>
        <v>#REF!</v>
      </c>
      <c r="E87" s="849">
        <f t="shared" si="5"/>
        <v>896843.6</v>
      </c>
      <c r="F87" s="841">
        <f t="shared" si="8"/>
        <v>7.0999999999999994E-2</v>
      </c>
      <c r="G87" s="842">
        <f t="shared" si="9"/>
        <v>0.25352000000000002</v>
      </c>
      <c r="H87" s="843" t="e">
        <f t="shared" si="10"/>
        <v>#REF!</v>
      </c>
      <c r="I87" s="744" t="e">
        <f t="shared" si="11"/>
        <v>#REF!</v>
      </c>
      <c r="J87" s="847" t="e">
        <f t="shared" si="12"/>
        <v>#REF!</v>
      </c>
      <c r="K87" s="849" t="e">
        <f t="shared" si="6"/>
        <v>#REF!</v>
      </c>
      <c r="L87" s="852" t="e">
        <f t="shared" si="13"/>
        <v>#REF!</v>
      </c>
      <c r="M87" s="744" t="e">
        <f>+K!#REF!</f>
        <v>#REF!</v>
      </c>
      <c r="N87" s="1019" t="e">
        <f t="shared" si="7"/>
        <v>#REF!</v>
      </c>
      <c r="P87" s="845">
        <v>40544</v>
      </c>
      <c r="Q87" s="846">
        <v>40603</v>
      </c>
    </row>
    <row r="88" spans="2:17" ht="11.25" customHeight="1">
      <c r="B88" s="822" t="str">
        <f t="shared" si="4"/>
        <v>VAL. 12</v>
      </c>
      <c r="C88" s="823" t="e">
        <f t="shared" si="4"/>
        <v>#REF!</v>
      </c>
      <c r="D88" s="824" t="e">
        <f>+'Cemento Port I IU 21'!D434</f>
        <v>#REF!</v>
      </c>
      <c r="E88" s="849">
        <f t="shared" si="5"/>
        <v>896843.6</v>
      </c>
      <c r="F88" s="841">
        <f t="shared" si="8"/>
        <v>7.0999999999999994E-2</v>
      </c>
      <c r="G88" s="842">
        <f t="shared" si="9"/>
        <v>0.25352000000000002</v>
      </c>
      <c r="H88" s="849" t="e">
        <f t="shared" si="10"/>
        <v>#REF!</v>
      </c>
      <c r="I88" s="744" t="e">
        <f t="shared" si="11"/>
        <v>#REF!</v>
      </c>
      <c r="J88" s="847" t="e">
        <f t="shared" si="12"/>
        <v>#REF!</v>
      </c>
      <c r="K88" s="849" t="e">
        <f t="shared" si="6"/>
        <v>#REF!</v>
      </c>
      <c r="L88" s="852" t="e">
        <f t="shared" si="13"/>
        <v>#REF!</v>
      </c>
      <c r="M88" s="744" t="e">
        <f>+K!#REF!</f>
        <v>#REF!</v>
      </c>
      <c r="N88" s="1019" t="e">
        <f t="shared" si="7"/>
        <v>#REF!</v>
      </c>
      <c r="P88" s="845">
        <v>40575</v>
      </c>
      <c r="Q88" s="846">
        <v>40634</v>
      </c>
    </row>
    <row r="89" spans="2:17" ht="11.25" customHeight="1">
      <c r="B89" s="822" t="str">
        <f t="shared" si="4"/>
        <v>VAL. 13</v>
      </c>
      <c r="C89" s="823" t="e">
        <f t="shared" si="4"/>
        <v>#REF!</v>
      </c>
      <c r="D89" s="824" t="e">
        <f>+'Cemento Port I IU 21'!D435</f>
        <v>#REF!</v>
      </c>
      <c r="E89" s="849">
        <f t="shared" si="5"/>
        <v>896843.6</v>
      </c>
      <c r="F89" s="841">
        <f t="shared" si="8"/>
        <v>7.0999999999999994E-2</v>
      </c>
      <c r="G89" s="842">
        <f t="shared" si="9"/>
        <v>0.25352000000000002</v>
      </c>
      <c r="H89" s="849" t="e">
        <f t="shared" si="10"/>
        <v>#REF!</v>
      </c>
      <c r="I89" s="744" t="e">
        <f t="shared" si="11"/>
        <v>#REF!</v>
      </c>
      <c r="J89" s="847" t="e">
        <f t="shared" si="12"/>
        <v>#REF!</v>
      </c>
      <c r="K89" s="849" t="e">
        <f t="shared" si="6"/>
        <v>#REF!</v>
      </c>
      <c r="L89" s="852" t="e">
        <f t="shared" si="13"/>
        <v>#REF!</v>
      </c>
      <c r="M89" s="744" t="e">
        <f>+K!#REF!</f>
        <v>#REF!</v>
      </c>
      <c r="N89" s="1019" t="e">
        <f t="shared" si="7"/>
        <v>#REF!</v>
      </c>
      <c r="P89" s="845">
        <v>40603</v>
      </c>
      <c r="Q89" s="846">
        <v>40664</v>
      </c>
    </row>
    <row r="90" spans="2:17" ht="11.25" customHeight="1">
      <c r="B90" s="822" t="str">
        <f t="shared" si="4"/>
        <v>VAL. 14</v>
      </c>
      <c r="C90" s="823" t="e">
        <f t="shared" si="4"/>
        <v>#REF!</v>
      </c>
      <c r="D90" s="824" t="e">
        <f>+'Cemento Port I IU 21'!D436</f>
        <v>#REF!</v>
      </c>
      <c r="E90" s="849">
        <f t="shared" si="5"/>
        <v>681460.65999999992</v>
      </c>
      <c r="F90" s="841">
        <f t="shared" si="8"/>
        <v>7.0999999999999994E-2</v>
      </c>
      <c r="G90" s="842">
        <f t="shared" si="9"/>
        <v>0.25352000000000002</v>
      </c>
      <c r="H90" s="849" t="e">
        <f t="shared" si="10"/>
        <v>#REF!</v>
      </c>
      <c r="I90" s="744" t="e">
        <f t="shared" si="11"/>
        <v>#REF!</v>
      </c>
      <c r="J90" s="847" t="e">
        <f t="shared" ref="J90:J95" si="14">+J89-I90</f>
        <v>#REF!</v>
      </c>
      <c r="K90" s="849" t="e">
        <f t="shared" si="6"/>
        <v>#REF!</v>
      </c>
      <c r="L90" s="852" t="e">
        <f t="shared" si="13"/>
        <v>#REF!</v>
      </c>
      <c r="M90" s="744" t="e">
        <f>+K!#REF!</f>
        <v>#REF!</v>
      </c>
      <c r="N90" s="1019" t="e">
        <f t="shared" si="7"/>
        <v>#REF!</v>
      </c>
      <c r="P90" s="845">
        <v>40634</v>
      </c>
      <c r="Q90" s="846">
        <v>40695</v>
      </c>
    </row>
    <row r="91" spans="2:17" ht="11.25" customHeight="1">
      <c r="B91" s="822" t="str">
        <f t="shared" si="4"/>
        <v>VAL. 15</v>
      </c>
      <c r="C91" s="823" t="e">
        <f t="shared" si="4"/>
        <v>#REF!</v>
      </c>
      <c r="D91" s="824" t="e">
        <f>+'Cemento Port I IU 21'!D437</f>
        <v>#REF!</v>
      </c>
      <c r="E91" s="849">
        <f t="shared" si="5"/>
        <v>480708.64999999991</v>
      </c>
      <c r="F91" s="841">
        <f t="shared" si="8"/>
        <v>7.0999999999999994E-2</v>
      </c>
      <c r="G91" s="842">
        <f t="shared" si="9"/>
        <v>0.25352000000000002</v>
      </c>
      <c r="H91" s="849" t="e">
        <f t="shared" si="10"/>
        <v>#REF!</v>
      </c>
      <c r="I91" s="744" t="e">
        <f t="shared" si="11"/>
        <v>#REF!</v>
      </c>
      <c r="J91" s="847" t="e">
        <f t="shared" si="14"/>
        <v>#REF!</v>
      </c>
      <c r="K91" s="849" t="e">
        <f t="shared" si="6"/>
        <v>#REF!</v>
      </c>
      <c r="L91" s="852" t="e">
        <f t="shared" si="13"/>
        <v>#REF!</v>
      </c>
      <c r="M91" s="744" t="e">
        <f>+K!#REF!</f>
        <v>#REF!</v>
      </c>
      <c r="N91" s="1019" t="e">
        <f t="shared" si="7"/>
        <v>#REF!</v>
      </c>
      <c r="P91" s="845">
        <v>40664</v>
      </c>
      <c r="Q91" s="846">
        <v>40725</v>
      </c>
    </row>
    <row r="92" spans="2:17" ht="11.25" customHeight="1">
      <c r="B92" s="822" t="str">
        <f t="shared" si="4"/>
        <v>VAL. 16</v>
      </c>
      <c r="C92" s="823" t="e">
        <f t="shared" si="4"/>
        <v>#REF!</v>
      </c>
      <c r="D92" s="824" t="e">
        <f>+'Cemento Port I IU 21'!D438</f>
        <v>#REF!</v>
      </c>
      <c r="E92" s="849" t="e">
        <f t="shared" si="5"/>
        <v>#REF!</v>
      </c>
      <c r="F92" s="841">
        <f t="shared" si="8"/>
        <v>7.0999999999999994E-2</v>
      </c>
      <c r="G92" s="842">
        <f t="shared" si="9"/>
        <v>0.25352000000000002</v>
      </c>
      <c r="H92" s="849" t="e">
        <f t="shared" si="10"/>
        <v>#REF!</v>
      </c>
      <c r="I92" s="744" t="e">
        <f t="shared" si="11"/>
        <v>#REF!</v>
      </c>
      <c r="J92" s="847" t="e">
        <f t="shared" si="14"/>
        <v>#REF!</v>
      </c>
      <c r="K92" s="849" t="e">
        <f t="shared" si="6"/>
        <v>#REF!</v>
      </c>
      <c r="L92" s="852" t="e">
        <f t="shared" si="13"/>
        <v>#REF!</v>
      </c>
      <c r="M92" s="972" t="e">
        <f>+K!#REF!</f>
        <v>#REF!</v>
      </c>
      <c r="N92" s="1019" t="e">
        <f t="shared" si="7"/>
        <v>#REF!</v>
      </c>
      <c r="P92" s="845">
        <v>40695</v>
      </c>
      <c r="Q92" s="846">
        <v>40756</v>
      </c>
    </row>
    <row r="93" spans="2:17" ht="11.25" customHeight="1">
      <c r="B93" s="822" t="str">
        <f t="shared" si="4"/>
        <v>VAL. 17</v>
      </c>
      <c r="C93" s="823" t="e">
        <f t="shared" si="4"/>
        <v>#REF!</v>
      </c>
      <c r="D93" s="824" t="e">
        <f>+'Cemento Port I IU 21'!D439</f>
        <v>#REF!</v>
      </c>
      <c r="E93" s="849" t="e">
        <f t="shared" si="5"/>
        <v>#REF!</v>
      </c>
      <c r="F93" s="841">
        <f t="shared" si="8"/>
        <v>7.0999999999999994E-2</v>
      </c>
      <c r="G93" s="842">
        <f t="shared" si="9"/>
        <v>0.25352000000000002</v>
      </c>
      <c r="H93" s="849" t="e">
        <f t="shared" si="10"/>
        <v>#REF!</v>
      </c>
      <c r="I93" s="744" t="e">
        <f t="shared" si="11"/>
        <v>#REF!</v>
      </c>
      <c r="J93" s="847" t="e">
        <f t="shared" si="14"/>
        <v>#REF!</v>
      </c>
      <c r="K93" s="849" t="e">
        <f t="shared" si="6"/>
        <v>#REF!</v>
      </c>
      <c r="L93" s="852" t="e">
        <f t="shared" si="13"/>
        <v>#REF!</v>
      </c>
      <c r="M93" s="849"/>
      <c r="N93" s="1019" t="e">
        <f t="shared" si="7"/>
        <v>#REF!</v>
      </c>
      <c r="P93" s="845">
        <v>40725</v>
      </c>
      <c r="Q93" s="846">
        <v>40787</v>
      </c>
    </row>
    <row r="94" spans="2:17" ht="11.25" customHeight="1">
      <c r="B94" s="822" t="str">
        <f t="shared" si="4"/>
        <v>VAL. 18</v>
      </c>
      <c r="C94" s="823" t="e">
        <f t="shared" si="4"/>
        <v>#REF!</v>
      </c>
      <c r="D94" s="824" t="e">
        <f>+'Cemento Port I IU 21'!D440</f>
        <v>#REF!</v>
      </c>
      <c r="E94" s="849" t="e">
        <f t="shared" si="5"/>
        <v>#REF!</v>
      </c>
      <c r="F94" s="841">
        <f t="shared" si="8"/>
        <v>7.0999999999999994E-2</v>
      </c>
      <c r="G94" s="842">
        <f t="shared" si="9"/>
        <v>0.25352000000000002</v>
      </c>
      <c r="H94" s="849" t="e">
        <f t="shared" si="10"/>
        <v>#REF!</v>
      </c>
      <c r="I94" s="744" t="e">
        <f t="shared" si="11"/>
        <v>#REF!</v>
      </c>
      <c r="J94" s="847" t="e">
        <f t="shared" si="14"/>
        <v>#REF!</v>
      </c>
      <c r="K94" s="849" t="e">
        <f t="shared" si="6"/>
        <v>#REF!</v>
      </c>
      <c r="L94" s="852" t="e">
        <f t="shared" si="13"/>
        <v>#REF!</v>
      </c>
      <c r="M94" s="849"/>
      <c r="N94" s="1019" t="e">
        <f t="shared" si="7"/>
        <v>#REF!</v>
      </c>
      <c r="P94" s="845">
        <v>40756</v>
      </c>
      <c r="Q94" s="846">
        <v>40817</v>
      </c>
    </row>
    <row r="95" spans="2:17" ht="11.25" customHeight="1">
      <c r="B95" s="822" t="str">
        <f t="shared" si="4"/>
        <v>VAL. 19</v>
      </c>
      <c r="C95" s="823">
        <f t="shared" si="4"/>
        <v>0</v>
      </c>
      <c r="D95" s="824">
        <f>+'Cemento Port I IU 21'!D441</f>
        <v>0</v>
      </c>
      <c r="E95" s="849" t="e">
        <f t="shared" si="5"/>
        <v>#REF!</v>
      </c>
      <c r="F95" s="841">
        <f t="shared" si="8"/>
        <v>7.0999999999999994E-2</v>
      </c>
      <c r="G95" s="842">
        <f t="shared" si="9"/>
        <v>0.25352000000000002</v>
      </c>
      <c r="H95" s="849" t="e">
        <f t="shared" si="10"/>
        <v>#REF!</v>
      </c>
      <c r="I95" s="744" t="e">
        <f t="shared" si="11"/>
        <v>#REF!</v>
      </c>
      <c r="J95" s="847" t="e">
        <f t="shared" si="14"/>
        <v>#REF!</v>
      </c>
      <c r="K95" s="849" t="e">
        <f t="shared" si="6"/>
        <v>#REF!</v>
      </c>
      <c r="L95" s="852" t="e">
        <f t="shared" si="13"/>
        <v>#REF!</v>
      </c>
      <c r="M95" s="849"/>
      <c r="N95" s="1019" t="e">
        <f t="shared" si="7"/>
        <v>#REF!</v>
      </c>
      <c r="P95" s="845">
        <v>40756</v>
      </c>
      <c r="Q95" s="846">
        <v>40817</v>
      </c>
    </row>
    <row r="96" spans="2:17" ht="11.25" customHeight="1">
      <c r="B96" s="858"/>
      <c r="C96" s="859"/>
      <c r="D96" s="860"/>
      <c r="E96" s="860"/>
      <c r="F96" s="861"/>
      <c r="G96" s="862"/>
      <c r="H96" s="860"/>
      <c r="I96" s="860"/>
      <c r="J96" s="828"/>
      <c r="K96" s="860"/>
      <c r="L96" s="830"/>
      <c r="M96" s="860"/>
      <c r="N96" s="863"/>
      <c r="P96" s="864"/>
      <c r="Q96" s="865"/>
    </row>
    <row r="97" spans="2:15" ht="11.25" customHeight="1">
      <c r="B97" s="774"/>
      <c r="C97" s="715"/>
      <c r="D97" s="866"/>
      <c r="E97" s="867"/>
      <c r="F97" s="868"/>
      <c r="G97" s="869"/>
      <c r="H97" s="869"/>
      <c r="I97" s="870" t="e">
        <f>SUM(I77:I96)</f>
        <v>#REF!</v>
      </c>
      <c r="J97" s="871"/>
      <c r="K97" s="869"/>
      <c r="L97" s="727"/>
      <c r="M97" s="727"/>
      <c r="N97" s="1020"/>
    </row>
    <row r="98" spans="2:15" ht="11.25" customHeight="1">
      <c r="L98" s="873" t="s">
        <v>274</v>
      </c>
      <c r="M98" s="874"/>
      <c r="N98" s="1021" t="e">
        <f>SUM(N77:N96)</f>
        <v>#REF!</v>
      </c>
      <c r="O98" s="751"/>
    </row>
    <row r="99" spans="2:15" ht="11.25" customHeight="1">
      <c r="I99" s="751"/>
      <c r="L99" s="876" t="s">
        <v>287</v>
      </c>
      <c r="M99" s="877"/>
      <c r="N99" s="1019">
        <v>87876.04</v>
      </c>
    </row>
    <row r="100" spans="2:15" ht="11.25" customHeight="1">
      <c r="L100" s="879" t="s">
        <v>288</v>
      </c>
      <c r="M100" s="880"/>
      <c r="N100" s="1022" t="e">
        <f>N98-N99</f>
        <v>#REF!</v>
      </c>
      <c r="O100" s="751"/>
    </row>
  </sheetData>
  <mergeCells count="31">
    <mergeCell ref="P75:Q75"/>
    <mergeCell ref="N75:N76"/>
    <mergeCell ref="E75:E76"/>
    <mergeCell ref="F75:G75"/>
    <mergeCell ref="H75:J75"/>
    <mergeCell ref="K75:M75"/>
    <mergeCell ref="U21:W21"/>
    <mergeCell ref="G47:I47"/>
    <mergeCell ref="D46:I46"/>
    <mergeCell ref="F35:G35"/>
    <mergeCell ref="Q21:S21"/>
    <mergeCell ref="Q27:S27"/>
    <mergeCell ref="F37:G37"/>
    <mergeCell ref="B32:O32"/>
    <mergeCell ref="I21:J21"/>
    <mergeCell ref="N21:O21"/>
    <mergeCell ref="B46:C48"/>
    <mergeCell ref="F36:G36"/>
    <mergeCell ref="D47:F47"/>
    <mergeCell ref="B75:C76"/>
    <mergeCell ref="D75:D76"/>
    <mergeCell ref="B9:O9"/>
    <mergeCell ref="B10:O10"/>
    <mergeCell ref="E21:F21"/>
    <mergeCell ref="K21:K22"/>
    <mergeCell ref="B11:O11"/>
    <mergeCell ref="D21:D22"/>
    <mergeCell ref="B21:B22"/>
    <mergeCell ref="C21:C22"/>
    <mergeCell ref="L21:M21"/>
    <mergeCell ref="G21:H21"/>
  </mergeCells>
  <phoneticPr fontId="0" type="noConversion"/>
  <printOptions horizontalCentered="1"/>
  <pageMargins left="0.19685039370078741" right="0.19685039370078741" top="0.59055118110236227" bottom="0.69" header="0" footer="0"/>
  <pageSetup paperSize="9" scale="70" fitToHeight="2" orientation="landscape" verticalDpi="300" r:id="rId1"/>
  <headerFooter alignWithMargins="0"/>
  <rowBreaks count="2" manualBreakCount="2">
    <brk id="31" max="16383" man="1"/>
    <brk id="71" min="1" max="14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1">
    <tabColor indexed="24"/>
  </sheetPr>
  <dimension ref="B1:AM117"/>
  <sheetViews>
    <sheetView showGridLines="0" view="pageBreakPreview" topLeftCell="C85" zoomScaleNormal="100" zoomScaleSheetLayoutView="100" workbookViewId="0">
      <selection activeCell="E99" sqref="E99"/>
    </sheetView>
  </sheetViews>
  <sheetFormatPr baseColWidth="10" defaultColWidth="11.42578125" defaultRowHeight="11.25" customHeight="1"/>
  <cols>
    <col min="1" max="1" width="1.85546875" style="698" bestFit="1" customWidth="1"/>
    <col min="2" max="2" width="13.85546875" style="698" customWidth="1"/>
    <col min="3" max="3" width="50.85546875" style="698" customWidth="1"/>
    <col min="4" max="4" width="14.42578125" style="698" customWidth="1"/>
    <col min="5" max="5" width="11.7109375" style="698" customWidth="1"/>
    <col min="6" max="6" width="11" style="698" customWidth="1"/>
    <col min="7" max="7" width="11.7109375" style="698" customWidth="1"/>
    <col min="8" max="8" width="11.28515625" style="698" customWidth="1"/>
    <col min="9" max="10" width="10.7109375" style="698" customWidth="1"/>
    <col min="11" max="11" width="8.7109375" style="698" customWidth="1"/>
    <col min="12" max="12" width="11" style="698" customWidth="1"/>
    <col min="13" max="13" width="10.140625" style="698" customWidth="1"/>
    <col min="14" max="14" width="11.42578125" style="698"/>
    <col min="15" max="15" width="11.7109375" style="698" customWidth="1"/>
    <col min="16" max="16" width="9.7109375" style="698" customWidth="1"/>
    <col min="17" max="17" width="9" style="698" bestFit="1" customWidth="1"/>
    <col min="18" max="18" width="11" style="698" bestFit="1" customWidth="1"/>
    <col min="19" max="19" width="8.7109375" style="698" bestFit="1" customWidth="1"/>
    <col min="20" max="24" width="11.42578125" style="698"/>
    <col min="25" max="25" width="8.42578125" style="698" customWidth="1"/>
    <col min="26" max="26" width="30.140625" style="698" customWidth="1"/>
    <col min="27" max="27" width="7.140625" style="698" customWidth="1"/>
    <col min="28" max="28" width="6.42578125" style="698" customWidth="1"/>
    <col min="29" max="29" width="8.42578125" style="698" customWidth="1"/>
    <col min="30" max="16384" width="11.42578125" style="698"/>
  </cols>
  <sheetData>
    <row r="1" spans="2:18" ht="11.25" customHeight="1">
      <c r="C1" s="61"/>
      <c r="D1" s="604"/>
      <c r="E1" s="605"/>
      <c r="F1" s="602"/>
      <c r="G1" s="602"/>
      <c r="H1" s="602"/>
      <c r="I1" s="602"/>
      <c r="J1" s="602"/>
      <c r="K1" s="700"/>
      <c r="L1" s="700"/>
    </row>
    <row r="2" spans="2:18" s="699" customFormat="1" ht="39.950000000000003" customHeight="1">
      <c r="B2" s="698"/>
      <c r="C2" s="1730" t="str">
        <f>+K!$B$2</f>
        <v>“RECONSTRUCCIÓN DE PISTAS Y VEREDAS EN LA AV. LAS TORRES TRAMO DESDE LA
  AV. CIRCUNVALACIÓN HASTA LA ALTURA DE LA QUINTA AV., L = 1.99 KM DISTRITO DE
LURIGANCHO CHOSICA, LIMA – LIMA”. Con código único de inversión (IRI): 2498581</v>
      </c>
      <c r="D2" s="1730"/>
      <c r="E2" s="1730"/>
      <c r="F2" s="1730"/>
      <c r="G2" s="1730"/>
      <c r="H2" s="1730"/>
      <c r="I2" s="1730"/>
      <c r="J2" s="1730"/>
      <c r="K2" s="1730"/>
      <c r="L2" s="1730"/>
      <c r="M2" s="1730"/>
    </row>
    <row r="3" spans="2:18" s="699" customFormat="1" ht="20.25" customHeight="1">
      <c r="B3" s="698"/>
      <c r="C3" s="1528"/>
      <c r="D3" s="1528"/>
      <c r="E3" s="1528"/>
      <c r="F3" s="1528"/>
      <c r="G3" s="1528"/>
      <c r="H3" s="1528"/>
      <c r="I3" s="1528"/>
      <c r="J3" s="1528"/>
      <c r="K3" s="1528"/>
      <c r="L3" s="1528"/>
      <c r="M3" s="1528"/>
    </row>
    <row r="4" spans="2:18" s="699" customFormat="1" ht="11.25" customHeight="1">
      <c r="B4" s="698"/>
      <c r="C4" s="61" t="str">
        <f>+K!$B$4</f>
        <v>CONTRATISTA : DITRANSERVA S.A.C.</v>
      </c>
      <c r="D4" s="604"/>
      <c r="E4" s="605"/>
      <c r="F4" s="602"/>
      <c r="G4" s="602"/>
      <c r="H4" s="602"/>
      <c r="I4" s="602"/>
      <c r="J4" s="602"/>
      <c r="K4" s="700"/>
      <c r="L4" s="700"/>
    </row>
    <row r="5" spans="2:18" s="699" customFormat="1" ht="11.25" customHeight="1">
      <c r="B5" s="698"/>
      <c r="C5" s="61" t="str">
        <f>+K!$B$5</f>
        <v>SUPERVISOR : CONSORCIO SUPERVISOR LAS TORRES</v>
      </c>
      <c r="D5" s="604"/>
      <c r="E5" s="605"/>
      <c r="F5" s="602"/>
      <c r="G5" s="602"/>
      <c r="H5" s="602"/>
      <c r="I5" s="602"/>
      <c r="J5" s="602"/>
      <c r="K5" s="700"/>
      <c r="L5" s="700"/>
    </row>
    <row r="8" spans="2:18" ht="18">
      <c r="B8" s="1687" t="s">
        <v>177</v>
      </c>
      <c r="C8" s="1687"/>
      <c r="D8" s="1687"/>
      <c r="E8" s="1687"/>
      <c r="F8" s="1687"/>
      <c r="G8" s="1687"/>
      <c r="H8" s="1687"/>
      <c r="I8" s="1687"/>
      <c r="J8" s="1687"/>
      <c r="K8" s="1687"/>
      <c r="L8" s="1687"/>
      <c r="M8" s="1687"/>
      <c r="N8" s="1687"/>
      <c r="O8" s="1687"/>
      <c r="P8" s="700"/>
      <c r="Q8" s="700"/>
      <c r="R8" s="700"/>
    </row>
    <row r="9" spans="2:18" ht="18">
      <c r="B9" s="1687" t="str">
        <f>+CONCATENATE("VALORIZACION Nº ",Data!E4," - MES DE",Data!F4)</f>
        <v>VALORIZACION Nº 4 - MES DE DICIEMBRE 2021</v>
      </c>
      <c r="C9" s="1687" t="s">
        <v>1815</v>
      </c>
      <c r="D9" s="1687" t="s">
        <v>1815</v>
      </c>
      <c r="E9" s="1687" t="s">
        <v>1815</v>
      </c>
      <c r="F9" s="1687" t="s">
        <v>1815</v>
      </c>
      <c r="G9" s="1687" t="s">
        <v>1815</v>
      </c>
      <c r="H9" s="1687" t="s">
        <v>1815</v>
      </c>
      <c r="I9" s="1687" t="s">
        <v>1815</v>
      </c>
      <c r="J9" s="1687" t="s">
        <v>1815</v>
      </c>
      <c r="K9" s="1687" t="s">
        <v>1815</v>
      </c>
      <c r="L9" s="1687" t="s">
        <v>1815</v>
      </c>
      <c r="M9" s="1687" t="s">
        <v>1815</v>
      </c>
      <c r="N9" s="1687" t="s">
        <v>1815</v>
      </c>
      <c r="O9" s="1687" t="s">
        <v>1815</v>
      </c>
      <c r="P9" s="700"/>
      <c r="Q9" s="700"/>
      <c r="R9" s="700"/>
    </row>
    <row r="10" spans="2:18" ht="15">
      <c r="B10" s="1707" t="s">
        <v>617</v>
      </c>
      <c r="C10" s="1707"/>
      <c r="D10" s="1707"/>
      <c r="E10" s="1707"/>
      <c r="F10" s="1707"/>
      <c r="G10" s="1707"/>
      <c r="H10" s="1707"/>
      <c r="I10" s="1707"/>
      <c r="J10" s="1707"/>
      <c r="K10" s="1707"/>
      <c r="L10" s="1707"/>
      <c r="M10" s="1707"/>
      <c r="N10" s="1707"/>
      <c r="O10" s="1707"/>
    </row>
    <row r="11" spans="2:18" ht="15">
      <c r="B11" s="1527"/>
      <c r="C11" s="1527"/>
      <c r="D11" s="1527"/>
      <c r="E11" s="1527"/>
      <c r="F11" s="1527"/>
      <c r="G11" s="1527"/>
      <c r="H11" s="1527"/>
      <c r="I11" s="1527"/>
      <c r="J11" s="1527"/>
      <c r="K11" s="1527"/>
      <c r="L11" s="1527"/>
      <c r="M11" s="1527"/>
      <c r="N11" s="1527"/>
      <c r="O11" s="1527"/>
    </row>
    <row r="12" spans="2:18" ht="11.25" customHeight="1">
      <c r="B12" s="698" t="s">
        <v>1736</v>
      </c>
      <c r="D12" s="702">
        <v>1898664.05</v>
      </c>
      <c r="E12" s="698" t="s">
        <v>178</v>
      </c>
      <c r="I12" s="699" t="s">
        <v>179</v>
      </c>
      <c r="K12" s="699" t="s">
        <v>180</v>
      </c>
      <c r="M12" s="699"/>
    </row>
    <row r="13" spans="2:18" ht="11.25" customHeight="1">
      <c r="B13" s="698" t="s">
        <v>181</v>
      </c>
      <c r="D13" s="703">
        <v>44533</v>
      </c>
      <c r="E13" s="704"/>
      <c r="I13" s="698" t="s">
        <v>182</v>
      </c>
    </row>
    <row r="14" spans="2:18" ht="11.25" customHeight="1">
      <c r="B14" s="699" t="s">
        <v>183</v>
      </c>
      <c r="C14" s="699" t="s">
        <v>1680</v>
      </c>
      <c r="E14" s="705"/>
      <c r="F14" s="706"/>
      <c r="I14" s="707" t="s">
        <v>185</v>
      </c>
      <c r="K14" s="698" t="s">
        <v>186</v>
      </c>
    </row>
    <row r="15" spans="2:18" ht="11.25" customHeight="1">
      <c r="B15" s="699" t="s">
        <v>187</v>
      </c>
      <c r="C15" s="708" t="s">
        <v>1682</v>
      </c>
      <c r="E15" s="705"/>
      <c r="F15" s="706"/>
      <c r="I15" s="707" t="s">
        <v>188</v>
      </c>
      <c r="K15" s="698" t="s">
        <v>189</v>
      </c>
    </row>
    <row r="16" spans="2:18" ht="11.25" customHeight="1">
      <c r="B16" s="698" t="s">
        <v>1738</v>
      </c>
      <c r="D16" s="709">
        <v>110.38</v>
      </c>
      <c r="I16" s="707" t="s">
        <v>191</v>
      </c>
      <c r="K16" s="698" t="s">
        <v>192</v>
      </c>
    </row>
    <row r="17" spans="2:39" ht="11.25" customHeight="1">
      <c r="B17" s="698" t="s">
        <v>1739</v>
      </c>
      <c r="D17" s="709">
        <v>110.75</v>
      </c>
      <c r="E17" s="698" t="s">
        <v>1741</v>
      </c>
      <c r="I17" s="707" t="s">
        <v>193</v>
      </c>
      <c r="K17" s="698" t="s">
        <v>194</v>
      </c>
    </row>
    <row r="18" spans="2:39" ht="11.25" customHeight="1">
      <c r="I18" s="711" t="s">
        <v>195</v>
      </c>
      <c r="J18" s="712"/>
      <c r="K18" s="712" t="s">
        <v>196</v>
      </c>
      <c r="L18" s="712"/>
      <c r="M18" s="713">
        <v>1</v>
      </c>
      <c r="N18" s="714"/>
    </row>
    <row r="19" spans="2:39" ht="11.25" customHeight="1">
      <c r="B19" s="33" t="s">
        <v>1740</v>
      </c>
      <c r="K19" s="698" t="s">
        <v>197</v>
      </c>
    </row>
    <row r="20" spans="2:39" ht="11.25" customHeight="1">
      <c r="B20" s="715"/>
      <c r="C20" s="715"/>
      <c r="D20" s="715"/>
      <c r="E20" s="715"/>
      <c r="F20" s="715"/>
      <c r="G20" s="715"/>
      <c r="H20" s="715"/>
      <c r="I20" s="715"/>
      <c r="J20" s="715"/>
      <c r="K20" s="715"/>
      <c r="L20" s="715"/>
      <c r="M20" s="715"/>
      <c r="N20" s="715"/>
      <c r="O20" s="715"/>
      <c r="Y20" s="710" t="s">
        <v>323</v>
      </c>
      <c r="Z20" s="710"/>
      <c r="AA20" s="710"/>
      <c r="AB20" s="710"/>
      <c r="AC20" s="710"/>
      <c r="AD20" s="710"/>
      <c r="AE20" s="710"/>
      <c r="AF20" s="710"/>
      <c r="AG20" s="710"/>
      <c r="AH20" s="710"/>
      <c r="AI20" s="710"/>
      <c r="AJ20" s="710"/>
      <c r="AK20" s="710"/>
      <c r="AL20" s="710"/>
      <c r="AM20" s="710"/>
    </row>
    <row r="21" spans="2:39" ht="11.25" customHeight="1">
      <c r="B21" s="1714" t="s">
        <v>198</v>
      </c>
      <c r="C21" s="1714" t="s">
        <v>199</v>
      </c>
      <c r="D21" s="1716" t="s">
        <v>601</v>
      </c>
      <c r="E21" s="1731" t="s">
        <v>200</v>
      </c>
      <c r="F21" s="1731"/>
      <c r="G21" s="1731" t="s">
        <v>201</v>
      </c>
      <c r="H21" s="1731"/>
      <c r="I21" s="1732" t="s">
        <v>202</v>
      </c>
      <c r="J21" s="1732"/>
      <c r="K21" s="1685" t="s">
        <v>203</v>
      </c>
      <c r="L21" s="1732" t="s">
        <v>204</v>
      </c>
      <c r="M21" s="1732"/>
      <c r="N21" s="1732" t="s">
        <v>423</v>
      </c>
      <c r="O21" s="1732"/>
      <c r="P21" s="700"/>
      <c r="Q21" s="1695" t="s">
        <v>205</v>
      </c>
      <c r="R21" s="1696"/>
      <c r="S21" s="1697"/>
      <c r="T21" s="710"/>
      <c r="U21" s="1695" t="s">
        <v>331</v>
      </c>
      <c r="V21" s="1696"/>
      <c r="W21" s="1697"/>
      <c r="Y21" s="1728" t="s">
        <v>198</v>
      </c>
      <c r="Z21" s="1728" t="s">
        <v>199</v>
      </c>
      <c r="AA21" s="1733" t="s">
        <v>601</v>
      </c>
      <c r="AB21" s="1695" t="s">
        <v>200</v>
      </c>
      <c r="AC21" s="1697"/>
      <c r="AD21" s="1695" t="s">
        <v>201</v>
      </c>
      <c r="AE21" s="1697"/>
      <c r="AF21" s="1695" t="s">
        <v>487</v>
      </c>
      <c r="AG21" s="1697"/>
      <c r="AH21" s="1728" t="s">
        <v>203</v>
      </c>
      <c r="AI21" s="1695" t="s">
        <v>204</v>
      </c>
      <c r="AJ21" s="1697"/>
      <c r="AK21" s="1695" t="s">
        <v>423</v>
      </c>
      <c r="AL21" s="1697"/>
      <c r="AM21" s="710"/>
    </row>
    <row r="22" spans="2:39" ht="21" customHeight="1">
      <c r="B22" s="1715"/>
      <c r="C22" s="1715"/>
      <c r="D22" s="1717"/>
      <c r="E22" s="1538" t="s">
        <v>206</v>
      </c>
      <c r="F22" s="1538" t="s">
        <v>207</v>
      </c>
      <c r="G22" s="1538" t="s">
        <v>452</v>
      </c>
      <c r="H22" s="1538" t="s">
        <v>208</v>
      </c>
      <c r="I22" s="1546" t="s">
        <v>452</v>
      </c>
      <c r="J22" s="1546" t="s">
        <v>208</v>
      </c>
      <c r="K22" s="1686"/>
      <c r="L22" s="1546" t="s">
        <v>467</v>
      </c>
      <c r="M22" s="1546" t="s">
        <v>468</v>
      </c>
      <c r="N22" s="1546" t="s">
        <v>1748</v>
      </c>
      <c r="O22" s="1546" t="s">
        <v>210</v>
      </c>
      <c r="Q22" s="954" t="s">
        <v>211</v>
      </c>
      <c r="R22" s="955" t="s">
        <v>394</v>
      </c>
      <c r="S22" s="956" t="s">
        <v>451</v>
      </c>
      <c r="T22" s="710"/>
      <c r="U22" s="954" t="s">
        <v>211</v>
      </c>
      <c r="V22" s="955" t="s">
        <v>394</v>
      </c>
      <c r="W22" s="956" t="s">
        <v>451</v>
      </c>
      <c r="Y22" s="1729"/>
      <c r="Z22" s="1729"/>
      <c r="AA22" s="1734"/>
      <c r="AB22" s="1099" t="s">
        <v>206</v>
      </c>
      <c r="AC22" s="979" t="s">
        <v>207</v>
      </c>
      <c r="AD22" s="1099" t="s">
        <v>452</v>
      </c>
      <c r="AE22" s="979" t="s">
        <v>486</v>
      </c>
      <c r="AF22" s="1099" t="s">
        <v>452</v>
      </c>
      <c r="AG22" s="979" t="s">
        <v>208</v>
      </c>
      <c r="AH22" s="1729"/>
      <c r="AI22" s="1099" t="s">
        <v>467</v>
      </c>
      <c r="AJ22" s="979" t="s">
        <v>468</v>
      </c>
      <c r="AK22" s="1099" t="s">
        <v>209</v>
      </c>
      <c r="AL22" s="979" t="s">
        <v>210</v>
      </c>
      <c r="AM22" s="710"/>
    </row>
    <row r="23" spans="2:39" ht="11.25" customHeight="1">
      <c r="B23" s="722" t="s">
        <v>183</v>
      </c>
      <c r="C23" s="728"/>
      <c r="D23" s="724"/>
      <c r="E23" s="1544"/>
      <c r="F23" s="1544"/>
      <c r="G23" s="1545"/>
      <c r="H23" s="1545"/>
      <c r="I23" s="1539"/>
      <c r="J23" s="729"/>
      <c r="K23" s="729"/>
      <c r="L23" s="729"/>
      <c r="M23" s="729"/>
      <c r="N23" s="729"/>
      <c r="O23" s="729"/>
      <c r="Q23" s="957"/>
      <c r="R23" s="958"/>
      <c r="S23" s="959"/>
      <c r="T23" s="710"/>
      <c r="U23" s="957"/>
      <c r="V23" s="958"/>
      <c r="W23" s="959"/>
      <c r="Y23" s="1100" t="s">
        <v>183</v>
      </c>
      <c r="Z23" s="1101" t="s">
        <v>184</v>
      </c>
      <c r="AA23" s="960"/>
      <c r="AB23" s="960"/>
      <c r="AC23" s="959"/>
      <c r="AD23" s="1102"/>
      <c r="AE23" s="984"/>
      <c r="AF23" s="1102"/>
      <c r="AG23" s="981"/>
      <c r="AH23" s="1103"/>
      <c r="AI23" s="960"/>
      <c r="AJ23" s="959"/>
      <c r="AK23" s="1034"/>
      <c r="AL23" s="981"/>
      <c r="AM23" s="710"/>
    </row>
    <row r="24" spans="2:39" ht="11.25" customHeight="1">
      <c r="B24" s="722" t="s">
        <v>212</v>
      </c>
      <c r="C24" s="733" t="s">
        <v>1742</v>
      </c>
      <c r="D24" s="724"/>
      <c r="E24" s="729"/>
      <c r="F24" s="1540"/>
      <c r="G24" s="1539"/>
      <c r="H24" s="1539"/>
      <c r="I24" s="1539"/>
      <c r="J24" s="1539"/>
      <c r="K24" s="729"/>
      <c r="L24" s="729"/>
      <c r="M24" s="729"/>
      <c r="N24" s="729"/>
      <c r="O24" s="729"/>
      <c r="Q24" s="960"/>
      <c r="R24" s="961"/>
      <c r="S24" s="959"/>
      <c r="T24" s="710"/>
      <c r="U24" s="1070">
        <v>-2.7</v>
      </c>
      <c r="V24" s="962">
        <f>+U24</f>
        <v>-2.7</v>
      </c>
      <c r="W24" s="963">
        <v>23666.43</v>
      </c>
      <c r="Y24" s="1100" t="s">
        <v>212</v>
      </c>
      <c r="Z24" s="1101" t="s">
        <v>213</v>
      </c>
      <c r="AA24" s="960"/>
      <c r="AB24" s="960"/>
      <c r="AC24" s="1104"/>
      <c r="AD24" s="1102"/>
      <c r="AE24" s="984"/>
      <c r="AF24" s="1102"/>
      <c r="AG24" s="984"/>
      <c r="AH24" s="1103"/>
      <c r="AI24" s="960"/>
      <c r="AJ24" s="959"/>
      <c r="AK24" s="1034"/>
      <c r="AL24" s="981"/>
      <c r="AM24" s="710"/>
    </row>
    <row r="25" spans="2:39" ht="11.25" customHeight="1">
      <c r="B25" s="796" t="s">
        <v>1429</v>
      </c>
      <c r="C25" s="1023" t="s">
        <v>1430</v>
      </c>
      <c r="D25" s="738" t="str">
        <f>+LOOKUP(B25,valoriz!A4:C232)</f>
        <v>m2</v>
      </c>
      <c r="E25" s="1553">
        <v>1</v>
      </c>
      <c r="F25" s="1553">
        <v>0.30049999999999999</v>
      </c>
      <c r="G25" s="1032">
        <v>20854.39</v>
      </c>
      <c r="H25" s="1541">
        <f>+ROUND(E25*F25*G25,2)</f>
        <v>6266.74</v>
      </c>
      <c r="I25" s="1541">
        <f>LOOKUP(B25,valoriz!$A$13:$A$242,valoriz!I$13:I$242)</f>
        <v>7221.17</v>
      </c>
      <c r="J25" s="843">
        <f>+ROUND(E25*F25*I25,2)</f>
        <v>2169.96</v>
      </c>
      <c r="K25" s="745">
        <v>259.2</v>
      </c>
      <c r="L25" s="745">
        <f>D$17</f>
        <v>110.75</v>
      </c>
      <c r="M25" s="745">
        <f>D$16</f>
        <v>110.38</v>
      </c>
      <c r="N25" s="843">
        <f>+ROUND(J25*K25*M$18,2)</f>
        <v>562453.63</v>
      </c>
      <c r="O25" s="843">
        <f>+ROUND(J25*K25*L25*M$18/M25,2)</f>
        <v>564339.01</v>
      </c>
      <c r="Q25" s="960">
        <v>0</v>
      </c>
      <c r="R25" s="962">
        <f>+J25+Q25</f>
        <v>2169.96</v>
      </c>
      <c r="S25" s="963">
        <f>+H25-R25</f>
        <v>4096.78</v>
      </c>
      <c r="T25" s="964"/>
      <c r="U25" s="1070">
        <f>+ROUND(Q25*$K25*$L25/$M25,2)</f>
        <v>0</v>
      </c>
      <c r="V25" s="962">
        <f>+ROUND(R25*$K25*$L25/$M25,2)</f>
        <v>564339.01</v>
      </c>
      <c r="W25" s="963"/>
      <c r="Y25" s="1105" t="s">
        <v>53</v>
      </c>
      <c r="Z25" s="1106" t="s">
        <v>54</v>
      </c>
      <c r="AA25" s="1107" t="s">
        <v>173</v>
      </c>
      <c r="AB25" s="1108">
        <v>1</v>
      </c>
      <c r="AC25" s="1109">
        <v>0.3</v>
      </c>
      <c r="AD25" s="1110">
        <v>18363.259999999998</v>
      </c>
      <c r="AE25" s="1111">
        <f>+ROUND(AB25*AC25*AD25,2)</f>
        <v>5508.98</v>
      </c>
      <c r="AF25" s="1112">
        <f>LOOKUP(Y25,valoriz!$A$13:$A$242,valoriz!G$13:G$242)</f>
        <v>0</v>
      </c>
      <c r="AG25" s="1095">
        <f>+ROUND(AB25*AC25*AF25,2)</f>
        <v>0</v>
      </c>
      <c r="AH25" s="1113">
        <v>2.58</v>
      </c>
      <c r="AI25" s="1114">
        <f>AA$17</f>
        <v>0</v>
      </c>
      <c r="AJ25" s="1115">
        <f>AA$16</f>
        <v>0</v>
      </c>
      <c r="AK25" s="1116">
        <f>+ROUND(AG25*AH25*AJ$18,2)</f>
        <v>0</v>
      </c>
      <c r="AL25" s="1095" t="e">
        <f>+ROUND(AG25*AH25*AI25*AJ$18/AJ25,2)</f>
        <v>#DIV/0!</v>
      </c>
      <c r="AM25" s="710"/>
    </row>
    <row r="26" spans="2:39" ht="11.25" customHeight="1" thickBot="1">
      <c r="B26" s="762"/>
      <c r="C26" s="1024"/>
      <c r="D26" s="764"/>
      <c r="E26" s="1542"/>
      <c r="F26" s="1542"/>
      <c r="G26" s="1543"/>
      <c r="H26" s="1543"/>
      <c r="I26" s="1543"/>
      <c r="J26" s="1547"/>
      <c r="K26" s="770"/>
      <c r="L26" s="770"/>
      <c r="M26" s="770"/>
      <c r="N26" s="1547"/>
      <c r="O26" s="1547"/>
      <c r="Q26" s="968"/>
      <c r="R26" s="1153"/>
      <c r="S26" s="1154"/>
      <c r="T26" s="964"/>
      <c r="U26" s="1057"/>
      <c r="V26" s="969"/>
      <c r="W26" s="970"/>
      <c r="Y26" s="1117"/>
      <c r="Z26" s="1118"/>
      <c r="AA26" s="1119"/>
      <c r="AB26" s="1120"/>
      <c r="AC26" s="1121"/>
      <c r="AD26" s="1122"/>
      <c r="AE26" s="1123"/>
      <c r="AF26" s="1122"/>
      <c r="AG26" s="1124"/>
      <c r="AH26" s="1125"/>
      <c r="AI26" s="1126"/>
      <c r="AJ26" s="1127"/>
      <c r="AK26" s="1128"/>
      <c r="AL26" s="1124"/>
      <c r="AM26" s="710"/>
    </row>
    <row r="27" spans="2:39" ht="11.25" customHeight="1">
      <c r="B27" s="775"/>
      <c r="C27" s="776"/>
      <c r="D27" s="777"/>
      <c r="E27" s="781"/>
      <c r="F27" s="781"/>
      <c r="G27" s="1548"/>
      <c r="H27" s="1549">
        <f>SUM(H25:H26)</f>
        <v>6266.74</v>
      </c>
      <c r="I27" s="1548"/>
      <c r="J27" s="1549">
        <f>SUM(J25:J26)</f>
        <v>2169.96</v>
      </c>
      <c r="K27" s="781"/>
      <c r="L27" s="1550"/>
      <c r="M27" s="1551" t="s">
        <v>171</v>
      </c>
      <c r="N27" s="935">
        <f>SUM(N25:N26)</f>
        <v>562453.63</v>
      </c>
      <c r="O27" s="935">
        <f>SUM(O25:O26)</f>
        <v>564339.01</v>
      </c>
      <c r="Q27" s="1051">
        <f>SUM(Q25:Q26)</f>
        <v>0</v>
      </c>
      <c r="R27" s="990">
        <f>SUM(R25:R26)</f>
        <v>2169.96</v>
      </c>
      <c r="S27" s="1052">
        <f>SUM(S25:S26)</f>
        <v>4096.78</v>
      </c>
      <c r="T27" s="964"/>
      <c r="U27" s="990">
        <f>SUM(U24:U26)</f>
        <v>-2.7</v>
      </c>
      <c r="V27" s="991">
        <f>SUM(V24:V26)</f>
        <v>564336.31000000006</v>
      </c>
      <c r="W27" s="992">
        <f>+W24-V28</f>
        <v>-540669.87</v>
      </c>
      <c r="Y27" s="1129"/>
      <c r="Z27" s="1130"/>
      <c r="AA27" s="1131"/>
      <c r="AB27" s="1131"/>
      <c r="AC27" s="1132"/>
      <c r="AD27" s="1133"/>
      <c r="AE27" s="1134">
        <f>SUM(AE25:AE26)</f>
        <v>5508.98</v>
      </c>
      <c r="AF27" s="1133"/>
      <c r="AG27" s="1134">
        <f>SUM(AG25:AG26)</f>
        <v>0</v>
      </c>
      <c r="AH27" s="1135"/>
      <c r="AI27" s="1131"/>
      <c r="AJ27" s="1132"/>
      <c r="AK27" s="1136">
        <f>SUM(AK25:AK26)</f>
        <v>0</v>
      </c>
      <c r="AL27" s="1137" t="e">
        <f>SUM(AL25:AL26)</f>
        <v>#DIV/0!</v>
      </c>
      <c r="AM27" s="710"/>
    </row>
    <row r="28" spans="2:39" ht="11.25" customHeight="1">
      <c r="B28" s="784"/>
      <c r="C28" s="785"/>
      <c r="G28" s="786"/>
      <c r="H28" s="787" t="s">
        <v>214</v>
      </c>
      <c r="I28" s="788"/>
      <c r="J28" s="789">
        <v>6256.32</v>
      </c>
      <c r="K28" s="751"/>
      <c r="U28" s="710">
        <v>7757.51</v>
      </c>
      <c r="V28" s="1050">
        <f>+O27+U27-0.01</f>
        <v>564336.30000000005</v>
      </c>
      <c r="AD28" s="699" t="s">
        <v>321</v>
      </c>
      <c r="AE28" s="699">
        <v>23666.43</v>
      </c>
    </row>
    <row r="29" spans="2:39" ht="11.25" customHeight="1">
      <c r="B29" s="790"/>
      <c r="C29" s="791"/>
      <c r="D29" s="121"/>
      <c r="E29" s="792"/>
      <c r="F29" s="792"/>
      <c r="G29" s="793"/>
      <c r="H29" s="793"/>
      <c r="I29" s="793"/>
      <c r="J29" s="751"/>
      <c r="K29" s="709"/>
      <c r="M29" s="709"/>
      <c r="N29" s="709"/>
      <c r="O29" s="751"/>
      <c r="P29" s="751"/>
    </row>
    <row r="30" spans="2:39" ht="11.25" customHeight="1">
      <c r="B30" s="1714" t="s">
        <v>198</v>
      </c>
      <c r="C30" s="1714" t="s">
        <v>199</v>
      </c>
      <c r="D30" s="1716" t="s">
        <v>601</v>
      </c>
      <c r="E30" s="1731" t="s">
        <v>200</v>
      </c>
      <c r="F30" s="1731"/>
      <c r="G30" s="1731" t="s">
        <v>201</v>
      </c>
      <c r="H30" s="1731"/>
      <c r="I30" s="1732" t="s">
        <v>202</v>
      </c>
      <c r="J30" s="1732"/>
      <c r="K30" s="1685" t="s">
        <v>203</v>
      </c>
      <c r="L30" s="1732" t="s">
        <v>204</v>
      </c>
      <c r="M30" s="1732"/>
      <c r="N30" s="1732" t="s">
        <v>423</v>
      </c>
      <c r="O30" s="1732"/>
      <c r="Q30" s="1695" t="s">
        <v>205</v>
      </c>
      <c r="R30" s="1696"/>
      <c r="S30" s="1697"/>
      <c r="T30" s="710"/>
      <c r="U30" s="1695" t="s">
        <v>331</v>
      </c>
      <c r="V30" s="1696"/>
      <c r="W30" s="1697"/>
    </row>
    <row r="31" spans="2:39" ht="21.75" customHeight="1">
      <c r="B31" s="1715"/>
      <c r="C31" s="1715"/>
      <c r="D31" s="1717"/>
      <c r="E31" s="1538" t="s">
        <v>206</v>
      </c>
      <c r="F31" s="1538" t="s">
        <v>207</v>
      </c>
      <c r="G31" s="1538" t="s">
        <v>452</v>
      </c>
      <c r="H31" s="1538" t="s">
        <v>208</v>
      </c>
      <c r="I31" s="1546" t="s">
        <v>452</v>
      </c>
      <c r="J31" s="1546" t="s">
        <v>208</v>
      </c>
      <c r="K31" s="1686"/>
      <c r="L31" s="1546" t="s">
        <v>467</v>
      </c>
      <c r="M31" s="1546" t="s">
        <v>468</v>
      </c>
      <c r="N31" s="1546" t="s">
        <v>1748</v>
      </c>
      <c r="O31" s="1546" t="s">
        <v>210</v>
      </c>
      <c r="Q31" s="954" t="s">
        <v>211</v>
      </c>
      <c r="R31" s="978" t="s">
        <v>394</v>
      </c>
      <c r="S31" s="979" t="s">
        <v>451</v>
      </c>
      <c r="T31" s="710"/>
      <c r="U31" s="954" t="s">
        <v>211</v>
      </c>
      <c r="V31" s="978" t="s">
        <v>394</v>
      </c>
      <c r="W31" s="979" t="s">
        <v>451</v>
      </c>
    </row>
    <row r="32" spans="2:39" ht="11.25" customHeight="1">
      <c r="B32" s="722" t="s">
        <v>183</v>
      </c>
      <c r="C32" s="728"/>
      <c r="D32" s="724"/>
      <c r="E32" s="1544"/>
      <c r="F32" s="1544"/>
      <c r="G32" s="1545"/>
      <c r="H32" s="1545"/>
      <c r="I32" s="1539"/>
      <c r="J32" s="729"/>
      <c r="K32" s="729"/>
      <c r="L32" s="729"/>
      <c r="M32" s="729"/>
      <c r="N32" s="729"/>
      <c r="O32" s="729"/>
      <c r="Q32" s="957"/>
      <c r="R32" s="980"/>
      <c r="S32" s="981"/>
      <c r="T32" s="710"/>
      <c r="U32" s="957"/>
      <c r="V32" s="980"/>
      <c r="W32" s="981"/>
    </row>
    <row r="33" spans="2:23" ht="11.25" customHeight="1">
      <c r="B33" s="722" t="s">
        <v>212</v>
      </c>
      <c r="C33" s="733" t="s">
        <v>1743</v>
      </c>
      <c r="D33" s="724"/>
      <c r="E33" s="729"/>
      <c r="F33" s="1540"/>
      <c r="G33" s="1539"/>
      <c r="H33" s="1539"/>
      <c r="I33" s="1539"/>
      <c r="J33" s="1539"/>
      <c r="K33" s="729"/>
      <c r="L33" s="729"/>
      <c r="M33" s="729"/>
      <c r="N33" s="729"/>
      <c r="O33" s="729"/>
      <c r="Q33" s="960"/>
      <c r="R33" s="982"/>
      <c r="S33" s="981"/>
      <c r="T33" s="710"/>
      <c r="U33" s="960">
        <v>-88.71</v>
      </c>
      <c r="V33" s="982">
        <f>+U33</f>
        <v>-88.71</v>
      </c>
      <c r="W33" s="981">
        <v>698292.82</v>
      </c>
    </row>
    <row r="34" spans="2:23" ht="11.25" customHeight="1">
      <c r="B34" s="796" t="s">
        <v>1480</v>
      </c>
      <c r="C34" s="1023" t="s">
        <v>1481</v>
      </c>
      <c r="D34" s="738" t="str">
        <f>+LOOKUP(B34,valoriz!A13:C241)</f>
        <v>m2</v>
      </c>
      <c r="E34" s="1553">
        <v>1</v>
      </c>
      <c r="F34" s="1553">
        <v>0.27550000000000002</v>
      </c>
      <c r="G34" s="1032">
        <v>1849.6100000000001</v>
      </c>
      <c r="H34" s="1541">
        <f>+ROUND(E34*F34*G34,2)</f>
        <v>509.57</v>
      </c>
      <c r="I34" s="1541">
        <f>LOOKUP(B34,valoriz!$A$13:$A$242,valoriz!I$13:I$242)</f>
        <v>0</v>
      </c>
      <c r="J34" s="843">
        <f>+ROUND(E34*F34*I34,2)</f>
        <v>0</v>
      </c>
      <c r="K34" s="745">
        <v>259.2</v>
      </c>
      <c r="L34" s="745">
        <f>D$17</f>
        <v>110.75</v>
      </c>
      <c r="M34" s="745">
        <f>D$16</f>
        <v>110.38</v>
      </c>
      <c r="N34" s="843">
        <f>+ROUND(J34*K34*M$18,2)</f>
        <v>0</v>
      </c>
      <c r="O34" s="843">
        <f>+ROUND(J34*K34*L34*M$18/M34,2)</f>
        <v>0</v>
      </c>
      <c r="Q34" s="960">
        <v>0</v>
      </c>
      <c r="R34" s="983">
        <f>+J34+Q34</f>
        <v>0</v>
      </c>
      <c r="S34" s="984">
        <f>+H34-R34</f>
        <v>509.57</v>
      </c>
      <c r="T34" s="710"/>
      <c r="U34" s="985">
        <f>+ROUND(Q34*$K34*$L34/$M34,2)</f>
        <v>0</v>
      </c>
      <c r="V34" s="986">
        <f>+ROUND(R34*$K34*$L34/$M34,2)</f>
        <v>0</v>
      </c>
      <c r="W34" s="987"/>
    </row>
    <row r="35" spans="2:23" ht="11.25" customHeight="1" thickBot="1">
      <c r="B35" s="762"/>
      <c r="C35" s="1024"/>
      <c r="D35" s="764"/>
      <c r="E35" s="1542"/>
      <c r="F35" s="1542"/>
      <c r="G35" s="1543"/>
      <c r="H35" s="1543"/>
      <c r="I35" s="1543"/>
      <c r="J35" s="1547"/>
      <c r="K35" s="770"/>
      <c r="L35" s="770"/>
      <c r="M35" s="770"/>
      <c r="N35" s="1547"/>
      <c r="O35" s="1547"/>
      <c r="Q35" s="968"/>
      <c r="R35" s="988"/>
      <c r="S35" s="989"/>
      <c r="T35" s="710"/>
      <c r="U35" s="968"/>
      <c r="V35" s="988"/>
      <c r="W35" s="989"/>
    </row>
    <row r="36" spans="2:23" ht="11.25" customHeight="1">
      <c r="B36" s="775"/>
      <c r="C36" s="776"/>
      <c r="D36" s="777"/>
      <c r="E36" s="777"/>
      <c r="F36" s="778"/>
      <c r="G36" s="779"/>
      <c r="H36" s="780">
        <f>SUM(H34:H35)</f>
        <v>509.57</v>
      </c>
      <c r="I36" s="779"/>
      <c r="J36" s="780">
        <f>SUM(J34:J35)</f>
        <v>0</v>
      </c>
      <c r="K36" s="781"/>
      <c r="L36" s="777"/>
      <c r="M36" s="946" t="s">
        <v>171</v>
      </c>
      <c r="N36" s="782">
        <f>SUM(N34:N35)</f>
        <v>0</v>
      </c>
      <c r="O36" s="783">
        <f>SUM(O34:O35)</f>
        <v>0</v>
      </c>
      <c r="Q36" s="1051">
        <f>SUM(Q34:Q35)</f>
        <v>0</v>
      </c>
      <c r="R36" s="1051">
        <f>SUM(R34:R35)</f>
        <v>0</v>
      </c>
      <c r="S36" s="1052">
        <f>SUM(S34:S35)</f>
        <v>509.57</v>
      </c>
      <c r="T36" s="964">
        <f>+U37-U36</f>
        <v>361304.97000000003</v>
      </c>
      <c r="U36" s="1076">
        <f>SUM(U33:U35)</f>
        <v>-88.71</v>
      </c>
      <c r="V36" s="1077">
        <f>SUM(V33:V35)</f>
        <v>-88.71</v>
      </c>
      <c r="W36" s="1078">
        <f>+W33-V37</f>
        <v>698381.52999999991</v>
      </c>
    </row>
    <row r="37" spans="2:23" ht="11.25" customHeight="1">
      <c r="B37" s="784"/>
      <c r="C37" s="785"/>
      <c r="G37" s="786"/>
      <c r="H37" s="787" t="s">
        <v>214</v>
      </c>
      <c r="I37" s="788"/>
      <c r="J37" s="789">
        <v>508.64</v>
      </c>
      <c r="K37" s="751"/>
      <c r="Q37" s="710"/>
      <c r="R37" s="710"/>
      <c r="S37" s="710"/>
      <c r="T37" s="710"/>
      <c r="U37" s="710">
        <v>361216.26</v>
      </c>
      <c r="V37" s="964">
        <f>+O36+U36</f>
        <v>-88.71</v>
      </c>
      <c r="W37" s="710"/>
    </row>
    <row r="38" spans="2:23" ht="11.25" customHeight="1">
      <c r="B38" s="784"/>
      <c r="C38" s="785"/>
      <c r="K38" s="751"/>
    </row>
    <row r="39" spans="2:23" ht="11.25" customHeight="1">
      <c r="B39" s="1714" t="s">
        <v>198</v>
      </c>
      <c r="C39" s="1714" t="s">
        <v>199</v>
      </c>
      <c r="D39" s="1716" t="s">
        <v>601</v>
      </c>
      <c r="E39" s="1731" t="s">
        <v>200</v>
      </c>
      <c r="F39" s="1731"/>
      <c r="G39" s="1731" t="s">
        <v>201</v>
      </c>
      <c r="H39" s="1731"/>
      <c r="I39" s="1732" t="s">
        <v>202</v>
      </c>
      <c r="J39" s="1732"/>
      <c r="K39" s="1685" t="s">
        <v>203</v>
      </c>
      <c r="L39" s="1732" t="s">
        <v>204</v>
      </c>
      <c r="M39" s="1732"/>
      <c r="N39" s="1732" t="s">
        <v>423</v>
      </c>
      <c r="O39" s="1732"/>
      <c r="Q39" s="1695" t="s">
        <v>205</v>
      </c>
      <c r="R39" s="1696"/>
      <c r="S39" s="1697"/>
      <c r="T39" s="710"/>
      <c r="U39" s="1695" t="s">
        <v>331</v>
      </c>
      <c r="V39" s="1696"/>
      <c r="W39" s="1697"/>
    </row>
    <row r="40" spans="2:23" ht="21.75" customHeight="1">
      <c r="B40" s="1715"/>
      <c r="C40" s="1715"/>
      <c r="D40" s="1717"/>
      <c r="E40" s="1538" t="s">
        <v>206</v>
      </c>
      <c r="F40" s="1538" t="s">
        <v>207</v>
      </c>
      <c r="G40" s="1538" t="s">
        <v>452</v>
      </c>
      <c r="H40" s="1538" t="s">
        <v>208</v>
      </c>
      <c r="I40" s="1546" t="s">
        <v>452</v>
      </c>
      <c r="J40" s="1546" t="s">
        <v>208</v>
      </c>
      <c r="K40" s="1686"/>
      <c r="L40" s="1546" t="s">
        <v>467</v>
      </c>
      <c r="M40" s="1546" t="s">
        <v>468</v>
      </c>
      <c r="N40" s="1546" t="s">
        <v>1748</v>
      </c>
      <c r="O40" s="1546" t="s">
        <v>210</v>
      </c>
      <c r="Q40" s="954" t="s">
        <v>211</v>
      </c>
      <c r="R40" s="978" t="s">
        <v>394</v>
      </c>
      <c r="S40" s="979" t="s">
        <v>451</v>
      </c>
      <c r="T40" s="710"/>
      <c r="U40" s="954" t="s">
        <v>211</v>
      </c>
      <c r="V40" s="978" t="s">
        <v>394</v>
      </c>
      <c r="W40" s="979" t="s">
        <v>451</v>
      </c>
    </row>
    <row r="41" spans="2:23" ht="11.25" customHeight="1">
      <c r="B41" s="722" t="s">
        <v>183</v>
      </c>
      <c r="C41" s="728"/>
      <c r="D41" s="724"/>
      <c r="E41" s="1544"/>
      <c r="F41" s="1544"/>
      <c r="G41" s="1545"/>
      <c r="H41" s="1545"/>
      <c r="I41" s="1539"/>
      <c r="J41" s="729"/>
      <c r="K41" s="729"/>
      <c r="L41" s="729"/>
      <c r="M41" s="729"/>
      <c r="N41" s="729"/>
      <c r="O41" s="729"/>
      <c r="Q41" s="957"/>
      <c r="R41" s="980"/>
      <c r="S41" s="981"/>
      <c r="T41" s="710"/>
      <c r="U41" s="957"/>
      <c r="V41" s="980"/>
      <c r="W41" s="981"/>
    </row>
    <row r="42" spans="2:23" ht="11.25" customHeight="1">
      <c r="B42" s="722" t="s">
        <v>212</v>
      </c>
      <c r="C42" s="733" t="s">
        <v>1744</v>
      </c>
      <c r="D42" s="724"/>
      <c r="E42" s="729"/>
      <c r="F42" s="1540"/>
      <c r="G42" s="1539"/>
      <c r="H42" s="1539"/>
      <c r="I42" s="1539"/>
      <c r="J42" s="1539"/>
      <c r="K42" s="729"/>
      <c r="L42" s="729"/>
      <c r="M42" s="729"/>
      <c r="N42" s="729"/>
      <c r="O42" s="729"/>
      <c r="Q42" s="960"/>
      <c r="R42" s="982"/>
      <c r="S42" s="981"/>
      <c r="T42" s="710"/>
      <c r="U42" s="960">
        <v>-88.71</v>
      </c>
      <c r="V42" s="982">
        <f>+U42</f>
        <v>-88.71</v>
      </c>
      <c r="W42" s="981">
        <v>698292.82</v>
      </c>
    </row>
    <row r="43" spans="2:23" ht="11.25" customHeight="1">
      <c r="B43" s="796" t="s">
        <v>666</v>
      </c>
      <c r="C43" s="1023" t="s">
        <v>1604</v>
      </c>
      <c r="D43" s="738" t="str">
        <f>+LOOKUP(B43,valoriz!A22:C250)</f>
        <v>m3</v>
      </c>
      <c r="E43" s="1553">
        <v>1</v>
      </c>
      <c r="F43" s="1553">
        <v>1.05</v>
      </c>
      <c r="G43" s="1032">
        <v>93.83</v>
      </c>
      <c r="H43" s="1541">
        <f>+ROUND(E43*F43*G43,2)</f>
        <v>98.52</v>
      </c>
      <c r="I43" s="1541">
        <f>LOOKUP(B43,valoriz!$A$13:$A$242,valoriz!I$13:I$242)</f>
        <v>0</v>
      </c>
      <c r="J43" s="843">
        <f>+ROUND(E43*F43*I43,2)</f>
        <v>0</v>
      </c>
      <c r="K43" s="745">
        <v>259.2</v>
      </c>
      <c r="L43" s="745">
        <f>D$17</f>
        <v>110.75</v>
      </c>
      <c r="M43" s="745">
        <f>D$16</f>
        <v>110.38</v>
      </c>
      <c r="N43" s="843">
        <f>+ROUND(J43*K43*M$18,2)</f>
        <v>0</v>
      </c>
      <c r="O43" s="843">
        <f>+ROUND(J43*K43*L43*M$18/M43,2)</f>
        <v>0</v>
      </c>
      <c r="Q43" s="960">
        <v>0</v>
      </c>
      <c r="R43" s="983">
        <f>+J43+Q43</f>
        <v>0</v>
      </c>
      <c r="S43" s="984">
        <f>+H43-R43</f>
        <v>98.52</v>
      </c>
      <c r="T43" s="710"/>
      <c r="U43" s="985">
        <f>+ROUND(Q43*$K43*$L43/$M43,2)</f>
        <v>0</v>
      </c>
      <c r="V43" s="986">
        <f>+ROUND(R43*$K43*$L43/$M43,2)</f>
        <v>0</v>
      </c>
      <c r="W43" s="987"/>
    </row>
    <row r="44" spans="2:23" ht="11.25" customHeight="1" thickBot="1">
      <c r="B44" s="762"/>
      <c r="C44" s="1024"/>
      <c r="D44" s="764"/>
      <c r="E44" s="1542"/>
      <c r="F44" s="1542"/>
      <c r="G44" s="1543"/>
      <c r="H44" s="1543"/>
      <c r="I44" s="1543"/>
      <c r="J44" s="1547"/>
      <c r="K44" s="770"/>
      <c r="L44" s="770"/>
      <c r="M44" s="770"/>
      <c r="N44" s="1547"/>
      <c r="O44" s="1547"/>
      <c r="Q44" s="968"/>
      <c r="R44" s="988"/>
      <c r="S44" s="989"/>
      <c r="T44" s="710"/>
      <c r="U44" s="968"/>
      <c r="V44" s="988"/>
      <c r="W44" s="989"/>
    </row>
    <row r="45" spans="2:23" ht="11.25" customHeight="1">
      <c r="B45" s="775"/>
      <c r="C45" s="776"/>
      <c r="D45" s="777"/>
      <c r="E45" s="777"/>
      <c r="F45" s="778"/>
      <c r="G45" s="779"/>
      <c r="H45" s="780">
        <f>SUM(H43:H44)</f>
        <v>98.52</v>
      </c>
      <c r="I45" s="779"/>
      <c r="J45" s="780">
        <f>SUM(J43:J44)</f>
        <v>0</v>
      </c>
      <c r="K45" s="781"/>
      <c r="L45" s="777"/>
      <c r="M45" s="946" t="s">
        <v>171</v>
      </c>
      <c r="N45" s="782">
        <f>SUM(N43:N44)</f>
        <v>0</v>
      </c>
      <c r="O45" s="783">
        <f>SUM(O43:O44)</f>
        <v>0</v>
      </c>
      <c r="Q45" s="1051">
        <f>SUM(Q43:Q44)</f>
        <v>0</v>
      </c>
      <c r="R45" s="1051">
        <f>SUM(R43:R44)</f>
        <v>0</v>
      </c>
      <c r="S45" s="1052">
        <f>SUM(S43:S44)</f>
        <v>98.52</v>
      </c>
      <c r="T45" s="964">
        <f>+U46-U45</f>
        <v>361304.97000000003</v>
      </c>
      <c r="U45" s="1076">
        <f>SUM(U42:U44)</f>
        <v>-88.71</v>
      </c>
      <c r="V45" s="1077">
        <f>SUM(V42:V44)</f>
        <v>-88.71</v>
      </c>
      <c r="W45" s="1078">
        <f>+W42-V46</f>
        <v>698381.52999999991</v>
      </c>
    </row>
    <row r="46" spans="2:23" ht="11.25" customHeight="1">
      <c r="B46" s="784"/>
      <c r="C46" s="785"/>
      <c r="G46" s="786"/>
      <c r="H46" s="787" t="s">
        <v>214</v>
      </c>
      <c r="I46" s="788"/>
      <c r="J46" s="789">
        <v>93.83</v>
      </c>
      <c r="K46" s="751"/>
      <c r="Q46" s="710"/>
      <c r="R46" s="710"/>
      <c r="S46" s="710"/>
      <c r="T46" s="710"/>
      <c r="U46" s="710">
        <v>361216.26</v>
      </c>
      <c r="V46" s="964">
        <f>+O45+U45</f>
        <v>-88.71</v>
      </c>
      <c r="W46" s="710"/>
    </row>
    <row r="47" spans="2:23" ht="11.25" customHeight="1">
      <c r="B47" s="784"/>
      <c r="C47" s="785"/>
      <c r="K47" s="751"/>
    </row>
    <row r="48" spans="2:23" ht="11.25" customHeight="1">
      <c r="B48" s="1714" t="s">
        <v>198</v>
      </c>
      <c r="C48" s="1714" t="s">
        <v>199</v>
      </c>
      <c r="D48" s="1716" t="s">
        <v>601</v>
      </c>
      <c r="E48" s="1731" t="s">
        <v>200</v>
      </c>
      <c r="F48" s="1731"/>
      <c r="G48" s="1731" t="s">
        <v>201</v>
      </c>
      <c r="H48" s="1731"/>
      <c r="I48" s="1732" t="s">
        <v>202</v>
      </c>
      <c r="J48" s="1732"/>
      <c r="K48" s="1685" t="s">
        <v>203</v>
      </c>
      <c r="L48" s="1732" t="s">
        <v>204</v>
      </c>
      <c r="M48" s="1732"/>
      <c r="N48" s="1732" t="s">
        <v>423</v>
      </c>
      <c r="O48" s="1732"/>
      <c r="Q48" s="1695" t="s">
        <v>205</v>
      </c>
      <c r="R48" s="1696"/>
      <c r="S48" s="1697"/>
      <c r="T48" s="710"/>
      <c r="U48" s="1695" t="s">
        <v>331</v>
      </c>
      <c r="V48" s="1696"/>
      <c r="W48" s="1697"/>
    </row>
    <row r="49" spans="2:23" ht="21.75" customHeight="1">
      <c r="B49" s="1715"/>
      <c r="C49" s="1715"/>
      <c r="D49" s="1717"/>
      <c r="E49" s="1538" t="s">
        <v>206</v>
      </c>
      <c r="F49" s="1538" t="s">
        <v>207</v>
      </c>
      <c r="G49" s="1538" t="s">
        <v>452</v>
      </c>
      <c r="H49" s="1538" t="s">
        <v>208</v>
      </c>
      <c r="I49" s="1546" t="s">
        <v>452</v>
      </c>
      <c r="J49" s="1546" t="s">
        <v>208</v>
      </c>
      <c r="K49" s="1686"/>
      <c r="L49" s="1546" t="s">
        <v>467</v>
      </c>
      <c r="M49" s="1546" t="s">
        <v>468</v>
      </c>
      <c r="N49" s="1546" t="s">
        <v>1748</v>
      </c>
      <c r="O49" s="1546" t="s">
        <v>210</v>
      </c>
      <c r="Q49" s="954" t="s">
        <v>211</v>
      </c>
      <c r="R49" s="978" t="s">
        <v>394</v>
      </c>
      <c r="S49" s="979" t="s">
        <v>451</v>
      </c>
      <c r="T49" s="710"/>
      <c r="U49" s="954" t="s">
        <v>211</v>
      </c>
      <c r="V49" s="978" t="s">
        <v>394</v>
      </c>
      <c r="W49" s="979" t="s">
        <v>451</v>
      </c>
    </row>
    <row r="50" spans="2:23" ht="11.25" customHeight="1">
      <c r="B50" s="722" t="s">
        <v>183</v>
      </c>
      <c r="C50" s="728"/>
      <c r="D50" s="724"/>
      <c r="E50" s="1544"/>
      <c r="F50" s="1544"/>
      <c r="G50" s="1545"/>
      <c r="H50" s="1545"/>
      <c r="I50" s="1539"/>
      <c r="J50" s="729"/>
      <c r="K50" s="729"/>
      <c r="L50" s="729"/>
      <c r="M50" s="729"/>
      <c r="N50" s="729"/>
      <c r="O50" s="729"/>
      <c r="Q50" s="957"/>
      <c r="R50" s="980"/>
      <c r="S50" s="981"/>
      <c r="T50" s="710"/>
      <c r="U50" s="957"/>
      <c r="V50" s="980"/>
      <c r="W50" s="981"/>
    </row>
    <row r="51" spans="2:23" ht="11.25" customHeight="1">
      <c r="B51" s="722" t="s">
        <v>212</v>
      </c>
      <c r="C51" s="733" t="s">
        <v>1745</v>
      </c>
      <c r="D51" s="724"/>
      <c r="E51" s="729"/>
      <c r="F51" s="1540"/>
      <c r="G51" s="1539"/>
      <c r="H51" s="1539"/>
      <c r="I51" s="1539"/>
      <c r="J51" s="1539"/>
      <c r="K51" s="729"/>
      <c r="L51" s="729"/>
      <c r="M51" s="729"/>
      <c r="N51" s="729"/>
      <c r="O51" s="729"/>
      <c r="Q51" s="960"/>
      <c r="R51" s="982"/>
      <c r="S51" s="981"/>
      <c r="T51" s="710"/>
      <c r="U51" s="960">
        <v>-88.71</v>
      </c>
      <c r="V51" s="982">
        <f>+U51</f>
        <v>-88.71</v>
      </c>
      <c r="W51" s="981">
        <v>698292.82</v>
      </c>
    </row>
    <row r="52" spans="2:23" ht="11.25" customHeight="1">
      <c r="B52" s="796" t="s">
        <v>1500</v>
      </c>
      <c r="C52" s="1023" t="s">
        <v>1501</v>
      </c>
      <c r="D52" s="738" t="str">
        <f>+LOOKUP(B52,valoriz!A31:C259)</f>
        <v>m3</v>
      </c>
      <c r="E52" s="1553">
        <v>1</v>
      </c>
      <c r="F52" s="1553">
        <v>1.05</v>
      </c>
      <c r="G52" s="1032">
        <v>5</v>
      </c>
      <c r="H52" s="1541">
        <f>+ROUND(E52*F52*G52,2)</f>
        <v>5.25</v>
      </c>
      <c r="I52" s="1541">
        <f>LOOKUP(B52,valoriz!$A$13:$A$242,valoriz!I$13:I$242)</f>
        <v>0</v>
      </c>
      <c r="J52" s="843">
        <f>+ROUND(E52*F52*I52,2)</f>
        <v>0</v>
      </c>
      <c r="K52" s="745">
        <v>199.8</v>
      </c>
      <c r="L52" s="745">
        <f>D$17</f>
        <v>110.75</v>
      </c>
      <c r="M52" s="745">
        <f>D$16</f>
        <v>110.38</v>
      </c>
      <c r="N52" s="843">
        <f>+ROUND(J52*K52*M$18,2)</f>
        <v>0</v>
      </c>
      <c r="O52" s="843">
        <f>+ROUND(J52*K52*L52*M$18/M52,2)</f>
        <v>0</v>
      </c>
      <c r="Q52" s="960">
        <v>0</v>
      </c>
      <c r="R52" s="983">
        <f>+J52+Q52</f>
        <v>0</v>
      </c>
      <c r="S52" s="984">
        <f>+H52-R52</f>
        <v>5.25</v>
      </c>
      <c r="T52" s="710"/>
      <c r="U52" s="985">
        <f>+ROUND(Q52*$K52*$L52/$M52,2)</f>
        <v>0</v>
      </c>
      <c r="V52" s="986">
        <f>+ROUND(R52*$K52*$L52/$M52,2)</f>
        <v>0</v>
      </c>
      <c r="W52" s="987"/>
    </row>
    <row r="53" spans="2:23" ht="11.25" customHeight="1" thickBot="1">
      <c r="B53" s="762"/>
      <c r="C53" s="1024"/>
      <c r="D53" s="764"/>
      <c r="E53" s="1542"/>
      <c r="F53" s="1542"/>
      <c r="G53" s="1543"/>
      <c r="H53" s="1543"/>
      <c r="I53" s="1543"/>
      <c r="J53" s="1547"/>
      <c r="K53" s="770"/>
      <c r="L53" s="770"/>
      <c r="M53" s="770"/>
      <c r="N53" s="1547"/>
      <c r="O53" s="1547"/>
      <c r="Q53" s="968"/>
      <c r="R53" s="988"/>
      <c r="S53" s="989"/>
      <c r="T53" s="710"/>
      <c r="U53" s="968"/>
      <c r="V53" s="988"/>
      <c r="W53" s="989"/>
    </row>
    <row r="54" spans="2:23" ht="11.25" customHeight="1">
      <c r="B54" s="775"/>
      <c r="C54" s="776"/>
      <c r="D54" s="777"/>
      <c r="E54" s="777"/>
      <c r="F54" s="778"/>
      <c r="G54" s="779"/>
      <c r="H54" s="780">
        <f>SUM(H52:H53)</f>
        <v>5.25</v>
      </c>
      <c r="I54" s="779"/>
      <c r="J54" s="780">
        <f>SUM(J52:J53)</f>
        <v>0</v>
      </c>
      <c r="K54" s="781"/>
      <c r="L54" s="777"/>
      <c r="M54" s="946" t="s">
        <v>171</v>
      </c>
      <c r="N54" s="782">
        <f>SUM(N52:N53)</f>
        <v>0</v>
      </c>
      <c r="O54" s="783">
        <f>SUM(O52:O53)</f>
        <v>0</v>
      </c>
      <c r="Q54" s="1051">
        <f>SUM(Q52:Q53)</f>
        <v>0</v>
      </c>
      <c r="R54" s="1051">
        <f>SUM(R52:R53)</f>
        <v>0</v>
      </c>
      <c r="S54" s="1052">
        <f>SUM(S52:S53)</f>
        <v>5.25</v>
      </c>
      <c r="T54" s="964">
        <f>+U55-U54</f>
        <v>361304.97000000003</v>
      </c>
      <c r="U54" s="1076">
        <f>SUM(U51:U53)</f>
        <v>-88.71</v>
      </c>
      <c r="V54" s="1077">
        <f>SUM(V51:V53)</f>
        <v>-88.71</v>
      </c>
      <c r="W54" s="1078">
        <f>+W51-V55</f>
        <v>698381.52999999991</v>
      </c>
    </row>
    <row r="55" spans="2:23" ht="11.25" customHeight="1">
      <c r="B55" s="784"/>
      <c r="C55" s="785"/>
      <c r="G55" s="786"/>
      <c r="H55" s="787" t="s">
        <v>214</v>
      </c>
      <c r="I55" s="788"/>
      <c r="J55" s="789">
        <v>5</v>
      </c>
      <c r="K55" s="751"/>
      <c r="Q55" s="710"/>
      <c r="R55" s="710"/>
      <c r="S55" s="710"/>
      <c r="T55" s="710"/>
      <c r="U55" s="710">
        <v>361216.26</v>
      </c>
      <c r="V55" s="964">
        <f>+O54+U54</f>
        <v>-88.71</v>
      </c>
      <c r="W55" s="710"/>
    </row>
    <row r="56" spans="2:23" ht="11.25" customHeight="1">
      <c r="B56" s="784"/>
      <c r="C56" s="785"/>
      <c r="K56" s="751"/>
    </row>
    <row r="57" spans="2:23" ht="11.25" customHeight="1">
      <c r="B57" s="1714" t="s">
        <v>198</v>
      </c>
      <c r="C57" s="1714" t="s">
        <v>199</v>
      </c>
      <c r="D57" s="1716" t="s">
        <v>601</v>
      </c>
      <c r="E57" s="1731" t="s">
        <v>200</v>
      </c>
      <c r="F57" s="1731"/>
      <c r="G57" s="1731" t="s">
        <v>201</v>
      </c>
      <c r="H57" s="1731"/>
      <c r="I57" s="1732" t="s">
        <v>202</v>
      </c>
      <c r="J57" s="1732"/>
      <c r="K57" s="1685" t="s">
        <v>203</v>
      </c>
      <c r="L57" s="1732" t="s">
        <v>204</v>
      </c>
      <c r="M57" s="1732"/>
      <c r="N57" s="1732" t="s">
        <v>423</v>
      </c>
      <c r="O57" s="1732"/>
      <c r="Q57" s="1695" t="s">
        <v>205</v>
      </c>
      <c r="R57" s="1696"/>
      <c r="S57" s="1697"/>
      <c r="T57" s="710"/>
      <c r="U57" s="1695" t="s">
        <v>331</v>
      </c>
      <c r="V57" s="1696"/>
      <c r="W57" s="1697"/>
    </row>
    <row r="58" spans="2:23" ht="21.75" customHeight="1">
      <c r="B58" s="1715"/>
      <c r="C58" s="1715"/>
      <c r="D58" s="1717"/>
      <c r="E58" s="1538" t="s">
        <v>206</v>
      </c>
      <c r="F58" s="1538" t="s">
        <v>207</v>
      </c>
      <c r="G58" s="1538" t="s">
        <v>452</v>
      </c>
      <c r="H58" s="1538" t="s">
        <v>208</v>
      </c>
      <c r="I58" s="1546" t="s">
        <v>452</v>
      </c>
      <c r="J58" s="1546" t="s">
        <v>208</v>
      </c>
      <c r="K58" s="1686"/>
      <c r="L58" s="1546" t="s">
        <v>467</v>
      </c>
      <c r="M58" s="1546" t="s">
        <v>468</v>
      </c>
      <c r="N58" s="1546" t="s">
        <v>1748</v>
      </c>
      <c r="O58" s="1546" t="s">
        <v>210</v>
      </c>
      <c r="Q58" s="954" t="s">
        <v>211</v>
      </c>
      <c r="R58" s="978" t="s">
        <v>394</v>
      </c>
      <c r="S58" s="979" t="s">
        <v>451</v>
      </c>
      <c r="T58" s="710"/>
      <c r="U58" s="954" t="s">
        <v>211</v>
      </c>
      <c r="V58" s="978" t="s">
        <v>394</v>
      </c>
      <c r="W58" s="979" t="s">
        <v>451</v>
      </c>
    </row>
    <row r="59" spans="2:23" ht="11.25" customHeight="1">
      <c r="B59" s="722" t="s">
        <v>183</v>
      </c>
      <c r="C59" s="728"/>
      <c r="D59" s="724"/>
      <c r="E59" s="729"/>
      <c r="F59" s="729"/>
      <c r="G59" s="1539"/>
      <c r="H59" s="1539"/>
      <c r="I59" s="1539"/>
      <c r="J59" s="729"/>
      <c r="K59" s="729"/>
      <c r="L59" s="729"/>
      <c r="M59" s="729"/>
      <c r="N59" s="729"/>
      <c r="O59" s="729"/>
      <c r="Q59" s="957"/>
      <c r="R59" s="980"/>
      <c r="S59" s="981"/>
      <c r="T59" s="710"/>
      <c r="U59" s="957"/>
      <c r="V59" s="980"/>
      <c r="W59" s="981"/>
    </row>
    <row r="60" spans="2:23" ht="11.25" customHeight="1">
      <c r="B60" s="722" t="s">
        <v>212</v>
      </c>
      <c r="C60" s="733" t="s">
        <v>1746</v>
      </c>
      <c r="D60" s="724"/>
      <c r="E60" s="729"/>
      <c r="F60" s="1540"/>
      <c r="G60" s="1539"/>
      <c r="H60" s="1539"/>
      <c r="I60" s="1539"/>
      <c r="J60" s="1539"/>
      <c r="K60" s="729"/>
      <c r="L60" s="729"/>
      <c r="M60" s="729"/>
      <c r="N60" s="729"/>
      <c r="O60" s="729"/>
      <c r="Q60" s="960"/>
      <c r="R60" s="982"/>
      <c r="S60" s="981"/>
      <c r="T60" s="710"/>
      <c r="U60" s="960">
        <v>-88.71</v>
      </c>
      <c r="V60" s="982">
        <f>+U60</f>
        <v>-88.71</v>
      </c>
      <c r="W60" s="981">
        <v>698292.82</v>
      </c>
    </row>
    <row r="61" spans="2:23" ht="11.25" customHeight="1">
      <c r="B61" s="796" t="s">
        <v>1643</v>
      </c>
      <c r="C61" s="1023" t="s">
        <v>1644</v>
      </c>
      <c r="D61" s="738" t="str">
        <f>+LOOKUP(B61,valoriz!A40:C268)</f>
        <v>m3</v>
      </c>
      <c r="E61" s="1553">
        <v>1</v>
      </c>
      <c r="F61" s="1553">
        <v>1.05</v>
      </c>
      <c r="G61" s="1032">
        <v>187.70000000000002</v>
      </c>
      <c r="H61" s="1541">
        <f>+ROUND(E61*F61*G61,2)</f>
        <v>197.09</v>
      </c>
      <c r="I61" s="1541">
        <f>LOOKUP(B61,valoriz!$A$13:$A$242,valoriz!I$13:I$242)</f>
        <v>0</v>
      </c>
      <c r="J61" s="843">
        <f>+ROUND(E61*F61*I61,2)</f>
        <v>0</v>
      </c>
      <c r="K61" s="745">
        <v>199.8</v>
      </c>
      <c r="L61" s="745">
        <f>D$17</f>
        <v>110.75</v>
      </c>
      <c r="M61" s="745">
        <f>D$16</f>
        <v>110.38</v>
      </c>
      <c r="N61" s="843">
        <f>+ROUND(J61*K61*M$18,2)</f>
        <v>0</v>
      </c>
      <c r="O61" s="843">
        <f>+ROUND(J61*K61*L61*M$18/M61,2)</f>
        <v>0</v>
      </c>
      <c r="Q61" s="960">
        <v>0</v>
      </c>
      <c r="R61" s="983">
        <f>+J61+Q61</f>
        <v>0</v>
      </c>
      <c r="S61" s="984">
        <f>+H61-R61</f>
        <v>197.09</v>
      </c>
      <c r="T61" s="710"/>
      <c r="U61" s="985">
        <f>+ROUND(Q61*$K61*$L61/$M61,2)</f>
        <v>0</v>
      </c>
      <c r="V61" s="986">
        <f>+ROUND(R61*$K61*$L61/$M61,2)</f>
        <v>0</v>
      </c>
      <c r="W61" s="987"/>
    </row>
    <row r="62" spans="2:23" ht="11.25" customHeight="1" thickBot="1">
      <c r="B62" s="762"/>
      <c r="C62" s="1024"/>
      <c r="D62" s="764"/>
      <c r="E62" s="1542"/>
      <c r="F62" s="1542"/>
      <c r="G62" s="1543"/>
      <c r="H62" s="1543"/>
      <c r="I62" s="1543"/>
      <c r="J62" s="1547"/>
      <c r="K62" s="770"/>
      <c r="L62" s="770"/>
      <c r="M62" s="770"/>
      <c r="N62" s="1547"/>
      <c r="O62" s="1547"/>
      <c r="Q62" s="968"/>
      <c r="R62" s="988"/>
      <c r="S62" s="989"/>
      <c r="T62" s="710"/>
      <c r="U62" s="968"/>
      <c r="V62" s="988"/>
      <c r="W62" s="989"/>
    </row>
    <row r="63" spans="2:23" ht="11.25" customHeight="1">
      <c r="B63" s="775"/>
      <c r="C63" s="776"/>
      <c r="D63" s="777"/>
      <c r="E63" s="777"/>
      <c r="F63" s="778"/>
      <c r="G63" s="779"/>
      <c r="H63" s="780">
        <f>SUM(H61:H62)</f>
        <v>197.09</v>
      </c>
      <c r="I63" s="779"/>
      <c r="J63" s="780">
        <f>SUM(J61:J62)</f>
        <v>0</v>
      </c>
      <c r="K63" s="781"/>
      <c r="L63" s="777"/>
      <c r="M63" s="946" t="s">
        <v>171</v>
      </c>
      <c r="N63" s="782">
        <f>SUM(N61:N62)</f>
        <v>0</v>
      </c>
      <c r="O63" s="783">
        <f>SUM(O61:O62)</f>
        <v>0</v>
      </c>
      <c r="Q63" s="1051">
        <f>SUM(Q61:Q62)</f>
        <v>0</v>
      </c>
      <c r="R63" s="1051">
        <f>SUM(R61:R62)</f>
        <v>0</v>
      </c>
      <c r="S63" s="1052">
        <f>SUM(S61:S62)</f>
        <v>197.09</v>
      </c>
      <c r="T63" s="964">
        <f>+U64-U63</f>
        <v>361304.97000000003</v>
      </c>
      <c r="U63" s="1076">
        <f>SUM(U60:U62)</f>
        <v>-88.71</v>
      </c>
      <c r="V63" s="1077">
        <f>SUM(V60:V62)</f>
        <v>-88.71</v>
      </c>
      <c r="W63" s="1078">
        <f>+W60-V64</f>
        <v>698381.52999999991</v>
      </c>
    </row>
    <row r="64" spans="2:23" ht="11.25" customHeight="1">
      <c r="B64"/>
      <c r="C64"/>
      <c r="D64"/>
      <c r="E64"/>
      <c r="F64"/>
      <c r="G64" s="786"/>
      <c r="H64" s="787" t="s">
        <v>214</v>
      </c>
      <c r="I64" s="788"/>
      <c r="J64" s="789">
        <v>187.70000000000002</v>
      </c>
      <c r="K64" s="751"/>
      <c r="Q64" s="710"/>
      <c r="R64" s="710"/>
      <c r="S64" s="710"/>
      <c r="T64" s="710"/>
      <c r="U64" s="710">
        <v>361216.26</v>
      </c>
      <c r="V64" s="964">
        <f>+O63+U63</f>
        <v>-88.71</v>
      </c>
      <c r="W64" s="710"/>
    </row>
    <row r="65" spans="2:23" ht="11.25" customHeight="1">
      <c r="B65" s="784"/>
      <c r="C65" s="785"/>
      <c r="K65" s="751"/>
    </row>
    <row r="66" spans="2:23" ht="11.25" customHeight="1">
      <c r="B66" s="1714" t="s">
        <v>198</v>
      </c>
      <c r="C66" s="1714" t="s">
        <v>199</v>
      </c>
      <c r="D66" s="1716" t="s">
        <v>601</v>
      </c>
      <c r="E66" s="1731" t="s">
        <v>200</v>
      </c>
      <c r="F66" s="1731"/>
      <c r="G66" s="1731" t="s">
        <v>201</v>
      </c>
      <c r="H66" s="1731"/>
      <c r="I66" s="1732" t="s">
        <v>202</v>
      </c>
      <c r="J66" s="1732"/>
      <c r="K66" s="1685" t="s">
        <v>203</v>
      </c>
      <c r="L66" s="1732" t="s">
        <v>204</v>
      </c>
      <c r="M66" s="1732"/>
      <c r="N66" s="1732" t="s">
        <v>423</v>
      </c>
      <c r="O66" s="1732"/>
      <c r="P66" s="700"/>
      <c r="Q66" s="1695" t="s">
        <v>205</v>
      </c>
      <c r="R66" s="1696"/>
      <c r="S66" s="1697"/>
      <c r="T66" s="710"/>
      <c r="U66" s="1695" t="s">
        <v>331</v>
      </c>
      <c r="V66" s="1696"/>
      <c r="W66" s="1697"/>
    </row>
    <row r="67" spans="2:23" ht="23.25" customHeight="1">
      <c r="B67" s="1715"/>
      <c r="C67" s="1715"/>
      <c r="D67" s="1717"/>
      <c r="E67" s="1538" t="s">
        <v>206</v>
      </c>
      <c r="F67" s="1538" t="s">
        <v>207</v>
      </c>
      <c r="G67" s="1538" t="s">
        <v>452</v>
      </c>
      <c r="H67" s="1538" t="s">
        <v>208</v>
      </c>
      <c r="I67" s="1546" t="s">
        <v>452</v>
      </c>
      <c r="J67" s="1546" t="s">
        <v>208</v>
      </c>
      <c r="K67" s="1686"/>
      <c r="L67" s="1546" t="s">
        <v>467</v>
      </c>
      <c r="M67" s="1546" t="s">
        <v>468</v>
      </c>
      <c r="N67" s="1546" t="s">
        <v>1748</v>
      </c>
      <c r="O67" s="1546" t="s">
        <v>210</v>
      </c>
      <c r="Q67" s="954" t="s">
        <v>211</v>
      </c>
      <c r="R67" s="978" t="s">
        <v>394</v>
      </c>
      <c r="S67" s="979" t="s">
        <v>451</v>
      </c>
      <c r="T67" s="710"/>
      <c r="U67" s="954" t="s">
        <v>211</v>
      </c>
      <c r="V67" s="978" t="s">
        <v>394</v>
      </c>
      <c r="W67" s="979" t="s">
        <v>451</v>
      </c>
    </row>
    <row r="68" spans="2:23" ht="11.25" customHeight="1">
      <c r="B68" s="722" t="s">
        <v>183</v>
      </c>
      <c r="C68" s="728"/>
      <c r="D68" s="724"/>
      <c r="E68" s="729"/>
      <c r="F68" s="729"/>
      <c r="G68" s="1539"/>
      <c r="H68" s="1539"/>
      <c r="I68" s="1539"/>
      <c r="J68" s="729"/>
      <c r="K68" s="729"/>
      <c r="L68" s="729"/>
      <c r="M68" s="729"/>
      <c r="N68" s="729"/>
      <c r="O68" s="729"/>
      <c r="Q68" s="957"/>
      <c r="R68" s="980"/>
      <c r="S68" s="981"/>
      <c r="T68" s="710"/>
      <c r="U68" s="957"/>
      <c r="V68" s="980"/>
      <c r="W68" s="981"/>
    </row>
    <row r="69" spans="2:23" ht="11.25" customHeight="1">
      <c r="B69" s="722" t="s">
        <v>212</v>
      </c>
      <c r="C69" s="733" t="s">
        <v>1747</v>
      </c>
      <c r="D69" s="724"/>
      <c r="E69" s="729"/>
      <c r="F69" s="1540"/>
      <c r="G69" s="1539"/>
      <c r="H69" s="1539"/>
      <c r="I69" s="1539"/>
      <c r="J69" s="1539"/>
      <c r="K69" s="729"/>
      <c r="L69" s="729"/>
      <c r="M69" s="729"/>
      <c r="N69" s="1552"/>
      <c r="O69" s="1552"/>
      <c r="Q69" s="960"/>
      <c r="R69" s="982"/>
      <c r="S69" s="981"/>
      <c r="T69" s="710"/>
      <c r="U69" s="960">
        <v>-147.01</v>
      </c>
      <c r="V69" s="982">
        <f>+U69</f>
        <v>-147.01</v>
      </c>
      <c r="W69" s="981">
        <v>459886.96</v>
      </c>
    </row>
    <row r="70" spans="2:23" ht="11.25" customHeight="1">
      <c r="B70" s="796" t="s">
        <v>1661</v>
      </c>
      <c r="C70" s="1023" t="s">
        <v>1662</v>
      </c>
      <c r="D70" s="738" t="str">
        <f>+LOOKUP(B70,valoriz!A49:C277)</f>
        <v>m3</v>
      </c>
      <c r="E70" s="1553">
        <v>1</v>
      </c>
      <c r="F70" s="1553">
        <v>1.05</v>
      </c>
      <c r="G70" s="1032">
        <v>1646.57</v>
      </c>
      <c r="H70" s="1541">
        <f>+ROUND(E70*F70*G70,2)</f>
        <v>1728.9</v>
      </c>
      <c r="I70" s="1541">
        <f>LOOKUP(B70,valoriz!$A$13:$A$242,valoriz!I$13:I$242)</f>
        <v>73.549999999999955</v>
      </c>
      <c r="J70" s="843">
        <f>+ROUND(E70*F70*I70,2)</f>
        <v>77.23</v>
      </c>
      <c r="K70" s="745">
        <v>199.8</v>
      </c>
      <c r="L70" s="745">
        <f>D$17</f>
        <v>110.75</v>
      </c>
      <c r="M70" s="745">
        <f>D$16</f>
        <v>110.38</v>
      </c>
      <c r="N70" s="843">
        <f>+ROUND(J70*K70*M$18,2)</f>
        <v>15430.55</v>
      </c>
      <c r="O70" s="843">
        <f>+ROUND(J70*K70*L70*M$18/M70,2)</f>
        <v>15482.28</v>
      </c>
      <c r="Q70" s="960">
        <v>0</v>
      </c>
      <c r="R70" s="983">
        <f>+J70+Q70</f>
        <v>77.23</v>
      </c>
      <c r="S70" s="984">
        <f>+H70-R70</f>
        <v>1651.67</v>
      </c>
      <c r="T70" s="964"/>
      <c r="U70" s="985">
        <f>+ROUND(Q70*$K70*$L70/$M70,2)</f>
        <v>0</v>
      </c>
      <c r="V70" s="986">
        <f>+ROUND(R70*$K70*$L70/$M70,2)</f>
        <v>15482.28</v>
      </c>
      <c r="W70" s="987"/>
    </row>
    <row r="71" spans="2:23" ht="11.25" customHeight="1" thickBot="1">
      <c r="B71" s="762"/>
      <c r="C71" s="1024"/>
      <c r="D71" s="764"/>
      <c r="E71" s="1542"/>
      <c r="F71" s="1542"/>
      <c r="G71" s="1543"/>
      <c r="H71" s="1543"/>
      <c r="I71" s="1543"/>
      <c r="J71" s="1547"/>
      <c r="K71" s="770"/>
      <c r="L71" s="770"/>
      <c r="M71" s="770"/>
      <c r="N71" s="1547"/>
      <c r="O71" s="1547"/>
      <c r="Q71" s="968"/>
      <c r="R71" s="988"/>
      <c r="S71" s="989"/>
      <c r="T71" s="710"/>
      <c r="U71" s="968">
        <v>-1.45</v>
      </c>
      <c r="V71" s="988"/>
      <c r="W71" s="989"/>
    </row>
    <row r="72" spans="2:23" ht="11.25" customHeight="1">
      <c r="B72" s="775"/>
      <c r="C72" s="776"/>
      <c r="D72" s="777"/>
      <c r="E72" s="777"/>
      <c r="F72" s="778"/>
      <c r="G72" s="779"/>
      <c r="H72" s="780">
        <f>SUM(H70:H71)</f>
        <v>1728.9</v>
      </c>
      <c r="I72" s="779"/>
      <c r="J72" s="780">
        <f>SUM(J70:J71)</f>
        <v>77.23</v>
      </c>
      <c r="K72" s="781"/>
      <c r="L72" s="777"/>
      <c r="M72" s="946" t="s">
        <v>171</v>
      </c>
      <c r="N72" s="782">
        <f>SUM(N70:N71)</f>
        <v>15430.55</v>
      </c>
      <c r="O72" s="783">
        <f>SUM(O70:O71)</f>
        <v>15482.28</v>
      </c>
      <c r="Q72" s="1051">
        <f>SUM(Q70:Q71)</f>
        <v>0</v>
      </c>
      <c r="R72" s="1051">
        <f>SUM(R70:R71)</f>
        <v>77.23</v>
      </c>
      <c r="S72" s="1052">
        <f>SUM(S70:S71)</f>
        <v>1651.67</v>
      </c>
      <c r="T72" s="964"/>
      <c r="U72" s="990">
        <f>SUM(U69:U71)</f>
        <v>-148.45999999999998</v>
      </c>
      <c r="V72" s="991">
        <f>SUM(V69:V71)</f>
        <v>15335.27</v>
      </c>
      <c r="W72" s="992">
        <f>+W69-V73</f>
        <v>444553.14</v>
      </c>
    </row>
    <row r="73" spans="2:23" ht="11.25" customHeight="1">
      <c r="B73" s="790"/>
      <c r="C73" s="791"/>
      <c r="D73" s="121"/>
      <c r="E73" s="792"/>
      <c r="F73" s="792"/>
      <c r="G73" s="786"/>
      <c r="H73" s="787" t="s">
        <v>214</v>
      </c>
      <c r="I73" s="788"/>
      <c r="J73" s="789">
        <f>1646.57-1255.15</f>
        <v>391.41999999999985</v>
      </c>
      <c r="K73" s="709"/>
      <c r="L73" s="709"/>
      <c r="M73" s="709"/>
      <c r="N73" s="709"/>
      <c r="O73" s="751"/>
      <c r="P73" s="751"/>
      <c r="Q73" s="710"/>
      <c r="R73" s="710"/>
      <c r="S73" s="710"/>
      <c r="T73" s="710"/>
      <c r="U73" s="710">
        <v>193199.94</v>
      </c>
      <c r="V73" s="964">
        <f>+O72+U72</f>
        <v>15333.820000000002</v>
      </c>
      <c r="W73" s="710"/>
    </row>
    <row r="74" spans="2:23" ht="11.25" customHeight="1">
      <c r="B74" s="790"/>
      <c r="C74" s="791"/>
      <c r="D74" s="121"/>
      <c r="E74" s="792"/>
      <c r="F74" s="792"/>
      <c r="H74" s="699"/>
      <c r="J74" s="805"/>
      <c r="K74" s="709"/>
      <c r="L74" s="709"/>
      <c r="M74" s="709"/>
      <c r="N74" s="709"/>
      <c r="O74" s="751"/>
      <c r="P74" s="751"/>
    </row>
    <row r="75" spans="2:23" ht="11.25" customHeight="1">
      <c r="B75" s="784"/>
      <c r="C75" s="785"/>
      <c r="J75" s="806" t="s">
        <v>243</v>
      </c>
      <c r="K75" s="807"/>
      <c r="L75" s="807"/>
      <c r="M75" s="807"/>
      <c r="N75" s="808">
        <f>+N27+N36++N45+N54+N63+N72</f>
        <v>577884.18000000005</v>
      </c>
      <c r="O75" s="809">
        <f>+O27+O36++O45+O54+O63+O72</f>
        <v>579821.29</v>
      </c>
      <c r="P75" s="751"/>
      <c r="Q75" s="751"/>
      <c r="U75" s="751"/>
      <c r="V75" s="751"/>
    </row>
    <row r="76" spans="2:23" ht="11.25" customHeight="1">
      <c r="B76" s="784"/>
      <c r="C76" s="785"/>
      <c r="J76" s="810" t="s">
        <v>244</v>
      </c>
      <c r="K76" s="811"/>
      <c r="L76" s="811"/>
      <c r="M76" s="811"/>
      <c r="N76" s="808">
        <f>+N75</f>
        <v>577884.18000000005</v>
      </c>
      <c r="O76" s="809">
        <f>+O75</f>
        <v>579821.29</v>
      </c>
      <c r="U76" s="1049"/>
      <c r="V76" s="1049"/>
    </row>
    <row r="77" spans="2:23" ht="11.25" customHeight="1">
      <c r="B77" s="784"/>
      <c r="C77" s="785"/>
      <c r="K77" s="751"/>
      <c r="U77" s="751"/>
      <c r="V77" s="751"/>
    </row>
    <row r="78" spans="2:23" ht="18">
      <c r="B78" s="1687" t="s">
        <v>245</v>
      </c>
      <c r="C78" s="1687"/>
      <c r="D78" s="1687"/>
      <c r="E78" s="1687"/>
      <c r="F78" s="1687"/>
      <c r="G78" s="1687"/>
      <c r="H78" s="1687"/>
      <c r="I78" s="1687"/>
      <c r="J78" s="1687"/>
      <c r="K78" s="1687"/>
      <c r="L78" s="1687"/>
      <c r="M78" s="1687"/>
      <c r="N78" s="1687"/>
      <c r="O78" s="1687"/>
    </row>
    <row r="80" spans="2:23" ht="11.25" customHeight="1">
      <c r="B80" s="699" t="str">
        <f>+B14</f>
        <v>Material:</v>
      </c>
      <c r="W80" s="751"/>
    </row>
    <row r="81" spans="2:15" ht="11.25" customHeight="1">
      <c r="B81" s="699" t="str">
        <f>+B15</f>
        <v>Indice Unificado:</v>
      </c>
      <c r="D81" s="705" t="s">
        <v>459</v>
      </c>
      <c r="E81" s="706"/>
      <c r="F81" s="1692" t="s">
        <v>451</v>
      </c>
      <c r="G81" s="1692"/>
    </row>
    <row r="82" spans="2:15" ht="11.25" customHeight="1">
      <c r="B82" s="698" t="str">
        <f>+B12</f>
        <v>Monto del Adelanto Especifico para CONCRETO PREMEZCLADO</v>
      </c>
      <c r="D82" s="702">
        <f>+D12</f>
        <v>1898664.05</v>
      </c>
      <c r="E82" s="706"/>
      <c r="F82" s="1691">
        <f>+D82-I101</f>
        <v>1053863.1600000001</v>
      </c>
      <c r="G82" s="1691"/>
    </row>
    <row r="83" spans="2:15" ht="11.25" customHeight="1">
      <c r="B83" s="698" t="s">
        <v>246</v>
      </c>
      <c r="C83" s="812"/>
      <c r="D83" s="702">
        <f>ROUND(D82/D86*D85,2)</f>
        <v>1892320.88</v>
      </c>
      <c r="E83" s="706"/>
      <c r="F83" s="1691">
        <f>+D83-F101</f>
        <v>1050342.3499999999</v>
      </c>
      <c r="G83" s="1691"/>
    </row>
    <row r="84" spans="2:15" ht="11.25" customHeight="1">
      <c r="B84" s="698" t="str">
        <f>+B13</f>
        <v xml:space="preserve">Fecha de Pago del Adelanto: </v>
      </c>
      <c r="D84" s="703">
        <f>+D13</f>
        <v>44533</v>
      </c>
      <c r="E84" s="706"/>
    </row>
    <row r="85" spans="2:15" ht="11.25" customHeight="1">
      <c r="B85" s="698" t="str">
        <f>+B16</f>
        <v>Indice INEI a la Fecha del P. Base   (Febrero 2,021)</v>
      </c>
      <c r="D85" s="709">
        <f>+D16</f>
        <v>110.38</v>
      </c>
      <c r="E85" s="121"/>
    </row>
    <row r="86" spans="2:15" ht="11.25" customHeight="1">
      <c r="B86" s="698" t="str">
        <f>+B17</f>
        <v>Indice INEI a la Fecha del Pago del Adelanto  (Diciembre 2,021)</v>
      </c>
      <c r="D86" s="709">
        <f>+D17</f>
        <v>110.75</v>
      </c>
      <c r="E86" s="709"/>
    </row>
    <row r="87" spans="2:15" ht="11.25" customHeight="1">
      <c r="B87" s="698" t="s">
        <v>247</v>
      </c>
      <c r="D87" s="802">
        <v>0.3</v>
      </c>
    </row>
    <row r="88" spans="2:15" ht="11.25" customHeight="1">
      <c r="B88" s="698" t="s">
        <v>248</v>
      </c>
      <c r="D88" s="813">
        <v>1</v>
      </c>
    </row>
    <row r="90" spans="2:15" ht="11.25" customHeight="1">
      <c r="B90" s="814" t="s">
        <v>249</v>
      </c>
    </row>
    <row r="92" spans="2:15" ht="11.25" customHeight="1">
      <c r="B92" s="1681" t="s">
        <v>250</v>
      </c>
      <c r="C92" s="1682"/>
      <c r="D92" s="1678" t="s">
        <v>251</v>
      </c>
      <c r="E92" s="1679"/>
      <c r="F92" s="1679"/>
      <c r="G92" s="1679"/>
      <c r="H92" s="1679"/>
      <c r="I92" s="1680"/>
      <c r="L92" s="815"/>
      <c r="M92" s="815"/>
    </row>
    <row r="93" spans="2:15" ht="11.25" customHeight="1">
      <c r="B93" s="1689"/>
      <c r="C93" s="1690"/>
      <c r="D93" s="1678" t="s">
        <v>1752</v>
      </c>
      <c r="E93" s="1679"/>
      <c r="F93" s="1680"/>
      <c r="G93" s="1678" t="s">
        <v>253</v>
      </c>
      <c r="H93" s="1679"/>
      <c r="I93" s="1680"/>
    </row>
    <row r="94" spans="2:15" ht="11.25" customHeight="1">
      <c r="B94" s="1683"/>
      <c r="C94" s="1684"/>
      <c r="D94" s="256" t="s">
        <v>254</v>
      </c>
      <c r="E94" s="816" t="s">
        <v>451</v>
      </c>
      <c r="F94" s="716" t="s">
        <v>255</v>
      </c>
      <c r="G94" s="256" t="s">
        <v>254</v>
      </c>
      <c r="H94" s="816" t="s">
        <v>451</v>
      </c>
      <c r="I94" s="716" t="s">
        <v>255</v>
      </c>
      <c r="O94" s="751"/>
    </row>
    <row r="95" spans="2:15" ht="11.25" customHeight="1">
      <c r="B95" s="817" t="s">
        <v>256</v>
      </c>
      <c r="C95" s="818">
        <f>+Retencion!B15</f>
        <v>44500</v>
      </c>
      <c r="D95" s="819"/>
      <c r="E95" s="820"/>
      <c r="F95" s="821"/>
      <c r="G95" s="819"/>
      <c r="H95" s="820"/>
      <c r="I95" s="821"/>
      <c r="L95" s="751"/>
      <c r="O95" s="751"/>
    </row>
    <row r="96" spans="2:15" ht="11.25" customHeight="1">
      <c r="B96" s="822" t="s">
        <v>257</v>
      </c>
      <c r="C96" s="823">
        <f>+Retencion!B16</f>
        <v>44530</v>
      </c>
      <c r="D96" s="824"/>
      <c r="E96" s="825"/>
      <c r="F96" s="744"/>
      <c r="G96" s="824"/>
      <c r="H96" s="825"/>
      <c r="I96" s="744"/>
      <c r="K96" s="751"/>
      <c r="L96" s="751"/>
      <c r="O96" s="751"/>
    </row>
    <row r="97" spans="2:18" ht="11.25" customHeight="1">
      <c r="B97" s="822" t="s">
        <v>258</v>
      </c>
      <c r="C97" s="823">
        <f>+Retencion!B17</f>
        <v>44561</v>
      </c>
      <c r="D97" s="824">
        <f>+D83</f>
        <v>1892320.88</v>
      </c>
      <c r="E97" s="825">
        <f t="shared" ref="E97:E99" si="0">+D97-F97</f>
        <v>1628226.5299999998</v>
      </c>
      <c r="F97" s="744">
        <v>264094.34999999998</v>
      </c>
      <c r="G97" s="824">
        <f>+D82</f>
        <v>1898664.05</v>
      </c>
      <c r="H97" s="825">
        <f t="shared" ref="H97:H99" si="1">+G97-I97</f>
        <v>1633684.4500000002</v>
      </c>
      <c r="I97" s="744">
        <v>264979.59999999998</v>
      </c>
      <c r="L97" s="751"/>
      <c r="O97" s="751"/>
    </row>
    <row r="98" spans="2:18" ht="11.25" customHeight="1">
      <c r="B98" s="822" t="s">
        <v>259</v>
      </c>
      <c r="C98" s="823">
        <f>+Retencion!B19</f>
        <v>44592</v>
      </c>
      <c r="D98" s="824">
        <f t="shared" ref="D98:D99" si="2">+E97</f>
        <v>1628226.5299999998</v>
      </c>
      <c r="E98" s="825">
        <f t="shared" si="0"/>
        <v>1050342.3499999996</v>
      </c>
      <c r="F98" s="744">
        <f>+N76</f>
        <v>577884.18000000005</v>
      </c>
      <c r="G98" s="824">
        <f t="shared" ref="G98" si="3">+H97</f>
        <v>1633684.4500000002</v>
      </c>
      <c r="H98" s="825">
        <f t="shared" si="1"/>
        <v>1053863.1600000001</v>
      </c>
      <c r="I98" s="744">
        <f>+O76</f>
        <v>579821.29</v>
      </c>
      <c r="L98" s="751"/>
      <c r="O98" s="751"/>
    </row>
    <row r="99" spans="2:18" ht="11.25" customHeight="1">
      <c r="B99" s="822" t="s">
        <v>260</v>
      </c>
      <c r="C99" s="823">
        <f>+Retencion!B20</f>
        <v>44620</v>
      </c>
      <c r="D99" s="824">
        <f t="shared" si="2"/>
        <v>1050342.3499999996</v>
      </c>
      <c r="E99" s="825">
        <f t="shared" si="0"/>
        <v>1050342.3499999996</v>
      </c>
      <c r="F99" s="744"/>
      <c r="G99" s="824">
        <f>+D82</f>
        <v>1898664.05</v>
      </c>
      <c r="H99" s="825">
        <f t="shared" si="1"/>
        <v>1898664.05</v>
      </c>
      <c r="I99" s="744"/>
      <c r="L99" s="751"/>
      <c r="O99" s="751"/>
    </row>
    <row r="100" spans="2:18" ht="11.25" customHeight="1">
      <c r="B100" s="826"/>
      <c r="C100" s="827"/>
      <c r="D100" s="828"/>
      <c r="E100" s="829"/>
      <c r="F100" s="830"/>
      <c r="G100" s="828"/>
      <c r="H100" s="829"/>
      <c r="I100" s="830"/>
      <c r="O100" s="751"/>
    </row>
    <row r="101" spans="2:18" ht="11.25" customHeight="1">
      <c r="B101" s="700"/>
      <c r="C101" s="700"/>
      <c r="D101" s="831" t="s">
        <v>274</v>
      </c>
      <c r="E101" s="788"/>
      <c r="F101" s="832">
        <f>SUM(F95:F100)</f>
        <v>841978.53</v>
      </c>
      <c r="G101" s="786"/>
      <c r="H101" s="832"/>
      <c r="I101" s="833">
        <f>SUM(I95:I100)</f>
        <v>844800.89</v>
      </c>
      <c r="O101" s="751"/>
    </row>
    <row r="103" spans="2:18" ht="11.25" customHeight="1">
      <c r="B103" s="814" t="s">
        <v>275</v>
      </c>
    </row>
    <row r="104" spans="2:18" ht="11.25" customHeight="1">
      <c r="B104" s="834" t="s">
        <v>276</v>
      </c>
    </row>
    <row r="105" spans="2:18" ht="11.25" customHeight="1">
      <c r="B105" s="835" t="s">
        <v>277</v>
      </c>
      <c r="C105" s="715"/>
      <c r="D105" s="715"/>
      <c r="E105" s="715"/>
      <c r="F105" s="715"/>
      <c r="G105" s="715"/>
      <c r="H105" s="715"/>
      <c r="I105" s="715"/>
      <c r="J105" s="715"/>
      <c r="K105" s="715"/>
      <c r="L105" s="715"/>
      <c r="M105" s="715"/>
    </row>
    <row r="106" spans="2:18" ht="11.25" customHeight="1">
      <c r="B106" s="1681" t="s">
        <v>250</v>
      </c>
      <c r="C106" s="1682"/>
      <c r="D106" s="1681" t="s">
        <v>278</v>
      </c>
      <c r="E106" s="1685" t="s">
        <v>279</v>
      </c>
      <c r="F106" s="1678" t="s">
        <v>135</v>
      </c>
      <c r="G106" s="1680"/>
      <c r="H106" s="1701" t="s">
        <v>280</v>
      </c>
      <c r="I106" s="1702"/>
      <c r="J106" s="1703"/>
      <c r="K106" s="1681" t="s">
        <v>281</v>
      </c>
      <c r="L106" s="1688"/>
      <c r="M106" s="1682"/>
      <c r="N106" s="1685" t="s">
        <v>282</v>
      </c>
      <c r="P106" s="1654" t="s">
        <v>136</v>
      </c>
      <c r="Q106" s="1655"/>
    </row>
    <row r="107" spans="2:18" ht="11.25" customHeight="1">
      <c r="B107" s="1683"/>
      <c r="C107" s="1684"/>
      <c r="D107" s="1683"/>
      <c r="E107" s="1686"/>
      <c r="F107" s="836" t="s">
        <v>283</v>
      </c>
      <c r="G107" s="836" t="s">
        <v>385</v>
      </c>
      <c r="H107" s="716" t="s">
        <v>254</v>
      </c>
      <c r="I107" s="716" t="s">
        <v>284</v>
      </c>
      <c r="J107" s="256" t="s">
        <v>451</v>
      </c>
      <c r="K107" s="836" t="s">
        <v>468</v>
      </c>
      <c r="L107" s="716" t="s">
        <v>467</v>
      </c>
      <c r="M107" s="716" t="s">
        <v>285</v>
      </c>
      <c r="N107" s="1704"/>
      <c r="P107" s="838" t="s">
        <v>456</v>
      </c>
      <c r="Q107" s="839" t="s">
        <v>286</v>
      </c>
      <c r="R107" s="838" t="s">
        <v>1330</v>
      </c>
    </row>
    <row r="108" spans="2:18" ht="11.25" customHeight="1">
      <c r="B108" s="817" t="str">
        <f t="shared" ref="B108:C112" si="4">+B95</f>
        <v>VAL. 01</v>
      </c>
      <c r="C108" s="818">
        <f t="shared" si="4"/>
        <v>44500</v>
      </c>
      <c r="D108" s="824">
        <f>+Retencion!E15</f>
        <v>78066.42</v>
      </c>
      <c r="E108" s="840">
        <f>+H95</f>
        <v>0</v>
      </c>
      <c r="F108" s="841">
        <f>+D87</f>
        <v>0.3</v>
      </c>
      <c r="G108" s="842">
        <f>+D88</f>
        <v>1</v>
      </c>
      <c r="H108" s="843"/>
      <c r="I108" s="744">
        <f>+IF(D$13&gt;C108,0,ROUND(D108*F108*G108,2))</f>
        <v>0</v>
      </c>
      <c r="J108" s="824">
        <f>+H108-I108</f>
        <v>0</v>
      </c>
      <c r="K108" s="843">
        <f t="shared" ref="K108:K112" si="5">+D$85</f>
        <v>110.38</v>
      </c>
      <c r="L108" s="744">
        <f t="shared" ref="L108:L112" si="6">+D$86</f>
        <v>110.75</v>
      </c>
      <c r="M108" s="744"/>
      <c r="N108" s="844">
        <f t="shared" ref="N108:N112" si="7">+ROUND(I108*(M108-L108)/K108,2)</f>
        <v>0</v>
      </c>
      <c r="O108" s="751"/>
      <c r="P108" s="1350">
        <v>44440</v>
      </c>
      <c r="Q108" s="1351">
        <v>44501</v>
      </c>
      <c r="R108" s="1218"/>
    </row>
    <row r="109" spans="2:18" ht="11.25" customHeight="1">
      <c r="B109" s="822" t="str">
        <f t="shared" si="4"/>
        <v>VAL. 02</v>
      </c>
      <c r="C109" s="823">
        <f t="shared" si="4"/>
        <v>44530</v>
      </c>
      <c r="D109" s="824">
        <f>+Retencion!E16</f>
        <v>1302063.97</v>
      </c>
      <c r="E109" s="843">
        <f>+H96</f>
        <v>0</v>
      </c>
      <c r="F109" s="841">
        <f>+D87</f>
        <v>0.3</v>
      </c>
      <c r="G109" s="842">
        <f>+D88</f>
        <v>1</v>
      </c>
      <c r="H109" s="843">
        <v>1892320.88</v>
      </c>
      <c r="I109" s="744">
        <f>+IF(D$13&gt;C109,0,IF(E109&gt;0,ROUND(D109*F109*G109,2),J108))</f>
        <v>0</v>
      </c>
      <c r="J109" s="847">
        <f>+H109-I109</f>
        <v>1892320.88</v>
      </c>
      <c r="K109" s="843">
        <f t="shared" si="5"/>
        <v>110.38</v>
      </c>
      <c r="L109" s="744">
        <f t="shared" si="6"/>
        <v>110.75</v>
      </c>
      <c r="M109" s="744"/>
      <c r="N109" s="848">
        <f t="shared" si="7"/>
        <v>0</v>
      </c>
      <c r="O109" s="751"/>
      <c r="P109" s="1350">
        <v>44470</v>
      </c>
      <c r="Q109" s="1351">
        <v>44531</v>
      </c>
      <c r="R109" s="1218"/>
    </row>
    <row r="110" spans="2:18" ht="11.25" customHeight="1">
      <c r="B110" s="822" t="str">
        <f t="shared" si="4"/>
        <v>VAL. 03</v>
      </c>
      <c r="C110" s="823">
        <f t="shared" si="4"/>
        <v>44561</v>
      </c>
      <c r="D110" s="824">
        <f>+Retencion!E17</f>
        <v>1388847.16</v>
      </c>
      <c r="E110" s="843">
        <f>+H97</f>
        <v>1633684.4500000002</v>
      </c>
      <c r="F110" s="841">
        <f>+D87</f>
        <v>0.3</v>
      </c>
      <c r="G110" s="842">
        <f>+D88</f>
        <v>1</v>
      </c>
      <c r="H110" s="843">
        <f>+D83</f>
        <v>1892320.88</v>
      </c>
      <c r="I110" s="744">
        <f>+ROUND(D110*F110*G110,2)</f>
        <v>416654.15</v>
      </c>
      <c r="J110" s="847">
        <f t="shared" ref="J110:J112" si="8">+ROUND(J109-I110,2)</f>
        <v>1475666.73</v>
      </c>
      <c r="K110" s="843">
        <f t="shared" si="5"/>
        <v>110.38</v>
      </c>
      <c r="L110" s="744">
        <f t="shared" si="6"/>
        <v>110.75</v>
      </c>
      <c r="M110" s="744">
        <f>+K!P15</f>
        <v>112.89</v>
      </c>
      <c r="N110" s="848">
        <f t="shared" si="7"/>
        <v>8077.91</v>
      </c>
      <c r="O110" s="751"/>
      <c r="P110" s="1350">
        <v>44470</v>
      </c>
      <c r="Q110" s="1351">
        <v>44531</v>
      </c>
      <c r="R110" s="1218"/>
    </row>
    <row r="111" spans="2:18" ht="11.25" customHeight="1">
      <c r="B111" s="822" t="str">
        <f t="shared" si="4"/>
        <v>VAL. 04</v>
      </c>
      <c r="C111" s="823">
        <f t="shared" si="4"/>
        <v>44592</v>
      </c>
      <c r="D111" s="824">
        <f>+Retencion!E19</f>
        <v>0</v>
      </c>
      <c r="E111" s="843">
        <f>+H98</f>
        <v>1053863.1600000001</v>
      </c>
      <c r="F111" s="841">
        <f>+D87</f>
        <v>0.3</v>
      </c>
      <c r="G111" s="842">
        <f>+D88</f>
        <v>1</v>
      </c>
      <c r="H111" s="843">
        <f>+J110</f>
        <v>1475666.73</v>
      </c>
      <c r="I111" s="744">
        <f t="shared" ref="I111:I112" si="9">+ROUND(D111*F111*G111,2)</f>
        <v>0</v>
      </c>
      <c r="J111" s="847">
        <f t="shared" si="8"/>
        <v>1475666.73</v>
      </c>
      <c r="K111" s="843">
        <f t="shared" si="5"/>
        <v>110.38</v>
      </c>
      <c r="L111" s="744">
        <f t="shared" si="6"/>
        <v>110.75</v>
      </c>
      <c r="M111" s="744"/>
      <c r="N111" s="848">
        <f t="shared" si="7"/>
        <v>0</v>
      </c>
      <c r="O111" s="751"/>
      <c r="P111" s="1350">
        <v>44501</v>
      </c>
      <c r="Q111" s="1351">
        <v>44593</v>
      </c>
      <c r="R111" s="1218"/>
    </row>
    <row r="112" spans="2:18" ht="11.25" customHeight="1">
      <c r="B112" s="822" t="str">
        <f t="shared" si="4"/>
        <v>VAL. 05</v>
      </c>
      <c r="C112" s="823">
        <f t="shared" si="4"/>
        <v>44620</v>
      </c>
      <c r="D112" s="824">
        <f>+Retencion!E20</f>
        <v>0</v>
      </c>
      <c r="E112" s="843">
        <f>+H99</f>
        <v>1898664.05</v>
      </c>
      <c r="F112" s="841">
        <f>+D87</f>
        <v>0.3</v>
      </c>
      <c r="G112" s="842">
        <f>+D88</f>
        <v>1</v>
      </c>
      <c r="H112" s="843">
        <f>+J111</f>
        <v>1475666.73</v>
      </c>
      <c r="I112" s="744">
        <f t="shared" si="9"/>
        <v>0</v>
      </c>
      <c r="J112" s="847">
        <f t="shared" si="8"/>
        <v>1475666.73</v>
      </c>
      <c r="K112" s="843">
        <f t="shared" si="5"/>
        <v>110.38</v>
      </c>
      <c r="L112" s="744">
        <f t="shared" si="6"/>
        <v>110.75</v>
      </c>
      <c r="M112" s="744"/>
      <c r="N112" s="848">
        <f t="shared" si="7"/>
        <v>0</v>
      </c>
      <c r="O112" s="751"/>
      <c r="P112" s="1350">
        <v>44562</v>
      </c>
      <c r="Q112" s="1351">
        <v>44621</v>
      </c>
      <c r="R112" s="1218"/>
    </row>
    <row r="113" spans="2:18" ht="11.25" customHeight="1">
      <c r="B113" s="858"/>
      <c r="C113" s="859"/>
      <c r="D113" s="860"/>
      <c r="E113" s="860"/>
      <c r="F113" s="861"/>
      <c r="G113" s="862"/>
      <c r="H113" s="860"/>
      <c r="I113" s="860"/>
      <c r="J113" s="828"/>
      <c r="K113" s="860"/>
      <c r="L113" s="830"/>
      <c r="M113" s="860"/>
      <c r="N113" s="863"/>
      <c r="P113" s="864"/>
      <c r="Q113" s="865"/>
      <c r="R113" s="1219"/>
    </row>
    <row r="114" spans="2:18" ht="11.25" customHeight="1">
      <c r="B114" s="774"/>
      <c r="C114" s="715"/>
      <c r="D114" s="866"/>
      <c r="E114" s="867"/>
      <c r="F114" s="868"/>
      <c r="G114" s="869"/>
      <c r="H114" s="869"/>
      <c r="I114" s="870">
        <f>SUM(I108:I113)</f>
        <v>416654.15</v>
      </c>
      <c r="J114" s="871"/>
      <c r="K114" s="869"/>
      <c r="L114" s="727"/>
      <c r="M114" s="727"/>
      <c r="N114" s="872"/>
    </row>
    <row r="115" spans="2:18" ht="11.25" customHeight="1">
      <c r="L115" s="873" t="s">
        <v>274</v>
      </c>
      <c r="M115" s="874"/>
      <c r="N115" s="875">
        <f>SUM(N108:N113)</f>
        <v>8077.91</v>
      </c>
      <c r="O115" s="751"/>
    </row>
    <row r="116" spans="2:18" ht="11.25" customHeight="1">
      <c r="I116" s="751"/>
      <c r="L116" s="876" t="s">
        <v>287</v>
      </c>
      <c r="M116" s="877"/>
      <c r="N116" s="878">
        <v>0</v>
      </c>
    </row>
    <row r="117" spans="2:18" ht="11.25" customHeight="1">
      <c r="L117" s="879" t="s">
        <v>288</v>
      </c>
      <c r="M117" s="880"/>
      <c r="N117" s="881">
        <f>N115-N116</f>
        <v>8077.91</v>
      </c>
      <c r="O117" s="751"/>
    </row>
  </sheetData>
  <mergeCells count="95">
    <mergeCell ref="N106:N107"/>
    <mergeCell ref="P106:Q106"/>
    <mergeCell ref="B106:C107"/>
    <mergeCell ref="D106:D107"/>
    <mergeCell ref="E106:E107"/>
    <mergeCell ref="F106:G106"/>
    <mergeCell ref="H106:J106"/>
    <mergeCell ref="K106:M106"/>
    <mergeCell ref="B78:O78"/>
    <mergeCell ref="F81:G81"/>
    <mergeCell ref="F82:G82"/>
    <mergeCell ref="F83:G83"/>
    <mergeCell ref="B92:C94"/>
    <mergeCell ref="D92:I92"/>
    <mergeCell ref="D93:F93"/>
    <mergeCell ref="G93:I93"/>
    <mergeCell ref="U66:W66"/>
    <mergeCell ref="B66:B67"/>
    <mergeCell ref="C66:C67"/>
    <mergeCell ref="D66:D67"/>
    <mergeCell ref="E66:F66"/>
    <mergeCell ref="G66:H66"/>
    <mergeCell ref="I66:J66"/>
    <mergeCell ref="K66:K67"/>
    <mergeCell ref="L66:M66"/>
    <mergeCell ref="N66:O66"/>
    <mergeCell ref="Q66:S66"/>
    <mergeCell ref="I57:J57"/>
    <mergeCell ref="K57:K58"/>
    <mergeCell ref="L57:M57"/>
    <mergeCell ref="N57:O57"/>
    <mergeCell ref="Q57:S57"/>
    <mergeCell ref="U57:W57"/>
    <mergeCell ref="K48:K49"/>
    <mergeCell ref="L48:M48"/>
    <mergeCell ref="N48:O48"/>
    <mergeCell ref="Q48:S48"/>
    <mergeCell ref="U48:W48"/>
    <mergeCell ref="B57:B58"/>
    <mergeCell ref="C57:C58"/>
    <mergeCell ref="D57:D58"/>
    <mergeCell ref="E57:F57"/>
    <mergeCell ref="G57:H57"/>
    <mergeCell ref="B48:B49"/>
    <mergeCell ref="C48:C49"/>
    <mergeCell ref="D48:D49"/>
    <mergeCell ref="E48:F48"/>
    <mergeCell ref="G48:H48"/>
    <mergeCell ref="I48:J48"/>
    <mergeCell ref="I39:J39"/>
    <mergeCell ref="K39:K40"/>
    <mergeCell ref="L39:M39"/>
    <mergeCell ref="N39:O39"/>
    <mergeCell ref="Q39:S39"/>
    <mergeCell ref="U39:W39"/>
    <mergeCell ref="K30:K31"/>
    <mergeCell ref="L30:M30"/>
    <mergeCell ref="N30:O30"/>
    <mergeCell ref="Q30:S30"/>
    <mergeCell ref="U30:W30"/>
    <mergeCell ref="B30:B31"/>
    <mergeCell ref="C30:C31"/>
    <mergeCell ref="D30:D31"/>
    <mergeCell ref="E30:F30"/>
    <mergeCell ref="C21:C22"/>
    <mergeCell ref="D21:D22"/>
    <mergeCell ref="E21:F21"/>
    <mergeCell ref="B39:B40"/>
    <mergeCell ref="C39:C40"/>
    <mergeCell ref="D39:D40"/>
    <mergeCell ref="E39:F39"/>
    <mergeCell ref="G39:H39"/>
    <mergeCell ref="AI21:AJ21"/>
    <mergeCell ref="AK21:AL21"/>
    <mergeCell ref="Z21:Z22"/>
    <mergeCell ref="AA21:AA22"/>
    <mergeCell ref="AB21:AC21"/>
    <mergeCell ref="AD21:AE21"/>
    <mergeCell ref="AF21:AG21"/>
    <mergeCell ref="AH21:AH22"/>
    <mergeCell ref="G30:H30"/>
    <mergeCell ref="L21:M21"/>
    <mergeCell ref="N21:O21"/>
    <mergeCell ref="Q21:S21"/>
    <mergeCell ref="U21:W21"/>
    <mergeCell ref="K21:K22"/>
    <mergeCell ref="G21:H21"/>
    <mergeCell ref="I21:J21"/>
    <mergeCell ref="I30:J30"/>
    <mergeCell ref="Y21:Y22"/>
    <mergeCell ref="C2:M2"/>
    <mergeCell ref="B8:O8"/>
    <mergeCell ref="B9:O9"/>
    <mergeCell ref="B10:O10"/>
    <mergeCell ref="B21:B22"/>
  </mergeCells>
  <printOptions horizontalCentered="1"/>
  <pageMargins left="0.19685039370078741" right="0.19685039370078741" top="0.59055118110236227" bottom="0.43307086614173229" header="0" footer="0"/>
  <pageSetup paperSize="9" scale="70" fitToHeight="2" orientation="landscape" r:id="rId1"/>
  <headerFooter alignWithMargins="0">
    <oddFooter>&amp;L&amp;8&amp;F: &amp;A&amp;R&amp;8&amp;P/&amp;N</oddFooter>
  </headerFooter>
  <rowBreaks count="3" manualBreakCount="3">
    <brk id="56" min="1" max="14" man="1"/>
    <brk id="77" max="16383" man="1"/>
    <brk id="101" min="1" max="14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5">
    <tabColor indexed="24"/>
  </sheetPr>
  <dimension ref="B1:AM211"/>
  <sheetViews>
    <sheetView showGridLines="0" view="pageBreakPreview" zoomScaleNormal="100" zoomScaleSheetLayoutView="100" workbookViewId="0">
      <selection activeCell="A99" sqref="A99:XFD106"/>
    </sheetView>
  </sheetViews>
  <sheetFormatPr baseColWidth="10" defaultColWidth="11.42578125" defaultRowHeight="11.25" customHeight="1"/>
  <cols>
    <col min="1" max="1" width="1.85546875" style="698" bestFit="1" customWidth="1"/>
    <col min="2" max="2" width="13.85546875" style="698" customWidth="1"/>
    <col min="3" max="3" width="50.85546875" style="698" customWidth="1"/>
    <col min="4" max="4" width="14.42578125" style="698" customWidth="1"/>
    <col min="5" max="5" width="11.7109375" style="698" customWidth="1"/>
    <col min="6" max="6" width="11" style="698" customWidth="1"/>
    <col min="7" max="10" width="10.7109375" style="698" customWidth="1"/>
    <col min="11" max="11" width="8.7109375" style="698" customWidth="1"/>
    <col min="12" max="12" width="11" style="698" customWidth="1"/>
    <col min="13" max="13" width="10.140625" style="698" customWidth="1"/>
    <col min="14" max="14" width="11.42578125" style="698"/>
    <col min="15" max="15" width="11.7109375" style="698" customWidth="1"/>
    <col min="16" max="16" width="9.7109375" style="698" customWidth="1"/>
    <col min="17" max="17" width="9" style="698" bestFit="1" customWidth="1"/>
    <col min="18" max="18" width="11" style="698" bestFit="1" customWidth="1"/>
    <col min="19" max="19" width="8.7109375" style="698" bestFit="1" customWidth="1"/>
    <col min="20" max="24" width="11.42578125" style="698"/>
    <col min="25" max="25" width="8.42578125" style="698" customWidth="1"/>
    <col min="26" max="26" width="30.140625" style="698" customWidth="1"/>
    <col min="27" max="27" width="7.140625" style="698" customWidth="1"/>
    <col min="28" max="28" width="6.42578125" style="698" customWidth="1"/>
    <col min="29" max="29" width="8.42578125" style="698" customWidth="1"/>
    <col min="30" max="16384" width="11.42578125" style="698"/>
  </cols>
  <sheetData>
    <row r="1" spans="2:18" ht="11.25" customHeight="1">
      <c r="C1" s="61">
        <f>+K!$C$1</f>
        <v>0</v>
      </c>
      <c r="D1" s="604"/>
      <c r="E1" s="605"/>
      <c r="F1" s="602"/>
      <c r="G1" s="602"/>
      <c r="H1" s="602"/>
      <c r="I1" s="602"/>
      <c r="J1" s="602"/>
      <c r="K1" s="700"/>
      <c r="L1" s="700"/>
    </row>
    <row r="2" spans="2:18" s="699" customFormat="1" ht="39.950000000000003" customHeight="1">
      <c r="B2" s="698"/>
      <c r="C2" s="1730" t="str">
        <f>+K!$B$2</f>
        <v>“RECONSTRUCCIÓN DE PISTAS Y VEREDAS EN LA AV. LAS TORRES TRAMO DESDE LA
  AV. CIRCUNVALACIÓN HASTA LA ALTURA DE LA QUINTA AV., L = 1.99 KM DISTRITO DE
LURIGANCHO CHOSICA, LIMA – LIMA”. Con código único de inversión (IRI): 2498581</v>
      </c>
      <c r="D2" s="1730"/>
      <c r="E2" s="1730"/>
      <c r="F2" s="1730"/>
      <c r="G2" s="1730"/>
      <c r="H2" s="1730"/>
      <c r="I2" s="1730"/>
      <c r="J2" s="1730"/>
      <c r="K2" s="1730"/>
      <c r="L2" s="1730"/>
      <c r="M2" s="1730"/>
    </row>
    <row r="3" spans="2:18" s="699" customFormat="1" ht="11.25" customHeight="1">
      <c r="B3" s="698"/>
      <c r="C3" s="61" t="str">
        <f>+K!$B$4</f>
        <v>CONTRATISTA : DITRANSERVA S.A.C.</v>
      </c>
      <c r="D3" s="604"/>
      <c r="E3" s="605"/>
      <c r="F3" s="602"/>
      <c r="G3" s="602"/>
      <c r="H3" s="602"/>
      <c r="I3" s="602"/>
      <c r="J3" s="602"/>
      <c r="K3" s="700"/>
      <c r="L3" s="700"/>
    </row>
    <row r="4" spans="2:18" s="699" customFormat="1" ht="11.25" customHeight="1">
      <c r="B4" s="698"/>
      <c r="C4" s="61" t="str">
        <f>+K!$B$5</f>
        <v>SUPERVISOR : CONSORCIO SUPERVISOR LAS TORRES</v>
      </c>
      <c r="D4" s="604"/>
      <c r="E4" s="605"/>
      <c r="F4" s="602"/>
      <c r="G4" s="602"/>
      <c r="H4" s="602"/>
      <c r="I4" s="602"/>
      <c r="J4" s="602"/>
      <c r="K4" s="700"/>
      <c r="L4" s="700"/>
    </row>
    <row r="7" spans="2:18" ht="18">
      <c r="B7" s="1687" t="s">
        <v>177</v>
      </c>
      <c r="C7" s="1687"/>
      <c r="D7" s="1687"/>
      <c r="E7" s="1687"/>
      <c r="F7" s="1687"/>
      <c r="G7" s="1687"/>
      <c r="H7" s="1687"/>
      <c r="I7" s="1687"/>
      <c r="J7" s="1687"/>
      <c r="K7" s="1687"/>
      <c r="L7" s="1687"/>
      <c r="M7" s="1687"/>
      <c r="N7" s="1687"/>
      <c r="O7" s="1687"/>
      <c r="P7" s="700"/>
      <c r="Q7" s="700"/>
      <c r="R7" s="700"/>
    </row>
    <row r="8" spans="2:18" ht="18">
      <c r="B8" s="1687" t="str">
        <f>+CONCATENATE("VALORIZACION Nº ",Data!E4," - MES DE",Data!F4)</f>
        <v>VALORIZACION Nº 4 - MES DE DICIEMBRE 2021</v>
      </c>
      <c r="C8" s="1687" t="s">
        <v>1815</v>
      </c>
      <c r="D8" s="1687" t="s">
        <v>1815</v>
      </c>
      <c r="E8" s="1687" t="s">
        <v>1815</v>
      </c>
      <c r="F8" s="1687" t="s">
        <v>1815</v>
      </c>
      <c r="G8" s="1687" t="s">
        <v>1815</v>
      </c>
      <c r="H8" s="1687" t="s">
        <v>1815</v>
      </c>
      <c r="I8" s="1687" t="s">
        <v>1815</v>
      </c>
      <c r="J8" s="1687" t="s">
        <v>1815</v>
      </c>
      <c r="K8" s="1687" t="s">
        <v>1815</v>
      </c>
      <c r="L8" s="1687" t="s">
        <v>1815</v>
      </c>
      <c r="M8" s="1687" t="s">
        <v>1815</v>
      </c>
      <c r="N8" s="1687" t="s">
        <v>1815</v>
      </c>
      <c r="O8" s="1687" t="s">
        <v>1815</v>
      </c>
      <c r="P8" s="700"/>
      <c r="Q8" s="700"/>
      <c r="R8" s="700"/>
    </row>
    <row r="9" spans="2:18" ht="15">
      <c r="B9" s="1707" t="s">
        <v>617</v>
      </c>
      <c r="C9" s="1707"/>
      <c r="D9" s="1707"/>
      <c r="E9" s="1707"/>
      <c r="F9" s="1707"/>
      <c r="G9" s="1707"/>
      <c r="H9" s="1707"/>
      <c r="I9" s="1707"/>
      <c r="J9" s="1707"/>
      <c r="K9" s="1707"/>
      <c r="L9" s="1707"/>
      <c r="M9" s="1707"/>
      <c r="N9" s="1707"/>
      <c r="O9" s="1707"/>
    </row>
    <row r="10" spans="2:18" ht="11.25" customHeight="1">
      <c r="B10" s="698" t="s">
        <v>1318</v>
      </c>
      <c r="D10" s="702">
        <v>13311812.279999999</v>
      </c>
      <c r="E10" s="698" t="s">
        <v>178</v>
      </c>
      <c r="I10" s="699" t="s">
        <v>179</v>
      </c>
      <c r="K10" s="699" t="s">
        <v>180</v>
      </c>
      <c r="M10" s="699"/>
    </row>
    <row r="11" spans="2:18" ht="11.25" customHeight="1">
      <c r="B11" s="698" t="s">
        <v>181</v>
      </c>
      <c r="D11" s="703">
        <v>44172</v>
      </c>
      <c r="E11" s="704"/>
      <c r="I11" s="698" t="s">
        <v>182</v>
      </c>
    </row>
    <row r="12" spans="2:18" ht="11.25" customHeight="1">
      <c r="B12" s="699" t="s">
        <v>183</v>
      </c>
      <c r="C12" s="699" t="s">
        <v>1258</v>
      </c>
      <c r="E12" s="705"/>
      <c r="F12" s="706"/>
      <c r="I12" s="707" t="s">
        <v>185</v>
      </c>
      <c r="K12" s="698" t="s">
        <v>186</v>
      </c>
    </row>
    <row r="13" spans="2:18" ht="11.25" customHeight="1">
      <c r="B13" s="699" t="s">
        <v>187</v>
      </c>
      <c r="C13" s="708" t="s">
        <v>1319</v>
      </c>
      <c r="E13" s="705"/>
      <c r="F13" s="706"/>
      <c r="I13" s="707" t="s">
        <v>188</v>
      </c>
      <c r="K13" s="698" t="s">
        <v>189</v>
      </c>
    </row>
    <row r="14" spans="2:18" ht="11.25" customHeight="1">
      <c r="B14" s="698" t="s">
        <v>1285</v>
      </c>
      <c r="D14" s="709">
        <v>450.08</v>
      </c>
      <c r="I14" s="707" t="s">
        <v>191</v>
      </c>
      <c r="K14" s="698" t="s">
        <v>192</v>
      </c>
    </row>
    <row r="15" spans="2:18" ht="11.25" customHeight="1">
      <c r="B15" s="698" t="s">
        <v>1329</v>
      </c>
      <c r="D15" s="709">
        <v>456.88</v>
      </c>
      <c r="E15" s="710"/>
      <c r="I15" s="707" t="s">
        <v>193</v>
      </c>
      <c r="K15" s="698" t="s">
        <v>194</v>
      </c>
    </row>
    <row r="16" spans="2:18" ht="11.25" customHeight="1">
      <c r="I16" s="711" t="s">
        <v>195</v>
      </c>
      <c r="J16" s="712"/>
      <c r="K16" s="712" t="s">
        <v>196</v>
      </c>
      <c r="L16" s="712"/>
      <c r="M16" s="713">
        <v>1</v>
      </c>
      <c r="N16" s="714"/>
    </row>
    <row r="17" spans="2:39" ht="11.25" customHeight="1">
      <c r="B17" s="39" t="s">
        <v>1337</v>
      </c>
      <c r="K17" s="698" t="s">
        <v>197</v>
      </c>
    </row>
    <row r="18" spans="2:39" ht="11.25" customHeight="1">
      <c r="B18" s="715"/>
      <c r="C18" s="715"/>
      <c r="D18" s="715"/>
      <c r="E18" s="715"/>
      <c r="F18" s="715"/>
      <c r="G18" s="715"/>
      <c r="H18" s="715"/>
      <c r="I18" s="715"/>
      <c r="J18" s="715"/>
      <c r="K18" s="715"/>
      <c r="L18" s="715"/>
      <c r="M18" s="715"/>
      <c r="N18" s="715"/>
      <c r="O18" s="715"/>
      <c r="Y18" s="710" t="s">
        <v>323</v>
      </c>
      <c r="Z18" s="710"/>
      <c r="AA18" s="710"/>
      <c r="AB18" s="710"/>
      <c r="AC18" s="710"/>
      <c r="AD18" s="710"/>
      <c r="AE18" s="710"/>
      <c r="AF18" s="710"/>
      <c r="AG18" s="710"/>
      <c r="AH18" s="710"/>
      <c r="AI18" s="710"/>
      <c r="AJ18" s="710"/>
      <c r="AK18" s="710"/>
      <c r="AL18" s="710"/>
      <c r="AM18" s="710"/>
    </row>
    <row r="19" spans="2:39" ht="11.25" customHeight="1">
      <c r="B19" s="1714" t="s">
        <v>198</v>
      </c>
      <c r="C19" s="1714" t="s">
        <v>199</v>
      </c>
      <c r="D19" s="1716" t="s">
        <v>601</v>
      </c>
      <c r="E19" s="1712" t="s">
        <v>200</v>
      </c>
      <c r="F19" s="1713"/>
      <c r="G19" s="1712" t="s">
        <v>201</v>
      </c>
      <c r="H19" s="1713"/>
      <c r="I19" s="1678" t="s">
        <v>202</v>
      </c>
      <c r="J19" s="1680"/>
      <c r="K19" s="1685" t="s">
        <v>203</v>
      </c>
      <c r="L19" s="1678" t="s">
        <v>204</v>
      </c>
      <c r="M19" s="1680"/>
      <c r="N19" s="1678" t="s">
        <v>423</v>
      </c>
      <c r="O19" s="1680"/>
      <c r="P19" s="700"/>
      <c r="Q19" s="1695" t="s">
        <v>205</v>
      </c>
      <c r="R19" s="1696"/>
      <c r="S19" s="1697"/>
      <c r="T19" s="710"/>
      <c r="U19" s="1695" t="s">
        <v>331</v>
      </c>
      <c r="V19" s="1696"/>
      <c r="W19" s="1697"/>
      <c r="Y19" s="1728" t="s">
        <v>198</v>
      </c>
      <c r="Z19" s="1728" t="s">
        <v>199</v>
      </c>
      <c r="AA19" s="1733" t="s">
        <v>601</v>
      </c>
      <c r="AB19" s="1695" t="s">
        <v>200</v>
      </c>
      <c r="AC19" s="1697"/>
      <c r="AD19" s="1695" t="s">
        <v>201</v>
      </c>
      <c r="AE19" s="1697"/>
      <c r="AF19" s="1695" t="s">
        <v>487</v>
      </c>
      <c r="AG19" s="1697"/>
      <c r="AH19" s="1728" t="s">
        <v>203</v>
      </c>
      <c r="AI19" s="1695" t="s">
        <v>204</v>
      </c>
      <c r="AJ19" s="1697"/>
      <c r="AK19" s="1695" t="s">
        <v>423</v>
      </c>
      <c r="AL19" s="1697"/>
      <c r="AM19" s="710"/>
    </row>
    <row r="20" spans="2:39" ht="21" customHeight="1">
      <c r="B20" s="1715"/>
      <c r="C20" s="1715"/>
      <c r="D20" s="1717"/>
      <c r="E20" s="1011" t="s">
        <v>206</v>
      </c>
      <c r="F20" s="1012" t="s">
        <v>207</v>
      </c>
      <c r="G20" s="1011" t="s">
        <v>452</v>
      </c>
      <c r="H20" s="1012" t="s">
        <v>208</v>
      </c>
      <c r="I20" s="717" t="s">
        <v>452</v>
      </c>
      <c r="J20" s="718" t="s">
        <v>208</v>
      </c>
      <c r="K20" s="1686"/>
      <c r="L20" s="717" t="s">
        <v>467</v>
      </c>
      <c r="M20" s="718" t="s">
        <v>468</v>
      </c>
      <c r="N20" s="717" t="s">
        <v>209</v>
      </c>
      <c r="O20" s="718" t="s">
        <v>210</v>
      </c>
      <c r="Q20" s="954" t="s">
        <v>211</v>
      </c>
      <c r="R20" s="955" t="s">
        <v>394</v>
      </c>
      <c r="S20" s="956" t="s">
        <v>451</v>
      </c>
      <c r="T20" s="710"/>
      <c r="U20" s="954" t="s">
        <v>211</v>
      </c>
      <c r="V20" s="955" t="s">
        <v>394</v>
      </c>
      <c r="W20" s="956" t="s">
        <v>451</v>
      </c>
      <c r="Y20" s="1729"/>
      <c r="Z20" s="1729"/>
      <c r="AA20" s="1734"/>
      <c r="AB20" s="1099" t="s">
        <v>206</v>
      </c>
      <c r="AC20" s="979" t="s">
        <v>207</v>
      </c>
      <c r="AD20" s="1099" t="s">
        <v>452</v>
      </c>
      <c r="AE20" s="979" t="s">
        <v>486</v>
      </c>
      <c r="AF20" s="1099" t="s">
        <v>452</v>
      </c>
      <c r="AG20" s="979" t="s">
        <v>208</v>
      </c>
      <c r="AH20" s="1729"/>
      <c r="AI20" s="1099" t="s">
        <v>467</v>
      </c>
      <c r="AJ20" s="979" t="s">
        <v>468</v>
      </c>
      <c r="AK20" s="1099" t="s">
        <v>209</v>
      </c>
      <c r="AL20" s="979" t="s">
        <v>210</v>
      </c>
      <c r="AM20" s="710"/>
    </row>
    <row r="21" spans="2:39" ht="11.25" customHeight="1">
      <c r="B21" s="722" t="s">
        <v>183</v>
      </c>
      <c r="C21" s="728"/>
      <c r="D21" s="724"/>
      <c r="E21" s="730"/>
      <c r="G21" s="726"/>
      <c r="H21" s="727"/>
      <c r="I21" s="726"/>
      <c r="J21" s="728"/>
      <c r="K21" s="729"/>
      <c r="L21" s="724"/>
      <c r="M21" s="725"/>
      <c r="N21" s="730"/>
      <c r="O21" s="728"/>
      <c r="Q21" s="957"/>
      <c r="R21" s="958"/>
      <c r="S21" s="959"/>
      <c r="T21" s="710"/>
      <c r="U21" s="957"/>
      <c r="V21" s="958"/>
      <c r="W21" s="959"/>
      <c r="Y21" s="1100" t="s">
        <v>183</v>
      </c>
      <c r="Z21" s="1101" t="s">
        <v>184</v>
      </c>
      <c r="AA21" s="960"/>
      <c r="AB21" s="960"/>
      <c r="AC21" s="959"/>
      <c r="AD21" s="1102"/>
      <c r="AE21" s="984"/>
      <c r="AF21" s="1102"/>
      <c r="AG21" s="981"/>
      <c r="AH21" s="1103"/>
      <c r="AI21" s="960"/>
      <c r="AJ21" s="959"/>
      <c r="AK21" s="1034"/>
      <c r="AL21" s="981"/>
      <c r="AM21" s="710"/>
    </row>
    <row r="22" spans="2:39" ht="11.25" customHeight="1">
      <c r="B22" s="722" t="s">
        <v>212</v>
      </c>
      <c r="C22" s="733" t="s">
        <v>1320</v>
      </c>
      <c r="D22" s="724"/>
      <c r="E22" s="730"/>
      <c r="F22" s="802"/>
      <c r="G22" s="726"/>
      <c r="H22" s="727"/>
      <c r="I22" s="726"/>
      <c r="J22" s="727"/>
      <c r="K22" s="729"/>
      <c r="L22" s="724"/>
      <c r="M22" s="725"/>
      <c r="N22" s="730"/>
      <c r="O22" s="728"/>
      <c r="Q22" s="960"/>
      <c r="R22" s="961"/>
      <c r="S22" s="959"/>
      <c r="T22" s="710"/>
      <c r="U22" s="1070">
        <v>-2.7</v>
      </c>
      <c r="V22" s="962">
        <f>+U22</f>
        <v>-2.7</v>
      </c>
      <c r="W22" s="963">
        <v>23666.43</v>
      </c>
      <c r="Y22" s="1100" t="s">
        <v>212</v>
      </c>
      <c r="Z22" s="1101" t="s">
        <v>213</v>
      </c>
      <c r="AA22" s="960"/>
      <c r="AB22" s="960"/>
      <c r="AC22" s="1104"/>
      <c r="AD22" s="1102"/>
      <c r="AE22" s="984"/>
      <c r="AF22" s="1102"/>
      <c r="AG22" s="984"/>
      <c r="AH22" s="1103"/>
      <c r="AI22" s="960"/>
      <c r="AJ22" s="959"/>
      <c r="AK22" s="1034"/>
      <c r="AL22" s="981"/>
      <c r="AM22" s="710"/>
    </row>
    <row r="23" spans="2:39" ht="11.25" customHeight="1">
      <c r="B23" s="796" t="s">
        <v>1177</v>
      </c>
      <c r="C23" s="1023" t="s">
        <v>1763</v>
      </c>
      <c r="D23" s="738" t="s">
        <v>432</v>
      </c>
      <c r="E23" s="739">
        <v>1</v>
      </c>
      <c r="F23" s="740">
        <v>1.3</v>
      </c>
      <c r="G23" s="797">
        <v>231180.81</v>
      </c>
      <c r="H23" s="742">
        <f>+ROUND(E23*F23*G23,2)</f>
        <v>300535.05</v>
      </c>
      <c r="I23" s="1215">
        <f>LOOKUP(B23,valoriz!$A$13:$A$242,valoriz!I$13:I$242)</f>
        <v>0</v>
      </c>
      <c r="J23" s="744">
        <f>+ROUND(E23*F23*I23,2)</f>
        <v>0</v>
      </c>
      <c r="K23" s="745">
        <v>32</v>
      </c>
      <c r="L23" s="746">
        <f>D$15</f>
        <v>456.88</v>
      </c>
      <c r="M23" s="747">
        <f>D$14</f>
        <v>450.08</v>
      </c>
      <c r="N23" s="748">
        <f>+ROUND(J23*K23*M$16,2)</f>
        <v>0</v>
      </c>
      <c r="O23" s="744">
        <f>+ROUND(J23*K23*L23*M$16/M23,2)</f>
        <v>0</v>
      </c>
      <c r="Q23" s="960">
        <v>5107.6099999999997</v>
      </c>
      <c r="R23" s="962">
        <f>+J23+Q23</f>
        <v>5107.6099999999997</v>
      </c>
      <c r="S23" s="963">
        <f>+H23-R23</f>
        <v>295427.44</v>
      </c>
      <c r="T23" s="964"/>
      <c r="U23" s="1070">
        <f>+ROUND(Q23*$K23*$L23/$M23,2)</f>
        <v>165912.89000000001</v>
      </c>
      <c r="V23" s="962">
        <f>+ROUND(R23*$K23*$L23/$M23,2)</f>
        <v>165912.89000000001</v>
      </c>
      <c r="W23" s="963"/>
      <c r="Y23" s="1105" t="s">
        <v>53</v>
      </c>
      <c r="Z23" s="1106" t="s">
        <v>54</v>
      </c>
      <c r="AA23" s="1107" t="s">
        <v>173</v>
      </c>
      <c r="AB23" s="1108">
        <v>1</v>
      </c>
      <c r="AC23" s="1109">
        <v>0.3</v>
      </c>
      <c r="AD23" s="1110">
        <v>18363.259999999998</v>
      </c>
      <c r="AE23" s="1111">
        <f>+ROUND(AB23*AC23*AD23,2)</f>
        <v>5508.98</v>
      </c>
      <c r="AF23" s="1112">
        <f>LOOKUP(Y23,valoriz!$A$13:$A$242,valoriz!G$13:G$242)</f>
        <v>0</v>
      </c>
      <c r="AG23" s="1095">
        <f>+ROUND(AB23*AC23*AF23,2)</f>
        <v>0</v>
      </c>
      <c r="AH23" s="1113">
        <v>2.58</v>
      </c>
      <c r="AI23" s="1114">
        <f>AA$15</f>
        <v>0</v>
      </c>
      <c r="AJ23" s="1115">
        <f>AA$14</f>
        <v>0</v>
      </c>
      <c r="AK23" s="1116">
        <f>+ROUND(AG23*AH23*AJ$16,2)</f>
        <v>0</v>
      </c>
      <c r="AL23" s="1095" t="e">
        <f>+ROUND(AG23*AH23*AI23*AJ$16/AJ23,2)</f>
        <v>#DIV/0!</v>
      </c>
      <c r="AM23" s="710"/>
    </row>
    <row r="24" spans="2:39" ht="11.25" customHeight="1" thickBot="1">
      <c r="B24" s="762"/>
      <c r="C24" s="1024"/>
      <c r="D24" s="764"/>
      <c r="E24" s="765"/>
      <c r="F24" s="766"/>
      <c r="G24" s="799"/>
      <c r="H24" s="800"/>
      <c r="I24" s="767"/>
      <c r="J24" s="769"/>
      <c r="K24" s="770"/>
      <c r="L24" s="771"/>
      <c r="M24" s="772"/>
      <c r="N24" s="773"/>
      <c r="O24" s="769"/>
      <c r="Q24" s="968"/>
      <c r="R24" s="1153"/>
      <c r="S24" s="1154"/>
      <c r="T24" s="964"/>
      <c r="U24" s="1057"/>
      <c r="V24" s="969"/>
      <c r="W24" s="970"/>
      <c r="Y24" s="1117"/>
      <c r="Z24" s="1118"/>
      <c r="AA24" s="1119"/>
      <c r="AB24" s="1120"/>
      <c r="AC24" s="1121"/>
      <c r="AD24" s="1122"/>
      <c r="AE24" s="1123"/>
      <c r="AF24" s="1122"/>
      <c r="AG24" s="1124"/>
      <c r="AH24" s="1125"/>
      <c r="AI24" s="1126"/>
      <c r="AJ24" s="1127"/>
      <c r="AK24" s="1128"/>
      <c r="AL24" s="1124"/>
      <c r="AM24" s="710"/>
    </row>
    <row r="25" spans="2:39" ht="11.25" customHeight="1">
      <c r="B25" s="775"/>
      <c r="C25" s="776"/>
      <c r="D25" s="777"/>
      <c r="E25" s="777"/>
      <c r="F25" s="778"/>
      <c r="G25" s="779"/>
      <c r="H25" s="780">
        <f>SUM(H23:H24)</f>
        <v>300535.05</v>
      </c>
      <c r="I25" s="779"/>
      <c r="J25" s="780">
        <f>SUM(J23:J24)</f>
        <v>0</v>
      </c>
      <c r="K25" s="781"/>
      <c r="L25" s="777" t="s">
        <v>589</v>
      </c>
      <c r="M25" s="778"/>
      <c r="N25" s="782">
        <f>SUM(N23:N24)</f>
        <v>0</v>
      </c>
      <c r="O25" s="783">
        <f>SUM(O23:O24)</f>
        <v>0</v>
      </c>
      <c r="Q25" s="1051">
        <f>SUM(Q23:Q24)</f>
        <v>5107.6099999999997</v>
      </c>
      <c r="R25" s="990">
        <f>SUM(R23:R24)</f>
        <v>5107.6099999999997</v>
      </c>
      <c r="S25" s="1052">
        <f>SUM(S23:S24)</f>
        <v>295427.44</v>
      </c>
      <c r="T25" s="964"/>
      <c r="U25" s="990">
        <f>SUM(U22:U24)</f>
        <v>165910.19</v>
      </c>
      <c r="V25" s="991">
        <f>SUM(V22:V24)</f>
        <v>165910.19</v>
      </c>
      <c r="W25" s="992">
        <f>+W22-V26</f>
        <v>-142243.75</v>
      </c>
      <c r="Y25" s="1129"/>
      <c r="Z25" s="1130"/>
      <c r="AA25" s="1131"/>
      <c r="AB25" s="1131"/>
      <c r="AC25" s="1132"/>
      <c r="AD25" s="1133"/>
      <c r="AE25" s="1134">
        <f>SUM(AE23:AE24)</f>
        <v>5508.98</v>
      </c>
      <c r="AF25" s="1133"/>
      <c r="AG25" s="1134">
        <f>SUM(AG23:AG24)</f>
        <v>0</v>
      </c>
      <c r="AH25" s="1135"/>
      <c r="AI25" s="1131"/>
      <c r="AJ25" s="1132"/>
      <c r="AK25" s="1136">
        <f>SUM(AK23:AK24)</f>
        <v>0</v>
      </c>
      <c r="AL25" s="1137" t="e">
        <f>SUM(AL23:AL24)</f>
        <v>#DIV/0!</v>
      </c>
      <c r="AM25" s="710"/>
    </row>
    <row r="26" spans="2:39" ht="11.25" customHeight="1">
      <c r="B26" s="784"/>
      <c r="C26" s="785"/>
      <c r="G26" s="786"/>
      <c r="H26" s="787" t="s">
        <v>214</v>
      </c>
      <c r="I26" s="788"/>
      <c r="J26" s="789">
        <v>300535.05</v>
      </c>
      <c r="K26" s="751"/>
      <c r="U26" s="710">
        <v>7757.51</v>
      </c>
      <c r="V26" s="1050">
        <f>+O25+U25-0.01</f>
        <v>165910.18</v>
      </c>
      <c r="AD26" s="699" t="s">
        <v>321</v>
      </c>
      <c r="AE26" s="699">
        <v>23666.43</v>
      </c>
    </row>
    <row r="27" spans="2:39" ht="11.25" customHeight="1">
      <c r="B27" s="790"/>
      <c r="C27" s="791"/>
      <c r="D27" s="121"/>
      <c r="E27" s="792"/>
      <c r="F27" s="792"/>
      <c r="G27" s="793"/>
      <c r="H27" s="793"/>
      <c r="I27" s="793"/>
      <c r="J27" s="751"/>
      <c r="K27" s="709"/>
      <c r="M27" s="709"/>
      <c r="N27" s="709"/>
      <c r="O27" s="751"/>
      <c r="P27" s="751"/>
    </row>
    <row r="28" spans="2:39" ht="11.25" customHeight="1">
      <c r="B28" s="1714" t="s">
        <v>198</v>
      </c>
      <c r="C28" s="1714" t="s">
        <v>199</v>
      </c>
      <c r="D28" s="1716" t="s">
        <v>601</v>
      </c>
      <c r="E28" s="1712" t="s">
        <v>200</v>
      </c>
      <c r="F28" s="1713"/>
      <c r="G28" s="1712" t="s">
        <v>201</v>
      </c>
      <c r="H28" s="1713"/>
      <c r="I28" s="1678" t="s">
        <v>202</v>
      </c>
      <c r="J28" s="1680"/>
      <c r="K28" s="1685" t="s">
        <v>203</v>
      </c>
      <c r="L28" s="1678" t="s">
        <v>204</v>
      </c>
      <c r="M28" s="1680"/>
      <c r="N28" s="1678" t="s">
        <v>423</v>
      </c>
      <c r="O28" s="1680"/>
      <c r="P28" s="700"/>
      <c r="Q28" s="1695" t="s">
        <v>205</v>
      </c>
      <c r="R28" s="1696"/>
      <c r="S28" s="1697"/>
      <c r="T28" s="710"/>
      <c r="U28" s="1695" t="s">
        <v>331</v>
      </c>
      <c r="V28" s="1696"/>
      <c r="W28" s="1697"/>
    </row>
    <row r="29" spans="2:39" ht="22.5" customHeight="1">
      <c r="B29" s="1715"/>
      <c r="C29" s="1715"/>
      <c r="D29" s="1717"/>
      <c r="E29" s="1011" t="s">
        <v>206</v>
      </c>
      <c r="F29" s="1012" t="s">
        <v>207</v>
      </c>
      <c r="G29" s="1011" t="s">
        <v>452</v>
      </c>
      <c r="H29" s="1012" t="s">
        <v>208</v>
      </c>
      <c r="I29" s="717" t="s">
        <v>452</v>
      </c>
      <c r="J29" s="718" t="s">
        <v>208</v>
      </c>
      <c r="K29" s="1686"/>
      <c r="L29" s="717" t="s">
        <v>467</v>
      </c>
      <c r="M29" s="718" t="s">
        <v>468</v>
      </c>
      <c r="N29" s="717" t="s">
        <v>209</v>
      </c>
      <c r="O29" s="718" t="s">
        <v>210</v>
      </c>
      <c r="Q29" s="954" t="s">
        <v>211</v>
      </c>
      <c r="R29" s="978" t="s">
        <v>394</v>
      </c>
      <c r="S29" s="979" t="s">
        <v>451</v>
      </c>
      <c r="T29" s="710"/>
      <c r="U29" s="954" t="s">
        <v>211</v>
      </c>
      <c r="V29" s="978" t="s">
        <v>394</v>
      </c>
      <c r="W29" s="979" t="s">
        <v>451</v>
      </c>
    </row>
    <row r="30" spans="2:39" ht="11.25" customHeight="1">
      <c r="B30" s="722" t="s">
        <v>183</v>
      </c>
      <c r="C30" s="728"/>
      <c r="D30" s="724"/>
      <c r="E30" s="730"/>
      <c r="G30" s="726"/>
      <c r="H30" s="727"/>
      <c r="I30" s="726"/>
      <c r="J30" s="728"/>
      <c r="K30" s="729"/>
      <c r="L30" s="724"/>
      <c r="M30" s="725"/>
      <c r="N30" s="730"/>
      <c r="O30" s="728"/>
      <c r="Q30" s="957"/>
      <c r="R30" s="980"/>
      <c r="S30" s="981"/>
      <c r="T30" s="710"/>
      <c r="U30" s="957"/>
      <c r="V30" s="980"/>
      <c r="W30" s="981"/>
    </row>
    <row r="31" spans="2:39" ht="11.25" customHeight="1">
      <c r="B31" s="722" t="s">
        <v>212</v>
      </c>
      <c r="C31" s="733" t="s">
        <v>1321</v>
      </c>
      <c r="D31" s="724"/>
      <c r="E31" s="730"/>
      <c r="F31" s="802"/>
      <c r="G31" s="726"/>
      <c r="H31" s="727"/>
      <c r="I31" s="726"/>
      <c r="J31" s="727"/>
      <c r="K31" s="729"/>
      <c r="L31" s="724"/>
      <c r="M31" s="725"/>
      <c r="N31" s="794"/>
      <c r="O31" s="795"/>
      <c r="Q31" s="960"/>
      <c r="R31" s="982"/>
      <c r="S31" s="981"/>
      <c r="T31" s="710"/>
      <c r="U31" s="985">
        <v>-4.16</v>
      </c>
      <c r="V31" s="1073">
        <f>+U31</f>
        <v>-4.16</v>
      </c>
      <c r="W31" s="1092">
        <v>31423.97</v>
      </c>
    </row>
    <row r="32" spans="2:39" ht="11.25" customHeight="1">
      <c r="B32" s="796" t="s">
        <v>1190</v>
      </c>
      <c r="C32" s="1023" t="s">
        <v>1764</v>
      </c>
      <c r="D32" s="738" t="s">
        <v>432</v>
      </c>
      <c r="E32" s="739">
        <v>1</v>
      </c>
      <c r="F32" s="740">
        <v>0.52</v>
      </c>
      <c r="G32" s="797">
        <v>2.7</v>
      </c>
      <c r="H32" s="742">
        <f t="shared" ref="H32:H54" si="0">+ROUND(E32*F32*G32,2)</f>
        <v>1.4</v>
      </c>
      <c r="I32" s="743">
        <f>LOOKUP(B32,valoriz!$A$13:$A$242,valoriz!I$13:I$242)</f>
        <v>0</v>
      </c>
      <c r="J32" s="744">
        <f t="shared" ref="J32:J54" si="1">+ROUND(E32*F32*I32,2)</f>
        <v>0</v>
      </c>
      <c r="K32" s="745">
        <v>55</v>
      </c>
      <c r="L32" s="746">
        <f t="shared" ref="L32:L54" si="2">D$15</f>
        <v>456.88</v>
      </c>
      <c r="M32" s="747">
        <f t="shared" ref="M32:M54" si="3">D$14</f>
        <v>450.08</v>
      </c>
      <c r="N32" s="748">
        <f t="shared" ref="N32:N54" si="4">+ROUND(J32*K32*M$16,2)</f>
        <v>0</v>
      </c>
      <c r="O32" s="744">
        <f t="shared" ref="O32:O53" si="5">+ROUND(J32*K32*L32*M$16/M32,2)</f>
        <v>0</v>
      </c>
      <c r="Q32" s="1093">
        <v>11252.78</v>
      </c>
      <c r="R32" s="1094">
        <f t="shared" ref="R32:R54" si="6">+J32+Q32</f>
        <v>11252.78</v>
      </c>
      <c r="S32" s="1095">
        <f t="shared" ref="S32:S54" si="7">+H32-R32</f>
        <v>-11251.380000000001</v>
      </c>
      <c r="T32" s="964"/>
      <c r="U32" s="985">
        <f t="shared" ref="U32:V54" si="8">+ROUND(Q32*$K32*$L32/$M32,2)</f>
        <v>628253.55000000005</v>
      </c>
      <c r="V32" s="986">
        <f t="shared" si="8"/>
        <v>628253.55000000005</v>
      </c>
      <c r="W32" s="987"/>
    </row>
    <row r="33" spans="2:23" ht="11.25" customHeight="1">
      <c r="B33" s="796" t="s">
        <v>1191</v>
      </c>
      <c r="C33" s="1023" t="s">
        <v>1765</v>
      </c>
      <c r="D33" s="738" t="s">
        <v>432</v>
      </c>
      <c r="E33" s="739">
        <v>1</v>
      </c>
      <c r="F33" s="740">
        <v>0.3</v>
      </c>
      <c r="G33" s="797">
        <v>4.1500000000000004</v>
      </c>
      <c r="H33" s="742">
        <f t="shared" si="0"/>
        <v>1.25</v>
      </c>
      <c r="I33" s="743">
        <f>LOOKUP(B33,valoriz!$A$13:$A$242,valoriz!I$13:I$242)</f>
        <v>0</v>
      </c>
      <c r="J33" s="744">
        <f t="shared" si="1"/>
        <v>0</v>
      </c>
      <c r="K33" s="745">
        <f t="shared" ref="K33:K54" si="9">+K32</f>
        <v>55</v>
      </c>
      <c r="L33" s="746">
        <f t="shared" si="2"/>
        <v>456.88</v>
      </c>
      <c r="M33" s="747">
        <f t="shared" si="3"/>
        <v>450.08</v>
      </c>
      <c r="N33" s="748">
        <f t="shared" si="4"/>
        <v>0</v>
      </c>
      <c r="O33" s="744">
        <f t="shared" si="5"/>
        <v>0</v>
      </c>
      <c r="Q33" s="1093">
        <v>0</v>
      </c>
      <c r="R33" s="1094">
        <f t="shared" si="6"/>
        <v>0</v>
      </c>
      <c r="S33" s="1095">
        <f t="shared" si="7"/>
        <v>1.25</v>
      </c>
      <c r="T33" s="964"/>
      <c r="U33" s="985">
        <f t="shared" si="8"/>
        <v>0</v>
      </c>
      <c r="V33" s="986">
        <f t="shared" si="8"/>
        <v>0</v>
      </c>
      <c r="W33" s="987"/>
    </row>
    <row r="34" spans="2:23" ht="11.25" customHeight="1">
      <c r="B34" s="796" t="s">
        <v>1198</v>
      </c>
      <c r="C34" s="1023" t="s">
        <v>1766</v>
      </c>
      <c r="D34" s="738" t="s">
        <v>434</v>
      </c>
      <c r="E34" s="739">
        <v>1</v>
      </c>
      <c r="F34" s="740">
        <v>5.2499999999999998E-2</v>
      </c>
      <c r="G34" s="797">
        <v>1763.12</v>
      </c>
      <c r="H34" s="742">
        <f t="shared" si="0"/>
        <v>92.56</v>
      </c>
      <c r="I34" s="743">
        <f>LOOKUP(B34,valoriz!$A$13:$A$242,valoriz!I$13:I$242)</f>
        <v>0</v>
      </c>
      <c r="J34" s="744">
        <f t="shared" si="1"/>
        <v>0</v>
      </c>
      <c r="K34" s="745">
        <f t="shared" si="9"/>
        <v>55</v>
      </c>
      <c r="L34" s="746">
        <f t="shared" si="2"/>
        <v>456.88</v>
      </c>
      <c r="M34" s="747">
        <f t="shared" si="3"/>
        <v>450.08</v>
      </c>
      <c r="N34" s="748">
        <f t="shared" si="4"/>
        <v>0</v>
      </c>
      <c r="O34" s="744">
        <f t="shared" si="5"/>
        <v>0</v>
      </c>
      <c r="Q34" s="1093">
        <v>0</v>
      </c>
      <c r="R34" s="1094">
        <f t="shared" si="6"/>
        <v>0</v>
      </c>
      <c r="S34" s="1095">
        <f t="shared" si="7"/>
        <v>92.56</v>
      </c>
      <c r="T34" s="964"/>
      <c r="U34" s="985">
        <f t="shared" si="8"/>
        <v>0</v>
      </c>
      <c r="V34" s="986">
        <f t="shared" si="8"/>
        <v>0</v>
      </c>
      <c r="W34" s="987"/>
    </row>
    <row r="35" spans="2:23" ht="11.25" customHeight="1">
      <c r="B35" s="796" t="s">
        <v>1199</v>
      </c>
      <c r="C35" s="1023" t="s">
        <v>1767</v>
      </c>
      <c r="D35" s="738" t="s">
        <v>432</v>
      </c>
      <c r="E35" s="739">
        <v>1</v>
      </c>
      <c r="F35" s="740">
        <v>0.44400000000000001</v>
      </c>
      <c r="G35" s="797">
        <v>1813.24</v>
      </c>
      <c r="H35" s="742">
        <f t="shared" si="0"/>
        <v>805.08</v>
      </c>
      <c r="I35" s="743">
        <f>LOOKUP(B35,valoriz!$A$13:$A$242,valoriz!I$13:I$242)</f>
        <v>0</v>
      </c>
      <c r="J35" s="744">
        <f t="shared" si="1"/>
        <v>0</v>
      </c>
      <c r="K35" s="745">
        <f t="shared" si="9"/>
        <v>55</v>
      </c>
      <c r="L35" s="746">
        <f t="shared" si="2"/>
        <v>456.88</v>
      </c>
      <c r="M35" s="747">
        <f t="shared" si="3"/>
        <v>450.08</v>
      </c>
      <c r="N35" s="748">
        <f t="shared" si="4"/>
        <v>0</v>
      </c>
      <c r="O35" s="744">
        <f t="shared" si="5"/>
        <v>0</v>
      </c>
      <c r="Q35" s="1093">
        <v>0</v>
      </c>
      <c r="R35" s="1094">
        <f t="shared" si="6"/>
        <v>0</v>
      </c>
      <c r="S35" s="1095">
        <f t="shared" si="7"/>
        <v>805.08</v>
      </c>
      <c r="T35" s="964"/>
      <c r="U35" s="985">
        <f t="shared" si="8"/>
        <v>0</v>
      </c>
      <c r="V35" s="986">
        <f t="shared" si="8"/>
        <v>0</v>
      </c>
      <c r="W35" s="987"/>
    </row>
    <row r="36" spans="2:23" ht="11.25" customHeight="1">
      <c r="B36" s="796" t="s">
        <v>1204</v>
      </c>
      <c r="C36" s="1023" t="s">
        <v>1766</v>
      </c>
      <c r="D36" s="738" t="s">
        <v>434</v>
      </c>
      <c r="E36" s="739">
        <v>1</v>
      </c>
      <c r="F36" s="740">
        <v>5.2499999999999998E-2</v>
      </c>
      <c r="G36" s="797">
        <v>735.24</v>
      </c>
      <c r="H36" s="742">
        <f t="shared" si="0"/>
        <v>38.6</v>
      </c>
      <c r="I36" s="743">
        <f>LOOKUP(B36,valoriz!$A$13:$A$242,valoriz!I$13:I$242)</f>
        <v>0</v>
      </c>
      <c r="J36" s="744">
        <f t="shared" si="1"/>
        <v>0</v>
      </c>
      <c r="K36" s="745">
        <f t="shared" si="9"/>
        <v>55</v>
      </c>
      <c r="L36" s="746">
        <f t="shared" si="2"/>
        <v>456.88</v>
      </c>
      <c r="M36" s="747">
        <f t="shared" si="3"/>
        <v>450.08</v>
      </c>
      <c r="N36" s="748">
        <f t="shared" si="4"/>
        <v>0</v>
      </c>
      <c r="O36" s="744">
        <f t="shared" si="5"/>
        <v>0</v>
      </c>
      <c r="Q36" s="1093">
        <v>0</v>
      </c>
      <c r="R36" s="1094">
        <f t="shared" si="6"/>
        <v>0</v>
      </c>
      <c r="S36" s="1095">
        <f t="shared" si="7"/>
        <v>38.6</v>
      </c>
      <c r="T36" s="964"/>
      <c r="U36" s="985">
        <f t="shared" si="8"/>
        <v>0</v>
      </c>
      <c r="V36" s="986">
        <f t="shared" si="8"/>
        <v>0</v>
      </c>
      <c r="W36" s="987"/>
    </row>
    <row r="37" spans="2:23" ht="11.25" customHeight="1">
      <c r="B37" s="796" t="s">
        <v>1205</v>
      </c>
      <c r="C37" s="1023" t="s">
        <v>1767</v>
      </c>
      <c r="D37" s="738" t="s">
        <v>432</v>
      </c>
      <c r="E37" s="739">
        <v>1</v>
      </c>
      <c r="F37" s="740">
        <v>0.44400000000000001</v>
      </c>
      <c r="G37" s="797">
        <v>424.45</v>
      </c>
      <c r="H37" s="742">
        <f t="shared" si="0"/>
        <v>188.46</v>
      </c>
      <c r="I37" s="743">
        <f>LOOKUP(B37,valoriz!$A$13:$A$242,valoriz!I$13:I$242)</f>
        <v>0</v>
      </c>
      <c r="J37" s="744">
        <f t="shared" si="1"/>
        <v>0</v>
      </c>
      <c r="K37" s="745">
        <f t="shared" si="9"/>
        <v>55</v>
      </c>
      <c r="L37" s="746">
        <f t="shared" si="2"/>
        <v>456.88</v>
      </c>
      <c r="M37" s="747">
        <f t="shared" si="3"/>
        <v>450.08</v>
      </c>
      <c r="N37" s="748">
        <f t="shared" si="4"/>
        <v>0</v>
      </c>
      <c r="O37" s="744">
        <f t="shared" si="5"/>
        <v>0</v>
      </c>
      <c r="Q37" s="1093">
        <v>0</v>
      </c>
      <c r="R37" s="1094">
        <f t="shared" si="6"/>
        <v>0</v>
      </c>
      <c r="S37" s="1095">
        <f t="shared" si="7"/>
        <v>188.46</v>
      </c>
      <c r="T37" s="964"/>
      <c r="U37" s="985">
        <f t="shared" si="8"/>
        <v>0</v>
      </c>
      <c r="V37" s="986">
        <f t="shared" si="8"/>
        <v>0</v>
      </c>
      <c r="W37" s="987"/>
    </row>
    <row r="38" spans="2:23" ht="11.25" customHeight="1">
      <c r="B38" s="796" t="s">
        <v>1210</v>
      </c>
      <c r="C38" s="1023" t="s">
        <v>1766</v>
      </c>
      <c r="D38" s="738" t="s">
        <v>434</v>
      </c>
      <c r="E38" s="739">
        <v>1</v>
      </c>
      <c r="F38" s="740">
        <v>5.2499999999999998E-2</v>
      </c>
      <c r="G38" s="797">
        <v>1837.93</v>
      </c>
      <c r="H38" s="742">
        <f t="shared" si="0"/>
        <v>96.49</v>
      </c>
      <c r="I38" s="743">
        <f>LOOKUP(B38,valoriz!$A$13:$A$242,valoriz!I$13:I$242)</f>
        <v>0</v>
      </c>
      <c r="J38" s="744">
        <f t="shared" si="1"/>
        <v>0</v>
      </c>
      <c r="K38" s="745">
        <f t="shared" si="9"/>
        <v>55</v>
      </c>
      <c r="L38" s="746">
        <f t="shared" si="2"/>
        <v>456.88</v>
      </c>
      <c r="M38" s="747">
        <f t="shared" si="3"/>
        <v>450.08</v>
      </c>
      <c r="N38" s="748">
        <f t="shared" si="4"/>
        <v>0</v>
      </c>
      <c r="O38" s="744">
        <f t="shared" si="5"/>
        <v>0</v>
      </c>
      <c r="Q38" s="1093">
        <v>0</v>
      </c>
      <c r="R38" s="1094">
        <f t="shared" si="6"/>
        <v>0</v>
      </c>
      <c r="S38" s="1095">
        <f t="shared" si="7"/>
        <v>96.49</v>
      </c>
      <c r="T38" s="964"/>
      <c r="U38" s="985">
        <f t="shared" si="8"/>
        <v>0</v>
      </c>
      <c r="V38" s="986">
        <f t="shared" si="8"/>
        <v>0</v>
      </c>
      <c r="W38" s="987"/>
    </row>
    <row r="39" spans="2:23" ht="11.25" customHeight="1">
      <c r="B39" s="796" t="s">
        <v>1211</v>
      </c>
      <c r="C39" s="1023" t="s">
        <v>1768</v>
      </c>
      <c r="D39" s="738" t="s">
        <v>432</v>
      </c>
      <c r="E39" s="739">
        <v>1</v>
      </c>
      <c r="F39" s="740">
        <v>0.44400000000000001</v>
      </c>
      <c r="G39" s="797">
        <v>1356.15</v>
      </c>
      <c r="H39" s="742">
        <f t="shared" si="0"/>
        <v>602.13</v>
      </c>
      <c r="I39" s="743">
        <f>LOOKUP(B39,valoriz!$A$13:$A$242,valoriz!I$13:I$242)</f>
        <v>0</v>
      </c>
      <c r="J39" s="744">
        <f>+ROUND(E39*F39*I39,2)</f>
        <v>0</v>
      </c>
      <c r="K39" s="745">
        <f t="shared" si="9"/>
        <v>55</v>
      </c>
      <c r="L39" s="746">
        <f>D$15</f>
        <v>456.88</v>
      </c>
      <c r="M39" s="747">
        <f>D$14</f>
        <v>450.08</v>
      </c>
      <c r="N39" s="748">
        <f>+ROUND(J39*K39*M$16,2)</f>
        <v>0</v>
      </c>
      <c r="O39" s="744">
        <f>+ROUND(J39*K39*L39*M$16/M39,2)</f>
        <v>0</v>
      </c>
      <c r="Q39" s="1093">
        <v>0</v>
      </c>
      <c r="R39" s="1094">
        <f>+J39+Q39</f>
        <v>0</v>
      </c>
      <c r="S39" s="1095">
        <f>+H39-R39</f>
        <v>602.13</v>
      </c>
      <c r="T39" s="964"/>
      <c r="U39" s="985">
        <f t="shared" ref="U39:V43" si="10">+ROUND(Q39*$K39*$L39/$M39,2)</f>
        <v>0</v>
      </c>
      <c r="V39" s="986">
        <f t="shared" si="10"/>
        <v>0</v>
      </c>
      <c r="W39" s="987"/>
    </row>
    <row r="40" spans="2:23" ht="11.25" customHeight="1">
      <c r="B40" s="796" t="s">
        <v>1216</v>
      </c>
      <c r="C40" s="1023" t="s">
        <v>1766</v>
      </c>
      <c r="D40" s="738" t="s">
        <v>434</v>
      </c>
      <c r="E40" s="739">
        <v>1</v>
      </c>
      <c r="F40" s="740">
        <v>5.2499999999999998E-2</v>
      </c>
      <c r="G40" s="797">
        <v>619.45000000000005</v>
      </c>
      <c r="H40" s="742">
        <f t="shared" si="0"/>
        <v>32.520000000000003</v>
      </c>
      <c r="I40" s="743">
        <f>LOOKUP(B40,valoriz!$A$13:$A$242,valoriz!I$13:I$242)</f>
        <v>0</v>
      </c>
      <c r="J40" s="744">
        <f>+ROUND(E40*F40*I40,2)</f>
        <v>0</v>
      </c>
      <c r="K40" s="745">
        <f t="shared" si="9"/>
        <v>55</v>
      </c>
      <c r="L40" s="746">
        <f>D$15</f>
        <v>456.88</v>
      </c>
      <c r="M40" s="747">
        <f>D$14</f>
        <v>450.08</v>
      </c>
      <c r="N40" s="748">
        <f>+ROUND(J40*K40*M$16,2)</f>
        <v>0</v>
      </c>
      <c r="O40" s="744">
        <f>+ROUND(J40*K40*L40*M$16/M40,2)</f>
        <v>0</v>
      </c>
      <c r="Q40" s="1093">
        <v>0</v>
      </c>
      <c r="R40" s="1094">
        <f>+J40+Q40</f>
        <v>0</v>
      </c>
      <c r="S40" s="1095">
        <f>+H40-R40</f>
        <v>32.520000000000003</v>
      </c>
      <c r="T40" s="964"/>
      <c r="U40" s="985">
        <f t="shared" si="10"/>
        <v>0</v>
      </c>
      <c r="V40" s="986">
        <f t="shared" si="10"/>
        <v>0</v>
      </c>
      <c r="W40" s="987"/>
    </row>
    <row r="41" spans="2:23" ht="11.25" customHeight="1">
      <c r="B41" s="796" t="s">
        <v>1217</v>
      </c>
      <c r="C41" s="1023" t="s">
        <v>1767</v>
      </c>
      <c r="D41" s="738" t="s">
        <v>432</v>
      </c>
      <c r="E41" s="739">
        <v>1</v>
      </c>
      <c r="F41" s="740">
        <v>0.44400000000000001</v>
      </c>
      <c r="G41" s="797">
        <v>499.7</v>
      </c>
      <c r="H41" s="742">
        <f t="shared" si="0"/>
        <v>221.87</v>
      </c>
      <c r="I41" s="743">
        <f>LOOKUP(B41,valoriz!$A$13:$A$242,valoriz!I$13:I$242)</f>
        <v>0</v>
      </c>
      <c r="J41" s="744">
        <f>+ROUND(E41*F41*I41,2)</f>
        <v>0</v>
      </c>
      <c r="K41" s="745">
        <f t="shared" si="9"/>
        <v>55</v>
      </c>
      <c r="L41" s="746">
        <f>D$15</f>
        <v>456.88</v>
      </c>
      <c r="M41" s="747">
        <f>D$14</f>
        <v>450.08</v>
      </c>
      <c r="N41" s="748">
        <f>+ROUND(J41*K41*M$16,2)</f>
        <v>0</v>
      </c>
      <c r="O41" s="744">
        <f>+ROUND(J41*K41*L41*M$16/M41,2)</f>
        <v>0</v>
      </c>
      <c r="Q41" s="1093">
        <v>0</v>
      </c>
      <c r="R41" s="1094">
        <f>+J41+Q41</f>
        <v>0</v>
      </c>
      <c r="S41" s="1095">
        <f>+H41-R41</f>
        <v>221.87</v>
      </c>
      <c r="T41" s="964"/>
      <c r="U41" s="985">
        <f t="shared" si="10"/>
        <v>0</v>
      </c>
      <c r="V41" s="986">
        <f t="shared" si="10"/>
        <v>0</v>
      </c>
      <c r="W41" s="987"/>
    </row>
    <row r="42" spans="2:23" ht="11.25" customHeight="1">
      <c r="B42" s="796" t="s">
        <v>1221</v>
      </c>
      <c r="C42" s="1023" t="s">
        <v>1769</v>
      </c>
      <c r="D42" s="738" t="s">
        <v>431</v>
      </c>
      <c r="E42" s="739">
        <v>1</v>
      </c>
      <c r="F42" s="740">
        <v>2.3E-3</v>
      </c>
      <c r="G42" s="797">
        <v>14286.02</v>
      </c>
      <c r="H42" s="742">
        <f t="shared" si="0"/>
        <v>32.86</v>
      </c>
      <c r="I42" s="743">
        <f>LOOKUP(B42,valoriz!$A$13:$A$242,valoriz!I$13:I$242)</f>
        <v>0</v>
      </c>
      <c r="J42" s="744">
        <f>+ROUND(E42*F42*I42,2)</f>
        <v>0</v>
      </c>
      <c r="K42" s="745">
        <f t="shared" si="9"/>
        <v>55</v>
      </c>
      <c r="L42" s="746">
        <f>D$15</f>
        <v>456.88</v>
      </c>
      <c r="M42" s="747">
        <f>D$14</f>
        <v>450.08</v>
      </c>
      <c r="N42" s="748">
        <f>+ROUND(J42*K42*M$16,2)</f>
        <v>0</v>
      </c>
      <c r="O42" s="744">
        <f>+ROUND(J42*K42*L42*M$16/M42,2)</f>
        <v>0</v>
      </c>
      <c r="Q42" s="1093">
        <v>0</v>
      </c>
      <c r="R42" s="1094">
        <f>+J42+Q42</f>
        <v>0</v>
      </c>
      <c r="S42" s="1095">
        <f>+H42-R42</f>
        <v>32.86</v>
      </c>
      <c r="T42" s="964"/>
      <c r="U42" s="985">
        <f t="shared" si="10"/>
        <v>0</v>
      </c>
      <c r="V42" s="986">
        <f t="shared" si="10"/>
        <v>0</v>
      </c>
      <c r="W42" s="987"/>
    </row>
    <row r="43" spans="2:23" ht="11.25" customHeight="1">
      <c r="B43" s="796" t="s">
        <v>1222</v>
      </c>
      <c r="C43" s="1023" t="s">
        <v>1770</v>
      </c>
      <c r="D43" s="738" t="s">
        <v>432</v>
      </c>
      <c r="E43" s="739">
        <v>1</v>
      </c>
      <c r="F43" s="740">
        <v>0.22500000000000001</v>
      </c>
      <c r="G43" s="797">
        <v>3252.54</v>
      </c>
      <c r="H43" s="742">
        <f t="shared" si="0"/>
        <v>731.82</v>
      </c>
      <c r="I43" s="743">
        <f>LOOKUP(B43,valoriz!$A$13:$A$242,valoriz!I$13:I$242)</f>
        <v>0</v>
      </c>
      <c r="J43" s="744">
        <f>+ROUND(E43*F43*I43,2)</f>
        <v>0</v>
      </c>
      <c r="K43" s="745">
        <f t="shared" si="9"/>
        <v>55</v>
      </c>
      <c r="L43" s="746">
        <f>D$15</f>
        <v>456.88</v>
      </c>
      <c r="M43" s="747">
        <f>D$14</f>
        <v>450.08</v>
      </c>
      <c r="N43" s="748">
        <f>+ROUND(J43*K43*M$16,2)</f>
        <v>0</v>
      </c>
      <c r="O43" s="744">
        <f>+ROUND(J43*K43*L43*M$16/M43,2)</f>
        <v>0</v>
      </c>
      <c r="Q43" s="1093">
        <v>0</v>
      </c>
      <c r="R43" s="1094">
        <f>+J43+Q43</f>
        <v>0</v>
      </c>
      <c r="S43" s="1095">
        <f>+H43-R43</f>
        <v>731.82</v>
      </c>
      <c r="T43" s="964"/>
      <c r="U43" s="985">
        <f t="shared" si="10"/>
        <v>0</v>
      </c>
      <c r="V43" s="986">
        <f t="shared" si="10"/>
        <v>0</v>
      </c>
      <c r="W43" s="987"/>
    </row>
    <row r="44" spans="2:23" ht="11.25" customHeight="1">
      <c r="B44" s="796" t="s">
        <v>1225</v>
      </c>
      <c r="C44" s="1023" t="s">
        <v>1771</v>
      </c>
      <c r="D44" s="738" t="s">
        <v>432</v>
      </c>
      <c r="E44" s="739">
        <v>1</v>
      </c>
      <c r="F44" s="740">
        <v>0.44400000000000001</v>
      </c>
      <c r="G44" s="797">
        <v>2970.52</v>
      </c>
      <c r="H44" s="742">
        <f t="shared" si="0"/>
        <v>1318.91</v>
      </c>
      <c r="I44" s="743">
        <f>LOOKUP(B44,valoriz!$A$13:$A$242,valoriz!I$13:I$242)</f>
        <v>0</v>
      </c>
      <c r="J44" s="744">
        <f t="shared" si="1"/>
        <v>0</v>
      </c>
      <c r="K44" s="745">
        <f t="shared" si="9"/>
        <v>55</v>
      </c>
      <c r="L44" s="746">
        <f t="shared" si="2"/>
        <v>456.88</v>
      </c>
      <c r="M44" s="747">
        <f t="shared" si="3"/>
        <v>450.08</v>
      </c>
      <c r="N44" s="748">
        <f t="shared" si="4"/>
        <v>0</v>
      </c>
      <c r="O44" s="744">
        <f t="shared" si="5"/>
        <v>0</v>
      </c>
      <c r="Q44" s="1093">
        <v>0</v>
      </c>
      <c r="R44" s="1094">
        <f t="shared" si="6"/>
        <v>0</v>
      </c>
      <c r="S44" s="1095">
        <f t="shared" si="7"/>
        <v>1318.91</v>
      </c>
      <c r="T44" s="964"/>
      <c r="U44" s="985">
        <f t="shared" si="8"/>
        <v>0</v>
      </c>
      <c r="V44" s="986">
        <f t="shared" si="8"/>
        <v>0</v>
      </c>
      <c r="W44" s="987"/>
    </row>
    <row r="45" spans="2:23" ht="11.25" customHeight="1">
      <c r="B45" s="796" t="s">
        <v>1242</v>
      </c>
      <c r="C45" s="1023" t="s">
        <v>1772</v>
      </c>
      <c r="D45" s="738" t="s">
        <v>431</v>
      </c>
      <c r="E45" s="739">
        <v>1</v>
      </c>
      <c r="F45" s="740">
        <v>0.08</v>
      </c>
      <c r="G45" s="797">
        <v>769.5</v>
      </c>
      <c r="H45" s="742">
        <f t="shared" si="0"/>
        <v>61.56</v>
      </c>
      <c r="I45" s="743">
        <f>LOOKUP(B45,valoriz!$A$13:$A$242,valoriz!I$13:I$242)</f>
        <v>0</v>
      </c>
      <c r="J45" s="744">
        <f t="shared" si="1"/>
        <v>0</v>
      </c>
      <c r="K45" s="745">
        <f t="shared" si="9"/>
        <v>55</v>
      </c>
      <c r="L45" s="746">
        <f t="shared" si="2"/>
        <v>456.88</v>
      </c>
      <c r="M45" s="747">
        <f t="shared" si="3"/>
        <v>450.08</v>
      </c>
      <c r="N45" s="748">
        <f t="shared" si="4"/>
        <v>0</v>
      </c>
      <c r="O45" s="744">
        <f t="shared" si="5"/>
        <v>0</v>
      </c>
      <c r="Q45" s="1093">
        <v>0</v>
      </c>
      <c r="R45" s="1094">
        <f t="shared" si="6"/>
        <v>0</v>
      </c>
      <c r="S45" s="1095">
        <f t="shared" si="7"/>
        <v>61.56</v>
      </c>
      <c r="T45" s="964"/>
      <c r="U45" s="985">
        <f t="shared" si="8"/>
        <v>0</v>
      </c>
      <c r="V45" s="986">
        <f t="shared" si="8"/>
        <v>0</v>
      </c>
      <c r="W45" s="987"/>
    </row>
    <row r="46" spans="2:23" ht="11.25" customHeight="1">
      <c r="B46" s="796" t="s">
        <v>1244</v>
      </c>
      <c r="C46" s="1023" t="s">
        <v>1773</v>
      </c>
      <c r="D46" s="738" t="s">
        <v>433</v>
      </c>
      <c r="E46" s="739">
        <v>1</v>
      </c>
      <c r="F46" s="740">
        <v>0.04</v>
      </c>
      <c r="G46" s="797">
        <v>114</v>
      </c>
      <c r="H46" s="742">
        <f t="shared" si="0"/>
        <v>4.5599999999999996</v>
      </c>
      <c r="I46" s="743">
        <f>LOOKUP(B46,valoriz!$A$13:$A$242,valoriz!I$13:I$242)</f>
        <v>0</v>
      </c>
      <c r="J46" s="744">
        <f t="shared" si="1"/>
        <v>0</v>
      </c>
      <c r="K46" s="745">
        <f t="shared" si="9"/>
        <v>55</v>
      </c>
      <c r="L46" s="746">
        <f t="shared" si="2"/>
        <v>456.88</v>
      </c>
      <c r="M46" s="747">
        <f t="shared" si="3"/>
        <v>450.08</v>
      </c>
      <c r="N46" s="748">
        <f t="shared" si="4"/>
        <v>0</v>
      </c>
      <c r="O46" s="744">
        <f t="shared" si="5"/>
        <v>0</v>
      </c>
      <c r="Q46" s="1093">
        <v>0</v>
      </c>
      <c r="R46" s="1094">
        <f t="shared" si="6"/>
        <v>0</v>
      </c>
      <c r="S46" s="1095">
        <f t="shared" si="7"/>
        <v>4.5599999999999996</v>
      </c>
      <c r="T46" s="964"/>
      <c r="U46" s="985">
        <f t="shared" si="8"/>
        <v>0</v>
      </c>
      <c r="V46" s="986">
        <f t="shared" si="8"/>
        <v>0</v>
      </c>
      <c r="W46" s="987"/>
    </row>
    <row r="47" spans="2:23" ht="11.25" customHeight="1">
      <c r="B47" s="796" t="s">
        <v>1182</v>
      </c>
      <c r="C47" s="1023" t="s">
        <v>1774</v>
      </c>
      <c r="D47" s="738" t="s">
        <v>434</v>
      </c>
      <c r="E47" s="739">
        <v>1</v>
      </c>
      <c r="F47" s="740">
        <v>1.3000000000000001E-2</v>
      </c>
      <c r="G47" s="797">
        <v>175666.9</v>
      </c>
      <c r="H47" s="742">
        <f t="shared" si="0"/>
        <v>2283.67</v>
      </c>
      <c r="I47" s="743">
        <f>LOOKUP(B47,valoriz!$A$13:$A$242,valoriz!I$13:I$242)</f>
        <v>0</v>
      </c>
      <c r="J47" s="744">
        <f t="shared" si="1"/>
        <v>0</v>
      </c>
      <c r="K47" s="745">
        <f t="shared" si="9"/>
        <v>55</v>
      </c>
      <c r="L47" s="746">
        <f t="shared" si="2"/>
        <v>456.88</v>
      </c>
      <c r="M47" s="747">
        <f t="shared" si="3"/>
        <v>450.08</v>
      </c>
      <c r="N47" s="748">
        <f t="shared" si="4"/>
        <v>0</v>
      </c>
      <c r="O47" s="744">
        <f t="shared" si="5"/>
        <v>0</v>
      </c>
      <c r="Q47" s="1093">
        <v>0</v>
      </c>
      <c r="R47" s="1094">
        <f t="shared" si="6"/>
        <v>0</v>
      </c>
      <c r="S47" s="1095">
        <f t="shared" si="7"/>
        <v>2283.67</v>
      </c>
      <c r="T47" s="964"/>
      <c r="U47" s="985">
        <f t="shared" si="8"/>
        <v>0</v>
      </c>
      <c r="V47" s="986">
        <f t="shared" si="8"/>
        <v>0</v>
      </c>
      <c r="W47" s="987"/>
    </row>
    <row r="48" spans="2:23" ht="11.25" customHeight="1">
      <c r="B48" s="796" t="s">
        <v>1185</v>
      </c>
      <c r="C48" s="1023" t="s">
        <v>1775</v>
      </c>
      <c r="D48" s="738" t="s">
        <v>432</v>
      </c>
      <c r="E48" s="739">
        <v>1</v>
      </c>
      <c r="F48" s="740">
        <v>0.52</v>
      </c>
      <c r="G48" s="797">
        <v>2.2000000000000002</v>
      </c>
      <c r="H48" s="742">
        <f t="shared" si="0"/>
        <v>1.1399999999999999</v>
      </c>
      <c r="I48" s="743">
        <f>LOOKUP(B48,valoriz!$A$13:$A$242,valoriz!I$13:I$242)</f>
        <v>0</v>
      </c>
      <c r="J48" s="744">
        <f t="shared" si="1"/>
        <v>0</v>
      </c>
      <c r="K48" s="745">
        <f t="shared" si="9"/>
        <v>55</v>
      </c>
      <c r="L48" s="746">
        <f t="shared" si="2"/>
        <v>456.88</v>
      </c>
      <c r="M48" s="747">
        <f t="shared" si="3"/>
        <v>450.08</v>
      </c>
      <c r="N48" s="748">
        <f t="shared" si="4"/>
        <v>0</v>
      </c>
      <c r="O48" s="744">
        <f t="shared" si="5"/>
        <v>0</v>
      </c>
      <c r="Q48" s="1093">
        <v>0</v>
      </c>
      <c r="R48" s="1094">
        <f t="shared" si="6"/>
        <v>0</v>
      </c>
      <c r="S48" s="1095">
        <f t="shared" si="7"/>
        <v>1.1399999999999999</v>
      </c>
      <c r="T48" s="964"/>
      <c r="U48" s="985">
        <f t="shared" si="8"/>
        <v>0</v>
      </c>
      <c r="V48" s="986">
        <f t="shared" si="8"/>
        <v>0</v>
      </c>
      <c r="W48" s="987"/>
    </row>
    <row r="49" spans="2:23" ht="11.25" customHeight="1">
      <c r="B49" s="796" t="s">
        <v>1186</v>
      </c>
      <c r="C49" s="1023" t="s">
        <v>1776</v>
      </c>
      <c r="D49" s="738" t="s">
        <v>432</v>
      </c>
      <c r="E49" s="739">
        <v>1</v>
      </c>
      <c r="F49" s="740">
        <v>0.52</v>
      </c>
      <c r="G49" s="797">
        <v>4</v>
      </c>
      <c r="H49" s="742">
        <f t="shared" si="0"/>
        <v>2.08</v>
      </c>
      <c r="I49" s="743">
        <f>LOOKUP(B49,valoriz!$A$13:$A$242,valoriz!I$13:I$242)</f>
        <v>0</v>
      </c>
      <c r="J49" s="744">
        <f t="shared" si="1"/>
        <v>0</v>
      </c>
      <c r="K49" s="745">
        <f t="shared" si="9"/>
        <v>55</v>
      </c>
      <c r="L49" s="746">
        <f t="shared" si="2"/>
        <v>456.88</v>
      </c>
      <c r="M49" s="747">
        <f t="shared" si="3"/>
        <v>450.08</v>
      </c>
      <c r="N49" s="748">
        <f t="shared" si="4"/>
        <v>0</v>
      </c>
      <c r="O49" s="744">
        <f t="shared" si="5"/>
        <v>0</v>
      </c>
      <c r="Q49" s="1093">
        <v>0</v>
      </c>
      <c r="R49" s="1094">
        <f t="shared" si="6"/>
        <v>0</v>
      </c>
      <c r="S49" s="1095">
        <f t="shared" si="7"/>
        <v>2.08</v>
      </c>
      <c r="T49" s="964"/>
      <c r="U49" s="985">
        <f t="shared" si="8"/>
        <v>0</v>
      </c>
      <c r="V49" s="986">
        <f t="shared" si="8"/>
        <v>0</v>
      </c>
      <c r="W49" s="987"/>
    </row>
    <row r="50" spans="2:23" ht="11.25" customHeight="1">
      <c r="B50" s="796" t="s">
        <v>1187</v>
      </c>
      <c r="C50" s="1023" t="s">
        <v>1777</v>
      </c>
      <c r="D50" s="738" t="s">
        <v>432</v>
      </c>
      <c r="E50" s="739">
        <v>1</v>
      </c>
      <c r="F50" s="740">
        <v>0.52</v>
      </c>
      <c r="G50" s="797">
        <v>2.25</v>
      </c>
      <c r="H50" s="742">
        <f t="shared" si="0"/>
        <v>1.17</v>
      </c>
      <c r="I50" s="743">
        <f>LOOKUP(B50,valoriz!$A$13:$A$242,valoriz!I$13:I$242)</f>
        <v>0</v>
      </c>
      <c r="J50" s="744">
        <f t="shared" si="1"/>
        <v>0</v>
      </c>
      <c r="K50" s="745">
        <f t="shared" si="9"/>
        <v>55</v>
      </c>
      <c r="L50" s="746">
        <f t="shared" si="2"/>
        <v>456.88</v>
      </c>
      <c r="M50" s="747">
        <f t="shared" si="3"/>
        <v>450.08</v>
      </c>
      <c r="N50" s="748">
        <f t="shared" si="4"/>
        <v>0</v>
      </c>
      <c r="O50" s="744">
        <f t="shared" si="5"/>
        <v>0</v>
      </c>
      <c r="Q50" s="1093">
        <v>0</v>
      </c>
      <c r="R50" s="1094">
        <f t="shared" si="6"/>
        <v>0</v>
      </c>
      <c r="S50" s="1095">
        <f t="shared" si="7"/>
        <v>1.17</v>
      </c>
      <c r="T50" s="964"/>
      <c r="U50" s="985">
        <f t="shared" si="8"/>
        <v>0</v>
      </c>
      <c r="V50" s="986">
        <f t="shared" si="8"/>
        <v>0</v>
      </c>
      <c r="W50" s="987"/>
    </row>
    <row r="51" spans="2:23" ht="11.25" customHeight="1">
      <c r="B51" s="796" t="s">
        <v>1188</v>
      </c>
      <c r="C51" s="1023" t="s">
        <v>1778</v>
      </c>
      <c r="D51" s="738" t="s">
        <v>434</v>
      </c>
      <c r="E51" s="739">
        <v>1</v>
      </c>
      <c r="F51" s="740">
        <v>5.2499999999999998E-2</v>
      </c>
      <c r="G51" s="797">
        <v>297.5</v>
      </c>
      <c r="H51" s="742">
        <f t="shared" si="0"/>
        <v>15.62</v>
      </c>
      <c r="I51" s="743">
        <f>LOOKUP(B51,valoriz!$A$13:$A$242,valoriz!I$13:I$242)</f>
        <v>0</v>
      </c>
      <c r="J51" s="744">
        <f t="shared" si="1"/>
        <v>0</v>
      </c>
      <c r="K51" s="745">
        <f t="shared" si="9"/>
        <v>55</v>
      </c>
      <c r="L51" s="746">
        <f t="shared" si="2"/>
        <v>456.88</v>
      </c>
      <c r="M51" s="747">
        <f t="shared" si="3"/>
        <v>450.08</v>
      </c>
      <c r="N51" s="748">
        <f t="shared" si="4"/>
        <v>0</v>
      </c>
      <c r="O51" s="744">
        <f t="shared" si="5"/>
        <v>0</v>
      </c>
      <c r="Q51" s="1093">
        <v>0</v>
      </c>
      <c r="R51" s="1094">
        <f t="shared" si="6"/>
        <v>0</v>
      </c>
      <c r="S51" s="1095">
        <f t="shared" si="7"/>
        <v>15.62</v>
      </c>
      <c r="T51" s="964"/>
      <c r="U51" s="985">
        <f t="shared" si="8"/>
        <v>0</v>
      </c>
      <c r="V51" s="986">
        <f t="shared" si="8"/>
        <v>0</v>
      </c>
      <c r="W51" s="987"/>
    </row>
    <row r="52" spans="2:23" ht="11.25" customHeight="1">
      <c r="B52" s="796" t="s">
        <v>1189</v>
      </c>
      <c r="C52" s="1023" t="s">
        <v>1779</v>
      </c>
      <c r="D52" s="738" t="s">
        <v>434</v>
      </c>
      <c r="E52" s="739">
        <v>1</v>
      </c>
      <c r="F52" s="740">
        <v>5.2499999999999998E-2</v>
      </c>
      <c r="G52" s="797">
        <v>70</v>
      </c>
      <c r="H52" s="742">
        <f t="shared" si="0"/>
        <v>3.68</v>
      </c>
      <c r="I52" s="743">
        <f>LOOKUP(B52,valoriz!$A$13:$A$242,valoriz!I$13:I$242)</f>
        <v>0</v>
      </c>
      <c r="J52" s="744">
        <f t="shared" si="1"/>
        <v>0</v>
      </c>
      <c r="K52" s="745">
        <f t="shared" si="9"/>
        <v>55</v>
      </c>
      <c r="L52" s="746">
        <f t="shared" si="2"/>
        <v>456.88</v>
      </c>
      <c r="M52" s="747">
        <f t="shared" si="3"/>
        <v>450.08</v>
      </c>
      <c r="N52" s="748">
        <f t="shared" si="4"/>
        <v>0</v>
      </c>
      <c r="O52" s="744">
        <f t="shared" si="5"/>
        <v>0</v>
      </c>
      <c r="Q52" s="1093">
        <v>0</v>
      </c>
      <c r="R52" s="1094">
        <f t="shared" si="6"/>
        <v>0</v>
      </c>
      <c r="S52" s="1095">
        <f t="shared" si="7"/>
        <v>3.68</v>
      </c>
      <c r="T52" s="964"/>
      <c r="U52" s="985">
        <f t="shared" si="8"/>
        <v>0</v>
      </c>
      <c r="V52" s="986">
        <f t="shared" si="8"/>
        <v>0</v>
      </c>
      <c r="W52" s="987"/>
    </row>
    <row r="53" spans="2:23" ht="11.25" customHeight="1">
      <c r="B53" s="796" t="s">
        <v>716</v>
      </c>
      <c r="C53" s="1023" t="s">
        <v>1780</v>
      </c>
      <c r="D53" s="738" t="s">
        <v>434</v>
      </c>
      <c r="E53" s="739">
        <v>6.6000000000000003E-2</v>
      </c>
      <c r="F53" s="740">
        <v>0.86499999999999999</v>
      </c>
      <c r="G53" s="797">
        <v>234255.96</v>
      </c>
      <c r="H53" s="742">
        <f t="shared" si="0"/>
        <v>13373.67</v>
      </c>
      <c r="I53" s="743">
        <f>LOOKUP(B53,valoriz!$A$13:$A$242,valoriz!I$13:I$242)</f>
        <v>0</v>
      </c>
      <c r="J53" s="744">
        <f t="shared" si="1"/>
        <v>0</v>
      </c>
      <c r="K53" s="745">
        <f t="shared" si="9"/>
        <v>55</v>
      </c>
      <c r="L53" s="746">
        <f t="shared" si="2"/>
        <v>456.88</v>
      </c>
      <c r="M53" s="747">
        <f t="shared" si="3"/>
        <v>450.08</v>
      </c>
      <c r="N53" s="748">
        <f t="shared" si="4"/>
        <v>0</v>
      </c>
      <c r="O53" s="744">
        <f t="shared" si="5"/>
        <v>0</v>
      </c>
      <c r="Q53" s="1093">
        <v>0</v>
      </c>
      <c r="R53" s="1094">
        <f t="shared" si="6"/>
        <v>0</v>
      </c>
      <c r="S53" s="1095">
        <f t="shared" si="7"/>
        <v>13373.67</v>
      </c>
      <c r="T53" s="964"/>
      <c r="U53" s="985">
        <f t="shared" si="8"/>
        <v>0</v>
      </c>
      <c r="V53" s="986">
        <f t="shared" si="8"/>
        <v>0</v>
      </c>
      <c r="W53" s="987"/>
    </row>
    <row r="54" spans="2:23" ht="11.25" customHeight="1">
      <c r="B54" s="796" t="s">
        <v>715</v>
      </c>
      <c r="C54" s="1023" t="s">
        <v>1781</v>
      </c>
      <c r="D54" s="738" t="s">
        <v>434</v>
      </c>
      <c r="E54" s="739">
        <v>6.6000000000000003E-2</v>
      </c>
      <c r="F54" s="740">
        <v>0.86499999999999999</v>
      </c>
      <c r="G54" s="797">
        <v>310151.95</v>
      </c>
      <c r="H54" s="742">
        <f t="shared" si="0"/>
        <v>17706.57</v>
      </c>
      <c r="I54" s="743">
        <f>LOOKUP(B54,valoriz!$A$13:$A$242,valoriz!I$13:I$242)</f>
        <v>0</v>
      </c>
      <c r="J54" s="744">
        <f t="shared" si="1"/>
        <v>0</v>
      </c>
      <c r="K54" s="745">
        <f t="shared" si="9"/>
        <v>55</v>
      </c>
      <c r="L54" s="746">
        <f t="shared" si="2"/>
        <v>456.88</v>
      </c>
      <c r="M54" s="747">
        <f t="shared" si="3"/>
        <v>450.08</v>
      </c>
      <c r="N54" s="748">
        <f t="shared" si="4"/>
        <v>0</v>
      </c>
      <c r="O54" s="744">
        <f>+ROUND(J54*K54*L54*M$16/M54,2)</f>
        <v>0</v>
      </c>
      <c r="Q54" s="1093">
        <v>35.700000000000003</v>
      </c>
      <c r="R54" s="1094">
        <f t="shared" si="6"/>
        <v>35.700000000000003</v>
      </c>
      <c r="S54" s="1095">
        <f t="shared" si="7"/>
        <v>17670.87</v>
      </c>
      <c r="T54" s="710"/>
      <c r="U54" s="985">
        <f t="shared" si="8"/>
        <v>1993.17</v>
      </c>
      <c r="V54" s="986">
        <f t="shared" si="8"/>
        <v>1993.17</v>
      </c>
      <c r="W54" s="987"/>
    </row>
    <row r="55" spans="2:23" ht="11.25" customHeight="1" thickBot="1">
      <c r="B55" s="762"/>
      <c r="C55" s="1024"/>
      <c r="D55" s="764"/>
      <c r="E55" s="765"/>
      <c r="F55" s="766"/>
      <c r="G55" s="799"/>
      <c r="H55" s="800"/>
      <c r="I55" s="799"/>
      <c r="J55" s="801"/>
      <c r="K55" s="770"/>
      <c r="L55" s="771"/>
      <c r="M55" s="772"/>
      <c r="N55" s="773"/>
      <c r="O55" s="769"/>
      <c r="Q55" s="968"/>
      <c r="R55" s="988"/>
      <c r="S55" s="989"/>
      <c r="T55" s="710"/>
      <c r="U55" s="1096"/>
      <c r="V55" s="1097"/>
      <c r="W55" s="1098"/>
    </row>
    <row r="56" spans="2:23" ht="11.25" customHeight="1">
      <c r="B56" s="775"/>
      <c r="C56" s="776"/>
      <c r="D56" s="777"/>
      <c r="E56" s="777"/>
      <c r="F56" s="778"/>
      <c r="G56" s="779"/>
      <c r="H56" s="780">
        <f>SUM(H32:H55)</f>
        <v>37617.67</v>
      </c>
      <c r="I56" s="779"/>
      <c r="J56" s="780">
        <f>SUM(J32:J55)</f>
        <v>0</v>
      </c>
      <c r="K56" s="781"/>
      <c r="L56" s="777"/>
      <c r="M56" s="946" t="s">
        <v>171</v>
      </c>
      <c r="N56" s="782">
        <f>SUM(N32:N55)</f>
        <v>0</v>
      </c>
      <c r="O56" s="783">
        <f>SUM(O32:O55)</f>
        <v>0</v>
      </c>
      <c r="Q56" s="1051">
        <f>SUM(Q32:Q55)</f>
        <v>11288.480000000001</v>
      </c>
      <c r="R56" s="1051">
        <f>SUM(R32:R55)</f>
        <v>11288.480000000001</v>
      </c>
      <c r="S56" s="1052">
        <f>SUM(S32:S55)</f>
        <v>26329.19</v>
      </c>
      <c r="T56" s="710"/>
      <c r="U56" s="1076">
        <f>SUM(U31:U55)</f>
        <v>630242.56000000006</v>
      </c>
      <c r="V56" s="1077">
        <f>SUM(V31:V55)</f>
        <v>630242.56000000006</v>
      </c>
      <c r="W56" s="1078">
        <f>+W31-V57</f>
        <v>-598818.59000000008</v>
      </c>
    </row>
    <row r="57" spans="2:23" ht="11.25" customHeight="1">
      <c r="B57" s="790"/>
      <c r="C57" s="791"/>
      <c r="D57" s="121"/>
      <c r="E57" s="792"/>
      <c r="F57" s="792"/>
      <c r="G57" s="786"/>
      <c r="H57" s="787" t="s">
        <v>214</v>
      </c>
      <c r="I57" s="788"/>
      <c r="J57" s="789">
        <v>37135.81</v>
      </c>
      <c r="K57" s="709"/>
      <c r="M57" s="709"/>
      <c r="N57" s="709"/>
      <c r="O57" s="751"/>
      <c r="P57" s="751"/>
      <c r="T57" s="751"/>
      <c r="U57" s="710"/>
      <c r="V57" s="1060">
        <f>+O56+U56</f>
        <v>630242.56000000006</v>
      </c>
    </row>
    <row r="58" spans="2:23" ht="11.25" customHeight="1">
      <c r="B58" s="784"/>
      <c r="C58" s="785"/>
      <c r="K58" s="751"/>
    </row>
    <row r="59" spans="2:23" ht="11.25" customHeight="1">
      <c r="B59" s="1714" t="s">
        <v>198</v>
      </c>
      <c r="C59" s="1714" t="s">
        <v>199</v>
      </c>
      <c r="D59" s="1716" t="s">
        <v>601</v>
      </c>
      <c r="E59" s="1712" t="s">
        <v>200</v>
      </c>
      <c r="F59" s="1713"/>
      <c r="G59" s="1712" t="s">
        <v>201</v>
      </c>
      <c r="H59" s="1713"/>
      <c r="I59" s="1678" t="s">
        <v>202</v>
      </c>
      <c r="J59" s="1680"/>
      <c r="K59" s="1685" t="s">
        <v>203</v>
      </c>
      <c r="L59" s="1678" t="s">
        <v>204</v>
      </c>
      <c r="M59" s="1680"/>
      <c r="N59" s="1678" t="s">
        <v>423</v>
      </c>
      <c r="O59" s="1680"/>
      <c r="P59" s="700"/>
      <c r="Q59" s="1695" t="s">
        <v>205</v>
      </c>
      <c r="R59" s="1696"/>
      <c r="S59" s="1697"/>
      <c r="T59" s="710"/>
      <c r="U59" s="1695" t="s">
        <v>331</v>
      </c>
      <c r="V59" s="1696"/>
      <c r="W59" s="1697"/>
    </row>
    <row r="60" spans="2:23" ht="21.75" customHeight="1">
      <c r="B60" s="1715"/>
      <c r="C60" s="1715"/>
      <c r="D60" s="1717"/>
      <c r="E60" s="1011" t="s">
        <v>206</v>
      </c>
      <c r="F60" s="1012" t="s">
        <v>207</v>
      </c>
      <c r="G60" s="1011" t="s">
        <v>452</v>
      </c>
      <c r="H60" s="1012" t="s">
        <v>208</v>
      </c>
      <c r="I60" s="717" t="s">
        <v>452</v>
      </c>
      <c r="J60" s="718" t="s">
        <v>208</v>
      </c>
      <c r="K60" s="1686"/>
      <c r="L60" s="717" t="s">
        <v>467</v>
      </c>
      <c r="M60" s="718" t="s">
        <v>468</v>
      </c>
      <c r="N60" s="717" t="s">
        <v>209</v>
      </c>
      <c r="O60" s="718" t="s">
        <v>210</v>
      </c>
      <c r="Q60" s="954" t="s">
        <v>211</v>
      </c>
      <c r="R60" s="978" t="s">
        <v>394</v>
      </c>
      <c r="S60" s="979" t="s">
        <v>451</v>
      </c>
      <c r="T60" s="710"/>
      <c r="U60" s="954" t="s">
        <v>211</v>
      </c>
      <c r="V60" s="978" t="s">
        <v>394</v>
      </c>
      <c r="W60" s="979" t="s">
        <v>451</v>
      </c>
    </row>
    <row r="61" spans="2:23" ht="11.25" customHeight="1">
      <c r="B61" s="722" t="s">
        <v>183</v>
      </c>
      <c r="C61" s="728"/>
      <c r="D61" s="724"/>
      <c r="E61" s="730"/>
      <c r="G61" s="726"/>
      <c r="H61" s="727"/>
      <c r="I61" s="726"/>
      <c r="J61" s="728"/>
      <c r="K61" s="729"/>
      <c r="L61" s="724"/>
      <c r="M61" s="725"/>
      <c r="N61" s="730"/>
      <c r="O61" s="728"/>
      <c r="Q61" s="957"/>
      <c r="R61" s="980"/>
      <c r="S61" s="981"/>
      <c r="T61" s="710"/>
      <c r="U61" s="957"/>
      <c r="V61" s="980"/>
      <c r="W61" s="981"/>
    </row>
    <row r="62" spans="2:23" ht="11.25" customHeight="1">
      <c r="B62" s="722" t="s">
        <v>212</v>
      </c>
      <c r="C62" s="733" t="s">
        <v>1322</v>
      </c>
      <c r="D62" s="724"/>
      <c r="E62" s="730"/>
      <c r="F62" s="802"/>
      <c r="G62" s="726"/>
      <c r="H62" s="727"/>
      <c r="I62" s="726"/>
      <c r="J62" s="727"/>
      <c r="K62" s="729"/>
      <c r="L62" s="724"/>
      <c r="M62" s="725"/>
      <c r="N62" s="794"/>
      <c r="O62" s="795"/>
      <c r="Q62" s="960"/>
      <c r="R62" s="982"/>
      <c r="S62" s="981"/>
      <c r="T62" s="710"/>
      <c r="U62" s="960">
        <v>-0.9</v>
      </c>
      <c r="V62" s="982">
        <f>+U62</f>
        <v>-0.9</v>
      </c>
      <c r="W62" s="981">
        <v>8193.74</v>
      </c>
    </row>
    <row r="63" spans="2:23" ht="11.25" customHeight="1">
      <c r="B63" s="796" t="s">
        <v>1185</v>
      </c>
      <c r="C63" s="1023" t="s">
        <v>1775</v>
      </c>
      <c r="D63" s="738" t="s">
        <v>432</v>
      </c>
      <c r="E63" s="739">
        <v>1</v>
      </c>
      <c r="F63" s="740">
        <v>0.53</v>
      </c>
      <c r="G63" s="797">
        <v>2.2000000000000002</v>
      </c>
      <c r="H63" s="742">
        <f t="shared" ref="H63:H77" si="11">+ROUND(E63*F63*G63,2)</f>
        <v>1.17</v>
      </c>
      <c r="I63" s="743">
        <f>LOOKUP(B63,valoriz!$A$13:$A$242,valoriz!I$13:I$242)</f>
        <v>0</v>
      </c>
      <c r="J63" s="744">
        <f>+ROUND(E63*F63*I63,2)</f>
        <v>0</v>
      </c>
      <c r="K63" s="745">
        <v>80</v>
      </c>
      <c r="L63" s="746">
        <f>D$15</f>
        <v>456.88</v>
      </c>
      <c r="M63" s="747">
        <f>D$14</f>
        <v>450.08</v>
      </c>
      <c r="N63" s="748">
        <f>+ROUND(J63*K63*M$16,2)</f>
        <v>0</v>
      </c>
      <c r="O63" s="744">
        <f>+ROUND(J63*K63*L63*M$16/M63,2)</f>
        <v>0</v>
      </c>
      <c r="Q63" s="960">
        <v>1702.55</v>
      </c>
      <c r="R63" s="983">
        <f>+J63+Q63</f>
        <v>1702.55</v>
      </c>
      <c r="S63" s="984">
        <f>+H63-R63</f>
        <v>-1701.3799999999999</v>
      </c>
      <c r="T63" s="964"/>
      <c r="U63" s="985">
        <f t="shared" ref="U63:V65" si="12">+ROUND(Q63*$K63*$L63/$M63,2)</f>
        <v>138261.82999999999</v>
      </c>
      <c r="V63" s="986">
        <f t="shared" si="12"/>
        <v>138261.82999999999</v>
      </c>
      <c r="W63" s="987"/>
    </row>
    <row r="64" spans="2:23" ht="11.25" customHeight="1">
      <c r="B64" s="796" t="s">
        <v>1186</v>
      </c>
      <c r="C64" s="1023" t="s">
        <v>1776</v>
      </c>
      <c r="D64" s="738" t="s">
        <v>432</v>
      </c>
      <c r="E64" s="739">
        <v>1</v>
      </c>
      <c r="F64" s="740">
        <v>0.53</v>
      </c>
      <c r="G64" s="797">
        <v>4</v>
      </c>
      <c r="H64" s="742">
        <f t="shared" si="11"/>
        <v>2.12</v>
      </c>
      <c r="I64" s="743">
        <f>LOOKUP(B64,valoriz!$A$13:$A$242,valoriz!I$13:I$242)</f>
        <v>0</v>
      </c>
      <c r="J64" s="744">
        <f>+ROUND(E64*F64*I64,2)</f>
        <v>0</v>
      </c>
      <c r="K64" s="745">
        <f t="shared" ref="K64:K81" si="13">+K63</f>
        <v>80</v>
      </c>
      <c r="L64" s="746">
        <f>D$15</f>
        <v>456.88</v>
      </c>
      <c r="M64" s="747">
        <f>D$14</f>
        <v>450.08</v>
      </c>
      <c r="N64" s="748">
        <f>+ROUND(J64*K64*M$16,2)</f>
        <v>0</v>
      </c>
      <c r="O64" s="744">
        <f>+ROUND(J64*K64*L64*M$16/M64,2)</f>
        <v>0</v>
      </c>
      <c r="Q64" s="960">
        <v>121.76</v>
      </c>
      <c r="R64" s="983">
        <f>+J64+Q64</f>
        <v>121.76</v>
      </c>
      <c r="S64" s="984">
        <f>+H64-R64</f>
        <v>-119.64</v>
      </c>
      <c r="T64" s="964"/>
      <c r="U64" s="985">
        <f t="shared" si="12"/>
        <v>9887.9699999999993</v>
      </c>
      <c r="V64" s="986">
        <f t="shared" si="12"/>
        <v>9887.9699999999993</v>
      </c>
      <c r="W64" s="987"/>
    </row>
    <row r="65" spans="2:23" ht="11.25" customHeight="1">
      <c r="B65" s="796" t="s">
        <v>1187</v>
      </c>
      <c r="C65" s="1023" t="s">
        <v>1777</v>
      </c>
      <c r="D65" s="738" t="s">
        <v>432</v>
      </c>
      <c r="E65" s="739">
        <v>1</v>
      </c>
      <c r="F65" s="740">
        <v>0.53</v>
      </c>
      <c r="G65" s="797">
        <v>2.25</v>
      </c>
      <c r="H65" s="742">
        <f t="shared" si="11"/>
        <v>1.19</v>
      </c>
      <c r="I65" s="743">
        <f>LOOKUP(B65,valoriz!$A$13:$A$242,valoriz!I$13:I$242)</f>
        <v>0</v>
      </c>
      <c r="J65" s="744">
        <f>+ROUND(E65*F65*I65,2)</f>
        <v>0</v>
      </c>
      <c r="K65" s="745">
        <f t="shared" si="13"/>
        <v>80</v>
      </c>
      <c r="L65" s="746">
        <f>D$15</f>
        <v>456.88</v>
      </c>
      <c r="M65" s="747">
        <f>D$14</f>
        <v>450.08</v>
      </c>
      <c r="N65" s="748">
        <f>+ROUND(J65*K65*M$16,2)</f>
        <v>0</v>
      </c>
      <c r="O65" s="744">
        <f>+ROUND(J65*K65*L65*M$16/M65,2)</f>
        <v>0</v>
      </c>
      <c r="Q65" s="960">
        <v>14.09</v>
      </c>
      <c r="R65" s="983">
        <f>+J65+Q65</f>
        <v>14.09</v>
      </c>
      <c r="S65" s="984">
        <f>+H65-R65</f>
        <v>-12.9</v>
      </c>
      <c r="T65" s="964"/>
      <c r="U65" s="985">
        <f t="shared" si="12"/>
        <v>1144.23</v>
      </c>
      <c r="V65" s="986">
        <f t="shared" si="12"/>
        <v>1144.23</v>
      </c>
      <c r="W65" s="987"/>
    </row>
    <row r="66" spans="2:23" ht="11.25" customHeight="1">
      <c r="B66" s="796" t="s">
        <v>1188</v>
      </c>
      <c r="C66" s="1023" t="s">
        <v>1778</v>
      </c>
      <c r="D66" s="738" t="s">
        <v>434</v>
      </c>
      <c r="E66" s="739">
        <v>1</v>
      </c>
      <c r="F66" s="740">
        <v>0.5</v>
      </c>
      <c r="G66" s="797">
        <v>297.5</v>
      </c>
      <c r="H66" s="742">
        <f t="shared" si="11"/>
        <v>148.75</v>
      </c>
      <c r="I66" s="743">
        <f>LOOKUP(B66,valoriz!$A$13:$A$242,valoriz!I$13:I$242)</f>
        <v>0</v>
      </c>
      <c r="J66" s="744">
        <f t="shared" ref="J66:J79" si="14">+ROUND(E66*F66*I66,2)</f>
        <v>0</v>
      </c>
      <c r="K66" s="745">
        <f t="shared" si="13"/>
        <v>80</v>
      </c>
      <c r="L66" s="746">
        <f t="shared" ref="L66:L79" si="15">D$15</f>
        <v>456.88</v>
      </c>
      <c r="M66" s="747">
        <f t="shared" ref="M66:M79" si="16">D$14</f>
        <v>450.08</v>
      </c>
      <c r="N66" s="748">
        <f t="shared" ref="N66:N79" si="17">+ROUND(J66*K66*M$16,2)</f>
        <v>0</v>
      </c>
      <c r="O66" s="744">
        <f t="shared" ref="O66:O79" si="18">+ROUND(J66*K66*L66*M$16/M66,2)</f>
        <v>0</v>
      </c>
      <c r="Q66" s="960">
        <v>14.09</v>
      </c>
      <c r="R66" s="983">
        <f t="shared" ref="R66:R79" si="19">+J66+Q66</f>
        <v>14.09</v>
      </c>
      <c r="S66" s="984">
        <f t="shared" ref="S66:S79" si="20">+H66-R66</f>
        <v>134.66</v>
      </c>
      <c r="T66" s="964"/>
      <c r="U66" s="985">
        <f t="shared" ref="U66:U79" si="21">+ROUND(Q66*$K66*$L66/$M66,2)</f>
        <v>1144.23</v>
      </c>
      <c r="V66" s="986">
        <f t="shared" ref="V66:V79" si="22">+ROUND(R66*$K66*$L66/$M66,2)</f>
        <v>1144.23</v>
      </c>
      <c r="W66" s="987"/>
    </row>
    <row r="67" spans="2:23" ht="11.25" customHeight="1">
      <c r="B67" s="796" t="s">
        <v>1189</v>
      </c>
      <c r="C67" s="1023" t="s">
        <v>1779</v>
      </c>
      <c r="D67" s="738" t="s">
        <v>434</v>
      </c>
      <c r="E67" s="739">
        <v>1</v>
      </c>
      <c r="F67" s="740">
        <v>0.5</v>
      </c>
      <c r="G67" s="797">
        <v>70</v>
      </c>
      <c r="H67" s="742">
        <f t="shared" si="11"/>
        <v>35</v>
      </c>
      <c r="I67" s="743">
        <f>LOOKUP(B67,valoriz!$A$13:$A$242,valoriz!I$13:I$242)</f>
        <v>0</v>
      </c>
      <c r="J67" s="744">
        <f t="shared" si="14"/>
        <v>0</v>
      </c>
      <c r="K67" s="745">
        <f t="shared" si="13"/>
        <v>80</v>
      </c>
      <c r="L67" s="746">
        <f t="shared" si="15"/>
        <v>456.88</v>
      </c>
      <c r="M67" s="747">
        <f t="shared" si="16"/>
        <v>450.08</v>
      </c>
      <c r="N67" s="748">
        <f t="shared" si="17"/>
        <v>0</v>
      </c>
      <c r="O67" s="744">
        <f t="shared" si="18"/>
        <v>0</v>
      </c>
      <c r="Q67" s="960">
        <v>14.09</v>
      </c>
      <c r="R67" s="983">
        <f t="shared" si="19"/>
        <v>14.09</v>
      </c>
      <c r="S67" s="984">
        <f t="shared" si="20"/>
        <v>20.91</v>
      </c>
      <c r="T67" s="964"/>
      <c r="U67" s="985">
        <f t="shared" si="21"/>
        <v>1144.23</v>
      </c>
      <c r="V67" s="986">
        <f t="shared" si="22"/>
        <v>1144.23</v>
      </c>
      <c r="W67" s="987"/>
    </row>
    <row r="68" spans="2:23" ht="11.25" customHeight="1">
      <c r="B68" s="796" t="s">
        <v>1190</v>
      </c>
      <c r="C68" s="1023" t="s">
        <v>1764</v>
      </c>
      <c r="D68" s="738" t="s">
        <v>432</v>
      </c>
      <c r="E68" s="739">
        <v>1</v>
      </c>
      <c r="F68" s="740">
        <v>0.53</v>
      </c>
      <c r="G68" s="797">
        <v>2.7</v>
      </c>
      <c r="H68" s="742">
        <f t="shared" si="11"/>
        <v>1.43</v>
      </c>
      <c r="I68" s="743">
        <f>LOOKUP(B68,valoriz!$A$13:$A$242,valoriz!I$13:I$242)</f>
        <v>0</v>
      </c>
      <c r="J68" s="744">
        <f t="shared" si="14"/>
        <v>0</v>
      </c>
      <c r="K68" s="745">
        <f t="shared" si="13"/>
        <v>80</v>
      </c>
      <c r="L68" s="746">
        <f t="shared" si="15"/>
        <v>456.88</v>
      </c>
      <c r="M68" s="747">
        <f t="shared" si="16"/>
        <v>450.08</v>
      </c>
      <c r="N68" s="748">
        <f t="shared" si="17"/>
        <v>0</v>
      </c>
      <c r="O68" s="744">
        <f t="shared" si="18"/>
        <v>0</v>
      </c>
      <c r="Q68" s="960">
        <v>14.09</v>
      </c>
      <c r="R68" s="983">
        <f t="shared" si="19"/>
        <v>14.09</v>
      </c>
      <c r="S68" s="984">
        <f t="shared" si="20"/>
        <v>-12.66</v>
      </c>
      <c r="T68" s="964"/>
      <c r="U68" s="985">
        <f t="shared" si="21"/>
        <v>1144.23</v>
      </c>
      <c r="V68" s="986">
        <f t="shared" si="22"/>
        <v>1144.23</v>
      </c>
      <c r="W68" s="987"/>
    </row>
    <row r="69" spans="2:23" ht="11.25" customHeight="1">
      <c r="B69" s="796" t="s">
        <v>1191</v>
      </c>
      <c r="C69" s="1023" t="s">
        <v>1765</v>
      </c>
      <c r="D69" s="738" t="s">
        <v>432</v>
      </c>
      <c r="E69" s="739">
        <v>1</v>
      </c>
      <c r="F69" s="740">
        <v>0.2</v>
      </c>
      <c r="G69" s="797">
        <v>4.1500000000000004</v>
      </c>
      <c r="H69" s="742">
        <f t="shared" si="11"/>
        <v>0.83</v>
      </c>
      <c r="I69" s="743">
        <f>LOOKUP(B69,valoriz!$A$13:$A$242,valoriz!I$13:I$242)</f>
        <v>0</v>
      </c>
      <c r="J69" s="744">
        <f t="shared" si="14"/>
        <v>0</v>
      </c>
      <c r="K69" s="745">
        <f t="shared" si="13"/>
        <v>80</v>
      </c>
      <c r="L69" s="746">
        <f t="shared" si="15"/>
        <v>456.88</v>
      </c>
      <c r="M69" s="747">
        <f t="shared" si="16"/>
        <v>450.08</v>
      </c>
      <c r="N69" s="748">
        <f t="shared" si="17"/>
        <v>0</v>
      </c>
      <c r="O69" s="744">
        <f t="shared" si="18"/>
        <v>0</v>
      </c>
      <c r="Q69" s="960">
        <v>14.09</v>
      </c>
      <c r="R69" s="983">
        <f t="shared" si="19"/>
        <v>14.09</v>
      </c>
      <c r="S69" s="984">
        <f t="shared" si="20"/>
        <v>-13.26</v>
      </c>
      <c r="T69" s="964"/>
      <c r="U69" s="985">
        <f t="shared" si="21"/>
        <v>1144.23</v>
      </c>
      <c r="V69" s="986">
        <f t="shared" si="22"/>
        <v>1144.23</v>
      </c>
      <c r="W69" s="987"/>
    </row>
    <row r="70" spans="2:23" ht="11.25" customHeight="1">
      <c r="B70" s="796" t="s">
        <v>1198</v>
      </c>
      <c r="C70" s="1023" t="s">
        <v>1766</v>
      </c>
      <c r="D70" s="738" t="s">
        <v>434</v>
      </c>
      <c r="E70" s="739">
        <v>1</v>
      </c>
      <c r="F70" s="740">
        <v>0.5</v>
      </c>
      <c r="G70" s="797">
        <v>1763.12</v>
      </c>
      <c r="H70" s="742">
        <f>+ROUND(E70*F70*G70,2)</f>
        <v>881.56</v>
      </c>
      <c r="I70" s="743">
        <f>LOOKUP(B70,valoriz!$A$13:$A$242,valoriz!I$13:I$242)</f>
        <v>0</v>
      </c>
      <c r="J70" s="744">
        <f t="shared" si="14"/>
        <v>0</v>
      </c>
      <c r="K70" s="745">
        <f t="shared" si="13"/>
        <v>80</v>
      </c>
      <c r="L70" s="746">
        <f t="shared" si="15"/>
        <v>456.88</v>
      </c>
      <c r="M70" s="747">
        <f t="shared" si="16"/>
        <v>450.08</v>
      </c>
      <c r="N70" s="748">
        <f t="shared" si="17"/>
        <v>0</v>
      </c>
      <c r="O70" s="744">
        <f t="shared" si="18"/>
        <v>0</v>
      </c>
      <c r="Q70" s="960">
        <v>14.09</v>
      </c>
      <c r="R70" s="983">
        <f t="shared" si="19"/>
        <v>14.09</v>
      </c>
      <c r="S70" s="984">
        <f t="shared" si="20"/>
        <v>867.46999999999991</v>
      </c>
      <c r="T70" s="964"/>
      <c r="U70" s="985">
        <f t="shared" si="21"/>
        <v>1144.23</v>
      </c>
      <c r="V70" s="986">
        <f t="shared" si="22"/>
        <v>1144.23</v>
      </c>
      <c r="W70" s="987"/>
    </row>
    <row r="71" spans="2:23" ht="11.25" customHeight="1">
      <c r="B71" s="796" t="s">
        <v>1199</v>
      </c>
      <c r="C71" s="1023" t="s">
        <v>1767</v>
      </c>
      <c r="D71" s="738" t="s">
        <v>432</v>
      </c>
      <c r="E71" s="739">
        <v>1</v>
      </c>
      <c r="F71" s="740">
        <v>0.73299999999999998</v>
      </c>
      <c r="G71" s="797">
        <v>1813.24</v>
      </c>
      <c r="H71" s="742">
        <f>+ROUND(E71*F71*G71,2)</f>
        <v>1329.1</v>
      </c>
      <c r="I71" s="743">
        <f>LOOKUP(B71,valoriz!$A$13:$A$242,valoriz!I$13:I$242)</f>
        <v>0</v>
      </c>
      <c r="J71" s="744">
        <f t="shared" si="14"/>
        <v>0</v>
      </c>
      <c r="K71" s="745">
        <f t="shared" si="13"/>
        <v>80</v>
      </c>
      <c r="L71" s="746">
        <f t="shared" si="15"/>
        <v>456.88</v>
      </c>
      <c r="M71" s="747">
        <f t="shared" si="16"/>
        <v>450.08</v>
      </c>
      <c r="N71" s="748">
        <f t="shared" si="17"/>
        <v>0</v>
      </c>
      <c r="O71" s="744">
        <f t="shared" si="18"/>
        <v>0</v>
      </c>
      <c r="Q71" s="960">
        <v>14.09</v>
      </c>
      <c r="R71" s="983">
        <f t="shared" si="19"/>
        <v>14.09</v>
      </c>
      <c r="S71" s="984">
        <f t="shared" si="20"/>
        <v>1315.01</v>
      </c>
      <c r="T71" s="964"/>
      <c r="U71" s="985">
        <f t="shared" si="21"/>
        <v>1144.23</v>
      </c>
      <c r="V71" s="986">
        <f t="shared" si="22"/>
        <v>1144.23</v>
      </c>
      <c r="W71" s="987"/>
    </row>
    <row r="72" spans="2:23" ht="11.25" customHeight="1">
      <c r="B72" s="796" t="s">
        <v>1204</v>
      </c>
      <c r="C72" s="1023" t="s">
        <v>1766</v>
      </c>
      <c r="D72" s="738" t="s">
        <v>434</v>
      </c>
      <c r="E72" s="739">
        <v>1</v>
      </c>
      <c r="F72" s="740">
        <v>0.5</v>
      </c>
      <c r="G72" s="797">
        <v>735.24</v>
      </c>
      <c r="H72" s="742">
        <f t="shared" si="11"/>
        <v>367.62</v>
      </c>
      <c r="I72" s="743">
        <f>LOOKUP(B72,valoriz!$A$13:$A$242,valoriz!I$13:I$242)</f>
        <v>0</v>
      </c>
      <c r="J72" s="744">
        <f t="shared" si="14"/>
        <v>0</v>
      </c>
      <c r="K72" s="745">
        <f t="shared" si="13"/>
        <v>80</v>
      </c>
      <c r="L72" s="746">
        <f t="shared" si="15"/>
        <v>456.88</v>
      </c>
      <c r="M72" s="747">
        <f t="shared" si="16"/>
        <v>450.08</v>
      </c>
      <c r="N72" s="748">
        <f t="shared" si="17"/>
        <v>0</v>
      </c>
      <c r="O72" s="744">
        <f t="shared" si="18"/>
        <v>0</v>
      </c>
      <c r="Q72" s="960">
        <v>14.09</v>
      </c>
      <c r="R72" s="983">
        <f t="shared" si="19"/>
        <v>14.09</v>
      </c>
      <c r="S72" s="984">
        <f t="shared" si="20"/>
        <v>353.53000000000003</v>
      </c>
      <c r="T72" s="964"/>
      <c r="U72" s="985">
        <f t="shared" si="21"/>
        <v>1144.23</v>
      </c>
      <c r="V72" s="986">
        <f t="shared" si="22"/>
        <v>1144.23</v>
      </c>
      <c r="W72" s="987"/>
    </row>
    <row r="73" spans="2:23" ht="11.25" customHeight="1">
      <c r="B73" s="796" t="s">
        <v>1205</v>
      </c>
      <c r="C73" s="1023" t="s">
        <v>1767</v>
      </c>
      <c r="D73" s="738" t="s">
        <v>432</v>
      </c>
      <c r="E73" s="739">
        <v>1</v>
      </c>
      <c r="F73" s="740">
        <v>0.73299999999999998</v>
      </c>
      <c r="G73" s="797">
        <v>424.45</v>
      </c>
      <c r="H73" s="742">
        <f>+ROUND(E73*F73*G73,2)</f>
        <v>311.12</v>
      </c>
      <c r="I73" s="743">
        <f>LOOKUP(B73,valoriz!$A$13:$A$242,valoriz!I$13:I$242)</f>
        <v>0</v>
      </c>
      <c r="J73" s="744">
        <f t="shared" si="14"/>
        <v>0</v>
      </c>
      <c r="K73" s="745">
        <f t="shared" si="13"/>
        <v>80</v>
      </c>
      <c r="L73" s="746">
        <f t="shared" si="15"/>
        <v>456.88</v>
      </c>
      <c r="M73" s="747">
        <f t="shared" si="16"/>
        <v>450.08</v>
      </c>
      <c r="N73" s="748">
        <f t="shared" si="17"/>
        <v>0</v>
      </c>
      <c r="O73" s="744">
        <f t="shared" si="18"/>
        <v>0</v>
      </c>
      <c r="Q73" s="960">
        <v>14.09</v>
      </c>
      <c r="R73" s="983">
        <f t="shared" si="19"/>
        <v>14.09</v>
      </c>
      <c r="S73" s="984">
        <f t="shared" si="20"/>
        <v>297.03000000000003</v>
      </c>
      <c r="T73" s="964"/>
      <c r="U73" s="985">
        <f t="shared" si="21"/>
        <v>1144.23</v>
      </c>
      <c r="V73" s="986">
        <f t="shared" si="22"/>
        <v>1144.23</v>
      </c>
      <c r="W73" s="987"/>
    </row>
    <row r="74" spans="2:23" ht="11.25" customHeight="1">
      <c r="B74" s="796" t="s">
        <v>1210</v>
      </c>
      <c r="C74" s="1023" t="s">
        <v>1766</v>
      </c>
      <c r="D74" s="738" t="s">
        <v>434</v>
      </c>
      <c r="E74" s="739">
        <v>1</v>
      </c>
      <c r="F74" s="740">
        <v>0.5</v>
      </c>
      <c r="G74" s="797">
        <v>1837.93</v>
      </c>
      <c r="H74" s="742">
        <f>+ROUND(E74*F74*G74,2)</f>
        <v>918.97</v>
      </c>
      <c r="I74" s="743">
        <f>LOOKUP(B74,valoriz!$A$13:$A$242,valoriz!I$13:I$242)</f>
        <v>0</v>
      </c>
      <c r="J74" s="744">
        <f t="shared" si="14"/>
        <v>0</v>
      </c>
      <c r="K74" s="745">
        <f t="shared" si="13"/>
        <v>80</v>
      </c>
      <c r="L74" s="746">
        <f t="shared" si="15"/>
        <v>456.88</v>
      </c>
      <c r="M74" s="747">
        <f t="shared" si="16"/>
        <v>450.08</v>
      </c>
      <c r="N74" s="748">
        <f t="shared" si="17"/>
        <v>0</v>
      </c>
      <c r="O74" s="744">
        <f t="shared" si="18"/>
        <v>0</v>
      </c>
      <c r="Q74" s="960">
        <v>14.09</v>
      </c>
      <c r="R74" s="983">
        <f t="shared" si="19"/>
        <v>14.09</v>
      </c>
      <c r="S74" s="984">
        <f t="shared" si="20"/>
        <v>904.88</v>
      </c>
      <c r="T74" s="964"/>
      <c r="U74" s="985">
        <f t="shared" si="21"/>
        <v>1144.23</v>
      </c>
      <c r="V74" s="986">
        <f t="shared" si="22"/>
        <v>1144.23</v>
      </c>
      <c r="W74" s="987"/>
    </row>
    <row r="75" spans="2:23" ht="11.25" customHeight="1">
      <c r="B75" s="796" t="s">
        <v>1211</v>
      </c>
      <c r="C75" s="1023" t="s">
        <v>1768</v>
      </c>
      <c r="D75" s="738" t="s">
        <v>432</v>
      </c>
      <c r="E75" s="739">
        <v>1</v>
      </c>
      <c r="F75" s="740">
        <v>0.73299999999999998</v>
      </c>
      <c r="G75" s="797">
        <v>1356.15</v>
      </c>
      <c r="H75" s="742">
        <f t="shared" si="11"/>
        <v>994.06</v>
      </c>
      <c r="I75" s="743">
        <f>LOOKUP(B75,valoriz!$A$13:$A$242,valoriz!I$13:I$242)</f>
        <v>0</v>
      </c>
      <c r="J75" s="744">
        <f t="shared" si="14"/>
        <v>0</v>
      </c>
      <c r="K75" s="745">
        <f t="shared" si="13"/>
        <v>80</v>
      </c>
      <c r="L75" s="746">
        <f t="shared" si="15"/>
        <v>456.88</v>
      </c>
      <c r="M75" s="747">
        <f t="shared" si="16"/>
        <v>450.08</v>
      </c>
      <c r="N75" s="748">
        <f t="shared" si="17"/>
        <v>0</v>
      </c>
      <c r="O75" s="744">
        <f t="shared" si="18"/>
        <v>0</v>
      </c>
      <c r="Q75" s="960">
        <v>14.09</v>
      </c>
      <c r="R75" s="983">
        <f t="shared" si="19"/>
        <v>14.09</v>
      </c>
      <c r="S75" s="984">
        <f t="shared" si="20"/>
        <v>979.96999999999991</v>
      </c>
      <c r="T75" s="964"/>
      <c r="U75" s="985">
        <f t="shared" si="21"/>
        <v>1144.23</v>
      </c>
      <c r="V75" s="986">
        <f t="shared" si="22"/>
        <v>1144.23</v>
      </c>
      <c r="W75" s="987"/>
    </row>
    <row r="76" spans="2:23" ht="11.25" customHeight="1">
      <c r="B76" s="796" t="s">
        <v>1216</v>
      </c>
      <c r="C76" s="1023" t="s">
        <v>1766</v>
      </c>
      <c r="D76" s="738" t="s">
        <v>434</v>
      </c>
      <c r="E76" s="739">
        <v>1</v>
      </c>
      <c r="F76" s="740">
        <v>0.5</v>
      </c>
      <c r="G76" s="797">
        <v>619.45000000000005</v>
      </c>
      <c r="H76" s="742">
        <f t="shared" si="11"/>
        <v>309.73</v>
      </c>
      <c r="I76" s="743">
        <f>LOOKUP(B76,valoriz!$A$13:$A$242,valoriz!I$13:I$242)</f>
        <v>0</v>
      </c>
      <c r="J76" s="744">
        <f t="shared" si="14"/>
        <v>0</v>
      </c>
      <c r="K76" s="745">
        <f t="shared" si="13"/>
        <v>80</v>
      </c>
      <c r="L76" s="746">
        <f t="shared" si="15"/>
        <v>456.88</v>
      </c>
      <c r="M76" s="747">
        <f t="shared" si="16"/>
        <v>450.08</v>
      </c>
      <c r="N76" s="748">
        <f t="shared" si="17"/>
        <v>0</v>
      </c>
      <c r="O76" s="744">
        <f t="shared" si="18"/>
        <v>0</v>
      </c>
      <c r="Q76" s="960">
        <v>14.09</v>
      </c>
      <c r="R76" s="983">
        <f t="shared" si="19"/>
        <v>14.09</v>
      </c>
      <c r="S76" s="984">
        <f t="shared" si="20"/>
        <v>295.64000000000004</v>
      </c>
      <c r="T76" s="964"/>
      <c r="U76" s="985">
        <f t="shared" si="21"/>
        <v>1144.23</v>
      </c>
      <c r="V76" s="986">
        <f t="shared" si="22"/>
        <v>1144.23</v>
      </c>
      <c r="W76" s="987"/>
    </row>
    <row r="77" spans="2:23" ht="11.25" customHeight="1">
      <c r="B77" s="796" t="s">
        <v>1217</v>
      </c>
      <c r="C77" s="1023" t="s">
        <v>1767</v>
      </c>
      <c r="D77" s="738" t="s">
        <v>432</v>
      </c>
      <c r="E77" s="739">
        <v>1</v>
      </c>
      <c r="F77" s="740">
        <v>0.73299999999999998</v>
      </c>
      <c r="G77" s="797">
        <v>499.7</v>
      </c>
      <c r="H77" s="742">
        <f t="shared" si="11"/>
        <v>366.28</v>
      </c>
      <c r="I77" s="743">
        <f>LOOKUP(B77,valoriz!$A$13:$A$242,valoriz!I$13:I$242)</f>
        <v>0</v>
      </c>
      <c r="J77" s="744">
        <f t="shared" si="14"/>
        <v>0</v>
      </c>
      <c r="K77" s="745">
        <f t="shared" si="13"/>
        <v>80</v>
      </c>
      <c r="L77" s="746">
        <f t="shared" si="15"/>
        <v>456.88</v>
      </c>
      <c r="M77" s="747">
        <f t="shared" si="16"/>
        <v>450.08</v>
      </c>
      <c r="N77" s="748">
        <f t="shared" si="17"/>
        <v>0</v>
      </c>
      <c r="O77" s="744">
        <f t="shared" si="18"/>
        <v>0</v>
      </c>
      <c r="Q77" s="960">
        <v>14.09</v>
      </c>
      <c r="R77" s="983">
        <f t="shared" si="19"/>
        <v>14.09</v>
      </c>
      <c r="S77" s="984">
        <f t="shared" si="20"/>
        <v>352.19</v>
      </c>
      <c r="T77" s="964"/>
      <c r="U77" s="985">
        <f t="shared" si="21"/>
        <v>1144.23</v>
      </c>
      <c r="V77" s="986">
        <f t="shared" si="22"/>
        <v>1144.23</v>
      </c>
      <c r="W77" s="987"/>
    </row>
    <row r="78" spans="2:23" ht="11.25" customHeight="1">
      <c r="B78" s="796" t="s">
        <v>1222</v>
      </c>
      <c r="C78" s="1023" t="s">
        <v>1770</v>
      </c>
      <c r="D78" s="738" t="s">
        <v>432</v>
      </c>
      <c r="E78" s="739">
        <v>1</v>
      </c>
      <c r="F78" s="740">
        <v>0.375</v>
      </c>
      <c r="G78" s="797">
        <v>3252.54</v>
      </c>
      <c r="H78" s="742">
        <f>+ROUND(E78*F78*G78,2)</f>
        <v>1219.7</v>
      </c>
      <c r="I78" s="743">
        <f>LOOKUP(B78,valoriz!$A$13:$A$242,valoriz!I$13:I$242)</f>
        <v>0</v>
      </c>
      <c r="J78" s="744">
        <f t="shared" si="14"/>
        <v>0</v>
      </c>
      <c r="K78" s="745">
        <f t="shared" si="13"/>
        <v>80</v>
      </c>
      <c r="L78" s="746">
        <f t="shared" si="15"/>
        <v>456.88</v>
      </c>
      <c r="M78" s="747">
        <f t="shared" si="16"/>
        <v>450.08</v>
      </c>
      <c r="N78" s="748">
        <f t="shared" si="17"/>
        <v>0</v>
      </c>
      <c r="O78" s="744">
        <f t="shared" si="18"/>
        <v>0</v>
      </c>
      <c r="Q78" s="960">
        <v>14.09</v>
      </c>
      <c r="R78" s="983">
        <f t="shared" si="19"/>
        <v>14.09</v>
      </c>
      <c r="S78" s="984">
        <f t="shared" si="20"/>
        <v>1205.6100000000001</v>
      </c>
      <c r="T78" s="964"/>
      <c r="U78" s="985">
        <f t="shared" si="21"/>
        <v>1144.23</v>
      </c>
      <c r="V78" s="986">
        <f t="shared" si="22"/>
        <v>1144.23</v>
      </c>
      <c r="W78" s="987"/>
    </row>
    <row r="79" spans="2:23" ht="11.25" customHeight="1">
      <c r="B79" s="796" t="s">
        <v>1225</v>
      </c>
      <c r="C79" s="1023" t="s">
        <v>1771</v>
      </c>
      <c r="D79" s="738" t="s">
        <v>432</v>
      </c>
      <c r="E79" s="739">
        <v>1</v>
      </c>
      <c r="F79" s="740">
        <v>0.73299999999999998</v>
      </c>
      <c r="G79" s="797">
        <v>2970.52</v>
      </c>
      <c r="H79" s="742">
        <f>+ROUND(E79*F79*G79,2)</f>
        <v>2177.39</v>
      </c>
      <c r="I79" s="743">
        <f>LOOKUP(B79,valoriz!$A$13:$A$242,valoriz!I$13:I$242)</f>
        <v>0</v>
      </c>
      <c r="J79" s="744">
        <f t="shared" si="14"/>
        <v>0</v>
      </c>
      <c r="K79" s="745">
        <f t="shared" si="13"/>
        <v>80</v>
      </c>
      <c r="L79" s="746">
        <f t="shared" si="15"/>
        <v>456.88</v>
      </c>
      <c r="M79" s="747">
        <f t="shared" si="16"/>
        <v>450.08</v>
      </c>
      <c r="N79" s="748">
        <f t="shared" si="17"/>
        <v>0</v>
      </c>
      <c r="O79" s="744">
        <f t="shared" si="18"/>
        <v>0</v>
      </c>
      <c r="Q79" s="960">
        <v>14.09</v>
      </c>
      <c r="R79" s="983">
        <f t="shared" si="19"/>
        <v>14.09</v>
      </c>
      <c r="S79" s="984">
        <f t="shared" si="20"/>
        <v>2163.2999999999997</v>
      </c>
      <c r="T79" s="964"/>
      <c r="U79" s="985">
        <f t="shared" si="21"/>
        <v>1144.23</v>
      </c>
      <c r="V79" s="986">
        <f t="shared" si="22"/>
        <v>1144.23</v>
      </c>
      <c r="W79" s="987"/>
    </row>
    <row r="80" spans="2:23" ht="11.25" customHeight="1">
      <c r="B80" s="796" t="s">
        <v>716</v>
      </c>
      <c r="C80" s="1023" t="s">
        <v>1780</v>
      </c>
      <c r="D80" s="738" t="s">
        <v>434</v>
      </c>
      <c r="E80" s="739">
        <v>6.6000000000000003E-2</v>
      </c>
      <c r="F80" s="740">
        <v>0.35799999999999998</v>
      </c>
      <c r="G80" s="797">
        <v>234255.96</v>
      </c>
      <c r="H80" s="742">
        <f>+ROUND(E80*F80*G80,2)</f>
        <v>5535</v>
      </c>
      <c r="I80" s="743">
        <f>LOOKUP(B80,valoriz!$A$13:$A$242,valoriz!I$13:I$242)</f>
        <v>0</v>
      </c>
      <c r="J80" s="744">
        <f>+ROUND(E80*F80*I80,2)</f>
        <v>0</v>
      </c>
      <c r="K80" s="745">
        <f t="shared" si="13"/>
        <v>80</v>
      </c>
      <c r="L80" s="746">
        <f>D$15</f>
        <v>456.88</v>
      </c>
      <c r="M80" s="747">
        <f>D$14</f>
        <v>450.08</v>
      </c>
      <c r="N80" s="748">
        <f>+ROUND(J80*K80*M$16,2)</f>
        <v>0</v>
      </c>
      <c r="O80" s="744">
        <f>+ROUND(J80*K80*L80*M$16/M80,2)</f>
        <v>0</v>
      </c>
      <c r="Q80" s="960">
        <v>103.94</v>
      </c>
      <c r="R80" s="983">
        <f>+J80+Q80</f>
        <v>103.94</v>
      </c>
      <c r="S80" s="984">
        <f>+H80-R80</f>
        <v>5431.06</v>
      </c>
      <c r="T80" s="964"/>
      <c r="U80" s="985">
        <f>+ROUND(Q80*$K80*$L80/$M80,2)</f>
        <v>8440.83</v>
      </c>
      <c r="V80" s="986">
        <f>+ROUND(R80*$K80*$L80/$M80,2)</f>
        <v>8440.83</v>
      </c>
      <c r="W80" s="987"/>
    </row>
    <row r="81" spans="2:23" ht="11.25" customHeight="1">
      <c r="B81" s="796" t="s">
        <v>715</v>
      </c>
      <c r="C81" s="1023" t="s">
        <v>1781</v>
      </c>
      <c r="D81" s="738" t="s">
        <v>434</v>
      </c>
      <c r="E81" s="739">
        <v>6.6000000000000003E-2</v>
      </c>
      <c r="F81" s="740">
        <v>0.35799999999999998</v>
      </c>
      <c r="G81" s="797">
        <v>310151.95</v>
      </c>
      <c r="H81" s="742">
        <f>+ROUND(E81*F81*G81,2)</f>
        <v>7328.27</v>
      </c>
      <c r="I81" s="743">
        <f>LOOKUP(B81,valoriz!$A$13:$A$242,valoriz!I$13:I$242)</f>
        <v>0</v>
      </c>
      <c r="J81" s="744">
        <f>+ROUND(E81*F81*I81,2)</f>
        <v>0</v>
      </c>
      <c r="K81" s="745">
        <f t="shared" si="13"/>
        <v>80</v>
      </c>
      <c r="L81" s="746">
        <f>D$15</f>
        <v>456.88</v>
      </c>
      <c r="M81" s="747">
        <f>D$14</f>
        <v>450.08</v>
      </c>
      <c r="N81" s="748">
        <f>+ROUND(J81*K81*M$16,2)</f>
        <v>0</v>
      </c>
      <c r="O81" s="744">
        <f>+ROUND(J81*K81*L81*M$16/M81,2)</f>
        <v>0</v>
      </c>
      <c r="Q81" s="960">
        <v>216.24</v>
      </c>
      <c r="R81" s="983">
        <f>+J81+Q81</f>
        <v>216.24</v>
      </c>
      <c r="S81" s="984">
        <f>+H81-R81</f>
        <v>7112.0300000000007</v>
      </c>
      <c r="T81" s="964"/>
      <c r="U81" s="985">
        <f>+ROUND(Q81*$K81*$L81/$M81,2)</f>
        <v>17560.560000000001</v>
      </c>
      <c r="V81" s="986">
        <f>+ROUND(R81*$K81*$L81/$M81,2)</f>
        <v>17560.560000000001</v>
      </c>
      <c r="W81" s="987"/>
    </row>
    <row r="82" spans="2:23" ht="11.25" customHeight="1" thickBot="1">
      <c r="B82" s="762"/>
      <c r="C82" s="1024"/>
      <c r="D82" s="764"/>
      <c r="E82" s="765"/>
      <c r="F82" s="766"/>
      <c r="G82" s="799"/>
      <c r="H82" s="800"/>
      <c r="I82" s="799"/>
      <c r="J82" s="801"/>
      <c r="K82" s="770"/>
      <c r="L82" s="771"/>
      <c r="M82" s="772"/>
      <c r="N82" s="773"/>
      <c r="O82" s="769"/>
      <c r="Q82" s="968"/>
      <c r="R82" s="988"/>
      <c r="S82" s="989"/>
      <c r="T82" s="710"/>
      <c r="U82" s="968"/>
      <c r="V82" s="988"/>
      <c r="W82" s="989"/>
    </row>
    <row r="83" spans="2:23" ht="11.25" customHeight="1">
      <c r="B83" s="775"/>
      <c r="C83" s="776"/>
      <c r="D83" s="777"/>
      <c r="E83" s="777"/>
      <c r="F83" s="778"/>
      <c r="G83" s="779"/>
      <c r="H83" s="780">
        <f>SUM(H63:H82)</f>
        <v>21929.29</v>
      </c>
      <c r="I83" s="779"/>
      <c r="J83" s="780">
        <f>SUM(J63:J82)</f>
        <v>0</v>
      </c>
      <c r="K83" s="781"/>
      <c r="L83" s="777" t="s">
        <v>589</v>
      </c>
      <c r="M83" s="778"/>
      <c r="N83" s="782">
        <f>SUM(N63:N82)</f>
        <v>0</v>
      </c>
      <c r="O83" s="783">
        <f>SUM(O63:O82)</f>
        <v>0</v>
      </c>
      <c r="Q83" s="1051">
        <f>SUM(Q63:Q82)</f>
        <v>2355.8399999999983</v>
      </c>
      <c r="R83" s="1051">
        <f>SUM(R63:R82)</f>
        <v>2355.8399999999983</v>
      </c>
      <c r="S83" s="1052">
        <f>SUM(S63:S82)</f>
        <v>19573.449999999997</v>
      </c>
      <c r="T83" s="964"/>
      <c r="U83" s="990">
        <f>SUM(U62:U82)</f>
        <v>191313.74000000014</v>
      </c>
      <c r="V83" s="991">
        <f>SUM(V62:V82)</f>
        <v>191313.74000000014</v>
      </c>
      <c r="W83" s="992">
        <f>+W62-V84</f>
        <v>-183120.00000000015</v>
      </c>
    </row>
    <row r="84" spans="2:23" ht="11.25" customHeight="1">
      <c r="B84" s="790"/>
      <c r="C84" s="791"/>
      <c r="D84" s="121"/>
      <c r="E84" s="792"/>
      <c r="F84" s="792"/>
      <c r="G84" s="786"/>
      <c r="H84" s="787" t="s">
        <v>214</v>
      </c>
      <c r="I84" s="788"/>
      <c r="J84" s="789">
        <v>21613.21</v>
      </c>
      <c r="K84" s="709"/>
      <c r="M84" s="709"/>
      <c r="N84" s="709"/>
      <c r="O84" s="751"/>
      <c r="P84" s="751"/>
      <c r="U84" s="710">
        <v>2686.09</v>
      </c>
      <c r="V84" s="1060">
        <f>+O83+U83</f>
        <v>191313.74000000014</v>
      </c>
    </row>
    <row r="85" spans="2:23" ht="11.25" customHeight="1">
      <c r="B85" s="784"/>
      <c r="C85" s="785"/>
      <c r="K85" s="751"/>
    </row>
    <row r="86" spans="2:23" ht="11.25" customHeight="1">
      <c r="B86" s="1714" t="s">
        <v>198</v>
      </c>
      <c r="C86" s="1714" t="s">
        <v>199</v>
      </c>
      <c r="D86" s="1716" t="s">
        <v>601</v>
      </c>
      <c r="E86" s="1712" t="s">
        <v>200</v>
      </c>
      <c r="F86" s="1713"/>
      <c r="G86" s="1712" t="s">
        <v>201</v>
      </c>
      <c r="H86" s="1713"/>
      <c r="I86" s="1678" t="s">
        <v>202</v>
      </c>
      <c r="J86" s="1680"/>
      <c r="K86" s="1685" t="s">
        <v>203</v>
      </c>
      <c r="L86" s="1678" t="s">
        <v>204</v>
      </c>
      <c r="M86" s="1680"/>
      <c r="N86" s="1678" t="s">
        <v>423</v>
      </c>
      <c r="O86" s="1680"/>
      <c r="Q86" s="1695" t="s">
        <v>205</v>
      </c>
      <c r="R86" s="1696"/>
      <c r="S86" s="1697"/>
      <c r="T86" s="710"/>
      <c r="U86" s="1695" t="s">
        <v>331</v>
      </c>
      <c r="V86" s="1696"/>
      <c r="W86" s="1697"/>
    </row>
    <row r="87" spans="2:23" ht="21.75" customHeight="1">
      <c r="B87" s="1715"/>
      <c r="C87" s="1715"/>
      <c r="D87" s="1717"/>
      <c r="E87" s="1011" t="s">
        <v>206</v>
      </c>
      <c r="F87" s="1012" t="s">
        <v>207</v>
      </c>
      <c r="G87" s="1011" t="s">
        <v>452</v>
      </c>
      <c r="H87" s="1012" t="s">
        <v>208</v>
      </c>
      <c r="I87" s="717" t="s">
        <v>452</v>
      </c>
      <c r="J87" s="718" t="s">
        <v>208</v>
      </c>
      <c r="K87" s="1686"/>
      <c r="L87" s="717" t="s">
        <v>467</v>
      </c>
      <c r="M87" s="718" t="s">
        <v>468</v>
      </c>
      <c r="N87" s="717" t="s">
        <v>209</v>
      </c>
      <c r="O87" s="718" t="s">
        <v>210</v>
      </c>
      <c r="Q87" s="954" t="s">
        <v>211</v>
      </c>
      <c r="R87" s="978" t="s">
        <v>394</v>
      </c>
      <c r="S87" s="979" t="s">
        <v>451</v>
      </c>
      <c r="T87" s="710"/>
      <c r="U87" s="954" t="s">
        <v>211</v>
      </c>
      <c r="V87" s="978" t="s">
        <v>394</v>
      </c>
      <c r="W87" s="979" t="s">
        <v>451</v>
      </c>
    </row>
    <row r="88" spans="2:23" ht="11.25" customHeight="1">
      <c r="B88" s="722" t="s">
        <v>183</v>
      </c>
      <c r="C88" s="728"/>
      <c r="D88" s="724"/>
      <c r="E88" s="730"/>
      <c r="G88" s="726"/>
      <c r="H88" s="727"/>
      <c r="I88" s="726"/>
      <c r="J88" s="728"/>
      <c r="K88" s="729"/>
      <c r="L88" s="724"/>
      <c r="M88" s="725"/>
      <c r="N88" s="730"/>
      <c r="O88" s="728"/>
      <c r="Q88" s="957"/>
      <c r="R88" s="980"/>
      <c r="S88" s="981"/>
      <c r="T88" s="710"/>
      <c r="U88" s="957"/>
      <c r="V88" s="980"/>
      <c r="W88" s="981"/>
    </row>
    <row r="89" spans="2:23" ht="11.25" customHeight="1">
      <c r="B89" s="722" t="s">
        <v>212</v>
      </c>
      <c r="C89" s="733" t="s">
        <v>940</v>
      </c>
      <c r="D89" s="724"/>
      <c r="E89" s="730"/>
      <c r="F89" s="802"/>
      <c r="G89" s="726"/>
      <c r="H89" s="727"/>
      <c r="I89" s="726"/>
      <c r="J89" s="727"/>
      <c r="K89" s="729"/>
      <c r="L89" s="724"/>
      <c r="M89" s="725"/>
      <c r="N89" s="730"/>
      <c r="O89" s="728"/>
      <c r="Q89" s="960"/>
      <c r="R89" s="982"/>
      <c r="S89" s="981"/>
      <c r="T89" s="710"/>
      <c r="U89" s="960">
        <v>-88.71</v>
      </c>
      <c r="V89" s="982">
        <f>+U89</f>
        <v>-88.71</v>
      </c>
      <c r="W89" s="981">
        <v>698292.82</v>
      </c>
    </row>
    <row r="90" spans="2:23" ht="11.25" customHeight="1">
      <c r="B90" s="796" t="s">
        <v>1182</v>
      </c>
      <c r="C90" s="1023" t="s">
        <v>1774</v>
      </c>
      <c r="D90" s="738" t="s">
        <v>434</v>
      </c>
      <c r="E90" s="739">
        <v>1</v>
      </c>
      <c r="F90" s="740">
        <v>2E-3</v>
      </c>
      <c r="G90" s="797">
        <v>175666.9</v>
      </c>
      <c r="H90" s="742">
        <f t="shared" ref="H90:H101" si="23">+ROUND(E90*F90*G90,2)</f>
        <v>351.33</v>
      </c>
      <c r="I90" s="743">
        <f>LOOKUP(B90,valoriz!$A$13:$A$242,valoriz!I$13:I$242)</f>
        <v>0</v>
      </c>
      <c r="J90" s="744">
        <f t="shared" ref="J90:J101" si="24">+ROUND(E90*F90*I90,2)</f>
        <v>0</v>
      </c>
      <c r="K90" s="745">
        <v>10</v>
      </c>
      <c r="L90" s="746">
        <f t="shared" ref="L90:L101" si="25">D$15</f>
        <v>456.88</v>
      </c>
      <c r="M90" s="747">
        <f t="shared" ref="M90:M101" si="26">D$14</f>
        <v>450.08</v>
      </c>
      <c r="N90" s="748">
        <f>+ROUND(J90*K90*M$16,2)</f>
        <v>0</v>
      </c>
      <c r="O90" s="744">
        <f t="shared" ref="O90:O101" si="27">+ROUND(J90*K90*L90*M$16/M90,2)</f>
        <v>0</v>
      </c>
      <c r="Q90" s="960">
        <v>233495.61</v>
      </c>
      <c r="R90" s="983">
        <f>+J90+Q90</f>
        <v>233495.61</v>
      </c>
      <c r="S90" s="984">
        <f t="shared" ref="S90:S101" si="28">+H90-R90</f>
        <v>-233144.28</v>
      </c>
      <c r="T90" s="710"/>
      <c r="U90" s="985">
        <f t="shared" ref="U90:V101" si="29">+ROUND(Q90*$K90*$L90/$M90,2)</f>
        <v>2370233.61</v>
      </c>
      <c r="V90" s="986">
        <f t="shared" si="29"/>
        <v>2370233.61</v>
      </c>
      <c r="W90" s="987"/>
    </row>
    <row r="91" spans="2:23" ht="11.25" customHeight="1">
      <c r="B91" s="796" t="s">
        <v>1185</v>
      </c>
      <c r="C91" s="1023" t="s">
        <v>1775</v>
      </c>
      <c r="D91" s="738" t="s">
        <v>432</v>
      </c>
      <c r="E91" s="739">
        <v>1</v>
      </c>
      <c r="F91" s="740">
        <v>0.18600000000000003</v>
      </c>
      <c r="G91" s="797">
        <v>2.2000000000000002</v>
      </c>
      <c r="H91" s="742">
        <f t="shared" si="23"/>
        <v>0.41</v>
      </c>
      <c r="I91" s="743">
        <f>LOOKUP(B91,valoriz!$A$13:$A$242,valoriz!I$13:I$242)</f>
        <v>0</v>
      </c>
      <c r="J91" s="744">
        <f t="shared" si="24"/>
        <v>0</v>
      </c>
      <c r="K91" s="745">
        <f t="shared" ref="K91:K101" si="30">+K90</f>
        <v>10</v>
      </c>
      <c r="L91" s="746">
        <f t="shared" si="25"/>
        <v>456.88</v>
      </c>
      <c r="M91" s="747">
        <f t="shared" si="26"/>
        <v>450.08</v>
      </c>
      <c r="N91" s="748">
        <f t="shared" ref="N91:N101" si="31">+ROUND(J91*K91*M$16,2)</f>
        <v>0</v>
      </c>
      <c r="O91" s="744">
        <f t="shared" si="27"/>
        <v>0</v>
      </c>
      <c r="Q91" s="960">
        <v>1443.75</v>
      </c>
      <c r="R91" s="983">
        <f t="shared" ref="R91:R101" si="32">+J91+Q91</f>
        <v>1443.75</v>
      </c>
      <c r="S91" s="984">
        <f t="shared" si="28"/>
        <v>-1443.34</v>
      </c>
      <c r="T91" s="710"/>
      <c r="U91" s="985">
        <f t="shared" si="29"/>
        <v>14655.63</v>
      </c>
      <c r="V91" s="986">
        <f t="shared" si="29"/>
        <v>14655.63</v>
      </c>
      <c r="W91" s="987"/>
    </row>
    <row r="92" spans="2:23" ht="11.25" customHeight="1">
      <c r="B92" s="796" t="s">
        <v>1186</v>
      </c>
      <c r="C92" s="1023" t="s">
        <v>1776</v>
      </c>
      <c r="D92" s="738" t="s">
        <v>432</v>
      </c>
      <c r="E92" s="739">
        <v>1</v>
      </c>
      <c r="F92" s="740">
        <v>0.18600000000000003</v>
      </c>
      <c r="G92" s="797">
        <v>4</v>
      </c>
      <c r="H92" s="742">
        <f t="shared" si="23"/>
        <v>0.74</v>
      </c>
      <c r="I92" s="743">
        <f>LOOKUP(B92,valoriz!$A$13:$A$242,valoriz!I$13:I$242)</f>
        <v>0</v>
      </c>
      <c r="J92" s="744">
        <f t="shared" si="24"/>
        <v>0</v>
      </c>
      <c r="K92" s="745">
        <f t="shared" si="30"/>
        <v>10</v>
      </c>
      <c r="L92" s="746">
        <f t="shared" si="25"/>
        <v>456.88</v>
      </c>
      <c r="M92" s="747">
        <f t="shared" si="26"/>
        <v>450.08</v>
      </c>
      <c r="N92" s="748">
        <f t="shared" si="31"/>
        <v>0</v>
      </c>
      <c r="O92" s="744">
        <f t="shared" si="27"/>
        <v>0</v>
      </c>
      <c r="Q92" s="960">
        <v>0</v>
      </c>
      <c r="R92" s="983">
        <f t="shared" si="32"/>
        <v>0</v>
      </c>
      <c r="S92" s="984">
        <f t="shared" si="28"/>
        <v>0.74</v>
      </c>
      <c r="T92" s="710"/>
      <c r="U92" s="985">
        <f t="shared" si="29"/>
        <v>0</v>
      </c>
      <c r="V92" s="986">
        <f t="shared" si="29"/>
        <v>0</v>
      </c>
      <c r="W92" s="987"/>
    </row>
    <row r="93" spans="2:23" ht="11.25" customHeight="1">
      <c r="B93" s="796" t="s">
        <v>1187</v>
      </c>
      <c r="C93" s="1023" t="s">
        <v>1777</v>
      </c>
      <c r="D93" s="738" t="s">
        <v>432</v>
      </c>
      <c r="E93" s="739">
        <v>1</v>
      </c>
      <c r="F93" s="740">
        <v>0.18600000000000003</v>
      </c>
      <c r="G93" s="797">
        <v>2.25</v>
      </c>
      <c r="H93" s="742">
        <f t="shared" si="23"/>
        <v>0.42</v>
      </c>
      <c r="I93" s="743">
        <f>LOOKUP(B93,valoriz!$A$13:$A$242,valoriz!I$13:I$242)</f>
        <v>0</v>
      </c>
      <c r="J93" s="744">
        <f t="shared" si="24"/>
        <v>0</v>
      </c>
      <c r="K93" s="745">
        <f t="shared" si="30"/>
        <v>10</v>
      </c>
      <c r="L93" s="746">
        <f t="shared" si="25"/>
        <v>456.88</v>
      </c>
      <c r="M93" s="747">
        <f t="shared" si="26"/>
        <v>450.08</v>
      </c>
      <c r="N93" s="748">
        <f t="shared" si="31"/>
        <v>0</v>
      </c>
      <c r="O93" s="744">
        <f t="shared" si="27"/>
        <v>0</v>
      </c>
      <c r="Q93" s="960">
        <v>0</v>
      </c>
      <c r="R93" s="983">
        <f t="shared" si="32"/>
        <v>0</v>
      </c>
      <c r="S93" s="984">
        <f t="shared" si="28"/>
        <v>0.42</v>
      </c>
      <c r="T93" s="710"/>
      <c r="U93" s="985">
        <f t="shared" si="29"/>
        <v>0</v>
      </c>
      <c r="V93" s="986">
        <f t="shared" si="29"/>
        <v>0</v>
      </c>
      <c r="W93" s="987"/>
    </row>
    <row r="94" spans="2:23" ht="11.25" customHeight="1">
      <c r="B94" s="796" t="s">
        <v>1190</v>
      </c>
      <c r="C94" s="1023" t="s">
        <v>1764</v>
      </c>
      <c r="D94" s="738" t="s">
        <v>432</v>
      </c>
      <c r="E94" s="739">
        <v>1</v>
      </c>
      <c r="F94" s="740">
        <v>0.18600000000000003</v>
      </c>
      <c r="G94" s="797">
        <v>2.7</v>
      </c>
      <c r="H94" s="742">
        <f t="shared" si="23"/>
        <v>0.5</v>
      </c>
      <c r="I94" s="743">
        <f>LOOKUP(B94,valoriz!$A$13:$A$242,valoriz!I$13:I$242)</f>
        <v>0</v>
      </c>
      <c r="J94" s="744">
        <f t="shared" si="24"/>
        <v>0</v>
      </c>
      <c r="K94" s="745">
        <f t="shared" si="30"/>
        <v>10</v>
      </c>
      <c r="L94" s="746">
        <f t="shared" si="25"/>
        <v>456.88</v>
      </c>
      <c r="M94" s="747">
        <f t="shared" si="26"/>
        <v>450.08</v>
      </c>
      <c r="N94" s="748">
        <f t="shared" si="31"/>
        <v>0</v>
      </c>
      <c r="O94" s="744">
        <f t="shared" si="27"/>
        <v>0</v>
      </c>
      <c r="Q94" s="960">
        <v>0</v>
      </c>
      <c r="R94" s="983">
        <f t="shared" si="32"/>
        <v>0</v>
      </c>
      <c r="S94" s="984">
        <f t="shared" si="28"/>
        <v>0.5</v>
      </c>
      <c r="T94" s="710"/>
      <c r="U94" s="985">
        <f t="shared" si="29"/>
        <v>0</v>
      </c>
      <c r="V94" s="986">
        <f t="shared" si="29"/>
        <v>0</v>
      </c>
      <c r="W94" s="987"/>
    </row>
    <row r="95" spans="2:23" ht="11.25" customHeight="1">
      <c r="B95" s="796" t="s">
        <v>1199</v>
      </c>
      <c r="C95" s="1023" t="s">
        <v>1767</v>
      </c>
      <c r="D95" s="738" t="s">
        <v>432</v>
      </c>
      <c r="E95" s="739">
        <v>1</v>
      </c>
      <c r="F95" s="740">
        <v>0.187</v>
      </c>
      <c r="G95" s="797">
        <v>1813.24</v>
      </c>
      <c r="H95" s="742">
        <f t="shared" si="23"/>
        <v>339.08</v>
      </c>
      <c r="I95" s="743">
        <f>LOOKUP(B95,valoriz!$A$13:$A$242,valoriz!I$13:I$242)</f>
        <v>0</v>
      </c>
      <c r="J95" s="744">
        <f t="shared" si="24"/>
        <v>0</v>
      </c>
      <c r="K95" s="745">
        <f t="shared" si="30"/>
        <v>10</v>
      </c>
      <c r="L95" s="746">
        <f t="shared" si="25"/>
        <v>456.88</v>
      </c>
      <c r="M95" s="747">
        <f t="shared" si="26"/>
        <v>450.08</v>
      </c>
      <c r="N95" s="748">
        <f t="shared" si="31"/>
        <v>0</v>
      </c>
      <c r="O95" s="744">
        <f t="shared" si="27"/>
        <v>0</v>
      </c>
      <c r="Q95" s="960">
        <v>0</v>
      </c>
      <c r="R95" s="983">
        <f t="shared" si="32"/>
        <v>0</v>
      </c>
      <c r="S95" s="984">
        <f t="shared" si="28"/>
        <v>339.08</v>
      </c>
      <c r="T95" s="710"/>
      <c r="U95" s="985">
        <f t="shared" si="29"/>
        <v>0</v>
      </c>
      <c r="V95" s="986">
        <f t="shared" si="29"/>
        <v>0</v>
      </c>
      <c r="W95" s="987"/>
    </row>
    <row r="96" spans="2:23" ht="11.25" customHeight="1">
      <c r="B96" s="796" t="s">
        <v>1205</v>
      </c>
      <c r="C96" s="1023" t="s">
        <v>1767</v>
      </c>
      <c r="D96" s="738" t="s">
        <v>432</v>
      </c>
      <c r="E96" s="739">
        <v>1</v>
      </c>
      <c r="F96" s="740">
        <v>0.187</v>
      </c>
      <c r="G96" s="797">
        <v>424.45</v>
      </c>
      <c r="H96" s="742">
        <f t="shared" si="23"/>
        <v>79.37</v>
      </c>
      <c r="I96" s="743">
        <f>LOOKUP(B96,valoriz!$A$13:$A$242,valoriz!I$13:I$242)</f>
        <v>0</v>
      </c>
      <c r="J96" s="744">
        <f t="shared" si="24"/>
        <v>0</v>
      </c>
      <c r="K96" s="745">
        <f t="shared" si="30"/>
        <v>10</v>
      </c>
      <c r="L96" s="746">
        <f t="shared" si="25"/>
        <v>456.88</v>
      </c>
      <c r="M96" s="747">
        <f t="shared" si="26"/>
        <v>450.08</v>
      </c>
      <c r="N96" s="748">
        <f t="shared" si="31"/>
        <v>0</v>
      </c>
      <c r="O96" s="744">
        <f t="shared" si="27"/>
        <v>0</v>
      </c>
      <c r="Q96" s="960">
        <v>0</v>
      </c>
      <c r="R96" s="983">
        <f t="shared" si="32"/>
        <v>0</v>
      </c>
      <c r="S96" s="984">
        <f t="shared" si="28"/>
        <v>79.37</v>
      </c>
      <c r="T96" s="710"/>
      <c r="U96" s="985">
        <f t="shared" si="29"/>
        <v>0</v>
      </c>
      <c r="V96" s="986">
        <f t="shared" si="29"/>
        <v>0</v>
      </c>
      <c r="W96" s="987"/>
    </row>
    <row r="97" spans="2:23" ht="11.25" customHeight="1">
      <c r="B97" s="796" t="s">
        <v>1211</v>
      </c>
      <c r="C97" s="1023" t="s">
        <v>1768</v>
      </c>
      <c r="D97" s="738" t="s">
        <v>432</v>
      </c>
      <c r="E97" s="739">
        <v>1</v>
      </c>
      <c r="F97" s="740">
        <v>0.187</v>
      </c>
      <c r="G97" s="797">
        <v>1356.15</v>
      </c>
      <c r="H97" s="742">
        <f t="shared" si="23"/>
        <v>253.6</v>
      </c>
      <c r="I97" s="743">
        <f>LOOKUP(B97,valoriz!$A$13:$A$242,valoriz!I$13:I$242)</f>
        <v>0</v>
      </c>
      <c r="J97" s="744">
        <f t="shared" si="24"/>
        <v>0</v>
      </c>
      <c r="K97" s="745">
        <f t="shared" si="30"/>
        <v>10</v>
      </c>
      <c r="L97" s="746">
        <f t="shared" si="25"/>
        <v>456.88</v>
      </c>
      <c r="M97" s="747">
        <f t="shared" si="26"/>
        <v>450.08</v>
      </c>
      <c r="N97" s="748">
        <f t="shared" si="31"/>
        <v>0</v>
      </c>
      <c r="O97" s="744">
        <f t="shared" si="27"/>
        <v>0</v>
      </c>
      <c r="Q97" s="960">
        <v>0</v>
      </c>
      <c r="R97" s="983">
        <f t="shared" si="32"/>
        <v>0</v>
      </c>
      <c r="S97" s="984">
        <f t="shared" si="28"/>
        <v>253.6</v>
      </c>
      <c r="T97" s="710"/>
      <c r="U97" s="985">
        <f t="shared" si="29"/>
        <v>0</v>
      </c>
      <c r="V97" s="986">
        <f t="shared" si="29"/>
        <v>0</v>
      </c>
      <c r="W97" s="987"/>
    </row>
    <row r="98" spans="2:23" ht="11.25" customHeight="1">
      <c r="B98" s="796" t="s">
        <v>1217</v>
      </c>
      <c r="C98" s="1023" t="s">
        <v>1767</v>
      </c>
      <c r="D98" s="738" t="s">
        <v>432</v>
      </c>
      <c r="E98" s="739">
        <v>1</v>
      </c>
      <c r="F98" s="740">
        <v>0.187</v>
      </c>
      <c r="G98" s="797">
        <v>499.7</v>
      </c>
      <c r="H98" s="742">
        <f t="shared" si="23"/>
        <v>93.44</v>
      </c>
      <c r="I98" s="743">
        <f>LOOKUP(B98,valoriz!$A$13:$A$242,valoriz!I$13:I$242)</f>
        <v>0</v>
      </c>
      <c r="J98" s="744">
        <f t="shared" si="24"/>
        <v>0</v>
      </c>
      <c r="K98" s="745">
        <f t="shared" si="30"/>
        <v>10</v>
      </c>
      <c r="L98" s="746">
        <f t="shared" si="25"/>
        <v>456.88</v>
      </c>
      <c r="M98" s="747">
        <f t="shared" si="26"/>
        <v>450.08</v>
      </c>
      <c r="N98" s="748">
        <f t="shared" si="31"/>
        <v>0</v>
      </c>
      <c r="O98" s="744">
        <f t="shared" si="27"/>
        <v>0</v>
      </c>
      <c r="Q98" s="960">
        <v>0</v>
      </c>
      <c r="R98" s="983">
        <f t="shared" si="32"/>
        <v>0</v>
      </c>
      <c r="S98" s="984">
        <f t="shared" si="28"/>
        <v>93.44</v>
      </c>
      <c r="T98" s="710"/>
      <c r="U98" s="985">
        <f t="shared" si="29"/>
        <v>0</v>
      </c>
      <c r="V98" s="986">
        <f t="shared" si="29"/>
        <v>0</v>
      </c>
      <c r="W98" s="987"/>
    </row>
    <row r="99" spans="2:23" ht="11.25" customHeight="1">
      <c r="B99" s="796" t="s">
        <v>1225</v>
      </c>
      <c r="C99" s="1023" t="s">
        <v>1771</v>
      </c>
      <c r="D99" s="738" t="s">
        <v>432</v>
      </c>
      <c r="E99" s="739">
        <v>1</v>
      </c>
      <c r="F99" s="740">
        <v>0.187</v>
      </c>
      <c r="G99" s="797">
        <v>2970.52</v>
      </c>
      <c r="H99" s="742">
        <f t="shared" si="23"/>
        <v>555.49</v>
      </c>
      <c r="I99" s="743">
        <f>LOOKUP(B99,valoriz!$A$13:$A$242,valoriz!I$13:I$242)</f>
        <v>0</v>
      </c>
      <c r="J99" s="744">
        <f t="shared" si="24"/>
        <v>0</v>
      </c>
      <c r="K99" s="745">
        <f t="shared" si="30"/>
        <v>10</v>
      </c>
      <c r="L99" s="746">
        <f t="shared" si="25"/>
        <v>456.88</v>
      </c>
      <c r="M99" s="747">
        <f t="shared" si="26"/>
        <v>450.08</v>
      </c>
      <c r="N99" s="748">
        <f t="shared" si="31"/>
        <v>0</v>
      </c>
      <c r="O99" s="744">
        <f t="shared" si="27"/>
        <v>0</v>
      </c>
      <c r="Q99" s="960">
        <v>107.1</v>
      </c>
      <c r="R99" s="983">
        <f t="shared" si="32"/>
        <v>107.1</v>
      </c>
      <c r="S99" s="984">
        <f t="shared" si="28"/>
        <v>448.39</v>
      </c>
      <c r="T99" s="710"/>
      <c r="U99" s="985">
        <f t="shared" si="29"/>
        <v>1087.18</v>
      </c>
      <c r="V99" s="986">
        <f t="shared" si="29"/>
        <v>1087.18</v>
      </c>
      <c r="W99" s="987"/>
    </row>
    <row r="100" spans="2:23" ht="11.25" customHeight="1">
      <c r="B100" s="796" t="s">
        <v>1177</v>
      </c>
      <c r="C100" s="1023" t="s">
        <v>1763</v>
      </c>
      <c r="D100" s="738" t="s">
        <v>432</v>
      </c>
      <c r="E100" s="739">
        <v>1</v>
      </c>
      <c r="F100" s="740">
        <v>0.65099999999999991</v>
      </c>
      <c r="G100" s="797">
        <v>231180.81</v>
      </c>
      <c r="H100" s="742">
        <f t="shared" si="23"/>
        <v>150498.71</v>
      </c>
      <c r="I100" s="743">
        <f>LOOKUP(B100,valoriz!$A$13:$A$242,valoriz!I$13:I$242)</f>
        <v>0</v>
      </c>
      <c r="J100" s="744">
        <f t="shared" si="24"/>
        <v>0</v>
      </c>
      <c r="K100" s="745">
        <f t="shared" si="30"/>
        <v>10</v>
      </c>
      <c r="L100" s="746">
        <f t="shared" si="25"/>
        <v>456.88</v>
      </c>
      <c r="M100" s="747">
        <f t="shared" si="26"/>
        <v>450.08</v>
      </c>
      <c r="N100" s="748">
        <f t="shared" si="31"/>
        <v>0</v>
      </c>
      <c r="O100" s="744">
        <f t="shared" si="27"/>
        <v>0</v>
      </c>
      <c r="Q100" s="960">
        <v>1268.44</v>
      </c>
      <c r="R100" s="983">
        <f t="shared" si="32"/>
        <v>1268.44</v>
      </c>
      <c r="S100" s="984">
        <f t="shared" si="28"/>
        <v>149230.26999999999</v>
      </c>
      <c r="T100" s="710"/>
      <c r="U100" s="985">
        <f t="shared" si="29"/>
        <v>12876.04</v>
      </c>
      <c r="V100" s="986">
        <f t="shared" si="29"/>
        <v>12876.04</v>
      </c>
      <c r="W100" s="987"/>
    </row>
    <row r="101" spans="2:23" ht="11.25" customHeight="1">
      <c r="B101" s="796" t="s">
        <v>1178</v>
      </c>
      <c r="C101" s="1023" t="s">
        <v>1782</v>
      </c>
      <c r="D101" s="738" t="s">
        <v>432</v>
      </c>
      <c r="E101" s="739">
        <v>1</v>
      </c>
      <c r="F101" s="740">
        <v>0.65099999999999991</v>
      </c>
      <c r="G101" s="797">
        <v>26232.41</v>
      </c>
      <c r="H101" s="742">
        <f t="shared" si="23"/>
        <v>17077.3</v>
      </c>
      <c r="I101" s="743">
        <f>LOOKUP(B101,valoriz!$A$13:$A$242,valoriz!I$13:I$242)</f>
        <v>0</v>
      </c>
      <c r="J101" s="744">
        <f t="shared" si="24"/>
        <v>0</v>
      </c>
      <c r="K101" s="745">
        <f t="shared" si="30"/>
        <v>10</v>
      </c>
      <c r="L101" s="746">
        <f t="shared" si="25"/>
        <v>456.88</v>
      </c>
      <c r="M101" s="747">
        <f t="shared" si="26"/>
        <v>450.08</v>
      </c>
      <c r="N101" s="748">
        <f t="shared" si="31"/>
        <v>0</v>
      </c>
      <c r="O101" s="744">
        <f t="shared" si="27"/>
        <v>0</v>
      </c>
      <c r="Q101" s="960">
        <v>749.7</v>
      </c>
      <c r="R101" s="983">
        <f t="shared" si="32"/>
        <v>749.7</v>
      </c>
      <c r="S101" s="984">
        <f t="shared" si="28"/>
        <v>16327.599999999999</v>
      </c>
      <c r="T101" s="710"/>
      <c r="U101" s="985">
        <f t="shared" si="29"/>
        <v>7610.27</v>
      </c>
      <c r="V101" s="986">
        <f t="shared" si="29"/>
        <v>7610.27</v>
      </c>
      <c r="W101" s="987"/>
    </row>
    <row r="102" spans="2:23" ht="11.25" customHeight="1" thickBot="1">
      <c r="B102" s="762"/>
      <c r="C102" s="1024"/>
      <c r="D102" s="764"/>
      <c r="E102" s="765"/>
      <c r="F102" s="766"/>
      <c r="G102" s="799"/>
      <c r="H102" s="800"/>
      <c r="I102" s="767"/>
      <c r="J102" s="769"/>
      <c r="K102" s="770"/>
      <c r="L102" s="771"/>
      <c r="M102" s="772"/>
      <c r="N102" s="773"/>
      <c r="O102" s="769"/>
      <c r="Q102" s="968"/>
      <c r="R102" s="988"/>
      <c r="S102" s="989"/>
      <c r="T102" s="710"/>
      <c r="U102" s="968"/>
      <c r="V102" s="988"/>
      <c r="W102" s="989"/>
    </row>
    <row r="103" spans="2:23" ht="11.25" customHeight="1">
      <c r="B103" s="775"/>
      <c r="C103" s="776"/>
      <c r="D103" s="777"/>
      <c r="E103" s="777"/>
      <c r="F103" s="778"/>
      <c r="G103" s="779"/>
      <c r="H103" s="780">
        <f>SUM(H90:H102)</f>
        <v>169250.38999999998</v>
      </c>
      <c r="I103" s="779"/>
      <c r="J103" s="780">
        <f>SUM(J90:J102)</f>
        <v>0</v>
      </c>
      <c r="K103" s="781"/>
      <c r="L103" s="777"/>
      <c r="M103" s="946" t="s">
        <v>171</v>
      </c>
      <c r="N103" s="782">
        <f>SUM(N90:N102)</f>
        <v>0</v>
      </c>
      <c r="O103" s="783">
        <f>SUM(O90:O102)</f>
        <v>0</v>
      </c>
      <c r="Q103" s="1051">
        <f>SUM(Q90:Q102)</f>
        <v>237064.6</v>
      </c>
      <c r="R103" s="1051">
        <f>SUM(R90:R102)</f>
        <v>237064.6</v>
      </c>
      <c r="S103" s="1052">
        <f>SUM(S90:S102)</f>
        <v>-67814.209999999992</v>
      </c>
      <c r="T103" s="964">
        <f>+U104-U103</f>
        <v>-2045157.76</v>
      </c>
      <c r="U103" s="1076">
        <f>SUM(U89:U102)</f>
        <v>2406374.02</v>
      </c>
      <c r="V103" s="1077">
        <f>SUM(V89:V102)</f>
        <v>2406374.02</v>
      </c>
      <c r="W103" s="1078">
        <f>+W89-V104</f>
        <v>-1708081.2000000002</v>
      </c>
    </row>
    <row r="104" spans="2:23" ht="11.25" customHeight="1">
      <c r="B104" s="784"/>
      <c r="C104" s="785"/>
      <c r="G104" s="786"/>
      <c r="H104" s="787" t="s">
        <v>214</v>
      </c>
      <c r="I104" s="788"/>
      <c r="J104" s="789">
        <v>164567.14000000001</v>
      </c>
      <c r="K104" s="751"/>
      <c r="Q104" s="710"/>
      <c r="R104" s="710"/>
      <c r="S104" s="710"/>
      <c r="T104" s="710"/>
      <c r="U104" s="710">
        <v>361216.26</v>
      </c>
      <c r="V104" s="964">
        <f>+O103+U103</f>
        <v>2406374.02</v>
      </c>
      <c r="W104" s="710"/>
    </row>
    <row r="105" spans="2:23" ht="11.25" customHeight="1">
      <c r="B105" s="784"/>
      <c r="C105" s="785"/>
      <c r="K105" s="751"/>
    </row>
    <row r="106" spans="2:23" ht="11.25" customHeight="1">
      <c r="B106" s="1714" t="s">
        <v>198</v>
      </c>
      <c r="C106" s="1714" t="s">
        <v>199</v>
      </c>
      <c r="D106" s="1716" t="s">
        <v>601</v>
      </c>
      <c r="E106" s="1712" t="s">
        <v>200</v>
      </c>
      <c r="F106" s="1713"/>
      <c r="G106" s="1712" t="s">
        <v>201</v>
      </c>
      <c r="H106" s="1713"/>
      <c r="I106" s="1678" t="s">
        <v>202</v>
      </c>
      <c r="J106" s="1680"/>
      <c r="K106" s="1685" t="s">
        <v>203</v>
      </c>
      <c r="L106" s="1678" t="s">
        <v>204</v>
      </c>
      <c r="M106" s="1680"/>
      <c r="N106" s="1678" t="s">
        <v>423</v>
      </c>
      <c r="O106" s="1680"/>
      <c r="Q106" s="1695" t="s">
        <v>205</v>
      </c>
      <c r="R106" s="1696"/>
      <c r="S106" s="1697"/>
      <c r="T106" s="710"/>
      <c r="U106" s="1695" t="s">
        <v>331</v>
      </c>
      <c r="V106" s="1696"/>
      <c r="W106" s="1697"/>
    </row>
    <row r="107" spans="2:23" ht="21.75" customHeight="1">
      <c r="B107" s="1715"/>
      <c r="C107" s="1715"/>
      <c r="D107" s="1717"/>
      <c r="E107" s="1011" t="s">
        <v>206</v>
      </c>
      <c r="F107" s="1012" t="s">
        <v>207</v>
      </c>
      <c r="G107" s="1011" t="s">
        <v>452</v>
      </c>
      <c r="H107" s="1012" t="s">
        <v>208</v>
      </c>
      <c r="I107" s="717" t="s">
        <v>452</v>
      </c>
      <c r="J107" s="718" t="s">
        <v>208</v>
      </c>
      <c r="K107" s="1686"/>
      <c r="L107" s="717" t="s">
        <v>467</v>
      </c>
      <c r="M107" s="718" t="s">
        <v>468</v>
      </c>
      <c r="N107" s="717" t="s">
        <v>209</v>
      </c>
      <c r="O107" s="718" t="s">
        <v>210</v>
      </c>
      <c r="Q107" s="954" t="s">
        <v>211</v>
      </c>
      <c r="R107" s="978" t="s">
        <v>394</v>
      </c>
      <c r="S107" s="979" t="s">
        <v>451</v>
      </c>
      <c r="T107" s="710"/>
      <c r="U107" s="954" t="s">
        <v>211</v>
      </c>
      <c r="V107" s="978" t="s">
        <v>394</v>
      </c>
      <c r="W107" s="979" t="s">
        <v>451</v>
      </c>
    </row>
    <row r="108" spans="2:23" ht="11.25" customHeight="1">
      <c r="B108" s="722" t="s">
        <v>183</v>
      </c>
      <c r="C108" s="728"/>
      <c r="D108" s="724"/>
      <c r="E108" s="730"/>
      <c r="G108" s="726"/>
      <c r="H108" s="727"/>
      <c r="I108" s="726"/>
      <c r="J108" s="728"/>
      <c r="K108" s="729"/>
      <c r="L108" s="724"/>
      <c r="M108" s="725"/>
      <c r="N108" s="730"/>
      <c r="O108" s="728"/>
      <c r="Q108" s="957"/>
      <c r="R108" s="980"/>
      <c r="S108" s="981"/>
      <c r="T108" s="710"/>
      <c r="U108" s="957"/>
      <c r="V108" s="980"/>
      <c r="W108" s="981"/>
    </row>
    <row r="109" spans="2:23" ht="11.25" customHeight="1">
      <c r="B109" s="722" t="s">
        <v>212</v>
      </c>
      <c r="C109" s="733" t="s">
        <v>1323</v>
      </c>
      <c r="D109" s="724"/>
      <c r="E109" s="730"/>
      <c r="F109" s="802"/>
      <c r="G109" s="726"/>
      <c r="H109" s="727"/>
      <c r="I109" s="726"/>
      <c r="J109" s="727"/>
      <c r="K109" s="729"/>
      <c r="L109" s="724"/>
      <c r="M109" s="725"/>
      <c r="N109" s="730"/>
      <c r="O109" s="728"/>
      <c r="Q109" s="960"/>
      <c r="R109" s="982"/>
      <c r="S109" s="981"/>
      <c r="T109" s="710"/>
      <c r="U109" s="960">
        <v>-88.71</v>
      </c>
      <c r="V109" s="982">
        <f>+U109</f>
        <v>-88.71</v>
      </c>
      <c r="W109" s="981">
        <v>698292.82</v>
      </c>
    </row>
    <row r="110" spans="2:23" ht="11.25" customHeight="1">
      <c r="B110" s="796" t="s">
        <v>1222</v>
      </c>
      <c r="C110" s="1023" t="s">
        <v>1770</v>
      </c>
      <c r="D110" s="738" t="s">
        <v>432</v>
      </c>
      <c r="E110" s="739">
        <v>1</v>
      </c>
      <c r="F110" s="740">
        <v>0.70000000000000007</v>
      </c>
      <c r="G110" s="797">
        <v>3252.54</v>
      </c>
      <c r="H110" s="742">
        <f>+ROUND(E110*F110*G110,2)</f>
        <v>2276.7800000000002</v>
      </c>
      <c r="I110" s="743">
        <f>LOOKUP(B110,valoriz!$A$13:$A$242,valoriz!I$13:I$242)</f>
        <v>0</v>
      </c>
      <c r="J110" s="744">
        <f>+ROUND(E110*F110*I110,2)</f>
        <v>0</v>
      </c>
      <c r="K110" s="745">
        <v>100</v>
      </c>
      <c r="L110" s="746">
        <f>D$15</f>
        <v>456.88</v>
      </c>
      <c r="M110" s="747">
        <f>D$14</f>
        <v>450.08</v>
      </c>
      <c r="N110" s="748">
        <f>+ROUND(J110*K110*M$16,2)</f>
        <v>0</v>
      </c>
      <c r="O110" s="744">
        <f>+ROUND(J110*K110*L110*M$16/M110,2)</f>
        <v>0</v>
      </c>
      <c r="Q110" s="960">
        <v>233495.61</v>
      </c>
      <c r="R110" s="983">
        <f>+J110+Q110</f>
        <v>233495.61</v>
      </c>
      <c r="S110" s="984">
        <f>+H110-R110</f>
        <v>-231218.83</v>
      </c>
      <c r="T110" s="710"/>
      <c r="U110" s="985">
        <f t="shared" ref="U110:V112" si="33">+ROUND(Q110*$K110*$L110/$M110,2)</f>
        <v>23702336.100000001</v>
      </c>
      <c r="V110" s="986">
        <f t="shared" si="33"/>
        <v>23702336.100000001</v>
      </c>
      <c r="W110" s="987"/>
    </row>
    <row r="111" spans="2:23" ht="11.25" customHeight="1">
      <c r="B111" s="796" t="s">
        <v>1228</v>
      </c>
      <c r="C111" s="1023" t="s">
        <v>1783</v>
      </c>
      <c r="D111" s="738" t="s">
        <v>432</v>
      </c>
      <c r="E111" s="739">
        <v>1</v>
      </c>
      <c r="F111" s="740">
        <v>1.1000000000000001</v>
      </c>
      <c r="G111" s="797">
        <v>1585</v>
      </c>
      <c r="H111" s="742">
        <f>+ROUND(E111*F111*G111,2)</f>
        <v>1743.5</v>
      </c>
      <c r="I111" s="743">
        <f>LOOKUP(B111,valoriz!$A$13:$A$242,valoriz!I$13:I$242)</f>
        <v>0</v>
      </c>
      <c r="J111" s="744">
        <f>+ROUND(E111*F111*I111,2)</f>
        <v>0</v>
      </c>
      <c r="K111" s="745">
        <f>+K110</f>
        <v>100</v>
      </c>
      <c r="L111" s="746">
        <f>D$15</f>
        <v>456.88</v>
      </c>
      <c r="M111" s="747">
        <f>D$14</f>
        <v>450.08</v>
      </c>
      <c r="N111" s="748">
        <f>+ROUND(J111*K111*M$16,2)</f>
        <v>0</v>
      </c>
      <c r="O111" s="744">
        <f>+ROUND(J111*K111*L111*M$16/M111,2)</f>
        <v>0</v>
      </c>
      <c r="Q111" s="960">
        <v>1443.75</v>
      </c>
      <c r="R111" s="983">
        <f>+J111+Q111</f>
        <v>1443.75</v>
      </c>
      <c r="S111" s="984">
        <f>+H111-R111</f>
        <v>299.75</v>
      </c>
      <c r="T111" s="710"/>
      <c r="U111" s="985">
        <f t="shared" si="33"/>
        <v>146556.28</v>
      </c>
      <c r="V111" s="986">
        <f t="shared" si="33"/>
        <v>146556.28</v>
      </c>
      <c r="W111" s="987"/>
    </row>
    <row r="112" spans="2:23" ht="11.25" customHeight="1">
      <c r="B112" s="796" t="s">
        <v>1229</v>
      </c>
      <c r="C112" s="1023" t="s">
        <v>1784</v>
      </c>
      <c r="D112" s="738" t="s">
        <v>434</v>
      </c>
      <c r="E112" s="739">
        <v>1</v>
      </c>
      <c r="F112" s="740">
        <v>0.33</v>
      </c>
      <c r="G112" s="797">
        <v>210</v>
      </c>
      <c r="H112" s="742">
        <f>+ROUND(E112*F112*G112,2)</f>
        <v>69.3</v>
      </c>
      <c r="I112" s="743">
        <f>LOOKUP(B112,valoriz!$A$13:$A$242,valoriz!I$13:I$242)</f>
        <v>0</v>
      </c>
      <c r="J112" s="744">
        <f>+ROUND(E112*F112*I112,2)</f>
        <v>0</v>
      </c>
      <c r="K112" s="745">
        <f>+K111</f>
        <v>100</v>
      </c>
      <c r="L112" s="746">
        <f>D$15</f>
        <v>456.88</v>
      </c>
      <c r="M112" s="747">
        <f>D$14</f>
        <v>450.08</v>
      </c>
      <c r="N112" s="748">
        <f>+ROUND(J112*K112*M$16,2)</f>
        <v>0</v>
      </c>
      <c r="O112" s="744">
        <f>+ROUND(J112*K112*L112*M$16/M112,2)</f>
        <v>0</v>
      </c>
      <c r="Q112" s="960">
        <v>749.7</v>
      </c>
      <c r="R112" s="983">
        <f>+J112+Q112</f>
        <v>749.7</v>
      </c>
      <c r="S112" s="984">
        <f>+H112-R112</f>
        <v>-680.40000000000009</v>
      </c>
      <c r="T112" s="710"/>
      <c r="U112" s="985">
        <f t="shared" si="33"/>
        <v>76102.679999999993</v>
      </c>
      <c r="V112" s="986">
        <f t="shared" si="33"/>
        <v>76102.679999999993</v>
      </c>
      <c r="W112" s="987"/>
    </row>
    <row r="113" spans="2:23" ht="11.25" customHeight="1" thickBot="1">
      <c r="B113" s="762"/>
      <c r="C113" s="1024"/>
      <c r="D113" s="764"/>
      <c r="E113" s="765"/>
      <c r="F113" s="766"/>
      <c r="G113" s="799"/>
      <c r="H113" s="800"/>
      <c r="I113" s="767"/>
      <c r="J113" s="769"/>
      <c r="K113" s="770"/>
      <c r="L113" s="771"/>
      <c r="M113" s="772"/>
      <c r="N113" s="773"/>
      <c r="O113" s="769"/>
      <c r="Q113" s="968"/>
      <c r="R113" s="988"/>
      <c r="S113" s="989"/>
      <c r="T113" s="710"/>
      <c r="U113" s="968"/>
      <c r="V113" s="988"/>
      <c r="W113" s="989"/>
    </row>
    <row r="114" spans="2:23" ht="11.25" customHeight="1">
      <c r="B114" s="775"/>
      <c r="C114" s="776"/>
      <c r="D114" s="777"/>
      <c r="E114" s="777"/>
      <c r="F114" s="778"/>
      <c r="G114" s="779"/>
      <c r="H114" s="780">
        <f>SUM(H110:H113)</f>
        <v>4089.5800000000004</v>
      </c>
      <c r="I114" s="779"/>
      <c r="J114" s="780">
        <f>SUM(J110:J113)</f>
        <v>0</v>
      </c>
      <c r="K114" s="781"/>
      <c r="L114" s="777"/>
      <c r="M114" s="946" t="s">
        <v>171</v>
      </c>
      <c r="N114" s="782">
        <f>SUM(N110:N113)</f>
        <v>0</v>
      </c>
      <c r="O114" s="783">
        <f>SUM(O110:O113)</f>
        <v>0</v>
      </c>
      <c r="Q114" s="1051">
        <f>SUM(Q110:Q113)</f>
        <v>235689.06</v>
      </c>
      <c r="R114" s="1051">
        <f>SUM(R110:R113)</f>
        <v>235689.06</v>
      </c>
      <c r="S114" s="1052">
        <f>SUM(S110:S113)</f>
        <v>-231599.47999999998</v>
      </c>
      <c r="T114" s="964">
        <f>+U115-U114</f>
        <v>-23563690.09</v>
      </c>
      <c r="U114" s="1076">
        <f>SUM(U109:U113)</f>
        <v>23924906.350000001</v>
      </c>
      <c r="V114" s="1077">
        <f>SUM(V109:V113)</f>
        <v>23924906.350000001</v>
      </c>
      <c r="W114" s="1078">
        <f>+W109-V115</f>
        <v>-23226613.530000001</v>
      </c>
    </row>
    <row r="115" spans="2:23" ht="11.25" customHeight="1">
      <c r="B115" s="784"/>
      <c r="C115" s="785"/>
      <c r="G115" s="786"/>
      <c r="H115" s="787" t="s">
        <v>214</v>
      </c>
      <c r="I115" s="788"/>
      <c r="J115" s="789">
        <v>4042.15</v>
      </c>
      <c r="K115" s="751"/>
      <c r="Q115" s="710"/>
      <c r="R115" s="710"/>
      <c r="S115" s="710"/>
      <c r="T115" s="710"/>
      <c r="U115" s="710">
        <v>361216.26</v>
      </c>
      <c r="V115" s="964">
        <f>+O114+U114</f>
        <v>23924906.350000001</v>
      </c>
      <c r="W115" s="710"/>
    </row>
    <row r="116" spans="2:23" ht="11.25" customHeight="1">
      <c r="B116" s="784"/>
      <c r="C116" s="785"/>
      <c r="K116" s="751"/>
    </row>
    <row r="117" spans="2:23" ht="11.25" customHeight="1">
      <c r="B117" s="1714" t="s">
        <v>198</v>
      </c>
      <c r="C117" s="1714" t="s">
        <v>199</v>
      </c>
      <c r="D117" s="1716" t="s">
        <v>601</v>
      </c>
      <c r="E117" s="1712" t="s">
        <v>200</v>
      </c>
      <c r="F117" s="1713"/>
      <c r="G117" s="1712" t="s">
        <v>201</v>
      </c>
      <c r="H117" s="1713"/>
      <c r="I117" s="1678" t="s">
        <v>202</v>
      </c>
      <c r="J117" s="1680"/>
      <c r="K117" s="1685" t="s">
        <v>203</v>
      </c>
      <c r="L117" s="1678" t="s">
        <v>204</v>
      </c>
      <c r="M117" s="1680"/>
      <c r="N117" s="1678" t="s">
        <v>423</v>
      </c>
      <c r="O117" s="1680"/>
      <c r="Q117" s="1695" t="s">
        <v>205</v>
      </c>
      <c r="R117" s="1696"/>
      <c r="S117" s="1697"/>
      <c r="T117" s="710"/>
      <c r="U117" s="1695" t="s">
        <v>331</v>
      </c>
      <c r="V117" s="1696"/>
      <c r="W117" s="1697"/>
    </row>
    <row r="118" spans="2:23" ht="21.75" customHeight="1">
      <c r="B118" s="1715"/>
      <c r="C118" s="1715"/>
      <c r="D118" s="1717"/>
      <c r="E118" s="1011" t="s">
        <v>206</v>
      </c>
      <c r="F118" s="1012" t="s">
        <v>207</v>
      </c>
      <c r="G118" s="1011" t="s">
        <v>452</v>
      </c>
      <c r="H118" s="1012" t="s">
        <v>208</v>
      </c>
      <c r="I118" s="717" t="s">
        <v>452</v>
      </c>
      <c r="J118" s="718" t="s">
        <v>208</v>
      </c>
      <c r="K118" s="1686"/>
      <c r="L118" s="717" t="s">
        <v>467</v>
      </c>
      <c r="M118" s="718" t="s">
        <v>468</v>
      </c>
      <c r="N118" s="717" t="s">
        <v>209</v>
      </c>
      <c r="O118" s="718" t="s">
        <v>210</v>
      </c>
      <c r="Q118" s="954" t="s">
        <v>211</v>
      </c>
      <c r="R118" s="978" t="s">
        <v>394</v>
      </c>
      <c r="S118" s="979" t="s">
        <v>451</v>
      </c>
      <c r="T118" s="710"/>
      <c r="U118" s="954" t="s">
        <v>211</v>
      </c>
      <c r="V118" s="978" t="s">
        <v>394</v>
      </c>
      <c r="W118" s="979" t="s">
        <v>451</v>
      </c>
    </row>
    <row r="119" spans="2:23" ht="11.25" customHeight="1">
      <c r="B119" s="722" t="s">
        <v>183</v>
      </c>
      <c r="C119" s="728"/>
      <c r="D119" s="724"/>
      <c r="E119" s="730"/>
      <c r="G119" s="726"/>
      <c r="H119" s="727"/>
      <c r="I119" s="726"/>
      <c r="J119" s="728"/>
      <c r="K119" s="729"/>
      <c r="L119" s="724"/>
      <c r="M119" s="725"/>
      <c r="N119" s="730"/>
      <c r="O119" s="728"/>
      <c r="Q119" s="957"/>
      <c r="R119" s="980"/>
      <c r="S119" s="981"/>
      <c r="T119" s="710"/>
      <c r="U119" s="957"/>
      <c r="V119" s="980"/>
      <c r="W119" s="981"/>
    </row>
    <row r="120" spans="2:23" ht="11.25" customHeight="1">
      <c r="B120" s="722" t="s">
        <v>212</v>
      </c>
      <c r="C120" s="733" t="s">
        <v>1324</v>
      </c>
      <c r="D120" s="724"/>
      <c r="E120" s="730"/>
      <c r="F120" s="802"/>
      <c r="G120" s="726"/>
      <c r="H120" s="727"/>
      <c r="I120" s="726"/>
      <c r="J120" s="727"/>
      <c r="K120" s="729"/>
      <c r="L120" s="724"/>
      <c r="M120" s="725"/>
      <c r="N120" s="730"/>
      <c r="O120" s="728"/>
      <c r="Q120" s="960"/>
      <c r="R120" s="982"/>
      <c r="S120" s="981"/>
      <c r="T120" s="710"/>
      <c r="U120" s="960">
        <v>-88.71</v>
      </c>
      <c r="V120" s="982">
        <f>+U120</f>
        <v>-88.71</v>
      </c>
      <c r="W120" s="981">
        <v>698292.82</v>
      </c>
    </row>
    <row r="121" spans="2:23" ht="11.25" customHeight="1">
      <c r="B121" s="796" t="s">
        <v>1188</v>
      </c>
      <c r="C121" s="1023" t="s">
        <v>1778</v>
      </c>
      <c r="D121" s="738" t="s">
        <v>434</v>
      </c>
      <c r="E121" s="739">
        <v>1</v>
      </c>
      <c r="F121" s="740">
        <v>1</v>
      </c>
      <c r="G121" s="797">
        <v>297.5</v>
      </c>
      <c r="H121" s="742">
        <f t="shared" ref="H121:H126" si="34">+ROUND(E121*F121*G121,2)</f>
        <v>297.5</v>
      </c>
      <c r="I121" s="743">
        <f>LOOKUP(B121,valoriz!$A$13:$A$242,valoriz!I$13:I$242)</f>
        <v>0</v>
      </c>
      <c r="J121" s="744">
        <f t="shared" ref="J121:J126" si="35">+ROUND(E121*F121*I121,2)</f>
        <v>0</v>
      </c>
      <c r="K121" s="745">
        <v>50</v>
      </c>
      <c r="L121" s="746">
        <f t="shared" ref="L121:L126" si="36">D$15</f>
        <v>456.88</v>
      </c>
      <c r="M121" s="747">
        <f t="shared" ref="M121:M126" si="37">D$14</f>
        <v>450.08</v>
      </c>
      <c r="N121" s="748">
        <f t="shared" ref="N121:N126" si="38">+ROUND(J121*K121*M$16,2)</f>
        <v>0</v>
      </c>
      <c r="O121" s="744">
        <f t="shared" ref="O121:O126" si="39">+ROUND(J121*K121*L121*M$16/M121,2)</f>
        <v>0</v>
      </c>
      <c r="Q121" s="960">
        <v>233495.61</v>
      </c>
      <c r="R121" s="983">
        <f t="shared" ref="R121:R126" si="40">+J121+Q121</f>
        <v>233495.61</v>
      </c>
      <c r="S121" s="984">
        <f t="shared" ref="S121:S126" si="41">+H121-R121</f>
        <v>-233198.11</v>
      </c>
      <c r="T121" s="710"/>
      <c r="U121" s="985">
        <f t="shared" ref="U121:V126" si="42">+ROUND(Q121*$K121*$L121/$M121,2)</f>
        <v>11851168.050000001</v>
      </c>
      <c r="V121" s="986">
        <f t="shared" si="42"/>
        <v>11851168.050000001</v>
      </c>
      <c r="W121" s="987"/>
    </row>
    <row r="122" spans="2:23" ht="11.25" customHeight="1">
      <c r="B122" s="796" t="s">
        <v>1189</v>
      </c>
      <c r="C122" s="1023" t="s">
        <v>1779</v>
      </c>
      <c r="D122" s="738" t="s">
        <v>434</v>
      </c>
      <c r="E122" s="739">
        <v>1</v>
      </c>
      <c r="F122" s="740">
        <v>1</v>
      </c>
      <c r="G122" s="797">
        <v>70</v>
      </c>
      <c r="H122" s="742">
        <f t="shared" si="34"/>
        <v>70</v>
      </c>
      <c r="I122" s="743">
        <f>LOOKUP(B122,valoriz!$A$13:$A$242,valoriz!I$13:I$242)</f>
        <v>0</v>
      </c>
      <c r="J122" s="744">
        <f t="shared" si="35"/>
        <v>0</v>
      </c>
      <c r="K122" s="745">
        <v>50</v>
      </c>
      <c r="L122" s="746">
        <f t="shared" si="36"/>
        <v>456.88</v>
      </c>
      <c r="M122" s="747">
        <f t="shared" si="37"/>
        <v>450.08</v>
      </c>
      <c r="N122" s="748">
        <f t="shared" si="38"/>
        <v>0</v>
      </c>
      <c r="O122" s="744">
        <f t="shared" si="39"/>
        <v>0</v>
      </c>
      <c r="Q122" s="960">
        <v>1268.44</v>
      </c>
      <c r="R122" s="983">
        <f t="shared" si="40"/>
        <v>1268.44</v>
      </c>
      <c r="S122" s="984">
        <f t="shared" si="41"/>
        <v>-1198.44</v>
      </c>
      <c r="T122" s="710"/>
      <c r="U122" s="985">
        <f t="shared" si="42"/>
        <v>64380.21</v>
      </c>
      <c r="V122" s="986">
        <f t="shared" si="42"/>
        <v>64380.21</v>
      </c>
      <c r="W122" s="987"/>
    </row>
    <row r="123" spans="2:23" ht="11.25" customHeight="1">
      <c r="B123" s="796" t="s">
        <v>1198</v>
      </c>
      <c r="C123" s="1023" t="s">
        <v>1766</v>
      </c>
      <c r="D123" s="738" t="s">
        <v>434</v>
      </c>
      <c r="E123" s="739">
        <v>1</v>
      </c>
      <c r="F123" s="740">
        <v>1</v>
      </c>
      <c r="G123" s="797">
        <v>1763.12</v>
      </c>
      <c r="H123" s="742">
        <f t="shared" si="34"/>
        <v>1763.12</v>
      </c>
      <c r="I123" s="743">
        <f>LOOKUP(B123,valoriz!$A$13:$A$242,valoriz!I$13:I$242)</f>
        <v>0</v>
      </c>
      <c r="J123" s="744">
        <f>+ROUND(E123*F123*I123,2)</f>
        <v>0</v>
      </c>
      <c r="K123" s="745">
        <v>50</v>
      </c>
      <c r="L123" s="746">
        <f>D$15</f>
        <v>456.88</v>
      </c>
      <c r="M123" s="747">
        <f>D$14</f>
        <v>450.08</v>
      </c>
      <c r="N123" s="748">
        <f t="shared" si="38"/>
        <v>0</v>
      </c>
      <c r="O123" s="744">
        <f>+ROUND(J123*K123*L123*M$16/M123,2)</f>
        <v>0</v>
      </c>
      <c r="Q123" s="960">
        <v>1268.44</v>
      </c>
      <c r="R123" s="983">
        <f t="shared" si="40"/>
        <v>1268.44</v>
      </c>
      <c r="S123" s="984">
        <f>+H123-R123</f>
        <v>494.67999999999984</v>
      </c>
      <c r="T123" s="710"/>
      <c r="U123" s="985">
        <f t="shared" ref="U123:V125" si="43">+ROUND(Q123*$K123*$L123/$M123,2)</f>
        <v>64380.21</v>
      </c>
      <c r="V123" s="986">
        <f t="shared" si="43"/>
        <v>64380.21</v>
      </c>
      <c r="W123" s="987"/>
    </row>
    <row r="124" spans="2:23" ht="11.25" customHeight="1">
      <c r="B124" s="796" t="s">
        <v>1204</v>
      </c>
      <c r="C124" s="1023" t="s">
        <v>1766</v>
      </c>
      <c r="D124" s="738" t="s">
        <v>434</v>
      </c>
      <c r="E124" s="739">
        <v>1</v>
      </c>
      <c r="F124" s="740">
        <v>1</v>
      </c>
      <c r="G124" s="797">
        <v>735.24</v>
      </c>
      <c r="H124" s="742">
        <f t="shared" si="34"/>
        <v>735.24</v>
      </c>
      <c r="I124" s="743">
        <f>LOOKUP(B124,valoriz!$A$13:$A$242,valoriz!I$13:I$242)</f>
        <v>0</v>
      </c>
      <c r="J124" s="744">
        <f>+ROUND(E124*F124*I124,2)</f>
        <v>0</v>
      </c>
      <c r="K124" s="745">
        <v>50</v>
      </c>
      <c r="L124" s="746">
        <f>D$15</f>
        <v>456.88</v>
      </c>
      <c r="M124" s="747">
        <f>D$14</f>
        <v>450.08</v>
      </c>
      <c r="N124" s="748">
        <f t="shared" si="38"/>
        <v>0</v>
      </c>
      <c r="O124" s="744">
        <f>+ROUND(J124*K124*L124*M$16/M124,2)</f>
        <v>0</v>
      </c>
      <c r="Q124" s="960">
        <v>1268.44</v>
      </c>
      <c r="R124" s="983">
        <f t="shared" si="40"/>
        <v>1268.44</v>
      </c>
      <c r="S124" s="984">
        <f>+H124-R124</f>
        <v>-533.20000000000005</v>
      </c>
      <c r="T124" s="710"/>
      <c r="U124" s="985">
        <f t="shared" si="43"/>
        <v>64380.21</v>
      </c>
      <c r="V124" s="986">
        <f t="shared" si="43"/>
        <v>64380.21</v>
      </c>
      <c r="W124" s="987"/>
    </row>
    <row r="125" spans="2:23" ht="11.25" customHeight="1">
      <c r="B125" s="796" t="s">
        <v>1210</v>
      </c>
      <c r="C125" s="1023" t="s">
        <v>1766</v>
      </c>
      <c r="D125" s="738" t="s">
        <v>434</v>
      </c>
      <c r="E125" s="739">
        <v>1</v>
      </c>
      <c r="F125" s="740">
        <v>1</v>
      </c>
      <c r="G125" s="797">
        <v>1837.93</v>
      </c>
      <c r="H125" s="742">
        <f t="shared" si="34"/>
        <v>1837.93</v>
      </c>
      <c r="I125" s="743">
        <f>LOOKUP(B125,valoriz!$A$13:$A$242,valoriz!I$13:I$242)</f>
        <v>0</v>
      </c>
      <c r="J125" s="744">
        <f>+ROUND(E125*F125*I125,2)</f>
        <v>0</v>
      </c>
      <c r="K125" s="745">
        <v>50</v>
      </c>
      <c r="L125" s="746">
        <f>D$15</f>
        <v>456.88</v>
      </c>
      <c r="M125" s="747">
        <f>D$14</f>
        <v>450.08</v>
      </c>
      <c r="N125" s="748">
        <f t="shared" si="38"/>
        <v>0</v>
      </c>
      <c r="O125" s="744">
        <f>+ROUND(J125*K125*L125*M$16/M125,2)</f>
        <v>0</v>
      </c>
      <c r="Q125" s="960">
        <v>1268.44</v>
      </c>
      <c r="R125" s="983">
        <f t="shared" si="40"/>
        <v>1268.44</v>
      </c>
      <c r="S125" s="984">
        <f>+H125-R125</f>
        <v>569.49</v>
      </c>
      <c r="T125" s="710"/>
      <c r="U125" s="985">
        <f t="shared" si="43"/>
        <v>64380.21</v>
      </c>
      <c r="V125" s="986">
        <f t="shared" si="43"/>
        <v>64380.21</v>
      </c>
      <c r="W125" s="987"/>
    </row>
    <row r="126" spans="2:23" ht="11.25" customHeight="1">
      <c r="B126" s="796" t="s">
        <v>1216</v>
      </c>
      <c r="C126" s="1023" t="s">
        <v>1766</v>
      </c>
      <c r="D126" s="738" t="s">
        <v>434</v>
      </c>
      <c r="E126" s="739">
        <v>1</v>
      </c>
      <c r="F126" s="740">
        <v>1</v>
      </c>
      <c r="G126" s="797">
        <v>619.45000000000005</v>
      </c>
      <c r="H126" s="742">
        <f t="shared" si="34"/>
        <v>619.45000000000005</v>
      </c>
      <c r="I126" s="743">
        <f>LOOKUP(B126,valoriz!$A$13:$A$242,valoriz!I$13:I$242)</f>
        <v>0</v>
      </c>
      <c r="J126" s="744">
        <f t="shared" si="35"/>
        <v>0</v>
      </c>
      <c r="K126" s="745">
        <v>50</v>
      </c>
      <c r="L126" s="746">
        <f t="shared" si="36"/>
        <v>456.88</v>
      </c>
      <c r="M126" s="747">
        <f t="shared" si="37"/>
        <v>450.08</v>
      </c>
      <c r="N126" s="748">
        <f t="shared" si="38"/>
        <v>0</v>
      </c>
      <c r="O126" s="744">
        <f t="shared" si="39"/>
        <v>0</v>
      </c>
      <c r="Q126" s="960">
        <v>749.7</v>
      </c>
      <c r="R126" s="983">
        <f t="shared" si="40"/>
        <v>749.7</v>
      </c>
      <c r="S126" s="984">
        <f t="shared" si="41"/>
        <v>-130.25</v>
      </c>
      <c r="T126" s="710"/>
      <c r="U126" s="985">
        <f t="shared" si="42"/>
        <v>38051.339999999997</v>
      </c>
      <c r="V126" s="986">
        <f t="shared" si="42"/>
        <v>38051.339999999997</v>
      </c>
      <c r="W126" s="987"/>
    </row>
    <row r="127" spans="2:23" ht="11.25" customHeight="1" thickBot="1">
      <c r="B127" s="762"/>
      <c r="C127" s="1024"/>
      <c r="D127" s="764"/>
      <c r="E127" s="765"/>
      <c r="F127" s="766"/>
      <c r="G127" s="799"/>
      <c r="H127" s="800"/>
      <c r="I127" s="767"/>
      <c r="J127" s="769"/>
      <c r="K127" s="770"/>
      <c r="L127" s="771"/>
      <c r="M127" s="772"/>
      <c r="N127" s="773"/>
      <c r="O127" s="769"/>
      <c r="Q127" s="968"/>
      <c r="R127" s="988"/>
      <c r="S127" s="989"/>
      <c r="T127" s="710"/>
      <c r="U127" s="968"/>
      <c r="V127" s="988"/>
      <c r="W127" s="989"/>
    </row>
    <row r="128" spans="2:23" ht="11.25" customHeight="1">
      <c r="B128" s="775"/>
      <c r="C128" s="776"/>
      <c r="D128" s="777"/>
      <c r="E128" s="777"/>
      <c r="F128" s="778"/>
      <c r="G128" s="779"/>
      <c r="H128" s="780">
        <f>SUM(H121:H127)</f>
        <v>5323.24</v>
      </c>
      <c r="I128" s="779"/>
      <c r="J128" s="780">
        <f>SUM(J121:J127)</f>
        <v>0</v>
      </c>
      <c r="K128" s="781"/>
      <c r="L128" s="777"/>
      <c r="M128" s="946" t="s">
        <v>171</v>
      </c>
      <c r="N128" s="782">
        <f>SUM(N121:N127)</f>
        <v>0</v>
      </c>
      <c r="O128" s="783">
        <f>SUM(O121:O127)</f>
        <v>0</v>
      </c>
      <c r="Q128" s="1051">
        <f>SUM(Q121:Q127)</f>
        <v>239319.07</v>
      </c>
      <c r="R128" s="1051">
        <f>SUM(R121:R127)</f>
        <v>239319.07</v>
      </c>
      <c r="S128" s="1052">
        <f>SUM(S121:S127)</f>
        <v>-233995.83000000002</v>
      </c>
      <c r="T128" s="964">
        <f>+U129-U128</f>
        <v>-11785435.260000004</v>
      </c>
      <c r="U128" s="1076">
        <f>SUM(U120:U127)</f>
        <v>12146651.520000003</v>
      </c>
      <c r="V128" s="1077">
        <f>SUM(V120:V127)</f>
        <v>12146651.520000003</v>
      </c>
      <c r="W128" s="1078">
        <f>+W120-V129</f>
        <v>-11448358.700000003</v>
      </c>
    </row>
    <row r="129" spans="2:23" ht="11.25" customHeight="1">
      <c r="B129" s="784"/>
      <c r="C129" s="785"/>
      <c r="G129" s="786"/>
      <c r="H129" s="787" t="s">
        <v>214</v>
      </c>
      <c r="I129" s="788"/>
      <c r="J129" s="789">
        <v>5198.7299999999996</v>
      </c>
      <c r="K129" s="751"/>
      <c r="Q129" s="710"/>
      <c r="R129" s="710"/>
      <c r="S129" s="710"/>
      <c r="T129" s="710"/>
      <c r="U129" s="710">
        <v>361216.26</v>
      </c>
      <c r="V129" s="964">
        <f>+O128+U128</f>
        <v>12146651.520000003</v>
      </c>
      <c r="W129" s="710"/>
    </row>
    <row r="130" spans="2:23" ht="11.25" customHeight="1">
      <c r="B130" s="784"/>
      <c r="C130" s="785"/>
      <c r="K130" s="751"/>
    </row>
    <row r="131" spans="2:23" ht="11.25" customHeight="1">
      <c r="B131" s="1714" t="s">
        <v>198</v>
      </c>
      <c r="C131" s="1714" t="s">
        <v>199</v>
      </c>
      <c r="D131" s="1716" t="s">
        <v>601</v>
      </c>
      <c r="E131" s="1712" t="s">
        <v>200</v>
      </c>
      <c r="F131" s="1713"/>
      <c r="G131" s="1712" t="s">
        <v>201</v>
      </c>
      <c r="H131" s="1713"/>
      <c r="I131" s="1678" t="s">
        <v>202</v>
      </c>
      <c r="J131" s="1680"/>
      <c r="K131" s="1685" t="s">
        <v>203</v>
      </c>
      <c r="L131" s="1678" t="s">
        <v>204</v>
      </c>
      <c r="M131" s="1680"/>
      <c r="N131" s="1678" t="s">
        <v>423</v>
      </c>
      <c r="O131" s="1680"/>
      <c r="P131" s="700"/>
      <c r="Q131" s="1695" t="s">
        <v>205</v>
      </c>
      <c r="R131" s="1696"/>
      <c r="S131" s="1697"/>
      <c r="T131" s="710"/>
      <c r="U131" s="1695" t="s">
        <v>331</v>
      </c>
      <c r="V131" s="1696"/>
      <c r="W131" s="1697"/>
    </row>
    <row r="132" spans="2:23" ht="22.5" customHeight="1">
      <c r="B132" s="1715"/>
      <c r="C132" s="1715"/>
      <c r="D132" s="1717"/>
      <c r="E132" s="1011" t="s">
        <v>206</v>
      </c>
      <c r="F132" s="1012" t="s">
        <v>207</v>
      </c>
      <c r="G132" s="1011" t="s">
        <v>452</v>
      </c>
      <c r="H132" s="1012" t="s">
        <v>208</v>
      </c>
      <c r="I132" s="717" t="s">
        <v>452</v>
      </c>
      <c r="J132" s="718" t="s">
        <v>208</v>
      </c>
      <c r="K132" s="1686"/>
      <c r="L132" s="717" t="s">
        <v>467</v>
      </c>
      <c r="M132" s="718" t="s">
        <v>468</v>
      </c>
      <c r="N132" s="717" t="s">
        <v>209</v>
      </c>
      <c r="O132" s="718" t="s">
        <v>210</v>
      </c>
      <c r="Q132" s="954" t="s">
        <v>211</v>
      </c>
      <c r="R132" s="978" t="s">
        <v>394</v>
      </c>
      <c r="S132" s="979" t="s">
        <v>451</v>
      </c>
      <c r="T132" s="710"/>
      <c r="U132" s="954" t="s">
        <v>211</v>
      </c>
      <c r="V132" s="978" t="s">
        <v>394</v>
      </c>
      <c r="W132" s="979" t="s">
        <v>451</v>
      </c>
    </row>
    <row r="133" spans="2:23" ht="11.25" customHeight="1">
      <c r="B133" s="722" t="s">
        <v>183</v>
      </c>
      <c r="C133" s="728"/>
      <c r="D133" s="724"/>
      <c r="E133" s="730"/>
      <c r="G133" s="726"/>
      <c r="H133" s="727"/>
      <c r="I133" s="726"/>
      <c r="J133" s="728"/>
      <c r="K133" s="729"/>
      <c r="L133" s="724"/>
      <c r="M133" s="725"/>
      <c r="N133" s="730"/>
      <c r="O133" s="728"/>
      <c r="Q133" s="957"/>
      <c r="R133" s="980"/>
      <c r="S133" s="981"/>
      <c r="T133" s="710"/>
      <c r="U133" s="957"/>
      <c r="V133" s="980"/>
      <c r="W133" s="981"/>
    </row>
    <row r="134" spans="2:23" ht="11.25" customHeight="1">
      <c r="B134" s="722" t="s">
        <v>212</v>
      </c>
      <c r="C134" s="733" t="s">
        <v>1325</v>
      </c>
      <c r="D134" s="724"/>
      <c r="E134" s="730"/>
      <c r="F134" s="802"/>
      <c r="G134" s="726"/>
      <c r="H134" s="727"/>
      <c r="I134" s="726"/>
      <c r="J134" s="727"/>
      <c r="K134" s="729"/>
      <c r="L134" s="724"/>
      <c r="M134" s="725"/>
      <c r="N134" s="794"/>
      <c r="O134" s="795"/>
      <c r="Q134" s="960"/>
      <c r="R134" s="982"/>
      <c r="S134" s="981"/>
      <c r="T134" s="710"/>
      <c r="U134" s="960"/>
      <c r="V134" s="982"/>
      <c r="W134" s="981">
        <v>54744.21</v>
      </c>
    </row>
    <row r="135" spans="2:23" ht="11.25" customHeight="1">
      <c r="B135" s="796" t="s">
        <v>1164</v>
      </c>
      <c r="C135" s="1023" t="s">
        <v>1785</v>
      </c>
      <c r="D135" s="738" t="s">
        <v>433</v>
      </c>
      <c r="E135" s="739">
        <v>1</v>
      </c>
      <c r="F135" s="740">
        <v>0.6</v>
      </c>
      <c r="G135" s="797">
        <v>4</v>
      </c>
      <c r="H135" s="742">
        <f>+ROUND(E135*F135*G135,2)</f>
        <v>2.4</v>
      </c>
      <c r="I135" s="743">
        <f>LOOKUP(B135,valoriz!$A$13:$A$242,valoriz!I$13:I$242)</f>
        <v>0.10999999999999999</v>
      </c>
      <c r="J135" s="744">
        <f>+ROUND(E135*F135*I135,2)</f>
        <v>7.0000000000000007E-2</v>
      </c>
      <c r="K135" s="745">
        <v>48</v>
      </c>
      <c r="L135" s="746">
        <f>D$15</f>
        <v>456.88</v>
      </c>
      <c r="M135" s="747">
        <f>D$14</f>
        <v>450.08</v>
      </c>
      <c r="N135" s="748">
        <f>+ROUND(J135*K135*M$16,2)</f>
        <v>3.36</v>
      </c>
      <c r="O135" s="744">
        <f>+ROUND(J135*K135*L135*M$16/M135,2)</f>
        <v>3.41</v>
      </c>
      <c r="Q135" s="960">
        <v>75.62</v>
      </c>
      <c r="R135" s="983">
        <f>+J135+Q135</f>
        <v>75.69</v>
      </c>
      <c r="S135" s="984">
        <f>+H135-R135</f>
        <v>-73.289999999999992</v>
      </c>
      <c r="T135" s="964"/>
      <c r="U135" s="985">
        <f>+ROUND(Q135*$K135*$L135/$M135,2)</f>
        <v>3684.6</v>
      </c>
      <c r="V135" s="986">
        <f>+ROUND(R135*$K135*$L135/$M135,2)</f>
        <v>3688.01</v>
      </c>
      <c r="W135" s="987"/>
    </row>
    <row r="136" spans="2:23" ht="11.25" customHeight="1" thickBot="1">
      <c r="B136" s="762"/>
      <c r="C136" s="1024"/>
      <c r="D136" s="764"/>
      <c r="E136" s="765"/>
      <c r="F136" s="766"/>
      <c r="G136" s="799"/>
      <c r="H136" s="800"/>
      <c r="I136" s="799"/>
      <c r="J136" s="801"/>
      <c r="K136" s="770"/>
      <c r="L136" s="771"/>
      <c r="M136" s="772"/>
      <c r="N136" s="773"/>
      <c r="O136" s="769"/>
      <c r="Q136" s="968"/>
      <c r="R136" s="988"/>
      <c r="S136" s="989"/>
      <c r="T136" s="710"/>
      <c r="U136" s="968"/>
      <c r="V136" s="988"/>
      <c r="W136" s="989"/>
    </row>
    <row r="137" spans="2:23" ht="11.25" customHeight="1">
      <c r="B137" s="775"/>
      <c r="C137" s="776"/>
      <c r="D137" s="777"/>
      <c r="E137" s="777"/>
      <c r="F137" s="778"/>
      <c r="G137" s="779"/>
      <c r="H137" s="780">
        <f>SUM(H135:H136)</f>
        <v>2.4</v>
      </c>
      <c r="I137" s="779"/>
      <c r="J137" s="780">
        <f>SUM(J135:J136)</f>
        <v>7.0000000000000007E-2</v>
      </c>
      <c r="K137" s="781"/>
      <c r="L137" s="777" t="s">
        <v>589</v>
      </c>
      <c r="M137" s="778"/>
      <c r="N137" s="782">
        <f>SUM(N135:N136)</f>
        <v>3.36</v>
      </c>
      <c r="O137" s="783">
        <f>SUM(O135:O136)</f>
        <v>3.41</v>
      </c>
      <c r="Q137" s="1051">
        <f>SUM(Q135:Q136)</f>
        <v>75.62</v>
      </c>
      <c r="R137" s="1051">
        <f>SUM(R135:R136)</f>
        <v>75.69</v>
      </c>
      <c r="S137" s="1052">
        <f>SUM(S135:S136)</f>
        <v>-73.289999999999992</v>
      </c>
      <c r="T137" s="710"/>
      <c r="U137" s="990">
        <f>SUM(U135:U136)</f>
        <v>3684.6</v>
      </c>
      <c r="V137" s="991">
        <f>SUM(V135:V136)</f>
        <v>3688.01</v>
      </c>
      <c r="W137" s="992">
        <f>+W134-V138</f>
        <v>51056.2</v>
      </c>
    </row>
    <row r="138" spans="2:23" ht="11.25" customHeight="1">
      <c r="B138" s="790"/>
      <c r="C138" s="791"/>
      <c r="D138" s="121"/>
      <c r="E138" s="792"/>
      <c r="F138" s="792"/>
      <c r="G138" s="786"/>
      <c r="H138" s="787" t="s">
        <v>214</v>
      </c>
      <c r="I138" s="788"/>
      <c r="J138" s="789">
        <v>1.1200000000000001</v>
      </c>
      <c r="K138" s="709"/>
      <c r="M138" s="709"/>
      <c r="N138" s="709"/>
      <c r="O138" s="751"/>
      <c r="P138" s="751"/>
      <c r="Q138" s="710"/>
      <c r="R138" s="710"/>
      <c r="S138" s="710"/>
      <c r="T138" s="710"/>
      <c r="U138" s="710">
        <f>+ROUND(Q137*$K135*$L135/$M135,2)</f>
        <v>3684.6</v>
      </c>
      <c r="V138" s="964">
        <f>+O137+U138</f>
        <v>3688.0099999999998</v>
      </c>
      <c r="W138" s="710"/>
    </row>
    <row r="139" spans="2:23" ht="11.25" customHeight="1">
      <c r="B139" s="790"/>
      <c r="C139" s="791"/>
      <c r="D139" s="121"/>
      <c r="E139" s="792"/>
      <c r="F139" s="792"/>
      <c r="H139" s="699"/>
      <c r="J139" s="805"/>
      <c r="K139" s="709"/>
      <c r="M139" s="709"/>
      <c r="N139" s="709"/>
      <c r="O139" s="751"/>
      <c r="P139" s="751"/>
    </row>
    <row r="140" spans="2:23" ht="11.25" customHeight="1">
      <c r="B140" s="784"/>
      <c r="C140" s="785"/>
      <c r="J140" s="806" t="s">
        <v>243</v>
      </c>
      <c r="K140" s="807"/>
      <c r="L140" s="807"/>
      <c r="M140" s="807"/>
      <c r="N140" s="808">
        <f>+N25+N56+N83+N103+N114+N128+N137</f>
        <v>3.36</v>
      </c>
      <c r="O140" s="809">
        <f>+O25+O56+O83+O103+O114+O128+O137</f>
        <v>3.41</v>
      </c>
      <c r="P140" s="751"/>
      <c r="Q140" s="751"/>
      <c r="U140" s="751" t="e">
        <f>+U25+U56+U83+#REF!+#REF!+U137+#REF!+#REF!+#REF!</f>
        <v>#REF!</v>
      </c>
      <c r="V140" s="751" t="e">
        <f>+V25+V56+V83+#REF!+#REF!+V137+#REF!+#REF!+#REF!</f>
        <v>#REF!</v>
      </c>
    </row>
    <row r="141" spans="2:23" ht="11.25" customHeight="1">
      <c r="B141" s="784"/>
      <c r="C141" s="785"/>
      <c r="J141" s="810" t="s">
        <v>244</v>
      </c>
      <c r="K141" s="811"/>
      <c r="L141" s="811"/>
      <c r="M141" s="811"/>
      <c r="N141" s="808">
        <f>+N140</f>
        <v>3.36</v>
      </c>
      <c r="O141" s="809">
        <f>+O140</f>
        <v>3.41</v>
      </c>
      <c r="U141" s="1049" t="e">
        <f>+U26+U57+U84+#REF!+#REF!+U138+#REF!+#REF!+#REF!</f>
        <v>#REF!</v>
      </c>
      <c r="V141" s="1049" t="e">
        <f>+V26+V57+V84+#REF!+#REF!+V138+#REF!+#REF!+#REF!-0.01</f>
        <v>#REF!</v>
      </c>
      <c r="W141" s="698" t="s">
        <v>141</v>
      </c>
    </row>
    <row r="142" spans="2:23" ht="11.25" customHeight="1">
      <c r="B142" s="784"/>
      <c r="C142" s="785"/>
      <c r="K142" s="751"/>
      <c r="U142" s="751" t="e">
        <f>+U141-U140</f>
        <v>#REF!</v>
      </c>
      <c r="V142" s="751" t="e">
        <f>+V141-V140</f>
        <v>#REF!</v>
      </c>
    </row>
    <row r="143" spans="2:23" ht="18">
      <c r="B143" s="1687" t="s">
        <v>245</v>
      </c>
      <c r="C143" s="1687"/>
      <c r="D143" s="1687"/>
      <c r="E143" s="1687"/>
      <c r="F143" s="1687"/>
      <c r="G143" s="1687"/>
      <c r="H143" s="1687"/>
      <c r="I143" s="1687"/>
      <c r="J143" s="1687"/>
      <c r="K143" s="1687"/>
      <c r="L143" s="1687"/>
      <c r="M143" s="1687"/>
      <c r="N143" s="1687"/>
      <c r="O143" s="1687"/>
    </row>
    <row r="144" spans="2:23" ht="11.25" customHeight="1">
      <c r="W144" s="698" t="s">
        <v>5</v>
      </c>
    </row>
    <row r="145" spans="2:23" ht="11.25" customHeight="1">
      <c r="B145" s="699" t="str">
        <f>+B12</f>
        <v>Material:</v>
      </c>
      <c r="W145" s="751" t="e">
        <f>+W22+W31+W62+#REF!+#REF!+W134+#REF!+#REF!+#REF!</f>
        <v>#REF!</v>
      </c>
    </row>
    <row r="146" spans="2:23" ht="11.25" customHeight="1">
      <c r="B146" s="699" t="str">
        <f>+B13</f>
        <v>Indice Unificado:</v>
      </c>
      <c r="D146" s="705" t="s">
        <v>459</v>
      </c>
      <c r="E146" s="706"/>
      <c r="F146" s="1692" t="s">
        <v>451</v>
      </c>
      <c r="G146" s="1692"/>
    </row>
    <row r="147" spans="2:23" ht="11.25" customHeight="1">
      <c r="B147" s="698" t="str">
        <f>+B10</f>
        <v>Monto del Adelanto Especifico para AGREGADO GRUESO</v>
      </c>
      <c r="D147" s="702">
        <f>+D10</f>
        <v>13311812.279999999</v>
      </c>
      <c r="E147" s="706"/>
      <c r="F147" s="1691">
        <f>+D147-I181</f>
        <v>10097122.049999999</v>
      </c>
      <c r="G147" s="1691"/>
    </row>
    <row r="148" spans="2:23" ht="11.25" customHeight="1">
      <c r="B148" s="698" t="s">
        <v>246</v>
      </c>
      <c r="C148" s="812"/>
      <c r="D148" s="702">
        <f>ROUND(D147/D151*D150,2)</f>
        <v>13113685.15</v>
      </c>
      <c r="E148" s="706"/>
      <c r="F148" s="1691">
        <f>+D148-F181</f>
        <v>9944044.7800000012</v>
      </c>
      <c r="G148" s="1691"/>
    </row>
    <row r="149" spans="2:23" ht="11.25" customHeight="1">
      <c r="B149" s="698" t="str">
        <f>+B11</f>
        <v xml:space="preserve">Fecha de Pago del Adelanto: </v>
      </c>
      <c r="D149" s="703">
        <f>+D11</f>
        <v>44172</v>
      </c>
      <c r="E149" s="706"/>
    </row>
    <row r="150" spans="2:23" ht="11.25" customHeight="1">
      <c r="B150" s="698" t="str">
        <f>+B14</f>
        <v>Indice INEI a la Fecha del P. Base   (Abril 2,018)</v>
      </c>
      <c r="D150" s="709">
        <f>+D14</f>
        <v>450.08</v>
      </c>
      <c r="E150" s="121"/>
    </row>
    <row r="151" spans="2:23" ht="11.25" customHeight="1">
      <c r="B151" s="698" t="str">
        <f>+B15</f>
        <v>Indice INEI a la Fecha del Pago del Adelanto  (Diciembre 2,020)</v>
      </c>
      <c r="D151" s="709">
        <f>+D15</f>
        <v>456.88</v>
      </c>
      <c r="E151" s="709"/>
    </row>
    <row r="152" spans="2:23" ht="11.25" customHeight="1">
      <c r="B152" s="698" t="s">
        <v>247</v>
      </c>
      <c r="D152" s="698">
        <v>0.11210000000000001</v>
      </c>
    </row>
    <row r="153" spans="2:23" ht="11.25" customHeight="1">
      <c r="B153" s="698" t="s">
        <v>248</v>
      </c>
      <c r="D153" s="813">
        <v>1</v>
      </c>
    </row>
    <row r="155" spans="2:23" ht="11.25" customHeight="1">
      <c r="B155" s="814" t="s">
        <v>249</v>
      </c>
    </row>
    <row r="157" spans="2:23" ht="11.25" customHeight="1">
      <c r="B157" s="1681" t="s">
        <v>250</v>
      </c>
      <c r="C157" s="1682"/>
      <c r="D157" s="1678" t="s">
        <v>251</v>
      </c>
      <c r="E157" s="1679"/>
      <c r="F157" s="1679"/>
      <c r="G157" s="1679"/>
      <c r="H157" s="1679"/>
      <c r="I157" s="1680"/>
      <c r="L157" s="815"/>
      <c r="M157" s="815"/>
    </row>
    <row r="158" spans="2:23" ht="11.25" customHeight="1">
      <c r="B158" s="1689"/>
      <c r="C158" s="1690"/>
      <c r="D158" s="1678" t="s">
        <v>252</v>
      </c>
      <c r="E158" s="1679"/>
      <c r="F158" s="1680"/>
      <c r="G158" s="1678" t="s">
        <v>253</v>
      </c>
      <c r="H158" s="1679"/>
      <c r="I158" s="1680"/>
    </row>
    <row r="159" spans="2:23" ht="11.25" customHeight="1">
      <c r="B159" s="1683"/>
      <c r="C159" s="1684"/>
      <c r="D159" s="256" t="s">
        <v>254</v>
      </c>
      <c r="E159" s="816" t="s">
        <v>451</v>
      </c>
      <c r="F159" s="716" t="s">
        <v>255</v>
      </c>
      <c r="G159" s="256" t="s">
        <v>254</v>
      </c>
      <c r="H159" s="816" t="s">
        <v>451</v>
      </c>
      <c r="I159" s="716" t="s">
        <v>255</v>
      </c>
      <c r="O159" s="751"/>
    </row>
    <row r="160" spans="2:23" ht="11.25" customHeight="1">
      <c r="B160" s="817" t="s">
        <v>256</v>
      </c>
      <c r="C160" s="818">
        <f>+Retencion!B15</f>
        <v>44500</v>
      </c>
      <c r="D160" s="819"/>
      <c r="E160" s="820"/>
      <c r="F160" s="821"/>
      <c r="G160" s="819"/>
      <c r="H160" s="820"/>
      <c r="I160" s="821"/>
      <c r="L160" s="751"/>
      <c r="O160" s="751"/>
    </row>
    <row r="161" spans="2:15" ht="11.25" customHeight="1">
      <c r="B161" s="822" t="s">
        <v>257</v>
      </c>
      <c r="C161" s="823">
        <f>+Retencion!B16</f>
        <v>44530</v>
      </c>
      <c r="D161" s="824"/>
      <c r="E161" s="825"/>
      <c r="F161" s="744"/>
      <c r="G161" s="824"/>
      <c r="H161" s="825"/>
      <c r="I161" s="744"/>
      <c r="K161" s="751"/>
      <c r="L161" s="751"/>
      <c r="O161" s="751"/>
    </row>
    <row r="162" spans="2:15" ht="11.25" customHeight="1">
      <c r="B162" s="822" t="s">
        <v>258</v>
      </c>
      <c r="C162" s="823">
        <f>+Retencion!B17</f>
        <v>44561</v>
      </c>
      <c r="D162" s="824"/>
      <c r="E162" s="825"/>
      <c r="F162" s="744"/>
      <c r="G162" s="824"/>
      <c r="H162" s="825"/>
      <c r="I162" s="744"/>
      <c r="L162" s="751"/>
      <c r="O162" s="751"/>
    </row>
    <row r="163" spans="2:15" ht="11.25" customHeight="1">
      <c r="B163" s="822" t="s">
        <v>259</v>
      </c>
      <c r="C163" s="823">
        <f>+Retencion!B19</f>
        <v>44592</v>
      </c>
      <c r="D163" s="824"/>
      <c r="E163" s="825"/>
      <c r="F163" s="744"/>
      <c r="G163" s="824"/>
      <c r="H163" s="825"/>
      <c r="I163" s="744"/>
      <c r="L163" s="751"/>
      <c r="O163" s="751"/>
    </row>
    <row r="164" spans="2:15" ht="11.25" customHeight="1">
      <c r="B164" s="822" t="s">
        <v>260</v>
      </c>
      <c r="C164" s="823">
        <f>+Retencion!B20</f>
        <v>44620</v>
      </c>
      <c r="D164" s="824">
        <f>+D148</f>
        <v>13113685.15</v>
      </c>
      <c r="E164" s="825">
        <f t="shared" ref="E164:E176" si="44">+D164-F164</f>
        <v>12823586.83</v>
      </c>
      <c r="F164" s="744">
        <v>290098.32</v>
      </c>
      <c r="G164" s="824">
        <f>+D147</f>
        <v>13311812.279999999</v>
      </c>
      <c r="H164" s="825">
        <f t="shared" ref="H164:H176" si="45">+G164-I164</f>
        <v>13020076.799999999</v>
      </c>
      <c r="I164" s="744">
        <v>291735.48000000004</v>
      </c>
      <c r="L164" s="751"/>
      <c r="O164" s="751"/>
    </row>
    <row r="165" spans="2:15" ht="11.25" customHeight="1">
      <c r="B165" s="822" t="s">
        <v>261</v>
      </c>
      <c r="C165" s="823">
        <f>+Retencion!B21</f>
        <v>0</v>
      </c>
      <c r="D165" s="824">
        <f t="shared" ref="D165:D176" si="46">+E164</f>
        <v>12823586.83</v>
      </c>
      <c r="E165" s="825">
        <f t="shared" si="44"/>
        <v>12813798.58</v>
      </c>
      <c r="F165" s="744">
        <v>9788.25</v>
      </c>
      <c r="G165" s="824">
        <f t="shared" ref="G165:G176" si="47">+H164</f>
        <v>13020076.799999999</v>
      </c>
      <c r="H165" s="825">
        <f t="shared" si="45"/>
        <v>13010233.299999999</v>
      </c>
      <c r="I165" s="744">
        <v>9843.4999999999982</v>
      </c>
      <c r="L165" s="751"/>
      <c r="O165" s="751"/>
    </row>
    <row r="166" spans="2:15" ht="11.25" customHeight="1">
      <c r="B166" s="822" t="s">
        <v>262</v>
      </c>
      <c r="C166" s="823" t="e">
        <f>+Retencion!#REF!</f>
        <v>#REF!</v>
      </c>
      <c r="D166" s="824">
        <f t="shared" si="46"/>
        <v>12813798.58</v>
      </c>
      <c r="E166" s="825">
        <f t="shared" si="44"/>
        <v>11707417.83</v>
      </c>
      <c r="F166" s="744">
        <v>1106380.75</v>
      </c>
      <c r="G166" s="824">
        <f t="shared" si="47"/>
        <v>13010233.299999999</v>
      </c>
      <c r="H166" s="825">
        <f t="shared" si="45"/>
        <v>11887136.869999999</v>
      </c>
      <c r="I166" s="744">
        <v>1123096.43</v>
      </c>
      <c r="L166" s="751"/>
      <c r="O166" s="751"/>
    </row>
    <row r="167" spans="2:15" ht="11.25" customHeight="1">
      <c r="B167" s="822" t="s">
        <v>263</v>
      </c>
      <c r="C167" s="823" t="e">
        <f>+Retencion!#REF!</f>
        <v>#REF!</v>
      </c>
      <c r="D167" s="824">
        <f t="shared" si="46"/>
        <v>11707417.83</v>
      </c>
      <c r="E167" s="825">
        <f t="shared" si="44"/>
        <v>9944048.1400000006</v>
      </c>
      <c r="F167" s="744">
        <v>1763369.69</v>
      </c>
      <c r="G167" s="824">
        <f t="shared" si="47"/>
        <v>11887136.869999999</v>
      </c>
      <c r="H167" s="825">
        <f t="shared" si="45"/>
        <v>10097125.459999999</v>
      </c>
      <c r="I167" s="744">
        <v>1790011.4100000001</v>
      </c>
      <c r="L167" s="751"/>
      <c r="O167" s="751"/>
    </row>
    <row r="168" spans="2:15" ht="11.25" customHeight="1">
      <c r="B168" s="822" t="s">
        <v>264</v>
      </c>
      <c r="C168" s="823" t="e">
        <f>+Retencion!#REF!</f>
        <v>#REF!</v>
      </c>
      <c r="D168" s="824">
        <f t="shared" si="46"/>
        <v>9944048.1400000006</v>
      </c>
      <c r="E168" s="825">
        <f t="shared" si="44"/>
        <v>9944044.7800000012</v>
      </c>
      <c r="F168" s="744">
        <f>+N141</f>
        <v>3.36</v>
      </c>
      <c r="G168" s="824">
        <f t="shared" si="47"/>
        <v>10097125.459999999</v>
      </c>
      <c r="H168" s="825">
        <f t="shared" si="45"/>
        <v>10097122.049999999</v>
      </c>
      <c r="I168" s="744">
        <f>+O141</f>
        <v>3.41</v>
      </c>
      <c r="L168" s="751"/>
      <c r="O168" s="751"/>
    </row>
    <row r="169" spans="2:15" ht="11.25" customHeight="1">
      <c r="B169" s="822" t="s">
        <v>265</v>
      </c>
      <c r="C169" s="823" t="e">
        <f>+Retencion!#REF!</f>
        <v>#REF!</v>
      </c>
      <c r="D169" s="824">
        <f t="shared" si="46"/>
        <v>9944044.7800000012</v>
      </c>
      <c r="E169" s="825">
        <f t="shared" si="44"/>
        <v>9944044.7800000012</v>
      </c>
      <c r="F169" s="744"/>
      <c r="G169" s="824">
        <f t="shared" si="47"/>
        <v>10097122.049999999</v>
      </c>
      <c r="H169" s="825">
        <f t="shared" si="45"/>
        <v>10097122.049999999</v>
      </c>
      <c r="I169" s="744"/>
      <c r="O169" s="751"/>
    </row>
    <row r="170" spans="2:15" ht="11.25" customHeight="1">
      <c r="B170" s="822" t="s">
        <v>266</v>
      </c>
      <c r="C170" s="823" t="e">
        <f>+Retencion!#REF!</f>
        <v>#REF!</v>
      </c>
      <c r="D170" s="824">
        <f t="shared" si="46"/>
        <v>9944044.7800000012</v>
      </c>
      <c r="E170" s="825">
        <f t="shared" si="44"/>
        <v>9944044.7800000012</v>
      </c>
      <c r="F170" s="744"/>
      <c r="G170" s="824">
        <f t="shared" si="47"/>
        <v>10097122.049999999</v>
      </c>
      <c r="H170" s="825">
        <f t="shared" si="45"/>
        <v>10097122.049999999</v>
      </c>
      <c r="I170" s="744"/>
      <c r="O170" s="751"/>
    </row>
    <row r="171" spans="2:15" ht="11.25" customHeight="1">
      <c r="B171" s="822" t="s">
        <v>267</v>
      </c>
      <c r="C171" s="823" t="e">
        <f>+Retencion!#REF!</f>
        <v>#REF!</v>
      </c>
      <c r="D171" s="824">
        <f t="shared" si="46"/>
        <v>9944044.7800000012</v>
      </c>
      <c r="E171" s="825">
        <f t="shared" si="44"/>
        <v>9944044.7800000012</v>
      </c>
      <c r="F171" s="744"/>
      <c r="G171" s="824">
        <f t="shared" si="47"/>
        <v>10097122.049999999</v>
      </c>
      <c r="H171" s="825">
        <f t="shared" si="45"/>
        <v>10097122.049999999</v>
      </c>
      <c r="I171" s="744"/>
      <c r="O171" s="751"/>
    </row>
    <row r="172" spans="2:15" ht="11.25" customHeight="1">
      <c r="B172" s="822" t="s">
        <v>268</v>
      </c>
      <c r="C172" s="823" t="e">
        <f>+Retencion!#REF!</f>
        <v>#REF!</v>
      </c>
      <c r="D172" s="824">
        <f t="shared" si="46"/>
        <v>9944044.7800000012</v>
      </c>
      <c r="E172" s="825">
        <f t="shared" si="44"/>
        <v>9944044.7800000012</v>
      </c>
      <c r="F172" s="744"/>
      <c r="G172" s="824">
        <f t="shared" si="47"/>
        <v>10097122.049999999</v>
      </c>
      <c r="H172" s="825">
        <f t="shared" si="45"/>
        <v>10097122.049999999</v>
      </c>
      <c r="I172" s="744"/>
      <c r="O172" s="751"/>
    </row>
    <row r="173" spans="2:15" ht="11.25" customHeight="1">
      <c r="B173" s="822" t="s">
        <v>269</v>
      </c>
      <c r="C173" s="823" t="e">
        <f>+Retencion!#REF!</f>
        <v>#REF!</v>
      </c>
      <c r="D173" s="824">
        <f t="shared" si="46"/>
        <v>9944044.7800000012</v>
      </c>
      <c r="E173" s="825">
        <f t="shared" si="44"/>
        <v>9944044.7800000012</v>
      </c>
      <c r="F173" s="744"/>
      <c r="G173" s="824">
        <f t="shared" si="47"/>
        <v>10097122.049999999</v>
      </c>
      <c r="H173" s="825">
        <f t="shared" si="45"/>
        <v>10097122.049999999</v>
      </c>
      <c r="I173" s="744"/>
      <c r="O173" s="751"/>
    </row>
    <row r="174" spans="2:15" ht="11.25" customHeight="1">
      <c r="B174" s="822" t="s">
        <v>270</v>
      </c>
      <c r="C174" s="823" t="e">
        <f>+Retencion!#REF!</f>
        <v>#REF!</v>
      </c>
      <c r="D174" s="824">
        <f t="shared" si="46"/>
        <v>9944044.7800000012</v>
      </c>
      <c r="E174" s="825">
        <f t="shared" si="44"/>
        <v>9944044.7800000012</v>
      </c>
      <c r="F174" s="744"/>
      <c r="G174" s="824">
        <f t="shared" si="47"/>
        <v>10097122.049999999</v>
      </c>
      <c r="H174" s="825">
        <f t="shared" si="45"/>
        <v>10097122.049999999</v>
      </c>
      <c r="I174" s="744"/>
      <c r="O174" s="751"/>
    </row>
    <row r="175" spans="2:15" ht="11.25" customHeight="1">
      <c r="B175" s="822" t="s">
        <v>271</v>
      </c>
      <c r="C175" s="823" t="e">
        <f>+Retencion!#REF!</f>
        <v>#REF!</v>
      </c>
      <c r="D175" s="824">
        <f t="shared" si="46"/>
        <v>9944044.7800000012</v>
      </c>
      <c r="E175" s="825">
        <f t="shared" si="44"/>
        <v>9944044.7800000012</v>
      </c>
      <c r="F175" s="744"/>
      <c r="G175" s="824">
        <f t="shared" si="47"/>
        <v>10097122.049999999</v>
      </c>
      <c r="H175" s="825">
        <f t="shared" si="45"/>
        <v>10097122.049999999</v>
      </c>
      <c r="I175" s="744"/>
      <c r="O175" s="751"/>
    </row>
    <row r="176" spans="2:15" ht="11.25" customHeight="1">
      <c r="B176" s="822" t="s">
        <v>272</v>
      </c>
      <c r="C176" s="823" t="e">
        <f>+Retencion!#REF!</f>
        <v>#REF!</v>
      </c>
      <c r="D176" s="824">
        <f t="shared" si="46"/>
        <v>9944044.7800000012</v>
      </c>
      <c r="E176" s="825">
        <f t="shared" si="44"/>
        <v>9944044.7800000012</v>
      </c>
      <c r="F176" s="744"/>
      <c r="G176" s="824">
        <f t="shared" si="47"/>
        <v>10097122.049999999</v>
      </c>
      <c r="H176" s="825">
        <f t="shared" si="45"/>
        <v>10097122.049999999</v>
      </c>
      <c r="I176" s="744"/>
      <c r="O176" s="751"/>
    </row>
    <row r="177" spans="2:18" ht="11.25" customHeight="1">
      <c r="B177" s="822" t="s">
        <v>273</v>
      </c>
      <c r="C177" s="823" t="e">
        <f>+Retencion!#REF!</f>
        <v>#REF!</v>
      </c>
      <c r="D177" s="824">
        <f>+E176</f>
        <v>9944044.7800000012</v>
      </c>
      <c r="E177" s="825">
        <f>+D177-F177</f>
        <v>9944044.7800000012</v>
      </c>
      <c r="F177" s="744"/>
      <c r="G177" s="824">
        <f>+H176</f>
        <v>10097122.049999999</v>
      </c>
      <c r="H177" s="825">
        <f>+G177-I177</f>
        <v>10097122.049999999</v>
      </c>
      <c r="I177" s="744"/>
      <c r="J177" s="710"/>
      <c r="O177" s="751"/>
    </row>
    <row r="178" spans="2:18" ht="11.25" customHeight="1">
      <c r="B178" s="822"/>
      <c r="C178" s="823"/>
      <c r="D178" s="824"/>
      <c r="E178" s="825"/>
      <c r="F178" s="744"/>
      <c r="G178" s="824"/>
      <c r="H178" s="825"/>
      <c r="I178" s="744"/>
      <c r="J178" s="710"/>
      <c r="O178" s="751"/>
    </row>
    <row r="179" spans="2:18" ht="11.25" customHeight="1">
      <c r="B179" s="822"/>
      <c r="C179" s="823"/>
      <c r="D179" s="824"/>
      <c r="E179" s="825"/>
      <c r="F179" s="744"/>
      <c r="G179" s="824"/>
      <c r="H179" s="825"/>
      <c r="I179" s="744"/>
      <c r="J179" s="710"/>
      <c r="O179" s="751"/>
    </row>
    <row r="180" spans="2:18" ht="11.25" customHeight="1">
      <c r="B180" s="826"/>
      <c r="C180" s="827"/>
      <c r="D180" s="828"/>
      <c r="E180" s="829"/>
      <c r="F180" s="830"/>
      <c r="G180" s="828"/>
      <c r="H180" s="829"/>
      <c r="I180" s="830"/>
      <c r="O180" s="751"/>
    </row>
    <row r="181" spans="2:18" ht="11.25" customHeight="1">
      <c r="B181" s="700"/>
      <c r="C181" s="700"/>
      <c r="D181" s="831" t="s">
        <v>274</v>
      </c>
      <c r="E181" s="788"/>
      <c r="F181" s="832">
        <f>SUM(F160:F180)</f>
        <v>3169640.3699999996</v>
      </c>
      <c r="G181" s="786"/>
      <c r="H181" s="832"/>
      <c r="I181" s="833">
        <f>SUM(I160:I180)</f>
        <v>3214690.2300000004</v>
      </c>
      <c r="O181" s="751"/>
    </row>
    <row r="183" spans="2:18" ht="11.25" customHeight="1">
      <c r="B183" s="814" t="s">
        <v>275</v>
      </c>
    </row>
    <row r="184" spans="2:18" ht="11.25" customHeight="1">
      <c r="B184" s="834" t="s">
        <v>276</v>
      </c>
    </row>
    <row r="185" spans="2:18" ht="11.25" customHeight="1">
      <c r="B185" s="835" t="s">
        <v>277</v>
      </c>
      <c r="C185" s="715"/>
      <c r="D185" s="715"/>
      <c r="E185" s="715"/>
      <c r="F185" s="715"/>
      <c r="G185" s="715"/>
      <c r="H185" s="715"/>
      <c r="I185" s="715"/>
      <c r="J185" s="715"/>
      <c r="K185" s="715"/>
      <c r="L185" s="715"/>
      <c r="M185" s="715"/>
    </row>
    <row r="186" spans="2:18" ht="11.25" customHeight="1">
      <c r="B186" s="1681" t="s">
        <v>250</v>
      </c>
      <c r="C186" s="1682"/>
      <c r="D186" s="1681" t="s">
        <v>278</v>
      </c>
      <c r="E186" s="1685" t="s">
        <v>279</v>
      </c>
      <c r="F186" s="1678" t="s">
        <v>135</v>
      </c>
      <c r="G186" s="1680"/>
      <c r="H186" s="1701" t="s">
        <v>280</v>
      </c>
      <c r="I186" s="1702"/>
      <c r="J186" s="1703"/>
      <c r="K186" s="1681" t="s">
        <v>281</v>
      </c>
      <c r="L186" s="1688"/>
      <c r="M186" s="1682"/>
      <c r="N186" s="1685" t="s">
        <v>282</v>
      </c>
      <c r="P186" s="1654" t="s">
        <v>136</v>
      </c>
      <c r="Q186" s="1655"/>
    </row>
    <row r="187" spans="2:18" ht="11.25" customHeight="1">
      <c r="B187" s="1683"/>
      <c r="C187" s="1684"/>
      <c r="D187" s="1683"/>
      <c r="E187" s="1686"/>
      <c r="F187" s="836" t="s">
        <v>283</v>
      </c>
      <c r="G187" s="836" t="s">
        <v>385</v>
      </c>
      <c r="H187" s="716" t="s">
        <v>254</v>
      </c>
      <c r="I187" s="716" t="s">
        <v>284</v>
      </c>
      <c r="J187" s="256" t="s">
        <v>451</v>
      </c>
      <c r="K187" s="836" t="s">
        <v>468</v>
      </c>
      <c r="L187" s="716" t="s">
        <v>467</v>
      </c>
      <c r="M187" s="716" t="s">
        <v>285</v>
      </c>
      <c r="N187" s="1704"/>
      <c r="P187" s="838" t="s">
        <v>456</v>
      </c>
      <c r="Q187" s="839" t="s">
        <v>286</v>
      </c>
      <c r="R187" s="838" t="s">
        <v>1330</v>
      </c>
    </row>
    <row r="188" spans="2:18" ht="11.25" customHeight="1">
      <c r="B188" s="817" t="str">
        <f t="shared" ref="B188:C203" si="48">+B160</f>
        <v>VAL. 01</v>
      </c>
      <c r="C188" s="818">
        <f t="shared" si="48"/>
        <v>44500</v>
      </c>
      <c r="D188" s="824">
        <f>+Retencion!E15</f>
        <v>78066.42</v>
      </c>
      <c r="E188" s="840">
        <f>+H160</f>
        <v>0</v>
      </c>
      <c r="F188" s="841">
        <f>+D152</f>
        <v>0.11210000000000001</v>
      </c>
      <c r="G188" s="842">
        <f>+D153</f>
        <v>1</v>
      </c>
      <c r="H188" s="843"/>
      <c r="I188" s="744">
        <f>+IF(D$11&gt;C188,0,ROUND(D188*F188*G188,2))</f>
        <v>8751.25</v>
      </c>
      <c r="J188" s="824">
        <f>+H188-I188</f>
        <v>-8751.25</v>
      </c>
      <c r="K188" s="843">
        <f t="shared" ref="K188:K205" si="49">+D$150</f>
        <v>450.08</v>
      </c>
      <c r="L188" s="744">
        <f t="shared" ref="L188:L205" si="50">+D$151</f>
        <v>456.88</v>
      </c>
      <c r="M188" s="744"/>
      <c r="N188" s="844">
        <f t="shared" ref="N188:N205" si="51">+ROUND(I188*(M188-L188)/K188,2)</f>
        <v>-8883.4699999999993</v>
      </c>
      <c r="O188" s="751"/>
      <c r="P188" s="845"/>
      <c r="Q188" s="846"/>
      <c r="R188" s="1218"/>
    </row>
    <row r="189" spans="2:18" ht="11.25" customHeight="1">
      <c r="B189" s="822" t="str">
        <f t="shared" si="48"/>
        <v>VAL. 02</v>
      </c>
      <c r="C189" s="823">
        <f t="shared" si="48"/>
        <v>44530</v>
      </c>
      <c r="D189" s="824">
        <f>+Retencion!E16</f>
        <v>1302063.97</v>
      </c>
      <c r="E189" s="843">
        <f t="shared" ref="E189:E205" si="52">+H161</f>
        <v>0</v>
      </c>
      <c r="F189" s="841">
        <f>+D152</f>
        <v>0.11210000000000001</v>
      </c>
      <c r="G189" s="842">
        <f>+D153</f>
        <v>1</v>
      </c>
      <c r="H189" s="843"/>
      <c r="I189" s="744">
        <f>+IF(D$11&gt;C189,0,IF(E189&gt;0,ROUND(D189*F189*G189,2),J188))</f>
        <v>-8751.25</v>
      </c>
      <c r="J189" s="847">
        <f t="shared" ref="J189:J200" si="53">+ROUND(J188-I189,2)</f>
        <v>0</v>
      </c>
      <c r="K189" s="843">
        <f t="shared" si="49"/>
        <v>450.08</v>
      </c>
      <c r="L189" s="744">
        <f t="shared" si="50"/>
        <v>456.88</v>
      </c>
      <c r="M189" s="744"/>
      <c r="N189" s="848">
        <f t="shared" si="51"/>
        <v>8883.4699999999993</v>
      </c>
      <c r="O189" s="751"/>
      <c r="P189" s="845"/>
      <c r="Q189" s="846"/>
      <c r="R189" s="1218"/>
    </row>
    <row r="190" spans="2:18" ht="11.25" customHeight="1">
      <c r="B190" s="822" t="str">
        <f t="shared" si="48"/>
        <v>VAL. 03</v>
      </c>
      <c r="C190" s="823">
        <f t="shared" si="48"/>
        <v>44561</v>
      </c>
      <c r="D190" s="824">
        <f>+Retencion!E17</f>
        <v>1388847.16</v>
      </c>
      <c r="E190" s="843">
        <f t="shared" si="52"/>
        <v>0</v>
      </c>
      <c r="F190" s="841">
        <f>+D152</f>
        <v>0.11210000000000001</v>
      </c>
      <c r="G190" s="842">
        <f>+D153</f>
        <v>1</v>
      </c>
      <c r="H190" s="843"/>
      <c r="I190" s="744">
        <f>+IF(D$11&gt;C190,0,IF(E190&gt;0,ROUND(D190*F190*G190,2),J189))</f>
        <v>0</v>
      </c>
      <c r="J190" s="847">
        <f t="shared" si="53"/>
        <v>0</v>
      </c>
      <c r="K190" s="843">
        <f t="shared" si="49"/>
        <v>450.08</v>
      </c>
      <c r="L190" s="744">
        <f t="shared" si="50"/>
        <v>456.88</v>
      </c>
      <c r="M190" s="744"/>
      <c r="N190" s="848">
        <f t="shared" si="51"/>
        <v>0</v>
      </c>
      <c r="O190" s="751"/>
      <c r="P190" s="845"/>
      <c r="Q190" s="846"/>
      <c r="R190" s="1218"/>
    </row>
    <row r="191" spans="2:18" ht="11.25" customHeight="1">
      <c r="B191" s="822" t="str">
        <f t="shared" si="48"/>
        <v>VAL. 04</v>
      </c>
      <c r="C191" s="823">
        <f t="shared" si="48"/>
        <v>44592</v>
      </c>
      <c r="D191" s="824">
        <f>+Retencion!E19</f>
        <v>0</v>
      </c>
      <c r="E191" s="843">
        <f>+H163</f>
        <v>0</v>
      </c>
      <c r="F191" s="841">
        <f>+D152</f>
        <v>0.11210000000000001</v>
      </c>
      <c r="G191" s="842">
        <f>+D153</f>
        <v>1</v>
      </c>
      <c r="H191" s="843">
        <f>+D164</f>
        <v>13113685.15</v>
      </c>
      <c r="I191" s="744">
        <f>+IF(D$11&gt;C191,0,IF(E191&gt;0,ROUND(D191*F191*G191,2),J190))</f>
        <v>0</v>
      </c>
      <c r="J191" s="847">
        <f>+H191-I191</f>
        <v>13113685.15</v>
      </c>
      <c r="K191" s="843">
        <f t="shared" si="49"/>
        <v>450.08</v>
      </c>
      <c r="L191" s="744">
        <f t="shared" si="50"/>
        <v>456.88</v>
      </c>
      <c r="M191" s="744"/>
      <c r="N191" s="848">
        <f t="shared" si="51"/>
        <v>0</v>
      </c>
      <c r="O191" s="751"/>
      <c r="P191" s="845"/>
      <c r="Q191" s="846"/>
      <c r="R191" s="1218"/>
    </row>
    <row r="192" spans="2:18" ht="11.25" customHeight="1">
      <c r="B192" s="822" t="str">
        <f t="shared" si="48"/>
        <v>VAL. 05</v>
      </c>
      <c r="C192" s="823">
        <f t="shared" si="48"/>
        <v>44620</v>
      </c>
      <c r="D192" s="824">
        <f>+Retencion!E20</f>
        <v>0</v>
      </c>
      <c r="E192" s="843">
        <f>+H164</f>
        <v>13020076.799999999</v>
      </c>
      <c r="F192" s="841">
        <f>+D152</f>
        <v>0.11210000000000001</v>
      </c>
      <c r="G192" s="842">
        <f>+D153</f>
        <v>1</v>
      </c>
      <c r="H192" s="843">
        <f>+D148</f>
        <v>13113685.15</v>
      </c>
      <c r="I192" s="744">
        <f t="shared" ref="I192:I205" si="54">+IF(D$11&gt;C192,0,IF(ROUND(D192*F192*G192,2)&gt;J191,J191,ROUND(D192*F192*G192,2)))</f>
        <v>0</v>
      </c>
      <c r="J192" s="847">
        <f t="shared" si="53"/>
        <v>13113685.15</v>
      </c>
      <c r="K192" s="843">
        <f t="shared" si="49"/>
        <v>450.08</v>
      </c>
      <c r="L192" s="744">
        <f t="shared" si="50"/>
        <v>456.88</v>
      </c>
      <c r="M192" s="744">
        <v>456.88</v>
      </c>
      <c r="N192" s="848">
        <f t="shared" si="51"/>
        <v>0</v>
      </c>
      <c r="O192" s="751"/>
      <c r="P192" s="845">
        <v>44166</v>
      </c>
      <c r="Q192" s="846">
        <v>44166</v>
      </c>
      <c r="R192" s="1218" t="s">
        <v>996</v>
      </c>
    </row>
    <row r="193" spans="2:18" ht="11.25" customHeight="1">
      <c r="B193" s="822" t="str">
        <f t="shared" si="48"/>
        <v>VAL. 06</v>
      </c>
      <c r="C193" s="823">
        <f t="shared" si="48"/>
        <v>0</v>
      </c>
      <c r="D193" s="824">
        <f>+Retencion!E21</f>
        <v>0</v>
      </c>
      <c r="E193" s="843">
        <f t="shared" si="52"/>
        <v>13010233.299999999</v>
      </c>
      <c r="F193" s="841">
        <f>+D152</f>
        <v>0.11210000000000001</v>
      </c>
      <c r="G193" s="842">
        <f>+D153</f>
        <v>1</v>
      </c>
      <c r="H193" s="843">
        <f t="shared" ref="H193:H205" si="55">+J192</f>
        <v>13113685.15</v>
      </c>
      <c r="I193" s="744">
        <f t="shared" si="54"/>
        <v>0</v>
      </c>
      <c r="J193" s="847">
        <f t="shared" si="53"/>
        <v>13113685.15</v>
      </c>
      <c r="K193" s="843">
        <f t="shared" si="49"/>
        <v>450.08</v>
      </c>
      <c r="L193" s="744">
        <f t="shared" si="50"/>
        <v>456.88</v>
      </c>
      <c r="M193" s="744">
        <v>460.06</v>
      </c>
      <c r="N193" s="848">
        <f>+ROUND(I193*(M193-L193)/K193,2)</f>
        <v>0</v>
      </c>
      <c r="O193" s="751"/>
      <c r="P193" s="846">
        <v>44197</v>
      </c>
      <c r="Q193" s="846">
        <v>44197</v>
      </c>
      <c r="R193" s="1218" t="s">
        <v>996</v>
      </c>
    </row>
    <row r="194" spans="2:18" ht="11.25" customHeight="1">
      <c r="B194" s="822" t="str">
        <f t="shared" si="48"/>
        <v>VAL. 07</v>
      </c>
      <c r="C194" s="823" t="e">
        <f t="shared" si="48"/>
        <v>#REF!</v>
      </c>
      <c r="D194" s="824" t="e">
        <f>+Retencion!#REF!</f>
        <v>#REF!</v>
      </c>
      <c r="E194" s="843">
        <f t="shared" si="52"/>
        <v>11887136.869999999</v>
      </c>
      <c r="F194" s="841">
        <f>+D152</f>
        <v>0.11210000000000001</v>
      </c>
      <c r="G194" s="842">
        <f>+D153</f>
        <v>1</v>
      </c>
      <c r="H194" s="843">
        <f t="shared" si="55"/>
        <v>13113685.15</v>
      </c>
      <c r="I194" s="744" t="e">
        <f t="shared" si="54"/>
        <v>#REF!</v>
      </c>
      <c r="J194" s="847" t="e">
        <f t="shared" si="53"/>
        <v>#REF!</v>
      </c>
      <c r="K194" s="843">
        <f t="shared" si="49"/>
        <v>450.08</v>
      </c>
      <c r="L194" s="744">
        <f t="shared" si="50"/>
        <v>456.88</v>
      </c>
      <c r="M194" s="744">
        <v>462.48</v>
      </c>
      <c r="N194" s="848" t="e">
        <f t="shared" si="51"/>
        <v>#REF!</v>
      </c>
      <c r="O194" s="751"/>
      <c r="P194" s="845">
        <v>44228</v>
      </c>
      <c r="Q194" s="846">
        <v>44228</v>
      </c>
      <c r="R194" s="1218" t="s">
        <v>996</v>
      </c>
    </row>
    <row r="195" spans="2:18" ht="11.25" customHeight="1">
      <c r="B195" s="822" t="str">
        <f t="shared" si="48"/>
        <v>VAL. 08</v>
      </c>
      <c r="C195" s="823" t="e">
        <f t="shared" si="48"/>
        <v>#REF!</v>
      </c>
      <c r="D195" s="824" t="e">
        <f>+Retencion!#REF!</f>
        <v>#REF!</v>
      </c>
      <c r="E195" s="849">
        <f t="shared" si="52"/>
        <v>10097125.459999999</v>
      </c>
      <c r="F195" s="850">
        <f>+D152</f>
        <v>0.11210000000000001</v>
      </c>
      <c r="G195" s="851">
        <f>+D153</f>
        <v>1</v>
      </c>
      <c r="H195" s="843" t="e">
        <f t="shared" si="55"/>
        <v>#REF!</v>
      </c>
      <c r="I195" s="744" t="e">
        <f t="shared" si="54"/>
        <v>#REF!</v>
      </c>
      <c r="J195" s="847" t="e">
        <f t="shared" si="53"/>
        <v>#REF!</v>
      </c>
      <c r="K195" s="849">
        <f t="shared" si="49"/>
        <v>450.08</v>
      </c>
      <c r="L195" s="852">
        <f t="shared" si="50"/>
        <v>456.88</v>
      </c>
      <c r="M195" s="744">
        <v>460.06</v>
      </c>
      <c r="N195" s="848" t="e">
        <f>+ROUND(I195*(M195-L195)/K195,2)</f>
        <v>#REF!</v>
      </c>
      <c r="P195" s="845">
        <v>44197</v>
      </c>
      <c r="Q195" s="846">
        <v>44256</v>
      </c>
      <c r="R195" s="846" t="s">
        <v>1339</v>
      </c>
    </row>
    <row r="196" spans="2:18" ht="11.25" customHeight="1">
      <c r="B196" s="822" t="str">
        <f t="shared" si="48"/>
        <v>VAL. 09</v>
      </c>
      <c r="C196" s="823" t="e">
        <f t="shared" si="48"/>
        <v>#REF!</v>
      </c>
      <c r="D196" s="824" t="e">
        <f>+Retencion!#REF!</f>
        <v>#REF!</v>
      </c>
      <c r="E196" s="849">
        <f t="shared" si="52"/>
        <v>10097122.049999999</v>
      </c>
      <c r="F196" s="850">
        <f>+D152</f>
        <v>0.11210000000000001</v>
      </c>
      <c r="G196" s="851">
        <f>+D153</f>
        <v>1</v>
      </c>
      <c r="H196" s="843" t="e">
        <f t="shared" si="55"/>
        <v>#REF!</v>
      </c>
      <c r="I196" s="744" t="e">
        <f t="shared" si="54"/>
        <v>#REF!</v>
      </c>
      <c r="J196" s="847" t="e">
        <f t="shared" si="53"/>
        <v>#REF!</v>
      </c>
      <c r="K196" s="849">
        <f t="shared" si="49"/>
        <v>450.08</v>
      </c>
      <c r="L196" s="852">
        <f t="shared" si="50"/>
        <v>456.88</v>
      </c>
      <c r="M196" s="744">
        <v>462.48</v>
      </c>
      <c r="N196" s="848" t="e">
        <f t="shared" si="51"/>
        <v>#REF!</v>
      </c>
      <c r="P196" s="845">
        <v>44228</v>
      </c>
      <c r="Q196" s="846">
        <v>44287</v>
      </c>
      <c r="R196" s="846" t="s">
        <v>1339</v>
      </c>
    </row>
    <row r="197" spans="2:18" ht="11.25" customHeight="1">
      <c r="B197" s="822" t="str">
        <f t="shared" si="48"/>
        <v>VAL. 10</v>
      </c>
      <c r="C197" s="823" t="e">
        <f t="shared" si="48"/>
        <v>#REF!</v>
      </c>
      <c r="D197" s="824" t="e">
        <f>+Retencion!#REF!</f>
        <v>#REF!</v>
      </c>
      <c r="E197" s="849">
        <f t="shared" si="52"/>
        <v>10097122.049999999</v>
      </c>
      <c r="F197" s="850">
        <f>+D152</f>
        <v>0.11210000000000001</v>
      </c>
      <c r="G197" s="851">
        <f>+D153</f>
        <v>1</v>
      </c>
      <c r="H197" s="843" t="e">
        <f t="shared" si="55"/>
        <v>#REF!</v>
      </c>
      <c r="I197" s="744" t="e">
        <f>+IF(D$11&gt;C197,0,IF(ROUND(D197*F197*G197,2)&gt;J196,J196,ROUND(D197*F197*G197,2)))</f>
        <v>#REF!</v>
      </c>
      <c r="J197" s="847" t="e">
        <f t="shared" si="53"/>
        <v>#REF!</v>
      </c>
      <c r="K197" s="849">
        <f t="shared" si="49"/>
        <v>450.08</v>
      </c>
      <c r="L197" s="852">
        <f t="shared" si="50"/>
        <v>456.88</v>
      </c>
      <c r="M197" s="744"/>
      <c r="N197" s="848" t="e">
        <f t="shared" si="51"/>
        <v>#REF!</v>
      </c>
      <c r="P197" s="845">
        <v>44256</v>
      </c>
      <c r="Q197" s="846">
        <v>44317</v>
      </c>
      <c r="R197" s="1218"/>
    </row>
    <row r="198" spans="2:18" ht="11.25" customHeight="1">
      <c r="B198" s="822" t="str">
        <f t="shared" si="48"/>
        <v>VAL. 11</v>
      </c>
      <c r="C198" s="823" t="e">
        <f t="shared" si="48"/>
        <v>#REF!</v>
      </c>
      <c r="D198" s="824" t="e">
        <f>+Retencion!#REF!</f>
        <v>#REF!</v>
      </c>
      <c r="E198" s="849">
        <f t="shared" si="52"/>
        <v>10097122.049999999</v>
      </c>
      <c r="F198" s="850">
        <f>+D152</f>
        <v>0.11210000000000001</v>
      </c>
      <c r="G198" s="851">
        <f>+D153</f>
        <v>1</v>
      </c>
      <c r="H198" s="843" t="e">
        <f t="shared" si="55"/>
        <v>#REF!</v>
      </c>
      <c r="I198" s="744" t="e">
        <f>+IF(D$11&gt;C198,0,IF(ROUND(D198*F198*G198,2)&gt;J197,J197,ROUND(D198*F198*G198,2)))</f>
        <v>#REF!</v>
      </c>
      <c r="J198" s="847" t="e">
        <f t="shared" si="53"/>
        <v>#REF!</v>
      </c>
      <c r="K198" s="849">
        <f t="shared" si="49"/>
        <v>450.08</v>
      </c>
      <c r="L198" s="852">
        <f t="shared" si="50"/>
        <v>456.88</v>
      </c>
      <c r="M198" s="744"/>
      <c r="N198" s="848" t="e">
        <f t="shared" si="51"/>
        <v>#REF!</v>
      </c>
      <c r="P198" s="845">
        <v>44287</v>
      </c>
      <c r="Q198" s="846">
        <v>44348</v>
      </c>
      <c r="R198" s="1218"/>
    </row>
    <row r="199" spans="2:18" ht="11.25" customHeight="1">
      <c r="B199" s="822" t="str">
        <f t="shared" si="48"/>
        <v>VAL. 12</v>
      </c>
      <c r="C199" s="823" t="e">
        <f t="shared" si="48"/>
        <v>#REF!</v>
      </c>
      <c r="D199" s="824" t="e">
        <f>+Retencion!#REF!</f>
        <v>#REF!</v>
      </c>
      <c r="E199" s="849">
        <f t="shared" si="52"/>
        <v>10097122.049999999</v>
      </c>
      <c r="F199" s="850">
        <f>+D152</f>
        <v>0.11210000000000001</v>
      </c>
      <c r="G199" s="851">
        <f>+D153</f>
        <v>1</v>
      </c>
      <c r="H199" s="849" t="e">
        <f t="shared" si="55"/>
        <v>#REF!</v>
      </c>
      <c r="I199" s="744" t="e">
        <f>+IF(D$11&gt;C199,0,IF(ROUND(D199*F199*G199,2)&gt;J198,J198,ROUND(D199*F199*G199,2)))</f>
        <v>#REF!</v>
      </c>
      <c r="J199" s="847" t="e">
        <f t="shared" si="53"/>
        <v>#REF!</v>
      </c>
      <c r="K199" s="849">
        <f t="shared" si="49"/>
        <v>450.08</v>
      </c>
      <c r="L199" s="852">
        <f t="shared" si="50"/>
        <v>456.88</v>
      </c>
      <c r="M199" s="744"/>
      <c r="N199" s="853" t="e">
        <f t="shared" si="51"/>
        <v>#REF!</v>
      </c>
      <c r="P199" s="845">
        <v>44317</v>
      </c>
      <c r="Q199" s="846">
        <v>44378</v>
      </c>
      <c r="R199" s="1218"/>
    </row>
    <row r="200" spans="2:18" ht="11.25" customHeight="1">
      <c r="B200" s="822" t="str">
        <f t="shared" si="48"/>
        <v>VAL. 13</v>
      </c>
      <c r="C200" s="823" t="e">
        <f t="shared" si="48"/>
        <v>#REF!</v>
      </c>
      <c r="D200" s="824" t="e">
        <f>+Retencion!#REF!</f>
        <v>#REF!</v>
      </c>
      <c r="E200" s="849">
        <f t="shared" si="52"/>
        <v>10097122.049999999</v>
      </c>
      <c r="F200" s="850">
        <f>+D152</f>
        <v>0.11210000000000001</v>
      </c>
      <c r="G200" s="851">
        <f>+D153</f>
        <v>1</v>
      </c>
      <c r="H200" s="849" t="e">
        <f t="shared" si="55"/>
        <v>#REF!</v>
      </c>
      <c r="I200" s="744" t="e">
        <f t="shared" si="54"/>
        <v>#REF!</v>
      </c>
      <c r="J200" s="847" t="e">
        <f t="shared" si="53"/>
        <v>#REF!</v>
      </c>
      <c r="K200" s="849">
        <f t="shared" si="49"/>
        <v>450.08</v>
      </c>
      <c r="L200" s="852">
        <f t="shared" si="50"/>
        <v>456.88</v>
      </c>
      <c r="M200" s="744"/>
      <c r="N200" s="853" t="e">
        <f>+ROUND(I200*(M200-L200)/K200,2)</f>
        <v>#REF!</v>
      </c>
      <c r="P200" s="845">
        <v>44348</v>
      </c>
      <c r="Q200" s="846">
        <v>44409</v>
      </c>
      <c r="R200" s="1218"/>
    </row>
    <row r="201" spans="2:18" ht="11.25" customHeight="1">
      <c r="B201" s="822" t="str">
        <f t="shared" si="48"/>
        <v>VAL. 14</v>
      </c>
      <c r="C201" s="823" t="e">
        <f t="shared" si="48"/>
        <v>#REF!</v>
      </c>
      <c r="D201" s="824" t="e">
        <f>+Retencion!#REF!</f>
        <v>#REF!</v>
      </c>
      <c r="E201" s="849">
        <f t="shared" si="52"/>
        <v>10097122.049999999</v>
      </c>
      <c r="F201" s="850">
        <f>+D152</f>
        <v>0.11210000000000001</v>
      </c>
      <c r="G201" s="851">
        <f>+D153</f>
        <v>1</v>
      </c>
      <c r="H201" s="849" t="e">
        <f t="shared" si="55"/>
        <v>#REF!</v>
      </c>
      <c r="I201" s="744" t="e">
        <f t="shared" si="54"/>
        <v>#REF!</v>
      </c>
      <c r="J201" s="847" t="e">
        <f>+J200-I201</f>
        <v>#REF!</v>
      </c>
      <c r="K201" s="849">
        <f t="shared" si="49"/>
        <v>450.08</v>
      </c>
      <c r="L201" s="852">
        <f t="shared" si="50"/>
        <v>456.88</v>
      </c>
      <c r="M201" s="993"/>
      <c r="N201" s="853" t="e">
        <f t="shared" si="51"/>
        <v>#REF!</v>
      </c>
      <c r="P201" s="845">
        <v>44378</v>
      </c>
      <c r="Q201" s="846">
        <v>44440</v>
      </c>
      <c r="R201" s="1218"/>
    </row>
    <row r="202" spans="2:18" ht="11.25" customHeight="1">
      <c r="B202" s="822" t="str">
        <f t="shared" si="48"/>
        <v>VAL. 15</v>
      </c>
      <c r="C202" s="823" t="e">
        <f t="shared" si="48"/>
        <v>#REF!</v>
      </c>
      <c r="D202" s="824" t="e">
        <f>+Retencion!#REF!</f>
        <v>#REF!</v>
      </c>
      <c r="E202" s="849">
        <f t="shared" si="52"/>
        <v>10097122.049999999</v>
      </c>
      <c r="F202" s="850">
        <f>+D152</f>
        <v>0.11210000000000001</v>
      </c>
      <c r="G202" s="851">
        <f>+D153</f>
        <v>1</v>
      </c>
      <c r="H202" s="849" t="e">
        <f t="shared" si="55"/>
        <v>#REF!</v>
      </c>
      <c r="I202" s="744" t="e">
        <f t="shared" si="54"/>
        <v>#REF!</v>
      </c>
      <c r="J202" s="847" t="e">
        <f>+J201-I202</f>
        <v>#REF!</v>
      </c>
      <c r="K202" s="849">
        <f t="shared" si="49"/>
        <v>450.08</v>
      </c>
      <c r="L202" s="852">
        <f t="shared" si="50"/>
        <v>456.88</v>
      </c>
      <c r="M202" s="849"/>
      <c r="N202" s="853" t="e">
        <f t="shared" si="51"/>
        <v>#REF!</v>
      </c>
      <c r="P202" s="845">
        <v>44409</v>
      </c>
      <c r="Q202" s="846">
        <v>44470</v>
      </c>
      <c r="R202" s="1218"/>
    </row>
    <row r="203" spans="2:18" ht="11.25" customHeight="1">
      <c r="B203" s="822" t="str">
        <f t="shared" si="48"/>
        <v>VAL. 16</v>
      </c>
      <c r="C203" s="823" t="e">
        <f t="shared" si="48"/>
        <v>#REF!</v>
      </c>
      <c r="D203" s="824" t="e">
        <f>+Retencion!#REF!</f>
        <v>#REF!</v>
      </c>
      <c r="E203" s="849">
        <f t="shared" si="52"/>
        <v>10097122.049999999</v>
      </c>
      <c r="F203" s="850">
        <f>+D152</f>
        <v>0.11210000000000001</v>
      </c>
      <c r="G203" s="851">
        <f>+D153</f>
        <v>1</v>
      </c>
      <c r="H203" s="849" t="e">
        <f t="shared" si="55"/>
        <v>#REF!</v>
      </c>
      <c r="I203" s="744" t="e">
        <f t="shared" si="54"/>
        <v>#REF!</v>
      </c>
      <c r="J203" s="847" t="e">
        <f>+J202-I203</f>
        <v>#REF!</v>
      </c>
      <c r="K203" s="849">
        <f t="shared" si="49"/>
        <v>450.08</v>
      </c>
      <c r="L203" s="852">
        <f t="shared" si="50"/>
        <v>456.88</v>
      </c>
      <c r="M203" s="849"/>
      <c r="N203" s="853" t="e">
        <f t="shared" si="51"/>
        <v>#REF!</v>
      </c>
      <c r="P203" s="845">
        <v>44440</v>
      </c>
      <c r="Q203" s="846">
        <v>44501</v>
      </c>
      <c r="R203" s="1218"/>
    </row>
    <row r="204" spans="2:18" ht="11.25" customHeight="1">
      <c r="B204" s="822" t="str">
        <f>+B176</f>
        <v>VAL. 17</v>
      </c>
      <c r="C204" s="823" t="e">
        <f>+C176</f>
        <v>#REF!</v>
      </c>
      <c r="D204" s="824" t="e">
        <f>+Retencion!#REF!</f>
        <v>#REF!</v>
      </c>
      <c r="E204" s="849">
        <f t="shared" si="52"/>
        <v>10097122.049999999</v>
      </c>
      <c r="F204" s="850">
        <f>+D152</f>
        <v>0.11210000000000001</v>
      </c>
      <c r="G204" s="851">
        <f>+D153</f>
        <v>1</v>
      </c>
      <c r="H204" s="849" t="e">
        <f t="shared" si="55"/>
        <v>#REF!</v>
      </c>
      <c r="I204" s="744" t="e">
        <f t="shared" si="54"/>
        <v>#REF!</v>
      </c>
      <c r="J204" s="847" t="e">
        <f>+J203-I204</f>
        <v>#REF!</v>
      </c>
      <c r="K204" s="849">
        <f t="shared" si="49"/>
        <v>450.08</v>
      </c>
      <c r="L204" s="852">
        <f t="shared" si="50"/>
        <v>456.88</v>
      </c>
      <c r="M204" s="849"/>
      <c r="N204" s="853" t="e">
        <f t="shared" si="51"/>
        <v>#REF!</v>
      </c>
      <c r="P204" s="845">
        <v>44470</v>
      </c>
      <c r="Q204" s="846">
        <v>44531</v>
      </c>
      <c r="R204" s="1218"/>
    </row>
    <row r="205" spans="2:18" ht="11.25" customHeight="1">
      <c r="B205" s="822" t="str">
        <f>+B177</f>
        <v>VAL. 18</v>
      </c>
      <c r="C205" s="823" t="e">
        <f>+C177</f>
        <v>#REF!</v>
      </c>
      <c r="D205" s="824" t="e">
        <f>+Retencion!#REF!</f>
        <v>#REF!</v>
      </c>
      <c r="E205" s="849">
        <f t="shared" si="52"/>
        <v>10097122.049999999</v>
      </c>
      <c r="F205" s="850">
        <f>+D152</f>
        <v>0.11210000000000001</v>
      </c>
      <c r="G205" s="851">
        <f>+D153</f>
        <v>1</v>
      </c>
      <c r="H205" s="849" t="e">
        <f t="shared" si="55"/>
        <v>#REF!</v>
      </c>
      <c r="I205" s="744" t="e">
        <f t="shared" si="54"/>
        <v>#REF!</v>
      </c>
      <c r="J205" s="847" t="e">
        <f>+J204-I205</f>
        <v>#REF!</v>
      </c>
      <c r="K205" s="849">
        <f t="shared" si="49"/>
        <v>450.08</v>
      </c>
      <c r="L205" s="852">
        <f t="shared" si="50"/>
        <v>456.88</v>
      </c>
      <c r="M205" s="849"/>
      <c r="N205" s="853" t="e">
        <f t="shared" si="51"/>
        <v>#REF!</v>
      </c>
      <c r="P205" s="845">
        <v>44501</v>
      </c>
      <c r="Q205" s="846">
        <v>44562</v>
      </c>
      <c r="R205" s="1218"/>
    </row>
    <row r="206" spans="2:18" ht="11.25" customHeight="1">
      <c r="B206" s="822"/>
      <c r="C206" s="854"/>
      <c r="D206" s="849"/>
      <c r="E206" s="849"/>
      <c r="F206" s="850"/>
      <c r="G206" s="855"/>
      <c r="H206" s="849"/>
      <c r="I206" s="744"/>
      <c r="J206" s="847"/>
      <c r="K206" s="849"/>
      <c r="L206" s="852"/>
      <c r="M206" s="849"/>
      <c r="N206" s="853"/>
      <c r="P206" s="856"/>
      <c r="Q206" s="857"/>
      <c r="R206" s="1218"/>
    </row>
    <row r="207" spans="2:18" ht="11.25" customHeight="1">
      <c r="B207" s="858"/>
      <c r="C207" s="859"/>
      <c r="D207" s="860"/>
      <c r="E207" s="860"/>
      <c r="F207" s="861"/>
      <c r="G207" s="862"/>
      <c r="H207" s="860"/>
      <c r="I207" s="860"/>
      <c r="J207" s="828"/>
      <c r="K207" s="860"/>
      <c r="L207" s="830"/>
      <c r="M207" s="860"/>
      <c r="N207" s="863"/>
      <c r="P207" s="864"/>
      <c r="Q207" s="865"/>
      <c r="R207" s="1219"/>
    </row>
    <row r="208" spans="2:18" ht="11.25" customHeight="1">
      <c r="B208" s="774"/>
      <c r="C208" s="715"/>
      <c r="D208" s="866"/>
      <c r="E208" s="867"/>
      <c r="F208" s="868"/>
      <c r="G208" s="869"/>
      <c r="H208" s="869"/>
      <c r="I208" s="870" t="e">
        <f>SUM(I188:I207)</f>
        <v>#REF!</v>
      </c>
      <c r="J208" s="871"/>
      <c r="K208" s="869"/>
      <c r="L208" s="727"/>
      <c r="M208" s="727"/>
      <c r="N208" s="872"/>
    </row>
    <row r="209" spans="9:15" ht="11.25" customHeight="1">
      <c r="L209" s="873" t="s">
        <v>274</v>
      </c>
      <c r="M209" s="874"/>
      <c r="N209" s="875" t="e">
        <f>SUM(N188:N207)</f>
        <v>#REF!</v>
      </c>
      <c r="O209" s="751"/>
    </row>
    <row r="210" spans="9:15" ht="11.25" customHeight="1">
      <c r="I210" s="751"/>
      <c r="L210" s="876" t="s">
        <v>287</v>
      </c>
      <c r="M210" s="877"/>
      <c r="N210" s="878">
        <v>12424.35</v>
      </c>
    </row>
    <row r="211" spans="9:15" ht="11.25" customHeight="1">
      <c r="L211" s="879" t="s">
        <v>288</v>
      </c>
      <c r="M211" s="880"/>
      <c r="N211" s="881" t="e">
        <f>N209-N210</f>
        <v>#REF!</v>
      </c>
      <c r="O211" s="751"/>
    </row>
  </sheetData>
  <mergeCells count="106">
    <mergeCell ref="N186:N187"/>
    <mergeCell ref="P186:Q186"/>
    <mergeCell ref="B186:C187"/>
    <mergeCell ref="D186:D187"/>
    <mergeCell ref="E186:E187"/>
    <mergeCell ref="F186:G186"/>
    <mergeCell ref="H186:J186"/>
    <mergeCell ref="K186:M186"/>
    <mergeCell ref="F146:G146"/>
    <mergeCell ref="F147:G147"/>
    <mergeCell ref="F148:G148"/>
    <mergeCell ref="B157:C159"/>
    <mergeCell ref="D157:I157"/>
    <mergeCell ref="D158:F158"/>
    <mergeCell ref="G158:I158"/>
    <mergeCell ref="B143:O143"/>
    <mergeCell ref="B131:B132"/>
    <mergeCell ref="C131:C132"/>
    <mergeCell ref="D131:D132"/>
    <mergeCell ref="E131:F131"/>
    <mergeCell ref="G131:H131"/>
    <mergeCell ref="I131:J131"/>
    <mergeCell ref="N117:O117"/>
    <mergeCell ref="K131:K132"/>
    <mergeCell ref="L131:M131"/>
    <mergeCell ref="N131:O131"/>
    <mergeCell ref="Q131:S131"/>
    <mergeCell ref="U131:W131"/>
    <mergeCell ref="Q117:S117"/>
    <mergeCell ref="U117:W117"/>
    <mergeCell ref="K117:K118"/>
    <mergeCell ref="L117:M117"/>
    <mergeCell ref="B117:B118"/>
    <mergeCell ref="C117:C118"/>
    <mergeCell ref="D117:D118"/>
    <mergeCell ref="E117:F117"/>
    <mergeCell ref="G117:H117"/>
    <mergeCell ref="I117:J117"/>
    <mergeCell ref="K106:K107"/>
    <mergeCell ref="L106:M106"/>
    <mergeCell ref="N106:O106"/>
    <mergeCell ref="Q106:S106"/>
    <mergeCell ref="U106:W106"/>
    <mergeCell ref="K86:K87"/>
    <mergeCell ref="L86:M86"/>
    <mergeCell ref="N86:O86"/>
    <mergeCell ref="Q86:S86"/>
    <mergeCell ref="U86:W86"/>
    <mergeCell ref="U28:W28"/>
    <mergeCell ref="B59:B60"/>
    <mergeCell ref="C59:C60"/>
    <mergeCell ref="D59:D60"/>
    <mergeCell ref="E59:F59"/>
    <mergeCell ref="G59:H59"/>
    <mergeCell ref="I59:J59"/>
    <mergeCell ref="K59:K60"/>
    <mergeCell ref="B106:B107"/>
    <mergeCell ref="C106:C107"/>
    <mergeCell ref="D106:D107"/>
    <mergeCell ref="E106:F106"/>
    <mergeCell ref="G106:H106"/>
    <mergeCell ref="L59:M59"/>
    <mergeCell ref="N59:O59"/>
    <mergeCell ref="Q59:S59"/>
    <mergeCell ref="U59:W59"/>
    <mergeCell ref="B86:B87"/>
    <mergeCell ref="C86:C87"/>
    <mergeCell ref="D86:D87"/>
    <mergeCell ref="E86:F86"/>
    <mergeCell ref="G86:H86"/>
    <mergeCell ref="I86:J86"/>
    <mergeCell ref="I106:J106"/>
    <mergeCell ref="AI19:AJ19"/>
    <mergeCell ref="AK19:AL19"/>
    <mergeCell ref="B28:B29"/>
    <mergeCell ref="C28:C29"/>
    <mergeCell ref="D28:D29"/>
    <mergeCell ref="E28:F28"/>
    <mergeCell ref="G28:H28"/>
    <mergeCell ref="I28:J28"/>
    <mergeCell ref="K28:K29"/>
    <mergeCell ref="L28:M28"/>
    <mergeCell ref="Z19:Z20"/>
    <mergeCell ref="AA19:AA20"/>
    <mergeCell ref="AB19:AC19"/>
    <mergeCell ref="AD19:AE19"/>
    <mergeCell ref="AF19:AG19"/>
    <mergeCell ref="AH19:AH20"/>
    <mergeCell ref="K19:K20"/>
    <mergeCell ref="L19:M19"/>
    <mergeCell ref="N19:O19"/>
    <mergeCell ref="Q19:S19"/>
    <mergeCell ref="U19:W19"/>
    <mergeCell ref="Y19:Y20"/>
    <mergeCell ref="N28:O28"/>
    <mergeCell ref="Q28:S28"/>
    <mergeCell ref="C2:M2"/>
    <mergeCell ref="B7:O7"/>
    <mergeCell ref="B8:O8"/>
    <mergeCell ref="B9:O9"/>
    <mergeCell ref="B19:B20"/>
    <mergeCell ref="C19:C20"/>
    <mergeCell ref="D19:D20"/>
    <mergeCell ref="E19:F19"/>
    <mergeCell ref="G19:H19"/>
    <mergeCell ref="I19:J19"/>
  </mergeCells>
  <printOptions horizontalCentered="1"/>
  <pageMargins left="0.19685039370078741" right="0.19685039370078741" top="0.59055118110236227" bottom="0.44" header="0" footer="0"/>
  <pageSetup paperSize="9" scale="70" fitToHeight="2" orientation="landscape" r:id="rId1"/>
  <headerFooter alignWithMargins="0">
    <oddFooter>&amp;L&amp;8&amp;F: &amp;A&amp;R&amp;8&amp;P/&amp;N</oddFooter>
  </headerFooter>
  <rowBreaks count="4" manualBreakCount="4">
    <brk id="57" max="16383" man="1"/>
    <brk id="104" min="1" max="14" man="1"/>
    <brk id="142" max="16383" man="1"/>
    <brk id="181" min="1" max="14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14">
    <tabColor indexed="24"/>
  </sheetPr>
  <dimension ref="B1:AM446"/>
  <sheetViews>
    <sheetView showGridLines="0" view="pageBreakPreview" zoomScaleNormal="100" zoomScaleSheetLayoutView="100" workbookViewId="0">
      <selection activeCell="A99" sqref="A99:XFD106"/>
    </sheetView>
  </sheetViews>
  <sheetFormatPr baseColWidth="10" defaultColWidth="11.42578125" defaultRowHeight="11.25" customHeight="1"/>
  <cols>
    <col min="1" max="1" width="1.85546875" style="698" bestFit="1" customWidth="1"/>
    <col min="2" max="2" width="13.85546875" style="698" customWidth="1"/>
    <col min="3" max="3" width="50.85546875" style="698" customWidth="1"/>
    <col min="4" max="4" width="14.42578125" style="698" customWidth="1"/>
    <col min="5" max="5" width="11.7109375" style="698" customWidth="1"/>
    <col min="6" max="6" width="11" style="698" customWidth="1"/>
    <col min="7" max="10" width="10.7109375" style="698" customWidth="1"/>
    <col min="11" max="11" width="8.7109375" style="698" customWidth="1"/>
    <col min="12" max="12" width="11" style="698" customWidth="1"/>
    <col min="13" max="13" width="10.140625" style="698" customWidth="1"/>
    <col min="14" max="14" width="11.42578125" style="698"/>
    <col min="15" max="15" width="11.7109375" style="698" customWidth="1"/>
    <col min="16" max="16" width="9.7109375" style="698" customWidth="1"/>
    <col min="17" max="17" width="9" style="698" bestFit="1" customWidth="1"/>
    <col min="18" max="18" width="11" style="698" bestFit="1" customWidth="1"/>
    <col min="19" max="19" width="8.7109375" style="698" bestFit="1" customWidth="1"/>
    <col min="20" max="24" width="11.42578125" style="698"/>
    <col min="25" max="25" width="8.42578125" style="698" customWidth="1"/>
    <col min="26" max="26" width="30.140625" style="698" customWidth="1"/>
    <col min="27" max="27" width="7.140625" style="698" customWidth="1"/>
    <col min="28" max="28" width="6.42578125" style="698" customWidth="1"/>
    <col min="29" max="29" width="8.42578125" style="698" customWidth="1"/>
    <col min="30" max="16384" width="11.42578125" style="698"/>
  </cols>
  <sheetData>
    <row r="1" spans="2:18" ht="11.25" customHeight="1">
      <c r="C1" s="61">
        <f>+K!$C$1</f>
        <v>0</v>
      </c>
      <c r="D1" s="604"/>
      <c r="E1" s="605"/>
      <c r="F1" s="602"/>
      <c r="G1" s="602"/>
      <c r="H1" s="602"/>
      <c r="I1" s="602"/>
      <c r="J1" s="602"/>
      <c r="K1" s="700"/>
      <c r="L1" s="700"/>
    </row>
    <row r="2" spans="2:18" s="699" customFormat="1" ht="39.950000000000003" customHeight="1">
      <c r="B2" s="698"/>
      <c r="C2" s="1730" t="str">
        <f>+K!$B$2</f>
        <v>“RECONSTRUCCIÓN DE PISTAS Y VEREDAS EN LA AV. LAS TORRES TRAMO DESDE LA
  AV. CIRCUNVALACIÓN HASTA LA ALTURA DE LA QUINTA AV., L = 1.99 KM DISTRITO DE
LURIGANCHO CHOSICA, LIMA – LIMA”. Con código único de inversión (IRI): 2498581</v>
      </c>
      <c r="D2" s="1730"/>
      <c r="E2" s="1730"/>
      <c r="F2" s="1730"/>
      <c r="G2" s="1730"/>
      <c r="H2" s="1730"/>
      <c r="I2" s="1730"/>
      <c r="J2" s="1730"/>
      <c r="K2" s="1730"/>
      <c r="L2" s="1730"/>
      <c r="M2" s="1730"/>
    </row>
    <row r="3" spans="2:18" s="699" customFormat="1" ht="11.25" customHeight="1">
      <c r="B3" s="698"/>
      <c r="C3" s="61" t="str">
        <f>+K!$B$4</f>
        <v>CONTRATISTA : DITRANSERVA S.A.C.</v>
      </c>
      <c r="D3" s="604"/>
      <c r="E3" s="605"/>
      <c r="F3" s="602"/>
      <c r="G3" s="602"/>
      <c r="H3" s="602"/>
      <c r="I3" s="602"/>
      <c r="J3" s="602"/>
      <c r="K3" s="700"/>
      <c r="L3" s="700"/>
    </row>
    <row r="4" spans="2:18" s="699" customFormat="1" ht="11.25" customHeight="1">
      <c r="B4" s="698"/>
      <c r="C4" s="61" t="str">
        <f>+K!$B$5</f>
        <v>SUPERVISOR : CONSORCIO SUPERVISOR LAS TORRES</v>
      </c>
      <c r="D4" s="604"/>
      <c r="E4" s="605"/>
      <c r="F4" s="602"/>
      <c r="G4" s="602"/>
      <c r="H4" s="602"/>
      <c r="I4" s="602"/>
      <c r="J4" s="602"/>
      <c r="K4" s="700"/>
      <c r="L4" s="700"/>
    </row>
    <row r="7" spans="2:18" ht="18">
      <c r="B7" s="1687" t="s">
        <v>177</v>
      </c>
      <c r="C7" s="1687"/>
      <c r="D7" s="1687"/>
      <c r="E7" s="1687"/>
      <c r="F7" s="1687"/>
      <c r="G7" s="1687"/>
      <c r="H7" s="1687"/>
      <c r="I7" s="1687"/>
      <c r="J7" s="1687"/>
      <c r="K7" s="1687"/>
      <c r="L7" s="1687"/>
      <c r="M7" s="1687"/>
      <c r="N7" s="1687"/>
      <c r="O7" s="1687"/>
      <c r="P7" s="700"/>
      <c r="Q7" s="700"/>
      <c r="R7" s="700"/>
    </row>
    <row r="8" spans="2:18" ht="18">
      <c r="B8" s="1687" t="str">
        <f>+CONCATENATE("VALORIZACION Nº ",Data!E4," - MES DE",Data!F4)</f>
        <v>VALORIZACION Nº 4 - MES DE DICIEMBRE 2021</v>
      </c>
      <c r="C8" s="1687" t="s">
        <v>1815</v>
      </c>
      <c r="D8" s="1687" t="s">
        <v>1815</v>
      </c>
      <c r="E8" s="1687" t="s">
        <v>1815</v>
      </c>
      <c r="F8" s="1687" t="s">
        <v>1815</v>
      </c>
      <c r="G8" s="1687" t="s">
        <v>1815</v>
      </c>
      <c r="H8" s="1687" t="s">
        <v>1815</v>
      </c>
      <c r="I8" s="1687" t="s">
        <v>1815</v>
      </c>
      <c r="J8" s="1687" t="s">
        <v>1815</v>
      </c>
      <c r="K8" s="1687" t="s">
        <v>1815</v>
      </c>
      <c r="L8" s="1687" t="s">
        <v>1815</v>
      </c>
      <c r="M8" s="1687" t="s">
        <v>1815</v>
      </c>
      <c r="N8" s="1687" t="s">
        <v>1815</v>
      </c>
      <c r="O8" s="1687" t="s">
        <v>1815</v>
      </c>
      <c r="P8" s="700"/>
      <c r="Q8" s="700"/>
      <c r="R8" s="700"/>
    </row>
    <row r="9" spans="2:18" ht="15">
      <c r="B9" s="1707" t="s">
        <v>617</v>
      </c>
      <c r="C9" s="1707"/>
      <c r="D9" s="1707"/>
      <c r="E9" s="1707"/>
      <c r="F9" s="1707"/>
      <c r="G9" s="1707"/>
      <c r="H9" s="1707"/>
      <c r="I9" s="1707"/>
      <c r="J9" s="1707"/>
      <c r="K9" s="1707"/>
      <c r="L9" s="1707"/>
      <c r="M9" s="1707"/>
      <c r="N9" s="1707"/>
      <c r="O9" s="1707"/>
    </row>
    <row r="10" spans="2:18" ht="11.25" customHeight="1">
      <c r="B10" s="698" t="s">
        <v>1284</v>
      </c>
      <c r="D10" s="702">
        <v>11814622.49</v>
      </c>
      <c r="E10" s="698" t="s">
        <v>178</v>
      </c>
      <c r="I10" s="699" t="s">
        <v>179</v>
      </c>
      <c r="K10" s="699" t="s">
        <v>180</v>
      </c>
      <c r="M10" s="699"/>
    </row>
    <row r="11" spans="2:18" ht="11.25" customHeight="1">
      <c r="B11" s="698" t="s">
        <v>181</v>
      </c>
      <c r="D11" s="703">
        <v>44172</v>
      </c>
      <c r="E11" s="704"/>
      <c r="I11" s="698" t="s">
        <v>182</v>
      </c>
    </row>
    <row r="12" spans="2:18" ht="11.25" customHeight="1">
      <c r="B12" s="699" t="s">
        <v>183</v>
      </c>
      <c r="C12" s="699" t="s">
        <v>430</v>
      </c>
      <c r="E12" s="705"/>
      <c r="F12" s="706"/>
      <c r="I12" s="707" t="s">
        <v>185</v>
      </c>
      <c r="K12" s="698" t="s">
        <v>186</v>
      </c>
    </row>
    <row r="13" spans="2:18" ht="11.25" customHeight="1">
      <c r="B13" s="699" t="s">
        <v>187</v>
      </c>
      <c r="C13" s="708" t="s">
        <v>520</v>
      </c>
      <c r="E13" s="705"/>
      <c r="F13" s="706"/>
      <c r="I13" s="707" t="s">
        <v>188</v>
      </c>
      <c r="K13" s="698" t="s">
        <v>189</v>
      </c>
    </row>
    <row r="14" spans="2:18" ht="11.25" customHeight="1">
      <c r="B14" s="698" t="s">
        <v>1285</v>
      </c>
      <c r="D14" s="709">
        <v>476.04</v>
      </c>
      <c r="I14" s="707" t="s">
        <v>191</v>
      </c>
      <c r="K14" s="698" t="s">
        <v>192</v>
      </c>
    </row>
    <row r="15" spans="2:18" ht="11.25" customHeight="1">
      <c r="B15" s="698" t="s">
        <v>1286</v>
      </c>
      <c r="D15" s="709">
        <v>457.01</v>
      </c>
      <c r="E15" s="710"/>
      <c r="I15" s="707" t="s">
        <v>193</v>
      </c>
      <c r="K15" s="698" t="s">
        <v>194</v>
      </c>
    </row>
    <row r="16" spans="2:18" ht="11.25" customHeight="1">
      <c r="I16" s="711" t="s">
        <v>195</v>
      </c>
      <c r="J16" s="712"/>
      <c r="K16" s="712" t="s">
        <v>196</v>
      </c>
      <c r="L16" s="712"/>
      <c r="M16" s="713">
        <v>1</v>
      </c>
      <c r="N16" s="714"/>
    </row>
    <row r="17" spans="2:39" ht="11.25" customHeight="1">
      <c r="B17" s="39" t="s">
        <v>1337</v>
      </c>
      <c r="K17" s="698" t="s">
        <v>197</v>
      </c>
    </row>
    <row r="18" spans="2:39" ht="11.25" customHeight="1">
      <c r="B18" s="715"/>
      <c r="C18" s="715"/>
      <c r="D18" s="715"/>
      <c r="E18" s="715"/>
      <c r="F18" s="715"/>
      <c r="G18" s="715"/>
      <c r="H18" s="715"/>
      <c r="I18" s="715"/>
      <c r="J18" s="715"/>
      <c r="K18" s="715"/>
      <c r="L18" s="715"/>
      <c r="M18" s="715"/>
      <c r="N18" s="715"/>
      <c r="O18" s="715"/>
      <c r="Y18" s="710" t="s">
        <v>323</v>
      </c>
      <c r="Z18" s="710"/>
      <c r="AA18" s="710"/>
      <c r="AB18" s="710"/>
      <c r="AC18" s="710"/>
      <c r="AD18" s="710"/>
      <c r="AE18" s="710"/>
      <c r="AF18" s="710"/>
      <c r="AG18" s="710"/>
      <c r="AH18" s="710"/>
      <c r="AI18" s="710"/>
      <c r="AJ18" s="710"/>
      <c r="AK18" s="710"/>
      <c r="AL18" s="710"/>
      <c r="AM18" s="710"/>
    </row>
    <row r="19" spans="2:39" ht="11.25" customHeight="1">
      <c r="B19" s="1714" t="s">
        <v>198</v>
      </c>
      <c r="C19" s="1714" t="s">
        <v>199</v>
      </c>
      <c r="D19" s="1716" t="s">
        <v>601</v>
      </c>
      <c r="E19" s="1712" t="s">
        <v>200</v>
      </c>
      <c r="F19" s="1713"/>
      <c r="G19" s="1712" t="s">
        <v>201</v>
      </c>
      <c r="H19" s="1713"/>
      <c r="I19" s="1678" t="s">
        <v>202</v>
      </c>
      <c r="J19" s="1680"/>
      <c r="K19" s="1685" t="s">
        <v>203</v>
      </c>
      <c r="L19" s="1678" t="s">
        <v>204</v>
      </c>
      <c r="M19" s="1680"/>
      <c r="N19" s="1678" t="s">
        <v>423</v>
      </c>
      <c r="O19" s="1680"/>
      <c r="P19" s="700"/>
      <c r="Q19" s="1695" t="s">
        <v>205</v>
      </c>
      <c r="R19" s="1696"/>
      <c r="S19" s="1697"/>
      <c r="T19" s="710"/>
      <c r="U19" s="1695" t="s">
        <v>331</v>
      </c>
      <c r="V19" s="1696"/>
      <c r="W19" s="1697"/>
      <c r="Y19" s="1728" t="s">
        <v>198</v>
      </c>
      <c r="Z19" s="1728" t="s">
        <v>199</v>
      </c>
      <c r="AA19" s="1733" t="s">
        <v>601</v>
      </c>
      <c r="AB19" s="1695" t="s">
        <v>200</v>
      </c>
      <c r="AC19" s="1697"/>
      <c r="AD19" s="1695" t="s">
        <v>201</v>
      </c>
      <c r="AE19" s="1697"/>
      <c r="AF19" s="1695" t="s">
        <v>487</v>
      </c>
      <c r="AG19" s="1697"/>
      <c r="AH19" s="1728" t="s">
        <v>203</v>
      </c>
      <c r="AI19" s="1695" t="s">
        <v>204</v>
      </c>
      <c r="AJ19" s="1697"/>
      <c r="AK19" s="1695" t="s">
        <v>423</v>
      </c>
      <c r="AL19" s="1697"/>
      <c r="AM19" s="710"/>
    </row>
    <row r="20" spans="2:39" ht="21" customHeight="1">
      <c r="B20" s="1715"/>
      <c r="C20" s="1715"/>
      <c r="D20" s="1717"/>
      <c r="E20" s="1011" t="s">
        <v>206</v>
      </c>
      <c r="F20" s="1012" t="s">
        <v>207</v>
      </c>
      <c r="G20" s="1011" t="s">
        <v>452</v>
      </c>
      <c r="H20" s="1012" t="s">
        <v>208</v>
      </c>
      <c r="I20" s="717" t="s">
        <v>452</v>
      </c>
      <c r="J20" s="718" t="s">
        <v>208</v>
      </c>
      <c r="K20" s="1686"/>
      <c r="L20" s="717" t="s">
        <v>467</v>
      </c>
      <c r="M20" s="718" t="s">
        <v>468</v>
      </c>
      <c r="N20" s="717" t="s">
        <v>209</v>
      </c>
      <c r="O20" s="718" t="s">
        <v>210</v>
      </c>
      <c r="Q20" s="954" t="s">
        <v>211</v>
      </c>
      <c r="R20" s="955" t="s">
        <v>394</v>
      </c>
      <c r="S20" s="956" t="s">
        <v>451</v>
      </c>
      <c r="T20" s="710"/>
      <c r="U20" s="954" t="s">
        <v>211</v>
      </c>
      <c r="V20" s="955" t="s">
        <v>394</v>
      </c>
      <c r="W20" s="956" t="s">
        <v>451</v>
      </c>
      <c r="Y20" s="1729"/>
      <c r="Z20" s="1729"/>
      <c r="AA20" s="1734"/>
      <c r="AB20" s="1099" t="s">
        <v>206</v>
      </c>
      <c r="AC20" s="979" t="s">
        <v>207</v>
      </c>
      <c r="AD20" s="1099" t="s">
        <v>452</v>
      </c>
      <c r="AE20" s="979" t="s">
        <v>486</v>
      </c>
      <c r="AF20" s="1099" t="s">
        <v>452</v>
      </c>
      <c r="AG20" s="979" t="s">
        <v>208</v>
      </c>
      <c r="AH20" s="1729"/>
      <c r="AI20" s="1099" t="s">
        <v>467</v>
      </c>
      <c r="AJ20" s="979" t="s">
        <v>468</v>
      </c>
      <c r="AK20" s="1099" t="s">
        <v>209</v>
      </c>
      <c r="AL20" s="979" t="s">
        <v>210</v>
      </c>
      <c r="AM20" s="710"/>
    </row>
    <row r="21" spans="2:39" ht="11.25" customHeight="1">
      <c r="B21" s="722" t="s">
        <v>183</v>
      </c>
      <c r="C21" s="728"/>
      <c r="D21" s="724"/>
      <c r="E21" s="730"/>
      <c r="G21" s="726"/>
      <c r="H21" s="727"/>
      <c r="I21" s="726"/>
      <c r="J21" s="728"/>
      <c r="K21" s="729"/>
      <c r="L21" s="724"/>
      <c r="M21" s="725"/>
      <c r="N21" s="730"/>
      <c r="O21" s="728"/>
      <c r="Q21" s="957"/>
      <c r="R21" s="958"/>
      <c r="S21" s="959"/>
      <c r="T21" s="710"/>
      <c r="U21" s="957"/>
      <c r="V21" s="958"/>
      <c r="W21" s="959"/>
      <c r="Y21" s="1100" t="s">
        <v>183</v>
      </c>
      <c r="Z21" s="1101" t="s">
        <v>184</v>
      </c>
      <c r="AA21" s="960"/>
      <c r="AB21" s="960"/>
      <c r="AC21" s="959"/>
      <c r="AD21" s="1102"/>
      <c r="AE21" s="984"/>
      <c r="AF21" s="1102"/>
      <c r="AG21" s="981"/>
      <c r="AH21" s="1103"/>
      <c r="AI21" s="960"/>
      <c r="AJ21" s="959"/>
      <c r="AK21" s="1034"/>
      <c r="AL21" s="981"/>
      <c r="AM21" s="710"/>
    </row>
    <row r="22" spans="2:39" ht="11.25" customHeight="1">
      <c r="B22" s="722" t="s">
        <v>212</v>
      </c>
      <c r="C22" s="733" t="s">
        <v>1287</v>
      </c>
      <c r="D22" s="724"/>
      <c r="E22" s="730"/>
      <c r="F22" s="802"/>
      <c r="G22" s="726"/>
      <c r="H22" s="727"/>
      <c r="I22" s="726"/>
      <c r="J22" s="727"/>
      <c r="K22" s="729"/>
      <c r="L22" s="724"/>
      <c r="M22" s="725"/>
      <c r="N22" s="730"/>
      <c r="O22" s="728"/>
      <c r="Q22" s="960"/>
      <c r="R22" s="961"/>
      <c r="S22" s="959"/>
      <c r="T22" s="710"/>
      <c r="U22" s="1070">
        <v>-2.7</v>
      </c>
      <c r="V22" s="962">
        <f>+U22</f>
        <v>-2.7</v>
      </c>
      <c r="W22" s="963">
        <v>23666.43</v>
      </c>
      <c r="Y22" s="1100" t="s">
        <v>212</v>
      </c>
      <c r="Z22" s="1101" t="s">
        <v>213</v>
      </c>
      <c r="AA22" s="960"/>
      <c r="AB22" s="960"/>
      <c r="AC22" s="1104"/>
      <c r="AD22" s="1102"/>
      <c r="AE22" s="984"/>
      <c r="AF22" s="1102"/>
      <c r="AG22" s="984"/>
      <c r="AH22" s="1103"/>
      <c r="AI22" s="960"/>
      <c r="AJ22" s="959"/>
      <c r="AK22" s="1034"/>
      <c r="AL22" s="981"/>
      <c r="AM22" s="710"/>
    </row>
    <row r="23" spans="2:39" ht="11.25" customHeight="1">
      <c r="B23" s="796" t="s">
        <v>1179</v>
      </c>
      <c r="C23" s="1023" t="s">
        <v>1786</v>
      </c>
      <c r="D23" s="738" t="s">
        <v>436</v>
      </c>
      <c r="E23" s="739">
        <v>1</v>
      </c>
      <c r="F23" s="740">
        <v>1</v>
      </c>
      <c r="G23" s="797">
        <v>20593062.559999999</v>
      </c>
      <c r="H23" s="742">
        <f>+ROUND(E23*F23*G23,2)</f>
        <v>20593062.559999999</v>
      </c>
      <c r="I23" s="1215">
        <f>LOOKUP(B23,valoriz!$A$13:$A$242,valoriz!I$13:I$242)</f>
        <v>0</v>
      </c>
      <c r="J23" s="744">
        <f>+ROUND(E23*F23*I23,2)</f>
        <v>0</v>
      </c>
      <c r="K23" s="745">
        <v>0.5</v>
      </c>
      <c r="L23" s="746">
        <f>D$15</f>
        <v>457.01</v>
      </c>
      <c r="M23" s="747">
        <f>D$14</f>
        <v>476.04</v>
      </c>
      <c r="N23" s="748">
        <f>+ROUND(J23*K23*M$16,2)</f>
        <v>0</v>
      </c>
      <c r="O23" s="744">
        <f>+ROUND(J23*K23*L23*M$16/M23,2)</f>
        <v>0</v>
      </c>
      <c r="Q23" s="960">
        <v>5107.6099999999997</v>
      </c>
      <c r="R23" s="962">
        <f>+J23+Q23</f>
        <v>5107.6099999999997</v>
      </c>
      <c r="S23" s="963">
        <f>+H23-R23</f>
        <v>20587954.949999999</v>
      </c>
      <c r="T23" s="964"/>
      <c r="U23" s="1070">
        <f>+ROUND(Q23*$K23*$L23/$M23,2)</f>
        <v>2451.7199999999998</v>
      </c>
      <c r="V23" s="962">
        <f>+ROUND(R23*$K23*$L23/$M23,2)</f>
        <v>2451.7199999999998</v>
      </c>
      <c r="W23" s="963"/>
      <c r="Y23" s="1105" t="s">
        <v>53</v>
      </c>
      <c r="Z23" s="1106" t="s">
        <v>54</v>
      </c>
      <c r="AA23" s="1107" t="s">
        <v>173</v>
      </c>
      <c r="AB23" s="1108">
        <v>1</v>
      </c>
      <c r="AC23" s="1109">
        <v>0.3</v>
      </c>
      <c r="AD23" s="1110">
        <v>18363.259999999998</v>
      </c>
      <c r="AE23" s="1111">
        <f>+ROUND(AB23*AC23*AD23,2)</f>
        <v>5508.98</v>
      </c>
      <c r="AF23" s="1112">
        <f>LOOKUP(Y23,valoriz!$A$13:$A$242,valoriz!G$13:G$242)</f>
        <v>0</v>
      </c>
      <c r="AG23" s="1095">
        <f>+ROUND(AB23*AC23*AF23,2)</f>
        <v>0</v>
      </c>
      <c r="AH23" s="1113">
        <v>2.58</v>
      </c>
      <c r="AI23" s="1114">
        <f>AA$15</f>
        <v>0</v>
      </c>
      <c r="AJ23" s="1115">
        <f>AA$14</f>
        <v>0</v>
      </c>
      <c r="AK23" s="1116">
        <f>+ROUND(AG23*AH23*AJ$16,2)</f>
        <v>0</v>
      </c>
      <c r="AL23" s="1095" t="e">
        <f>+ROUND(AG23*AH23*AI23*AJ$16/AJ23,2)</f>
        <v>#DIV/0!</v>
      </c>
      <c r="AM23" s="710"/>
    </row>
    <row r="24" spans="2:39" ht="11.25" customHeight="1" thickBot="1">
      <c r="B24" s="762"/>
      <c r="C24" s="1024"/>
      <c r="D24" s="764"/>
      <c r="E24" s="765"/>
      <c r="F24" s="766"/>
      <c r="G24" s="799"/>
      <c r="H24" s="800"/>
      <c r="I24" s="767"/>
      <c r="J24" s="769"/>
      <c r="K24" s="770"/>
      <c r="L24" s="771"/>
      <c r="M24" s="772"/>
      <c r="N24" s="773"/>
      <c r="O24" s="769"/>
      <c r="Q24" s="968"/>
      <c r="R24" s="1153"/>
      <c r="S24" s="1154"/>
      <c r="T24" s="964"/>
      <c r="U24" s="1057"/>
      <c r="V24" s="969"/>
      <c r="W24" s="970"/>
      <c r="Y24" s="1117"/>
      <c r="Z24" s="1118"/>
      <c r="AA24" s="1119"/>
      <c r="AB24" s="1120"/>
      <c r="AC24" s="1121"/>
      <c r="AD24" s="1122"/>
      <c r="AE24" s="1123"/>
      <c r="AF24" s="1122"/>
      <c r="AG24" s="1124"/>
      <c r="AH24" s="1125"/>
      <c r="AI24" s="1126"/>
      <c r="AJ24" s="1127"/>
      <c r="AK24" s="1128"/>
      <c r="AL24" s="1124"/>
      <c r="AM24" s="710"/>
    </row>
    <row r="25" spans="2:39" ht="11.25" customHeight="1">
      <c r="B25" s="775"/>
      <c r="C25" s="776"/>
      <c r="D25" s="777"/>
      <c r="E25" s="777"/>
      <c r="F25" s="778"/>
      <c r="G25" s="779"/>
      <c r="H25" s="780">
        <f>SUM(H23:H24)</f>
        <v>20593062.559999999</v>
      </c>
      <c r="I25" s="779"/>
      <c r="J25" s="780">
        <f>SUM(J23:J24)</f>
        <v>0</v>
      </c>
      <c r="K25" s="781"/>
      <c r="L25" s="777" t="s">
        <v>589</v>
      </c>
      <c r="M25" s="778"/>
      <c r="N25" s="782">
        <f>SUM(N23:N24)</f>
        <v>0</v>
      </c>
      <c r="O25" s="783">
        <f>SUM(O23:O24)</f>
        <v>0</v>
      </c>
      <c r="Q25" s="1051">
        <f>SUM(Q23:Q24)</f>
        <v>5107.6099999999997</v>
      </c>
      <c r="R25" s="990">
        <f>SUM(R23:R24)</f>
        <v>5107.6099999999997</v>
      </c>
      <c r="S25" s="1052">
        <f>SUM(S23:S24)</f>
        <v>20587954.949999999</v>
      </c>
      <c r="T25" s="964"/>
      <c r="U25" s="990">
        <f>SUM(U22:U24)</f>
        <v>2449.02</v>
      </c>
      <c r="V25" s="991">
        <f>SUM(V22:V24)</f>
        <v>2449.02</v>
      </c>
      <c r="W25" s="992">
        <f>+W22-V26</f>
        <v>21217.420000000002</v>
      </c>
      <c r="Y25" s="1129"/>
      <c r="Z25" s="1130"/>
      <c r="AA25" s="1131"/>
      <c r="AB25" s="1131"/>
      <c r="AC25" s="1132"/>
      <c r="AD25" s="1133"/>
      <c r="AE25" s="1134">
        <f>SUM(AE23:AE24)</f>
        <v>5508.98</v>
      </c>
      <c r="AF25" s="1133"/>
      <c r="AG25" s="1134">
        <f>SUM(AG23:AG24)</f>
        <v>0</v>
      </c>
      <c r="AH25" s="1135"/>
      <c r="AI25" s="1131"/>
      <c r="AJ25" s="1132"/>
      <c r="AK25" s="1136">
        <f>SUM(AK23:AK24)</f>
        <v>0</v>
      </c>
      <c r="AL25" s="1137" t="e">
        <f>SUM(AL23:AL24)</f>
        <v>#DIV/0!</v>
      </c>
      <c r="AM25" s="710"/>
    </row>
    <row r="26" spans="2:39" ht="11.25" customHeight="1">
      <c r="B26" s="784"/>
      <c r="C26" s="785"/>
      <c r="G26" s="786"/>
      <c r="H26" s="787" t="s">
        <v>214</v>
      </c>
      <c r="I26" s="788"/>
      <c r="J26" s="789">
        <v>17846787.480000004</v>
      </c>
      <c r="K26" s="751"/>
      <c r="U26" s="710">
        <v>7757.51</v>
      </c>
      <c r="V26" s="1050">
        <f>+O25+U25-0.01</f>
        <v>2449.0099999999998</v>
      </c>
      <c r="AD26" s="699" t="s">
        <v>321</v>
      </c>
      <c r="AE26" s="699">
        <v>23666.43</v>
      </c>
    </row>
    <row r="27" spans="2:39" ht="11.25" customHeight="1">
      <c r="B27" s="790"/>
      <c r="C27" s="791"/>
      <c r="D27" s="121"/>
      <c r="E27" s="792"/>
      <c r="F27" s="792"/>
      <c r="G27" s="793"/>
      <c r="H27" s="793"/>
      <c r="I27" s="793"/>
      <c r="J27" s="751"/>
      <c r="K27" s="709"/>
      <c r="M27" s="709"/>
      <c r="N27" s="709"/>
      <c r="O27" s="751"/>
      <c r="P27" s="751"/>
    </row>
    <row r="28" spans="2:39" ht="11.25" customHeight="1">
      <c r="B28" s="1714" t="s">
        <v>198</v>
      </c>
      <c r="C28" s="1714" t="s">
        <v>199</v>
      </c>
      <c r="D28" s="1716" t="s">
        <v>601</v>
      </c>
      <c r="E28" s="1712" t="s">
        <v>200</v>
      </c>
      <c r="F28" s="1713"/>
      <c r="G28" s="1712" t="s">
        <v>201</v>
      </c>
      <c r="H28" s="1713"/>
      <c r="I28" s="1678" t="s">
        <v>202</v>
      </c>
      <c r="J28" s="1680"/>
      <c r="K28" s="1685" t="s">
        <v>203</v>
      </c>
      <c r="L28" s="1678" t="s">
        <v>204</v>
      </c>
      <c r="M28" s="1680"/>
      <c r="N28" s="1678" t="s">
        <v>423</v>
      </c>
      <c r="O28" s="1680"/>
      <c r="P28" s="700"/>
      <c r="Q28" s="1695" t="s">
        <v>205</v>
      </c>
      <c r="R28" s="1696"/>
      <c r="S28" s="1697"/>
      <c r="T28" s="710"/>
      <c r="U28" s="1695" t="s">
        <v>331</v>
      </c>
      <c r="V28" s="1696"/>
      <c r="W28" s="1697"/>
    </row>
    <row r="29" spans="2:39" ht="22.5" customHeight="1">
      <c r="B29" s="1715"/>
      <c r="C29" s="1715"/>
      <c r="D29" s="1717"/>
      <c r="E29" s="1011" t="s">
        <v>206</v>
      </c>
      <c r="F29" s="1012" t="s">
        <v>207</v>
      </c>
      <c r="G29" s="1011" t="s">
        <v>452</v>
      </c>
      <c r="H29" s="1012" t="s">
        <v>208</v>
      </c>
      <c r="I29" s="717" t="s">
        <v>452</v>
      </c>
      <c r="J29" s="718" t="s">
        <v>208</v>
      </c>
      <c r="K29" s="1686"/>
      <c r="L29" s="717" t="s">
        <v>467</v>
      </c>
      <c r="M29" s="718" t="s">
        <v>468</v>
      </c>
      <c r="N29" s="717" t="s">
        <v>209</v>
      </c>
      <c r="O29" s="718" t="s">
        <v>210</v>
      </c>
      <c r="Q29" s="954" t="s">
        <v>211</v>
      </c>
      <c r="R29" s="978" t="s">
        <v>394</v>
      </c>
      <c r="S29" s="979" t="s">
        <v>451</v>
      </c>
      <c r="T29" s="710"/>
      <c r="U29" s="954" t="s">
        <v>211</v>
      </c>
      <c r="V29" s="978" t="s">
        <v>394</v>
      </c>
      <c r="W29" s="979" t="s">
        <v>451</v>
      </c>
    </row>
    <row r="30" spans="2:39" ht="11.25" customHeight="1">
      <c r="B30" s="722" t="s">
        <v>183</v>
      </c>
      <c r="C30" s="728"/>
      <c r="D30" s="724"/>
      <c r="E30" s="730"/>
      <c r="G30" s="726"/>
      <c r="H30" s="727"/>
      <c r="I30" s="726"/>
      <c r="J30" s="728"/>
      <c r="K30" s="729"/>
      <c r="L30" s="724"/>
      <c r="M30" s="725"/>
      <c r="N30" s="730"/>
      <c r="O30" s="728"/>
      <c r="Q30" s="957"/>
      <c r="R30" s="980"/>
      <c r="S30" s="981"/>
      <c r="T30" s="710"/>
      <c r="U30" s="957"/>
      <c r="V30" s="980"/>
      <c r="W30" s="981"/>
    </row>
    <row r="31" spans="2:39" ht="11.25" customHeight="1">
      <c r="B31" s="722" t="s">
        <v>212</v>
      </c>
      <c r="C31" s="733" t="s">
        <v>1288</v>
      </c>
      <c r="D31" s="724"/>
      <c r="E31" s="730"/>
      <c r="F31" s="802"/>
      <c r="G31" s="726"/>
      <c r="H31" s="727"/>
      <c r="I31" s="726"/>
      <c r="J31" s="727"/>
      <c r="K31" s="729"/>
      <c r="L31" s="724"/>
      <c r="M31" s="725"/>
      <c r="N31" s="794"/>
      <c r="O31" s="795"/>
      <c r="Q31" s="960"/>
      <c r="R31" s="982"/>
      <c r="S31" s="981"/>
      <c r="T31" s="710"/>
      <c r="U31" s="985">
        <v>-4.16</v>
      </c>
      <c r="V31" s="1073">
        <f>+U31</f>
        <v>-4.16</v>
      </c>
      <c r="W31" s="1092">
        <v>31423.97</v>
      </c>
    </row>
    <row r="32" spans="2:39" ht="11.25" customHeight="1">
      <c r="B32" s="796" t="s">
        <v>1182</v>
      </c>
      <c r="C32" s="1023" t="s">
        <v>1774</v>
      </c>
      <c r="D32" s="738" t="s">
        <v>434</v>
      </c>
      <c r="E32" s="739">
        <v>1</v>
      </c>
      <c r="F32" s="740">
        <v>5.0000000000000001E-3</v>
      </c>
      <c r="G32" s="797">
        <v>175666.9</v>
      </c>
      <c r="H32" s="742">
        <f t="shared" ref="H32:H37" si="0">+ROUND(E32*F32*G32,2)</f>
        <v>878.33</v>
      </c>
      <c r="I32" s="743">
        <f>LOOKUP(B32,valoriz!$A$13:$A$242,valoriz!I$13:I$242)</f>
        <v>0</v>
      </c>
      <c r="J32" s="744">
        <f t="shared" ref="J32:J49" si="1">+ROUND(E32*F32*I32,2)</f>
        <v>0</v>
      </c>
      <c r="K32" s="745">
        <v>21</v>
      </c>
      <c r="L32" s="746">
        <f>D$15</f>
        <v>457.01</v>
      </c>
      <c r="M32" s="747">
        <f>D$14</f>
        <v>476.04</v>
      </c>
      <c r="N32" s="748">
        <f>+ROUND(J32*K32*M$16,2)</f>
        <v>0</v>
      </c>
      <c r="O32" s="744">
        <f>+ROUND(J32*K32*L32*M$16/M32,2)</f>
        <v>0</v>
      </c>
      <c r="Q32" s="1093">
        <v>11252.78</v>
      </c>
      <c r="R32" s="1094">
        <f>+J32+Q32</f>
        <v>11252.78</v>
      </c>
      <c r="S32" s="1095">
        <f>+H32-R32</f>
        <v>-10374.450000000001</v>
      </c>
      <c r="T32" s="964"/>
      <c r="U32" s="985">
        <f t="shared" ref="U32:V35" si="2">+ROUND(Q32*$K32*$L32/$M32,2)</f>
        <v>226861.8</v>
      </c>
      <c r="V32" s="986">
        <f t="shared" si="2"/>
        <v>226861.8</v>
      </c>
      <c r="W32" s="987"/>
    </row>
    <row r="33" spans="2:23" ht="11.25" customHeight="1">
      <c r="B33" s="796" t="s">
        <v>1185</v>
      </c>
      <c r="C33" s="1023" t="s">
        <v>1775</v>
      </c>
      <c r="D33" s="738" t="s">
        <v>432</v>
      </c>
      <c r="E33" s="739">
        <v>1</v>
      </c>
      <c r="F33" s="740">
        <v>3.8000000000000003</v>
      </c>
      <c r="G33" s="797">
        <v>2.2000000000000002</v>
      </c>
      <c r="H33" s="742">
        <f t="shared" si="0"/>
        <v>8.36</v>
      </c>
      <c r="I33" s="743">
        <f>LOOKUP(B33,valoriz!$A$13:$A$242,valoriz!I$13:I$242)</f>
        <v>0</v>
      </c>
      <c r="J33" s="744">
        <f t="shared" si="1"/>
        <v>0</v>
      </c>
      <c r="K33" s="745">
        <f t="shared" ref="K33:K49" si="3">+K32</f>
        <v>21</v>
      </c>
      <c r="L33" s="746">
        <f>D$15</f>
        <v>457.01</v>
      </c>
      <c r="M33" s="747">
        <f>D$14</f>
        <v>476.04</v>
      </c>
      <c r="N33" s="748">
        <f>+ROUND(J33*K33*M$16,2)</f>
        <v>0</v>
      </c>
      <c r="O33" s="744">
        <f>+ROUND(J33*K33*L33*M$16/M33,2)</f>
        <v>0</v>
      </c>
      <c r="Q33" s="1093">
        <v>0</v>
      </c>
      <c r="R33" s="1094">
        <f>+J33+Q33</f>
        <v>0</v>
      </c>
      <c r="S33" s="1095">
        <f>+H33-R33</f>
        <v>8.36</v>
      </c>
      <c r="T33" s="964"/>
      <c r="U33" s="985">
        <f t="shared" si="2"/>
        <v>0</v>
      </c>
      <c r="V33" s="986">
        <f t="shared" si="2"/>
        <v>0</v>
      </c>
      <c r="W33" s="987"/>
    </row>
    <row r="34" spans="2:23" ht="11.25" customHeight="1">
      <c r="B34" s="796" t="s">
        <v>1186</v>
      </c>
      <c r="C34" s="1023" t="s">
        <v>1776</v>
      </c>
      <c r="D34" s="738" t="s">
        <v>432</v>
      </c>
      <c r="E34" s="739">
        <v>1</v>
      </c>
      <c r="F34" s="740">
        <v>8.5</v>
      </c>
      <c r="G34" s="797">
        <v>4</v>
      </c>
      <c r="H34" s="742">
        <f t="shared" si="0"/>
        <v>34</v>
      </c>
      <c r="I34" s="743">
        <f>LOOKUP(B34,valoriz!$A$13:$A$242,valoriz!I$13:I$242)</f>
        <v>0</v>
      </c>
      <c r="J34" s="744">
        <f t="shared" si="1"/>
        <v>0</v>
      </c>
      <c r="K34" s="745">
        <f t="shared" si="3"/>
        <v>21</v>
      </c>
      <c r="L34" s="746">
        <f>D$15</f>
        <v>457.01</v>
      </c>
      <c r="M34" s="747">
        <f>D$14</f>
        <v>476.04</v>
      </c>
      <c r="N34" s="748">
        <f>+ROUND(J34*K34*M$16,2)</f>
        <v>0</v>
      </c>
      <c r="O34" s="744">
        <f>+ROUND(J34*K34*L34*M$16/M34,2)</f>
        <v>0</v>
      </c>
      <c r="Q34" s="1093">
        <v>0</v>
      </c>
      <c r="R34" s="1094">
        <f>+J34+Q34</f>
        <v>0</v>
      </c>
      <c r="S34" s="1095">
        <f>+H34-R34</f>
        <v>34</v>
      </c>
      <c r="T34" s="964"/>
      <c r="U34" s="985">
        <f t="shared" si="2"/>
        <v>0</v>
      </c>
      <c r="V34" s="986">
        <f t="shared" si="2"/>
        <v>0</v>
      </c>
      <c r="W34" s="987"/>
    </row>
    <row r="35" spans="2:23" ht="11.25" customHeight="1">
      <c r="B35" s="796" t="s">
        <v>1187</v>
      </c>
      <c r="C35" s="1023" t="s">
        <v>1777</v>
      </c>
      <c r="D35" s="738" t="s">
        <v>432</v>
      </c>
      <c r="E35" s="739">
        <v>1</v>
      </c>
      <c r="F35" s="740">
        <v>8.5</v>
      </c>
      <c r="G35" s="797">
        <v>2.25</v>
      </c>
      <c r="H35" s="742">
        <f t="shared" si="0"/>
        <v>19.13</v>
      </c>
      <c r="I35" s="743">
        <f>LOOKUP(B35,valoriz!$A$13:$A$242,valoriz!I$13:I$242)</f>
        <v>0</v>
      </c>
      <c r="J35" s="744">
        <f t="shared" si="1"/>
        <v>0</v>
      </c>
      <c r="K35" s="745">
        <f t="shared" si="3"/>
        <v>21</v>
      </c>
      <c r="L35" s="746">
        <f>D$15</f>
        <v>457.01</v>
      </c>
      <c r="M35" s="747">
        <f>D$14</f>
        <v>476.04</v>
      </c>
      <c r="N35" s="748">
        <f>+ROUND(J35*K35*M$16,2)</f>
        <v>0</v>
      </c>
      <c r="O35" s="744">
        <f>+ROUND(J35*K35*L35*M$16/M35,2)</f>
        <v>0</v>
      </c>
      <c r="Q35" s="1093">
        <v>0</v>
      </c>
      <c r="R35" s="1094">
        <f>+J35+Q35</f>
        <v>0</v>
      </c>
      <c r="S35" s="1095">
        <f>+H35-R35</f>
        <v>19.13</v>
      </c>
      <c r="T35" s="964"/>
      <c r="U35" s="985">
        <f t="shared" si="2"/>
        <v>0</v>
      </c>
      <c r="V35" s="986">
        <f t="shared" si="2"/>
        <v>0</v>
      </c>
      <c r="W35" s="987"/>
    </row>
    <row r="36" spans="2:23" ht="11.25" customHeight="1">
      <c r="B36" s="796" t="s">
        <v>1190</v>
      </c>
      <c r="C36" s="1023" t="s">
        <v>1764</v>
      </c>
      <c r="D36" s="738" t="s">
        <v>432</v>
      </c>
      <c r="E36" s="739">
        <v>1</v>
      </c>
      <c r="F36" s="740">
        <v>8.5</v>
      </c>
      <c r="G36" s="797">
        <v>2.7</v>
      </c>
      <c r="H36" s="742">
        <f t="shared" si="0"/>
        <v>22.95</v>
      </c>
      <c r="I36" s="743">
        <f>LOOKUP(B36,valoriz!$A$13:$A$242,valoriz!I$13:I$242)</f>
        <v>0</v>
      </c>
      <c r="J36" s="744">
        <f t="shared" si="1"/>
        <v>0</v>
      </c>
      <c r="K36" s="745">
        <f t="shared" si="3"/>
        <v>21</v>
      </c>
      <c r="L36" s="746">
        <f t="shared" ref="L36:L46" si="4">D$15</f>
        <v>457.01</v>
      </c>
      <c r="M36" s="747">
        <f t="shared" ref="M36:M46" si="5">D$14</f>
        <v>476.04</v>
      </c>
      <c r="N36" s="748">
        <f t="shared" ref="N36:N46" si="6">+ROUND(J36*K36*M$16,2)</f>
        <v>0</v>
      </c>
      <c r="O36" s="744">
        <f t="shared" ref="O36:O46" si="7">+ROUND(J36*K36*L36*M$16/M36,2)</f>
        <v>0</v>
      </c>
      <c r="Q36" s="1093">
        <v>0</v>
      </c>
      <c r="R36" s="1094">
        <f t="shared" ref="R36:R46" si="8">+J36+Q36</f>
        <v>0</v>
      </c>
      <c r="S36" s="1095">
        <f t="shared" ref="S36:S46" si="9">+H36-R36</f>
        <v>22.95</v>
      </c>
      <c r="T36" s="964"/>
      <c r="U36" s="985">
        <f t="shared" ref="U36:U46" si="10">+ROUND(Q36*$K36*$L36/$M36,2)</f>
        <v>0</v>
      </c>
      <c r="V36" s="986">
        <f t="shared" ref="V36:V46" si="11">+ROUND(R36*$K36*$L36/$M36,2)</f>
        <v>0</v>
      </c>
      <c r="W36" s="987"/>
    </row>
    <row r="37" spans="2:23" ht="11.25" customHeight="1">
      <c r="B37" s="796" t="s">
        <v>1191</v>
      </c>
      <c r="C37" s="1023" t="s">
        <v>1765</v>
      </c>
      <c r="D37" s="738" t="s">
        <v>432</v>
      </c>
      <c r="E37" s="739">
        <v>1</v>
      </c>
      <c r="F37" s="740">
        <v>9</v>
      </c>
      <c r="G37" s="797">
        <v>4.1500000000000004</v>
      </c>
      <c r="H37" s="742">
        <f t="shared" si="0"/>
        <v>37.35</v>
      </c>
      <c r="I37" s="743">
        <f>LOOKUP(B37,valoriz!$A$13:$A$242,valoriz!I$13:I$242)</f>
        <v>0</v>
      </c>
      <c r="J37" s="744">
        <f t="shared" si="1"/>
        <v>0</v>
      </c>
      <c r="K37" s="745">
        <f t="shared" si="3"/>
        <v>21</v>
      </c>
      <c r="L37" s="746">
        <f t="shared" si="4"/>
        <v>457.01</v>
      </c>
      <c r="M37" s="747">
        <f t="shared" si="5"/>
        <v>476.04</v>
      </c>
      <c r="N37" s="748">
        <f t="shared" si="6"/>
        <v>0</v>
      </c>
      <c r="O37" s="744">
        <f t="shared" si="7"/>
        <v>0</v>
      </c>
      <c r="Q37" s="1093">
        <v>0</v>
      </c>
      <c r="R37" s="1094">
        <f t="shared" si="8"/>
        <v>0</v>
      </c>
      <c r="S37" s="1095">
        <f t="shared" si="9"/>
        <v>37.35</v>
      </c>
      <c r="T37" s="964"/>
      <c r="U37" s="985">
        <f t="shared" si="10"/>
        <v>0</v>
      </c>
      <c r="V37" s="986">
        <f t="shared" si="11"/>
        <v>0</v>
      </c>
      <c r="W37" s="987"/>
    </row>
    <row r="38" spans="2:23" ht="11.25" customHeight="1">
      <c r="B38" s="796" t="s">
        <v>1195</v>
      </c>
      <c r="C38" s="1023" t="s">
        <v>1787</v>
      </c>
      <c r="D38" s="738" t="s">
        <v>432</v>
      </c>
      <c r="E38" s="739">
        <v>1</v>
      </c>
      <c r="F38" s="740">
        <v>3.2132999999999998</v>
      </c>
      <c r="G38" s="797">
        <v>414.43</v>
      </c>
      <c r="H38" s="742">
        <f>+ROUND(E38*F38*G38,2)</f>
        <v>1331.69</v>
      </c>
      <c r="I38" s="1215">
        <f>LOOKUP(B38,valoriz!$A$13:$A$242,valoriz!I$13:I$242)</f>
        <v>0</v>
      </c>
      <c r="J38" s="744">
        <f t="shared" si="1"/>
        <v>0</v>
      </c>
      <c r="K38" s="745">
        <f t="shared" si="3"/>
        <v>21</v>
      </c>
      <c r="L38" s="746">
        <f t="shared" si="4"/>
        <v>457.01</v>
      </c>
      <c r="M38" s="747">
        <f t="shared" si="5"/>
        <v>476.04</v>
      </c>
      <c r="N38" s="748">
        <f t="shared" si="6"/>
        <v>0</v>
      </c>
      <c r="O38" s="744">
        <f t="shared" si="7"/>
        <v>0</v>
      </c>
      <c r="Q38" s="1093">
        <v>0</v>
      </c>
      <c r="R38" s="1094">
        <f t="shared" si="8"/>
        <v>0</v>
      </c>
      <c r="S38" s="1095">
        <f t="shared" si="9"/>
        <v>1331.69</v>
      </c>
      <c r="T38" s="964"/>
      <c r="U38" s="985">
        <f t="shared" si="10"/>
        <v>0</v>
      </c>
      <c r="V38" s="986">
        <f t="shared" si="11"/>
        <v>0</v>
      </c>
      <c r="W38" s="987"/>
    </row>
    <row r="39" spans="2:23" ht="11.25" customHeight="1">
      <c r="B39" s="796" t="s">
        <v>1199</v>
      </c>
      <c r="C39" s="1023" t="s">
        <v>1767</v>
      </c>
      <c r="D39" s="738" t="s">
        <v>432</v>
      </c>
      <c r="E39" s="739">
        <v>1</v>
      </c>
      <c r="F39" s="740">
        <v>12</v>
      </c>
      <c r="G39" s="797">
        <v>1813.24</v>
      </c>
      <c r="H39" s="742">
        <f t="shared" ref="H39:H49" si="12">+ROUND(E39*F39*G39,2)</f>
        <v>21758.880000000001</v>
      </c>
      <c r="I39" s="1215">
        <f>LOOKUP(B39,valoriz!$A$13:$A$242,valoriz!I$13:I$242)</f>
        <v>0</v>
      </c>
      <c r="J39" s="744">
        <f t="shared" si="1"/>
        <v>0</v>
      </c>
      <c r="K39" s="745">
        <f t="shared" si="3"/>
        <v>21</v>
      </c>
      <c r="L39" s="746">
        <f t="shared" si="4"/>
        <v>457.01</v>
      </c>
      <c r="M39" s="747">
        <f t="shared" si="5"/>
        <v>476.04</v>
      </c>
      <c r="N39" s="748">
        <f t="shared" si="6"/>
        <v>0</v>
      </c>
      <c r="O39" s="744">
        <f t="shared" si="7"/>
        <v>0</v>
      </c>
      <c r="Q39" s="1093">
        <v>0</v>
      </c>
      <c r="R39" s="1094">
        <f t="shared" si="8"/>
        <v>0</v>
      </c>
      <c r="S39" s="1095">
        <f t="shared" si="9"/>
        <v>21758.880000000001</v>
      </c>
      <c r="T39" s="964"/>
      <c r="U39" s="985">
        <f t="shared" si="10"/>
        <v>0</v>
      </c>
      <c r="V39" s="986">
        <f t="shared" si="11"/>
        <v>0</v>
      </c>
      <c r="W39" s="987"/>
    </row>
    <row r="40" spans="2:23" ht="11.25" customHeight="1">
      <c r="B40" s="796" t="s">
        <v>1201</v>
      </c>
      <c r="C40" s="1023" t="s">
        <v>1787</v>
      </c>
      <c r="D40" s="738" t="s">
        <v>432</v>
      </c>
      <c r="E40" s="739">
        <v>1</v>
      </c>
      <c r="F40" s="740">
        <v>3.2132999999999998</v>
      </c>
      <c r="G40" s="797">
        <v>38.75</v>
      </c>
      <c r="H40" s="742">
        <f t="shared" si="12"/>
        <v>124.52</v>
      </c>
      <c r="I40" s="743">
        <f>LOOKUP(B40,valoriz!$A$13:$A$242,valoriz!I$13:I$242)</f>
        <v>0</v>
      </c>
      <c r="J40" s="744">
        <f t="shared" si="1"/>
        <v>0</v>
      </c>
      <c r="K40" s="745">
        <f t="shared" si="3"/>
        <v>21</v>
      </c>
      <c r="L40" s="746">
        <f t="shared" si="4"/>
        <v>457.01</v>
      </c>
      <c r="M40" s="747">
        <f t="shared" si="5"/>
        <v>476.04</v>
      </c>
      <c r="N40" s="748">
        <f t="shared" si="6"/>
        <v>0</v>
      </c>
      <c r="O40" s="744">
        <f t="shared" si="7"/>
        <v>0</v>
      </c>
      <c r="Q40" s="1093">
        <v>0</v>
      </c>
      <c r="R40" s="1094">
        <f t="shared" si="8"/>
        <v>0</v>
      </c>
      <c r="S40" s="1095">
        <f t="shared" si="9"/>
        <v>124.52</v>
      </c>
      <c r="T40" s="964"/>
      <c r="U40" s="985">
        <f t="shared" si="10"/>
        <v>0</v>
      </c>
      <c r="V40" s="986">
        <f t="shared" si="11"/>
        <v>0</v>
      </c>
      <c r="W40" s="987"/>
    </row>
    <row r="41" spans="2:23" ht="11.25" customHeight="1">
      <c r="B41" s="796" t="s">
        <v>1205</v>
      </c>
      <c r="C41" s="1023" t="s">
        <v>1767</v>
      </c>
      <c r="D41" s="738" t="s">
        <v>432</v>
      </c>
      <c r="E41" s="739">
        <v>1</v>
      </c>
      <c r="F41" s="740">
        <v>12</v>
      </c>
      <c r="G41" s="797">
        <v>424.45</v>
      </c>
      <c r="H41" s="742">
        <f t="shared" si="12"/>
        <v>5093.3999999999996</v>
      </c>
      <c r="I41" s="1215">
        <f>LOOKUP(B41,valoriz!$A$13:$A$242,valoriz!I$13:I$242)</f>
        <v>0</v>
      </c>
      <c r="J41" s="744">
        <f t="shared" si="1"/>
        <v>0</v>
      </c>
      <c r="K41" s="745">
        <f t="shared" si="3"/>
        <v>21</v>
      </c>
      <c r="L41" s="746">
        <f t="shared" si="4"/>
        <v>457.01</v>
      </c>
      <c r="M41" s="747">
        <f t="shared" si="5"/>
        <v>476.04</v>
      </c>
      <c r="N41" s="748">
        <f t="shared" si="6"/>
        <v>0</v>
      </c>
      <c r="O41" s="744">
        <f t="shared" si="7"/>
        <v>0</v>
      </c>
      <c r="Q41" s="1093">
        <v>0</v>
      </c>
      <c r="R41" s="1094">
        <f t="shared" si="8"/>
        <v>0</v>
      </c>
      <c r="S41" s="1095">
        <f t="shared" si="9"/>
        <v>5093.3999999999996</v>
      </c>
      <c r="T41" s="964"/>
      <c r="U41" s="985">
        <f t="shared" si="10"/>
        <v>0</v>
      </c>
      <c r="V41" s="986">
        <f t="shared" si="11"/>
        <v>0</v>
      </c>
      <c r="W41" s="987"/>
    </row>
    <row r="42" spans="2:23" ht="11.25" customHeight="1">
      <c r="B42" s="796" t="s">
        <v>1207</v>
      </c>
      <c r="C42" s="1023" t="s">
        <v>1787</v>
      </c>
      <c r="D42" s="738" t="s">
        <v>432</v>
      </c>
      <c r="E42" s="739">
        <v>1</v>
      </c>
      <c r="F42" s="740">
        <v>3.2132999999999998</v>
      </c>
      <c r="G42" s="797">
        <v>193.35</v>
      </c>
      <c r="H42" s="742">
        <f t="shared" si="12"/>
        <v>621.29</v>
      </c>
      <c r="I42" s="1215">
        <f>LOOKUP(B42,valoriz!$A$13:$A$242,valoriz!I$13:I$242)</f>
        <v>0</v>
      </c>
      <c r="J42" s="744">
        <f t="shared" si="1"/>
        <v>0</v>
      </c>
      <c r="K42" s="745">
        <f t="shared" si="3"/>
        <v>21</v>
      </c>
      <c r="L42" s="746">
        <f t="shared" si="4"/>
        <v>457.01</v>
      </c>
      <c r="M42" s="747">
        <f t="shared" si="5"/>
        <v>476.04</v>
      </c>
      <c r="N42" s="748">
        <f t="shared" si="6"/>
        <v>0</v>
      </c>
      <c r="O42" s="744">
        <f t="shared" si="7"/>
        <v>0</v>
      </c>
      <c r="Q42" s="1093">
        <v>0</v>
      </c>
      <c r="R42" s="1094">
        <f t="shared" si="8"/>
        <v>0</v>
      </c>
      <c r="S42" s="1095">
        <f t="shared" si="9"/>
        <v>621.29</v>
      </c>
      <c r="T42" s="964"/>
      <c r="U42" s="985">
        <f t="shared" si="10"/>
        <v>0</v>
      </c>
      <c r="V42" s="986">
        <f t="shared" si="11"/>
        <v>0</v>
      </c>
      <c r="W42" s="987"/>
    </row>
    <row r="43" spans="2:23" ht="11.25" customHeight="1">
      <c r="B43" s="796" t="s">
        <v>1211</v>
      </c>
      <c r="C43" s="1023" t="s">
        <v>1768</v>
      </c>
      <c r="D43" s="738" t="s">
        <v>432</v>
      </c>
      <c r="E43" s="739">
        <v>1</v>
      </c>
      <c r="F43" s="740">
        <v>12</v>
      </c>
      <c r="G43" s="797">
        <v>1356.15</v>
      </c>
      <c r="H43" s="742">
        <f t="shared" si="12"/>
        <v>16273.8</v>
      </c>
      <c r="I43" s="1215">
        <f>LOOKUP(B43,valoriz!$A$13:$A$242,valoriz!I$13:I$242)</f>
        <v>0</v>
      </c>
      <c r="J43" s="744">
        <f t="shared" si="1"/>
        <v>0</v>
      </c>
      <c r="K43" s="745">
        <f t="shared" si="3"/>
        <v>21</v>
      </c>
      <c r="L43" s="746">
        <f t="shared" si="4"/>
        <v>457.01</v>
      </c>
      <c r="M43" s="747">
        <f t="shared" si="5"/>
        <v>476.04</v>
      </c>
      <c r="N43" s="748">
        <f t="shared" si="6"/>
        <v>0</v>
      </c>
      <c r="O43" s="744">
        <f t="shared" si="7"/>
        <v>0</v>
      </c>
      <c r="Q43" s="1093">
        <v>0</v>
      </c>
      <c r="R43" s="1094">
        <f t="shared" si="8"/>
        <v>0</v>
      </c>
      <c r="S43" s="1095">
        <f t="shared" si="9"/>
        <v>16273.8</v>
      </c>
      <c r="T43" s="964"/>
      <c r="U43" s="985">
        <f t="shared" si="10"/>
        <v>0</v>
      </c>
      <c r="V43" s="986">
        <f t="shared" si="11"/>
        <v>0</v>
      </c>
      <c r="W43" s="987"/>
    </row>
    <row r="44" spans="2:23" ht="11.25" customHeight="1">
      <c r="B44" s="796" t="s">
        <v>1213</v>
      </c>
      <c r="C44" s="1023" t="s">
        <v>1787</v>
      </c>
      <c r="D44" s="738" t="s">
        <v>432</v>
      </c>
      <c r="E44" s="739">
        <v>1</v>
      </c>
      <c r="F44" s="740">
        <v>3.2132999999999998</v>
      </c>
      <c r="G44" s="797">
        <v>52.68</v>
      </c>
      <c r="H44" s="742">
        <f t="shared" si="12"/>
        <v>169.28</v>
      </c>
      <c r="I44" s="743">
        <f>LOOKUP(B44,valoriz!$A$13:$A$242,valoriz!I$13:I$242)</f>
        <v>0</v>
      </c>
      <c r="J44" s="744">
        <f t="shared" si="1"/>
        <v>0</v>
      </c>
      <c r="K44" s="745">
        <f t="shared" si="3"/>
        <v>21</v>
      </c>
      <c r="L44" s="746">
        <f t="shared" si="4"/>
        <v>457.01</v>
      </c>
      <c r="M44" s="747">
        <f t="shared" si="5"/>
        <v>476.04</v>
      </c>
      <c r="N44" s="748">
        <f t="shared" si="6"/>
        <v>0</v>
      </c>
      <c r="O44" s="744">
        <f t="shared" si="7"/>
        <v>0</v>
      </c>
      <c r="Q44" s="1093">
        <v>0</v>
      </c>
      <c r="R44" s="1094">
        <f t="shared" si="8"/>
        <v>0</v>
      </c>
      <c r="S44" s="1095">
        <f t="shared" si="9"/>
        <v>169.28</v>
      </c>
      <c r="T44" s="964"/>
      <c r="U44" s="985">
        <f t="shared" si="10"/>
        <v>0</v>
      </c>
      <c r="V44" s="986">
        <f t="shared" si="11"/>
        <v>0</v>
      </c>
      <c r="W44" s="987"/>
    </row>
    <row r="45" spans="2:23" ht="11.25" customHeight="1">
      <c r="B45" s="796" t="s">
        <v>1217</v>
      </c>
      <c r="C45" s="1023" t="s">
        <v>1767</v>
      </c>
      <c r="D45" s="738" t="s">
        <v>432</v>
      </c>
      <c r="E45" s="739">
        <v>1</v>
      </c>
      <c r="F45" s="740">
        <v>12</v>
      </c>
      <c r="G45" s="797">
        <v>499.7</v>
      </c>
      <c r="H45" s="742">
        <f t="shared" si="12"/>
        <v>5996.4</v>
      </c>
      <c r="I45" s="743">
        <f>LOOKUP(B45,valoriz!$A$13:$A$242,valoriz!I$13:I$242)</f>
        <v>0</v>
      </c>
      <c r="J45" s="744">
        <f t="shared" si="1"/>
        <v>0</v>
      </c>
      <c r="K45" s="745">
        <f t="shared" si="3"/>
        <v>21</v>
      </c>
      <c r="L45" s="746">
        <f t="shared" si="4"/>
        <v>457.01</v>
      </c>
      <c r="M45" s="747">
        <f t="shared" si="5"/>
        <v>476.04</v>
      </c>
      <c r="N45" s="748">
        <f t="shared" si="6"/>
        <v>0</v>
      </c>
      <c r="O45" s="744">
        <f t="shared" si="7"/>
        <v>0</v>
      </c>
      <c r="Q45" s="1093">
        <v>0</v>
      </c>
      <c r="R45" s="1094">
        <f t="shared" si="8"/>
        <v>0</v>
      </c>
      <c r="S45" s="1095">
        <f t="shared" si="9"/>
        <v>5996.4</v>
      </c>
      <c r="T45" s="964"/>
      <c r="U45" s="985">
        <f t="shared" si="10"/>
        <v>0</v>
      </c>
      <c r="V45" s="986">
        <f t="shared" si="11"/>
        <v>0</v>
      </c>
      <c r="W45" s="987"/>
    </row>
    <row r="46" spans="2:23" ht="11.25" customHeight="1">
      <c r="B46" s="796" t="s">
        <v>1223</v>
      </c>
      <c r="C46" s="1023" t="s">
        <v>1788</v>
      </c>
      <c r="D46" s="738" t="s">
        <v>432</v>
      </c>
      <c r="E46" s="739">
        <v>1</v>
      </c>
      <c r="F46" s="740">
        <v>3.2132999999999998</v>
      </c>
      <c r="G46" s="797">
        <v>5886.89</v>
      </c>
      <c r="H46" s="742">
        <f t="shared" si="12"/>
        <v>18916.34</v>
      </c>
      <c r="I46" s="1215">
        <f>LOOKUP(B46,valoriz!$A$13:$A$242,valoriz!I$13:I$242)</f>
        <v>0</v>
      </c>
      <c r="J46" s="744">
        <f t="shared" si="1"/>
        <v>0</v>
      </c>
      <c r="K46" s="745">
        <f t="shared" si="3"/>
        <v>21</v>
      </c>
      <c r="L46" s="746">
        <f t="shared" si="4"/>
        <v>457.01</v>
      </c>
      <c r="M46" s="747">
        <f t="shared" si="5"/>
        <v>476.04</v>
      </c>
      <c r="N46" s="748">
        <f t="shared" si="6"/>
        <v>0</v>
      </c>
      <c r="O46" s="744">
        <f t="shared" si="7"/>
        <v>0</v>
      </c>
      <c r="Q46" s="1093">
        <v>0</v>
      </c>
      <c r="R46" s="1094">
        <f t="shared" si="8"/>
        <v>0</v>
      </c>
      <c r="S46" s="1095">
        <f t="shared" si="9"/>
        <v>18916.34</v>
      </c>
      <c r="T46" s="964"/>
      <c r="U46" s="985">
        <f t="shared" si="10"/>
        <v>0</v>
      </c>
      <c r="V46" s="986">
        <f t="shared" si="11"/>
        <v>0</v>
      </c>
      <c r="W46" s="987"/>
    </row>
    <row r="47" spans="2:23" ht="11.25" customHeight="1">
      <c r="B47" s="796" t="s">
        <v>1225</v>
      </c>
      <c r="C47" s="1023" t="s">
        <v>1771</v>
      </c>
      <c r="D47" s="738" t="s">
        <v>432</v>
      </c>
      <c r="E47" s="739">
        <v>1</v>
      </c>
      <c r="F47" s="740">
        <v>12</v>
      </c>
      <c r="G47" s="797">
        <v>2970.52</v>
      </c>
      <c r="H47" s="742">
        <f t="shared" si="12"/>
        <v>35646.239999999998</v>
      </c>
      <c r="I47" s="1215">
        <f>LOOKUP(B47,valoriz!$A$13:$A$242,valoriz!I$13:I$242)</f>
        <v>0</v>
      </c>
      <c r="J47" s="744">
        <f t="shared" si="1"/>
        <v>0</v>
      </c>
      <c r="K47" s="745">
        <f t="shared" si="3"/>
        <v>21</v>
      </c>
      <c r="L47" s="746">
        <f>D$15</f>
        <v>457.01</v>
      </c>
      <c r="M47" s="747">
        <f>D$14</f>
        <v>476.04</v>
      </c>
      <c r="N47" s="748">
        <f>+ROUND(J47*K47*M$16,2)</f>
        <v>0</v>
      </c>
      <c r="O47" s="744">
        <f>+ROUND(J47*K47*L47*M$16/M47,2)</f>
        <v>0</v>
      </c>
      <c r="Q47" s="1093">
        <v>0</v>
      </c>
      <c r="R47" s="1094">
        <f>+J47+Q47</f>
        <v>0</v>
      </c>
      <c r="S47" s="1095">
        <f>+H47-R47</f>
        <v>35646.239999999998</v>
      </c>
      <c r="T47" s="964"/>
      <c r="U47" s="985">
        <f t="shared" ref="U47:V49" si="13">+ROUND(Q47*$K47*$L47/$M47,2)</f>
        <v>0</v>
      </c>
      <c r="V47" s="986">
        <f t="shared" si="13"/>
        <v>0</v>
      </c>
      <c r="W47" s="987"/>
    </row>
    <row r="48" spans="2:23" ht="11.25" customHeight="1">
      <c r="B48" s="796" t="s">
        <v>1232</v>
      </c>
      <c r="C48" s="1023" t="s">
        <v>1789</v>
      </c>
      <c r="D48" s="738" t="s">
        <v>431</v>
      </c>
      <c r="E48" s="739">
        <v>0.18170000000000003</v>
      </c>
      <c r="F48" s="740">
        <v>7.5</v>
      </c>
      <c r="G48" s="797">
        <v>4165</v>
      </c>
      <c r="H48" s="742">
        <f t="shared" si="12"/>
        <v>5675.85</v>
      </c>
      <c r="I48" s="743">
        <f>LOOKUP(B48,valoriz!$A$13:$A$242,valoriz!I$13:I$242)</f>
        <v>0</v>
      </c>
      <c r="J48" s="744">
        <f t="shared" si="1"/>
        <v>0</v>
      </c>
      <c r="K48" s="745">
        <f t="shared" si="3"/>
        <v>21</v>
      </c>
      <c r="L48" s="746">
        <f>D$15</f>
        <v>457.01</v>
      </c>
      <c r="M48" s="747">
        <f>D$14</f>
        <v>476.04</v>
      </c>
      <c r="N48" s="748">
        <f>+ROUND(J48*K48*M$16,2)</f>
        <v>0</v>
      </c>
      <c r="O48" s="744">
        <f>+ROUND(J48*K48*L48*M$16/M48,2)</f>
        <v>0</v>
      </c>
      <c r="Q48" s="1093">
        <v>0</v>
      </c>
      <c r="R48" s="1094">
        <f>+J48+Q48</f>
        <v>0</v>
      </c>
      <c r="S48" s="1095">
        <f>+H48-R48</f>
        <v>5675.85</v>
      </c>
      <c r="T48" s="964"/>
      <c r="U48" s="985">
        <f t="shared" si="13"/>
        <v>0</v>
      </c>
      <c r="V48" s="986">
        <f t="shared" si="13"/>
        <v>0</v>
      </c>
      <c r="W48" s="987"/>
    </row>
    <row r="49" spans="2:23" ht="11.25" customHeight="1">
      <c r="B49" s="796" t="s">
        <v>1237</v>
      </c>
      <c r="C49" s="1023" t="s">
        <v>1790</v>
      </c>
      <c r="D49" s="738" t="s">
        <v>433</v>
      </c>
      <c r="E49" s="739">
        <v>7.6499999999999999E-2</v>
      </c>
      <c r="F49" s="740">
        <v>7.5</v>
      </c>
      <c r="G49" s="797">
        <v>120.8</v>
      </c>
      <c r="H49" s="742">
        <f t="shared" si="12"/>
        <v>69.31</v>
      </c>
      <c r="I49" s="743">
        <f>LOOKUP(B49,valoriz!$A$13:$A$242,valoriz!I$13:I$242)</f>
        <v>0</v>
      </c>
      <c r="J49" s="744">
        <f t="shared" si="1"/>
        <v>0</v>
      </c>
      <c r="K49" s="745">
        <f t="shared" si="3"/>
        <v>21</v>
      </c>
      <c r="L49" s="746">
        <f>D$15</f>
        <v>457.01</v>
      </c>
      <c r="M49" s="747">
        <f>D$14</f>
        <v>476.04</v>
      </c>
      <c r="N49" s="748">
        <f>+ROUND(J49*K49*M$16,2)</f>
        <v>0</v>
      </c>
      <c r="O49" s="744">
        <f>+ROUND(J49*K49*L49*M$16/M49,2)</f>
        <v>0</v>
      </c>
      <c r="Q49" s="1093">
        <v>35.700000000000003</v>
      </c>
      <c r="R49" s="1094">
        <f>+J49+Q49</f>
        <v>35.700000000000003</v>
      </c>
      <c r="S49" s="1095">
        <f>+H49-R49</f>
        <v>33.61</v>
      </c>
      <c r="T49" s="710"/>
      <c r="U49" s="985">
        <f t="shared" si="13"/>
        <v>719.73</v>
      </c>
      <c r="V49" s="986">
        <f t="shared" si="13"/>
        <v>719.73</v>
      </c>
      <c r="W49" s="987"/>
    </row>
    <row r="50" spans="2:23" ht="11.25" customHeight="1" thickBot="1">
      <c r="B50" s="762"/>
      <c r="C50" s="1024"/>
      <c r="D50" s="764"/>
      <c r="E50" s="765"/>
      <c r="F50" s="766"/>
      <c r="G50" s="799"/>
      <c r="H50" s="800"/>
      <c r="I50" s="799"/>
      <c r="J50" s="801"/>
      <c r="K50" s="770"/>
      <c r="L50" s="771"/>
      <c r="M50" s="772"/>
      <c r="N50" s="773"/>
      <c r="O50" s="769"/>
      <c r="Q50" s="968"/>
      <c r="R50" s="988"/>
      <c r="S50" s="989"/>
      <c r="T50" s="710"/>
      <c r="U50" s="1096"/>
      <c r="V50" s="1097"/>
      <c r="W50" s="1098"/>
    </row>
    <row r="51" spans="2:23" ht="11.25" customHeight="1">
      <c r="B51" s="775"/>
      <c r="C51" s="776"/>
      <c r="D51" s="777"/>
      <c r="E51" s="777"/>
      <c r="F51" s="778"/>
      <c r="G51" s="779"/>
      <c r="H51" s="780">
        <f>SUM(H32:H50)</f>
        <v>112677.12</v>
      </c>
      <c r="I51" s="779"/>
      <c r="J51" s="780">
        <f>SUM(J32:J50)</f>
        <v>0</v>
      </c>
      <c r="K51" s="781"/>
      <c r="L51" s="777"/>
      <c r="M51" s="946" t="s">
        <v>171</v>
      </c>
      <c r="N51" s="782">
        <f>SUM(N32:N50)</f>
        <v>0</v>
      </c>
      <c r="O51" s="783">
        <f>SUM(O32:O50)</f>
        <v>0</v>
      </c>
      <c r="Q51" s="1051">
        <f>SUM(Q32:Q50)</f>
        <v>11288.480000000001</v>
      </c>
      <c r="R51" s="1051">
        <f>SUM(R32:R50)</f>
        <v>11288.480000000001</v>
      </c>
      <c r="S51" s="1052">
        <f>SUM(S32:S50)</f>
        <v>101388.64</v>
      </c>
      <c r="T51" s="710"/>
      <c r="U51" s="1076">
        <f>SUM(U31:U50)</f>
        <v>227577.37</v>
      </c>
      <c r="V51" s="1077">
        <f>SUM(V31:V50)</f>
        <v>227577.37</v>
      </c>
      <c r="W51" s="1078">
        <f>+W31-V52</f>
        <v>-196153.4</v>
      </c>
    </row>
    <row r="52" spans="2:23" ht="11.25" customHeight="1">
      <c r="B52" s="790"/>
      <c r="C52" s="791"/>
      <c r="D52" s="121"/>
      <c r="E52" s="792"/>
      <c r="F52" s="792"/>
      <c r="G52" s="786"/>
      <c r="H52" s="787" t="s">
        <v>214</v>
      </c>
      <c r="I52" s="788"/>
      <c r="J52" s="789">
        <v>111794.39</v>
      </c>
      <c r="K52" s="709"/>
      <c r="M52" s="709"/>
      <c r="N52" s="709"/>
      <c r="O52" s="751"/>
      <c r="P52" s="751"/>
      <c r="T52" s="751"/>
      <c r="U52" s="710"/>
      <c r="V52" s="1060">
        <f>+O51+U51</f>
        <v>227577.37</v>
      </c>
    </row>
    <row r="53" spans="2:23" ht="11.25" customHeight="1">
      <c r="B53" s="784"/>
      <c r="C53" s="785"/>
      <c r="K53" s="751"/>
    </row>
    <row r="54" spans="2:23" ht="11.25" customHeight="1">
      <c r="B54" s="1714" t="s">
        <v>198</v>
      </c>
      <c r="C54" s="1714" t="s">
        <v>199</v>
      </c>
      <c r="D54" s="1716" t="s">
        <v>601</v>
      </c>
      <c r="E54" s="1712" t="s">
        <v>200</v>
      </c>
      <c r="F54" s="1713"/>
      <c r="G54" s="1712" t="s">
        <v>201</v>
      </c>
      <c r="H54" s="1713"/>
      <c r="I54" s="1678" t="s">
        <v>202</v>
      </c>
      <c r="J54" s="1680"/>
      <c r="K54" s="1685" t="s">
        <v>203</v>
      </c>
      <c r="L54" s="1678" t="s">
        <v>204</v>
      </c>
      <c r="M54" s="1680"/>
      <c r="N54" s="1678" t="s">
        <v>423</v>
      </c>
      <c r="O54" s="1680"/>
      <c r="P54" s="700"/>
      <c r="Q54" s="1695" t="s">
        <v>205</v>
      </c>
      <c r="R54" s="1696"/>
      <c r="S54" s="1697"/>
      <c r="T54" s="710"/>
      <c r="U54" s="1695" t="s">
        <v>331</v>
      </c>
      <c r="V54" s="1696"/>
      <c r="W54" s="1697"/>
    </row>
    <row r="55" spans="2:23" ht="21.75" customHeight="1">
      <c r="B55" s="1715"/>
      <c r="C55" s="1715"/>
      <c r="D55" s="1717"/>
      <c r="E55" s="1011" t="s">
        <v>206</v>
      </c>
      <c r="F55" s="1012" t="s">
        <v>207</v>
      </c>
      <c r="G55" s="1011" t="s">
        <v>452</v>
      </c>
      <c r="H55" s="1012" t="s">
        <v>208</v>
      </c>
      <c r="I55" s="717" t="s">
        <v>452</v>
      </c>
      <c r="J55" s="718" t="s">
        <v>208</v>
      </c>
      <c r="K55" s="1686"/>
      <c r="L55" s="717" t="s">
        <v>467</v>
      </c>
      <c r="M55" s="718" t="s">
        <v>468</v>
      </c>
      <c r="N55" s="717" t="s">
        <v>209</v>
      </c>
      <c r="O55" s="718" t="s">
        <v>210</v>
      </c>
      <c r="Q55" s="954" t="s">
        <v>211</v>
      </c>
      <c r="R55" s="978" t="s">
        <v>394</v>
      </c>
      <c r="S55" s="979" t="s">
        <v>451</v>
      </c>
      <c r="T55" s="710"/>
      <c r="U55" s="954" t="s">
        <v>211</v>
      </c>
      <c r="V55" s="978" t="s">
        <v>394</v>
      </c>
      <c r="W55" s="979" t="s">
        <v>451</v>
      </c>
    </row>
    <row r="56" spans="2:23" ht="11.25" customHeight="1">
      <c r="B56" s="722" t="s">
        <v>183</v>
      </c>
      <c r="C56" s="728"/>
      <c r="D56" s="724"/>
      <c r="E56" s="730"/>
      <c r="G56" s="726"/>
      <c r="H56" s="727"/>
      <c r="I56" s="726"/>
      <c r="J56" s="728"/>
      <c r="K56" s="729"/>
      <c r="L56" s="724"/>
      <c r="M56" s="725"/>
      <c r="N56" s="730"/>
      <c r="O56" s="728"/>
      <c r="Q56" s="957"/>
      <c r="R56" s="980"/>
      <c r="S56" s="981"/>
      <c r="T56" s="710"/>
      <c r="U56" s="957"/>
      <c r="V56" s="980"/>
      <c r="W56" s="981"/>
    </row>
    <row r="57" spans="2:23" ht="11.25" customHeight="1">
      <c r="B57" s="722" t="s">
        <v>212</v>
      </c>
      <c r="C57" s="733" t="s">
        <v>1289</v>
      </c>
      <c r="D57" s="724"/>
      <c r="E57" s="730"/>
      <c r="F57" s="802"/>
      <c r="G57" s="726"/>
      <c r="H57" s="727"/>
      <c r="I57" s="726"/>
      <c r="J57" s="727"/>
      <c r="K57" s="729"/>
      <c r="L57" s="724"/>
      <c r="M57" s="725"/>
      <c r="N57" s="794"/>
      <c r="O57" s="795"/>
      <c r="Q57" s="960"/>
      <c r="R57" s="982"/>
      <c r="S57" s="981"/>
      <c r="T57" s="710"/>
      <c r="U57" s="960">
        <v>-0.9</v>
      </c>
      <c r="V57" s="982">
        <f>+U57</f>
        <v>-0.9</v>
      </c>
      <c r="W57" s="981">
        <v>8193.74</v>
      </c>
    </row>
    <row r="58" spans="2:23" ht="11.25" customHeight="1">
      <c r="B58" s="796" t="s">
        <v>1197</v>
      </c>
      <c r="C58" s="1023" t="s">
        <v>1791</v>
      </c>
      <c r="D58" s="738" t="s">
        <v>436</v>
      </c>
      <c r="E58" s="739">
        <v>1</v>
      </c>
      <c r="F58" s="740">
        <v>1.05</v>
      </c>
      <c r="G58" s="797">
        <v>97325.36</v>
      </c>
      <c r="H58" s="742">
        <f>+ROUND(E58*F58*G58,2)</f>
        <v>102191.63</v>
      </c>
      <c r="I58" s="1215">
        <f>LOOKUP(B58,valoriz!$A$13:$A$242,valoriz!I$13:I$242)</f>
        <v>0</v>
      </c>
      <c r="J58" s="744">
        <f>+ROUND(E58*F58*I58,2)</f>
        <v>0</v>
      </c>
      <c r="K58" s="745">
        <v>2.35</v>
      </c>
      <c r="L58" s="746">
        <f>D$15</f>
        <v>457.01</v>
      </c>
      <c r="M58" s="747">
        <f>D$14</f>
        <v>476.04</v>
      </c>
      <c r="N58" s="748">
        <f>+ROUND(J58*K58*M$16,2)</f>
        <v>0</v>
      </c>
      <c r="O58" s="744">
        <f>+ROUND(J58*K58*L58*M$16/M58,2)</f>
        <v>0</v>
      </c>
      <c r="Q58" s="960">
        <v>1702.55</v>
      </c>
      <c r="R58" s="983">
        <f>+J58+Q58</f>
        <v>1702.55</v>
      </c>
      <c r="S58" s="984">
        <f>+H58-R58</f>
        <v>100489.08</v>
      </c>
      <c r="T58" s="964"/>
      <c r="U58" s="985">
        <f t="shared" ref="U58:V62" si="14">+ROUND(Q58*$K58*$L58/$M58,2)</f>
        <v>3841.05</v>
      </c>
      <c r="V58" s="986">
        <f t="shared" si="14"/>
        <v>3841.05</v>
      </c>
      <c r="W58" s="987"/>
    </row>
    <row r="59" spans="2:23" ht="11.25" customHeight="1">
      <c r="B59" s="796" t="s">
        <v>1203</v>
      </c>
      <c r="C59" s="1023" t="s">
        <v>1791</v>
      </c>
      <c r="D59" s="738" t="s">
        <v>436</v>
      </c>
      <c r="E59" s="739">
        <v>1</v>
      </c>
      <c r="F59" s="740">
        <v>1.05</v>
      </c>
      <c r="G59" s="797">
        <v>23000.14</v>
      </c>
      <c r="H59" s="742">
        <f>+ROUND(E59*F59*G59,2)</f>
        <v>24150.15</v>
      </c>
      <c r="I59" s="743">
        <f>LOOKUP(B59,valoriz!$A$13:$A$242,valoriz!I$13:I$242)</f>
        <v>0</v>
      </c>
      <c r="J59" s="744">
        <f>+ROUND(E59*F59*I59,2)</f>
        <v>0</v>
      </c>
      <c r="K59" s="745">
        <f>+K58</f>
        <v>2.35</v>
      </c>
      <c r="L59" s="746">
        <f>D$15</f>
        <v>457.01</v>
      </c>
      <c r="M59" s="747">
        <f>D$14</f>
        <v>476.04</v>
      </c>
      <c r="N59" s="748">
        <f>+ROUND(J59*K59*M$16,2)</f>
        <v>0</v>
      </c>
      <c r="O59" s="744">
        <f>+ROUND(J59*K59*L59*M$16/M59,2)</f>
        <v>0</v>
      </c>
      <c r="Q59" s="960">
        <v>121.76</v>
      </c>
      <c r="R59" s="983">
        <f>+J59+Q59</f>
        <v>121.76</v>
      </c>
      <c r="S59" s="984">
        <f>+H59-R59</f>
        <v>24028.390000000003</v>
      </c>
      <c r="T59" s="964"/>
      <c r="U59" s="985">
        <f t="shared" si="14"/>
        <v>274.7</v>
      </c>
      <c r="V59" s="986">
        <f t="shared" si="14"/>
        <v>274.7</v>
      </c>
      <c r="W59" s="987"/>
    </row>
    <row r="60" spans="2:23" ht="11.25" customHeight="1">
      <c r="B60" s="796" t="s">
        <v>1209</v>
      </c>
      <c r="C60" s="1023" t="s">
        <v>1791</v>
      </c>
      <c r="D60" s="738" t="s">
        <v>436</v>
      </c>
      <c r="E60" s="739">
        <v>1</v>
      </c>
      <c r="F60" s="740">
        <v>1.05</v>
      </c>
      <c r="G60" s="797">
        <v>152304.60999999999</v>
      </c>
      <c r="H60" s="742">
        <f>+ROUND(E60*F60*G60,2)</f>
        <v>159919.84</v>
      </c>
      <c r="I60" s="1215">
        <f>LOOKUP(B60,valoriz!$A$13:$A$242,valoriz!I$13:I$242)</f>
        <v>0</v>
      </c>
      <c r="J60" s="744">
        <f>+ROUND(E60*F60*I60,2)</f>
        <v>0</v>
      </c>
      <c r="K60" s="745">
        <f>+K59</f>
        <v>2.35</v>
      </c>
      <c r="L60" s="746">
        <f>D$15</f>
        <v>457.01</v>
      </c>
      <c r="M60" s="747">
        <f>D$14</f>
        <v>476.04</v>
      </c>
      <c r="N60" s="748">
        <f>+ROUND(J60*K60*M$16,2)</f>
        <v>0</v>
      </c>
      <c r="O60" s="744">
        <f>+ROUND(J60*K60*L60*M$16/M60,2)</f>
        <v>0</v>
      </c>
      <c r="Q60" s="960">
        <v>14.09</v>
      </c>
      <c r="R60" s="983">
        <f>+J60+Q60</f>
        <v>14.09</v>
      </c>
      <c r="S60" s="984">
        <f>+H60-R60</f>
        <v>159905.75</v>
      </c>
      <c r="T60" s="964"/>
      <c r="U60" s="985">
        <f t="shared" si="14"/>
        <v>31.79</v>
      </c>
      <c r="V60" s="986">
        <f t="shared" si="14"/>
        <v>31.79</v>
      </c>
      <c r="W60" s="987"/>
    </row>
    <row r="61" spans="2:23" ht="11.25" customHeight="1">
      <c r="B61" s="796" t="s">
        <v>1215</v>
      </c>
      <c r="C61" s="1023" t="s">
        <v>1791</v>
      </c>
      <c r="D61" s="738" t="s">
        <v>436</v>
      </c>
      <c r="E61" s="739">
        <v>1</v>
      </c>
      <c r="F61" s="740">
        <v>1.05</v>
      </c>
      <c r="G61" s="797">
        <v>24747.770270270299</v>
      </c>
      <c r="H61" s="742">
        <f>+ROUND(E61*F61*G61,2)</f>
        <v>25985.16</v>
      </c>
      <c r="I61" s="743">
        <f>LOOKUP(B61,valoriz!$A$13:$A$242,valoriz!I$13:I$242)</f>
        <v>0</v>
      </c>
      <c r="J61" s="744">
        <f>+ROUND(E61*F61*I61,2)</f>
        <v>0</v>
      </c>
      <c r="K61" s="745">
        <f>+K60</f>
        <v>2.35</v>
      </c>
      <c r="L61" s="746">
        <f>D$15</f>
        <v>457.01</v>
      </c>
      <c r="M61" s="747">
        <f>D$14</f>
        <v>476.04</v>
      </c>
      <c r="N61" s="748">
        <f>+ROUND(J61*K61*M$16,2)</f>
        <v>0</v>
      </c>
      <c r="O61" s="744">
        <f>+ROUND(J61*K61*L61*M$16/M61,2)</f>
        <v>0</v>
      </c>
      <c r="Q61" s="960">
        <v>103.94</v>
      </c>
      <c r="R61" s="983">
        <f>+J61+Q61</f>
        <v>103.94</v>
      </c>
      <c r="S61" s="984">
        <f>+H61-R61</f>
        <v>25881.22</v>
      </c>
      <c r="T61" s="964"/>
      <c r="U61" s="985">
        <f t="shared" si="14"/>
        <v>234.49</v>
      </c>
      <c r="V61" s="986">
        <f t="shared" si="14"/>
        <v>234.49</v>
      </c>
      <c r="W61" s="987"/>
    </row>
    <row r="62" spans="2:23" ht="11.25" customHeight="1">
      <c r="B62" s="796" t="s">
        <v>1224</v>
      </c>
      <c r="C62" s="1023" t="s">
        <v>1792</v>
      </c>
      <c r="D62" s="738" t="s">
        <v>436</v>
      </c>
      <c r="E62" s="739">
        <v>1</v>
      </c>
      <c r="F62" s="740">
        <v>1.05</v>
      </c>
      <c r="G62" s="797">
        <v>274194.3</v>
      </c>
      <c r="H62" s="742">
        <f>+ROUND(E62*F62*G62,2)</f>
        <v>287904.02</v>
      </c>
      <c r="I62" s="1215">
        <f>LOOKUP(B62,valoriz!$A$13:$A$242,valoriz!I$13:I$242)</f>
        <v>0</v>
      </c>
      <c r="J62" s="744">
        <f>+ROUND(E62*F62*I62,2)</f>
        <v>0</v>
      </c>
      <c r="K62" s="745">
        <f>+K61</f>
        <v>2.35</v>
      </c>
      <c r="L62" s="746">
        <f>D$15</f>
        <v>457.01</v>
      </c>
      <c r="M62" s="747">
        <f>D$14</f>
        <v>476.04</v>
      </c>
      <c r="N62" s="748">
        <f>+ROUND(J62*K62*M$16,2)</f>
        <v>0</v>
      </c>
      <c r="O62" s="744">
        <f>+ROUND(J62*K62*L62*M$16/M62,2)</f>
        <v>0</v>
      </c>
      <c r="Q62" s="960">
        <v>216.24</v>
      </c>
      <c r="R62" s="983">
        <f>+J62+Q62</f>
        <v>216.24</v>
      </c>
      <c r="S62" s="984">
        <f>+H62-R62</f>
        <v>287687.78000000003</v>
      </c>
      <c r="T62" s="964"/>
      <c r="U62" s="985">
        <f t="shared" si="14"/>
        <v>487.85</v>
      </c>
      <c r="V62" s="986">
        <f t="shared" si="14"/>
        <v>487.85</v>
      </c>
      <c r="W62" s="987"/>
    </row>
    <row r="63" spans="2:23" ht="11.25" customHeight="1" thickBot="1">
      <c r="B63" s="762"/>
      <c r="C63" s="1024"/>
      <c r="D63" s="764"/>
      <c r="E63" s="765"/>
      <c r="F63" s="766"/>
      <c r="G63" s="799"/>
      <c r="H63" s="800"/>
      <c r="I63" s="799"/>
      <c r="J63" s="801"/>
      <c r="K63" s="770"/>
      <c r="L63" s="771"/>
      <c r="M63" s="772"/>
      <c r="N63" s="773"/>
      <c r="O63" s="769"/>
      <c r="Q63" s="968"/>
      <c r="R63" s="988"/>
      <c r="S63" s="989"/>
      <c r="T63" s="710"/>
      <c r="U63" s="968"/>
      <c r="V63" s="988"/>
      <c r="W63" s="989"/>
    </row>
    <row r="64" spans="2:23" ht="11.25" customHeight="1">
      <c r="B64" s="775"/>
      <c r="C64" s="776"/>
      <c r="D64" s="777"/>
      <c r="E64" s="777"/>
      <c r="F64" s="778"/>
      <c r="G64" s="779"/>
      <c r="H64" s="780">
        <f>SUM(H58:H63)</f>
        <v>600150.80000000005</v>
      </c>
      <c r="I64" s="779"/>
      <c r="J64" s="780">
        <f>SUM(J58:J63)</f>
        <v>0</v>
      </c>
      <c r="K64" s="781"/>
      <c r="L64" s="777" t="s">
        <v>589</v>
      </c>
      <c r="M64" s="778"/>
      <c r="N64" s="782">
        <f>SUM(N58:N63)</f>
        <v>0</v>
      </c>
      <c r="O64" s="783">
        <f>SUM(O58:O63)</f>
        <v>0</v>
      </c>
      <c r="Q64" s="1051">
        <f>SUM(Q58:Q63)</f>
        <v>2158.58</v>
      </c>
      <c r="R64" s="1051">
        <f>SUM(R58:R63)</f>
        <v>2158.58</v>
      </c>
      <c r="S64" s="1052">
        <f>SUM(S58:S63)</f>
        <v>597992.22</v>
      </c>
      <c r="T64" s="964"/>
      <c r="U64" s="990">
        <f>SUM(U57:U63)</f>
        <v>4868.9800000000005</v>
      </c>
      <c r="V64" s="991">
        <f>SUM(V57:V63)</f>
        <v>4868.9800000000005</v>
      </c>
      <c r="W64" s="992">
        <f>+W57-V65</f>
        <v>3324.7599999999993</v>
      </c>
    </row>
    <row r="65" spans="2:23" ht="11.25" customHeight="1">
      <c r="B65" s="790"/>
      <c r="C65" s="791"/>
      <c r="D65" s="121"/>
      <c r="E65" s="792"/>
      <c r="F65" s="792"/>
      <c r="G65" s="786"/>
      <c r="H65" s="787" t="s">
        <v>214</v>
      </c>
      <c r="I65" s="788"/>
      <c r="J65" s="789">
        <v>597351.02</v>
      </c>
      <c r="K65" s="709"/>
      <c r="M65" s="709"/>
      <c r="N65" s="709"/>
      <c r="O65" s="751"/>
      <c r="P65" s="751"/>
      <c r="U65" s="710">
        <v>2686.09</v>
      </c>
      <c r="V65" s="1060">
        <f>+O64+U64</f>
        <v>4868.9800000000005</v>
      </c>
    </row>
    <row r="66" spans="2:23" ht="11.25" customHeight="1">
      <c r="B66" s="784"/>
      <c r="C66" s="785"/>
      <c r="K66" s="751"/>
    </row>
    <row r="67" spans="2:23" ht="11.25" customHeight="1">
      <c r="B67" s="1714" t="s">
        <v>198</v>
      </c>
      <c r="C67" s="1714" t="s">
        <v>199</v>
      </c>
      <c r="D67" s="1716" t="s">
        <v>601</v>
      </c>
      <c r="E67" s="1712" t="s">
        <v>200</v>
      </c>
      <c r="F67" s="1713"/>
      <c r="G67" s="1712" t="s">
        <v>201</v>
      </c>
      <c r="H67" s="1713"/>
      <c r="I67" s="1678" t="s">
        <v>202</v>
      </c>
      <c r="J67" s="1680"/>
      <c r="K67" s="1685" t="s">
        <v>203</v>
      </c>
      <c r="L67" s="1678" t="s">
        <v>204</v>
      </c>
      <c r="M67" s="1680"/>
      <c r="N67" s="1678" t="s">
        <v>423</v>
      </c>
      <c r="O67" s="1680"/>
      <c r="Q67" s="1695" t="s">
        <v>205</v>
      </c>
      <c r="R67" s="1696"/>
      <c r="S67" s="1697"/>
      <c r="T67" s="710"/>
      <c r="U67" s="1695" t="s">
        <v>331</v>
      </c>
      <c r="V67" s="1696"/>
      <c r="W67" s="1697"/>
    </row>
    <row r="68" spans="2:23" ht="21.75" customHeight="1">
      <c r="B68" s="1715"/>
      <c r="C68" s="1715"/>
      <c r="D68" s="1717"/>
      <c r="E68" s="1011" t="s">
        <v>206</v>
      </c>
      <c r="F68" s="1012" t="s">
        <v>207</v>
      </c>
      <c r="G68" s="1011" t="s">
        <v>452</v>
      </c>
      <c r="H68" s="1012" t="s">
        <v>208</v>
      </c>
      <c r="I68" s="717" t="s">
        <v>452</v>
      </c>
      <c r="J68" s="718" t="s">
        <v>208</v>
      </c>
      <c r="K68" s="1686"/>
      <c r="L68" s="717" t="s">
        <v>467</v>
      </c>
      <c r="M68" s="718" t="s">
        <v>468</v>
      </c>
      <c r="N68" s="717" t="s">
        <v>209</v>
      </c>
      <c r="O68" s="718" t="s">
        <v>210</v>
      </c>
      <c r="Q68" s="954" t="s">
        <v>211</v>
      </c>
      <c r="R68" s="978" t="s">
        <v>394</v>
      </c>
      <c r="S68" s="979" t="s">
        <v>451</v>
      </c>
      <c r="T68" s="710"/>
      <c r="U68" s="954" t="s">
        <v>211</v>
      </c>
      <c r="V68" s="978" t="s">
        <v>394</v>
      </c>
      <c r="W68" s="979" t="s">
        <v>451</v>
      </c>
    </row>
    <row r="69" spans="2:23" ht="11.25" customHeight="1">
      <c r="B69" s="722" t="s">
        <v>183</v>
      </c>
      <c r="C69" s="728"/>
      <c r="D69" s="724"/>
      <c r="E69" s="730"/>
      <c r="G69" s="726"/>
      <c r="H69" s="727"/>
      <c r="I69" s="726"/>
      <c r="J69" s="728"/>
      <c r="K69" s="729"/>
      <c r="L69" s="724"/>
      <c r="M69" s="725"/>
      <c r="N69" s="730"/>
      <c r="O69" s="728"/>
      <c r="Q69" s="957"/>
      <c r="R69" s="980"/>
      <c r="S69" s="981"/>
      <c r="T69" s="710"/>
      <c r="U69" s="957"/>
      <c r="V69" s="980"/>
      <c r="W69" s="981"/>
    </row>
    <row r="70" spans="2:23" ht="11.25" customHeight="1">
      <c r="B70" s="722" t="s">
        <v>212</v>
      </c>
      <c r="C70" s="733" t="s">
        <v>1290</v>
      </c>
      <c r="D70" s="724"/>
      <c r="E70" s="730"/>
      <c r="F70" s="802"/>
      <c r="G70" s="726"/>
      <c r="H70" s="727"/>
      <c r="I70" s="726"/>
      <c r="J70" s="727"/>
      <c r="K70" s="729"/>
      <c r="L70" s="724"/>
      <c r="M70" s="725"/>
      <c r="N70" s="730"/>
      <c r="O70" s="728"/>
      <c r="Q70" s="960"/>
      <c r="R70" s="982"/>
      <c r="S70" s="981"/>
      <c r="T70" s="710"/>
      <c r="U70" s="960">
        <v>-88.71</v>
      </c>
      <c r="V70" s="982">
        <f>+U70</f>
        <v>-88.71</v>
      </c>
      <c r="W70" s="981">
        <v>698292.82</v>
      </c>
    </row>
    <row r="71" spans="2:23" ht="11.25" customHeight="1">
      <c r="B71" s="796" t="s">
        <v>1161</v>
      </c>
      <c r="C71" s="1023" t="s">
        <v>1793</v>
      </c>
      <c r="D71" s="738" t="s">
        <v>434</v>
      </c>
      <c r="E71" s="739">
        <v>1</v>
      </c>
      <c r="F71" s="740">
        <v>2.54</v>
      </c>
      <c r="G71" s="797">
        <v>80</v>
      </c>
      <c r="H71" s="742">
        <f>+ROUND(E71*F71*G71,2)</f>
        <v>203.2</v>
      </c>
      <c r="I71" s="743">
        <f>LOOKUP(B71,valoriz!$A$13:$A$242,valoriz!I$13:I$242)</f>
        <v>0</v>
      </c>
      <c r="J71" s="744">
        <f t="shared" ref="J71:J85" si="15">+ROUND(E71*F71*I71,2)</f>
        <v>0</v>
      </c>
      <c r="K71" s="745">
        <v>4.9000000000000004</v>
      </c>
      <c r="L71" s="746">
        <f t="shared" ref="L71:L85" si="16">D$15</f>
        <v>457.01</v>
      </c>
      <c r="M71" s="747">
        <f t="shared" ref="M71:M85" si="17">D$14</f>
        <v>476.04</v>
      </c>
      <c r="N71" s="748">
        <f>+ROUND(J71*K71*M$16,2)</f>
        <v>0</v>
      </c>
      <c r="O71" s="744">
        <f t="shared" ref="O71:O85" si="18">+ROUND(J71*K71*L71*M$16/M71,2)</f>
        <v>0</v>
      </c>
      <c r="Q71" s="960">
        <v>233495.61</v>
      </c>
      <c r="R71" s="983">
        <f>+J71+Q71</f>
        <v>233495.61</v>
      </c>
      <c r="S71" s="984">
        <f t="shared" ref="S71:S85" si="19">+H71-R71</f>
        <v>-233292.40999999997</v>
      </c>
      <c r="T71" s="710"/>
      <c r="U71" s="985">
        <f t="shared" ref="U71:U85" si="20">+ROUND(Q71*$K71*$L71/$M71,2)</f>
        <v>1098391.23</v>
      </c>
      <c r="V71" s="986">
        <f t="shared" ref="V71:V85" si="21">+ROUND(R71*$K71*$L71/$M71,2)</f>
        <v>1098391.23</v>
      </c>
      <c r="W71" s="987"/>
    </row>
    <row r="72" spans="2:23" ht="11.25" customHeight="1">
      <c r="B72" s="796" t="s">
        <v>1162</v>
      </c>
      <c r="C72" s="1023" t="s">
        <v>1794</v>
      </c>
      <c r="D72" s="738" t="s">
        <v>434</v>
      </c>
      <c r="E72" s="739">
        <v>1</v>
      </c>
      <c r="F72" s="740">
        <v>2.54</v>
      </c>
      <c r="G72" s="797">
        <v>192</v>
      </c>
      <c r="H72" s="742">
        <f>+ROUND(E72*F72*G72,2)</f>
        <v>487.68</v>
      </c>
      <c r="I72" s="743">
        <f>LOOKUP(B72,valoriz!$A$13:$A$242,valoriz!I$13:I$242)</f>
        <v>0</v>
      </c>
      <c r="J72" s="744">
        <f t="shared" si="15"/>
        <v>0</v>
      </c>
      <c r="K72" s="745">
        <f t="shared" ref="K72:K85" si="22">+K71</f>
        <v>4.9000000000000004</v>
      </c>
      <c r="L72" s="746">
        <f t="shared" si="16"/>
        <v>457.01</v>
      </c>
      <c r="M72" s="747">
        <f t="shared" si="17"/>
        <v>476.04</v>
      </c>
      <c r="N72" s="748">
        <f>+ROUND(J72*K72*M$16,2)</f>
        <v>0</v>
      </c>
      <c r="O72" s="744">
        <f t="shared" si="18"/>
        <v>0</v>
      </c>
      <c r="Q72" s="960">
        <v>1443.75</v>
      </c>
      <c r="R72" s="983">
        <f>+J72+Q72</f>
        <v>1443.75</v>
      </c>
      <c r="S72" s="984">
        <f t="shared" si="19"/>
        <v>-956.06999999999994</v>
      </c>
      <c r="T72" s="710"/>
      <c r="U72" s="985">
        <f t="shared" si="20"/>
        <v>6791.57</v>
      </c>
      <c r="V72" s="986">
        <f t="shared" si="21"/>
        <v>6791.57</v>
      </c>
      <c r="W72" s="987"/>
    </row>
    <row r="73" spans="2:23" ht="11.25" customHeight="1">
      <c r="B73" s="796" t="s">
        <v>1163</v>
      </c>
      <c r="C73" s="1023" t="s">
        <v>1795</v>
      </c>
      <c r="D73" s="738" t="s">
        <v>434</v>
      </c>
      <c r="E73" s="739">
        <v>1</v>
      </c>
      <c r="F73" s="740">
        <v>2.54</v>
      </c>
      <c r="G73" s="797">
        <v>80</v>
      </c>
      <c r="H73" s="742">
        <f>+ROUND(E73*F73*G73,2)</f>
        <v>203.2</v>
      </c>
      <c r="I73" s="743">
        <f>LOOKUP(B73,valoriz!$A$13:$A$242,valoriz!I$13:I$242)</f>
        <v>0.10999999999999999</v>
      </c>
      <c r="J73" s="744">
        <f t="shared" si="15"/>
        <v>0.28000000000000003</v>
      </c>
      <c r="K73" s="745">
        <f t="shared" si="22"/>
        <v>4.9000000000000004</v>
      </c>
      <c r="L73" s="746">
        <f t="shared" si="16"/>
        <v>457.01</v>
      </c>
      <c r="M73" s="747">
        <f t="shared" si="17"/>
        <v>476.04</v>
      </c>
      <c r="N73" s="748">
        <f>+ROUND(J73*K73*M$16,2)</f>
        <v>1.37</v>
      </c>
      <c r="O73" s="744">
        <f t="shared" si="18"/>
        <v>1.32</v>
      </c>
      <c r="Q73" s="960">
        <v>0</v>
      </c>
      <c r="R73" s="983">
        <f>+J73+Q73</f>
        <v>0.28000000000000003</v>
      </c>
      <c r="S73" s="984">
        <f t="shared" si="19"/>
        <v>202.92</v>
      </c>
      <c r="T73" s="710"/>
      <c r="U73" s="985">
        <f t="shared" si="20"/>
        <v>0</v>
      </c>
      <c r="V73" s="986">
        <f t="shared" si="21"/>
        <v>1.32</v>
      </c>
      <c r="W73" s="987"/>
    </row>
    <row r="74" spans="2:23" ht="11.25" customHeight="1">
      <c r="B74" s="796" t="s">
        <v>1164</v>
      </c>
      <c r="C74" s="1023" t="s">
        <v>1785</v>
      </c>
      <c r="D74" s="738" t="s">
        <v>433</v>
      </c>
      <c r="E74" s="739">
        <v>1</v>
      </c>
      <c r="F74" s="740">
        <v>72</v>
      </c>
      <c r="G74" s="797">
        <v>4</v>
      </c>
      <c r="H74" s="742">
        <f t="shared" ref="H74:H82" si="23">+ROUND(E74*F74*G74,2)</f>
        <v>288</v>
      </c>
      <c r="I74" s="743">
        <f>LOOKUP(B74,valoriz!$A$13:$A$242,valoriz!I$13:I$242)</f>
        <v>0.10999999999999999</v>
      </c>
      <c r="J74" s="744">
        <f t="shared" si="15"/>
        <v>7.92</v>
      </c>
      <c r="K74" s="745">
        <f t="shared" si="22"/>
        <v>4.9000000000000004</v>
      </c>
      <c r="L74" s="746">
        <f t="shared" si="16"/>
        <v>457.01</v>
      </c>
      <c r="M74" s="747">
        <f t="shared" si="17"/>
        <v>476.04</v>
      </c>
      <c r="N74" s="748">
        <f>+ROUND(J74*K74*M$16,2)</f>
        <v>38.81</v>
      </c>
      <c r="O74" s="744">
        <f t="shared" si="18"/>
        <v>37.26</v>
      </c>
      <c r="Q74" s="960">
        <v>0</v>
      </c>
      <c r="R74" s="983">
        <f>+J74+Q74</f>
        <v>7.92</v>
      </c>
      <c r="S74" s="984">
        <f t="shared" si="19"/>
        <v>280.08</v>
      </c>
      <c r="T74" s="710"/>
      <c r="U74" s="985">
        <f t="shared" si="20"/>
        <v>0</v>
      </c>
      <c r="V74" s="986">
        <f t="shared" si="21"/>
        <v>37.26</v>
      </c>
      <c r="W74" s="987"/>
    </row>
    <row r="75" spans="2:23" ht="11.25" customHeight="1">
      <c r="B75" s="796" t="s">
        <v>1185</v>
      </c>
      <c r="C75" s="1023" t="s">
        <v>1775</v>
      </c>
      <c r="D75" s="738" t="s">
        <v>432</v>
      </c>
      <c r="E75" s="739">
        <v>1</v>
      </c>
      <c r="F75" s="740">
        <v>0.39590000000000003</v>
      </c>
      <c r="G75" s="797">
        <v>2.2000000000000002</v>
      </c>
      <c r="H75" s="742">
        <f t="shared" si="23"/>
        <v>0.87</v>
      </c>
      <c r="I75" s="743">
        <f>LOOKUP(B75,valoriz!$A$13:$A$242,valoriz!I$13:I$242)</f>
        <v>0</v>
      </c>
      <c r="J75" s="744">
        <f t="shared" si="15"/>
        <v>0</v>
      </c>
      <c r="K75" s="745">
        <f t="shared" si="22"/>
        <v>4.9000000000000004</v>
      </c>
      <c r="L75" s="746">
        <f t="shared" ref="L75:L82" si="24">D$15</f>
        <v>457.01</v>
      </c>
      <c r="M75" s="747">
        <f t="shared" ref="M75:M82" si="25">D$14</f>
        <v>476.04</v>
      </c>
      <c r="N75" s="748">
        <f t="shared" ref="N75:N82" si="26">+ROUND(J75*K75*M$16,2)</f>
        <v>0</v>
      </c>
      <c r="O75" s="744">
        <f t="shared" si="18"/>
        <v>0</v>
      </c>
      <c r="Q75" s="960">
        <v>0</v>
      </c>
      <c r="R75" s="983">
        <f t="shared" ref="R75:R82" si="27">+J75+Q75</f>
        <v>0</v>
      </c>
      <c r="S75" s="984">
        <f t="shared" ref="S75:S82" si="28">+H75-R75</f>
        <v>0.87</v>
      </c>
      <c r="T75" s="710"/>
      <c r="U75" s="985">
        <f t="shared" ref="U75:U82" si="29">+ROUND(Q75*$K75*$L75/$M75,2)</f>
        <v>0</v>
      </c>
      <c r="V75" s="986">
        <f t="shared" ref="V75:V82" si="30">+ROUND(R75*$K75*$L75/$M75,2)</f>
        <v>0</v>
      </c>
      <c r="W75" s="987"/>
    </row>
    <row r="76" spans="2:23" ht="11.25" customHeight="1">
      <c r="B76" s="796" t="s">
        <v>1186</v>
      </c>
      <c r="C76" s="1023" t="s">
        <v>1776</v>
      </c>
      <c r="D76" s="738" t="s">
        <v>432</v>
      </c>
      <c r="E76" s="739">
        <v>1</v>
      </c>
      <c r="F76" s="740">
        <v>0.50609999999999999</v>
      </c>
      <c r="G76" s="797">
        <v>4</v>
      </c>
      <c r="H76" s="742">
        <f t="shared" si="23"/>
        <v>2.02</v>
      </c>
      <c r="I76" s="743">
        <f>LOOKUP(B76,valoriz!$A$13:$A$242,valoriz!I$13:I$242)</f>
        <v>0</v>
      </c>
      <c r="J76" s="744">
        <f t="shared" si="15"/>
        <v>0</v>
      </c>
      <c r="K76" s="745">
        <f t="shared" si="22"/>
        <v>4.9000000000000004</v>
      </c>
      <c r="L76" s="746">
        <f t="shared" si="24"/>
        <v>457.01</v>
      </c>
      <c r="M76" s="747">
        <f t="shared" si="25"/>
        <v>476.04</v>
      </c>
      <c r="N76" s="748">
        <f t="shared" si="26"/>
        <v>0</v>
      </c>
      <c r="O76" s="744">
        <f t="shared" si="18"/>
        <v>0</v>
      </c>
      <c r="Q76" s="960">
        <v>0</v>
      </c>
      <c r="R76" s="983">
        <f t="shared" si="27"/>
        <v>0</v>
      </c>
      <c r="S76" s="984">
        <f t="shared" si="28"/>
        <v>2.02</v>
      </c>
      <c r="T76" s="710"/>
      <c r="U76" s="985">
        <f t="shared" si="29"/>
        <v>0</v>
      </c>
      <c r="V76" s="986">
        <f t="shared" si="30"/>
        <v>0</v>
      </c>
      <c r="W76" s="987"/>
    </row>
    <row r="77" spans="2:23" ht="11.25" customHeight="1">
      <c r="B77" s="796" t="s">
        <v>1187</v>
      </c>
      <c r="C77" s="1023" t="s">
        <v>1777</v>
      </c>
      <c r="D77" s="738" t="s">
        <v>432</v>
      </c>
      <c r="E77" s="739">
        <v>1</v>
      </c>
      <c r="F77" s="740">
        <v>0.50609999999999999</v>
      </c>
      <c r="G77" s="797">
        <v>2.25</v>
      </c>
      <c r="H77" s="742">
        <f t="shared" si="23"/>
        <v>1.1399999999999999</v>
      </c>
      <c r="I77" s="743">
        <f>LOOKUP(B77,valoriz!$A$13:$A$242,valoriz!I$13:I$242)</f>
        <v>0</v>
      </c>
      <c r="J77" s="744">
        <f t="shared" si="15"/>
        <v>0</v>
      </c>
      <c r="K77" s="745">
        <f t="shared" si="22"/>
        <v>4.9000000000000004</v>
      </c>
      <c r="L77" s="746">
        <f t="shared" si="24"/>
        <v>457.01</v>
      </c>
      <c r="M77" s="747">
        <f t="shared" si="25"/>
        <v>476.04</v>
      </c>
      <c r="N77" s="748">
        <f t="shared" si="26"/>
        <v>0</v>
      </c>
      <c r="O77" s="744">
        <f t="shared" si="18"/>
        <v>0</v>
      </c>
      <c r="Q77" s="960">
        <v>0</v>
      </c>
      <c r="R77" s="983">
        <f t="shared" si="27"/>
        <v>0</v>
      </c>
      <c r="S77" s="984">
        <f t="shared" si="28"/>
        <v>1.1399999999999999</v>
      </c>
      <c r="T77" s="710"/>
      <c r="U77" s="985">
        <f t="shared" si="29"/>
        <v>0</v>
      </c>
      <c r="V77" s="986">
        <f t="shared" si="30"/>
        <v>0</v>
      </c>
      <c r="W77" s="987"/>
    </row>
    <row r="78" spans="2:23" ht="11.25" customHeight="1">
      <c r="B78" s="796" t="s">
        <v>1190</v>
      </c>
      <c r="C78" s="1023" t="s">
        <v>1764</v>
      </c>
      <c r="D78" s="738" t="s">
        <v>432</v>
      </c>
      <c r="E78" s="739">
        <v>1</v>
      </c>
      <c r="F78" s="740">
        <v>0.50609999999999999</v>
      </c>
      <c r="G78" s="797">
        <v>2.7</v>
      </c>
      <c r="H78" s="742">
        <f t="shared" si="23"/>
        <v>1.37</v>
      </c>
      <c r="I78" s="743">
        <f>LOOKUP(B78,valoriz!$A$13:$A$242,valoriz!I$13:I$242)</f>
        <v>0</v>
      </c>
      <c r="J78" s="744">
        <f t="shared" si="15"/>
        <v>0</v>
      </c>
      <c r="K78" s="745">
        <f t="shared" si="22"/>
        <v>4.9000000000000004</v>
      </c>
      <c r="L78" s="746">
        <f t="shared" si="24"/>
        <v>457.01</v>
      </c>
      <c r="M78" s="747">
        <f t="shared" si="25"/>
        <v>476.04</v>
      </c>
      <c r="N78" s="748">
        <f t="shared" si="26"/>
        <v>0</v>
      </c>
      <c r="O78" s="744">
        <f t="shared" si="18"/>
        <v>0</v>
      </c>
      <c r="Q78" s="960">
        <v>0</v>
      </c>
      <c r="R78" s="983">
        <f t="shared" si="27"/>
        <v>0</v>
      </c>
      <c r="S78" s="984">
        <f t="shared" si="28"/>
        <v>1.37</v>
      </c>
      <c r="T78" s="710"/>
      <c r="U78" s="985">
        <f t="shared" si="29"/>
        <v>0</v>
      </c>
      <c r="V78" s="986">
        <f t="shared" si="30"/>
        <v>0</v>
      </c>
      <c r="W78" s="987"/>
    </row>
    <row r="79" spans="2:23" ht="11.25" customHeight="1">
      <c r="B79" s="796" t="s">
        <v>1191</v>
      </c>
      <c r="C79" s="1023" t="s">
        <v>1765</v>
      </c>
      <c r="D79" s="738" t="s">
        <v>432</v>
      </c>
      <c r="E79" s="739">
        <v>1</v>
      </c>
      <c r="F79" s="740">
        <v>0.37040000000000001</v>
      </c>
      <c r="G79" s="797">
        <v>4.1500000000000004</v>
      </c>
      <c r="H79" s="742">
        <f t="shared" si="23"/>
        <v>1.54</v>
      </c>
      <c r="I79" s="743">
        <f>LOOKUP(B79,valoriz!$A$13:$A$242,valoriz!I$13:I$242)</f>
        <v>0</v>
      </c>
      <c r="J79" s="744">
        <f t="shared" si="15"/>
        <v>0</v>
      </c>
      <c r="K79" s="745">
        <f t="shared" si="22"/>
        <v>4.9000000000000004</v>
      </c>
      <c r="L79" s="746">
        <f t="shared" si="24"/>
        <v>457.01</v>
      </c>
      <c r="M79" s="747">
        <f t="shared" si="25"/>
        <v>476.04</v>
      </c>
      <c r="N79" s="748">
        <f t="shared" si="26"/>
        <v>0</v>
      </c>
      <c r="O79" s="744">
        <f t="shared" si="18"/>
        <v>0</v>
      </c>
      <c r="Q79" s="960">
        <v>0</v>
      </c>
      <c r="R79" s="983">
        <f t="shared" si="27"/>
        <v>0</v>
      </c>
      <c r="S79" s="984">
        <f t="shared" si="28"/>
        <v>1.54</v>
      </c>
      <c r="T79" s="710"/>
      <c r="U79" s="985">
        <f t="shared" si="29"/>
        <v>0</v>
      </c>
      <c r="V79" s="986">
        <f t="shared" si="30"/>
        <v>0</v>
      </c>
      <c r="W79" s="987"/>
    </row>
    <row r="80" spans="2:23" ht="11.25" customHeight="1">
      <c r="B80" s="796" t="s">
        <v>1196</v>
      </c>
      <c r="C80" s="1023" t="s">
        <v>1796</v>
      </c>
      <c r="D80" s="738" t="s">
        <v>434</v>
      </c>
      <c r="E80" s="739">
        <v>1</v>
      </c>
      <c r="F80" s="740">
        <v>3.5</v>
      </c>
      <c r="G80" s="797">
        <v>10473.77</v>
      </c>
      <c r="H80" s="742">
        <f t="shared" si="23"/>
        <v>36658.199999999997</v>
      </c>
      <c r="I80" s="1215">
        <f>LOOKUP(B80,valoriz!$A$13:$A$242,valoriz!I$13:I$242)</f>
        <v>0</v>
      </c>
      <c r="J80" s="744">
        <f t="shared" si="15"/>
        <v>0</v>
      </c>
      <c r="K80" s="745">
        <f t="shared" si="22"/>
        <v>4.9000000000000004</v>
      </c>
      <c r="L80" s="746">
        <f t="shared" si="24"/>
        <v>457.01</v>
      </c>
      <c r="M80" s="747">
        <f t="shared" si="25"/>
        <v>476.04</v>
      </c>
      <c r="N80" s="748">
        <f t="shared" si="26"/>
        <v>0</v>
      </c>
      <c r="O80" s="744">
        <f t="shared" si="18"/>
        <v>0</v>
      </c>
      <c r="Q80" s="960">
        <v>0</v>
      </c>
      <c r="R80" s="983">
        <f t="shared" si="27"/>
        <v>0</v>
      </c>
      <c r="S80" s="984">
        <f t="shared" si="28"/>
        <v>36658.199999999997</v>
      </c>
      <c r="T80" s="710"/>
      <c r="U80" s="985">
        <f t="shared" si="29"/>
        <v>0</v>
      </c>
      <c r="V80" s="986">
        <f t="shared" si="30"/>
        <v>0</v>
      </c>
      <c r="W80" s="987"/>
    </row>
    <row r="81" spans="2:23" ht="11.25" customHeight="1">
      <c r="B81" s="796" t="s">
        <v>1202</v>
      </c>
      <c r="C81" s="1023" t="s">
        <v>1796</v>
      </c>
      <c r="D81" s="738" t="s">
        <v>434</v>
      </c>
      <c r="E81" s="739">
        <v>1</v>
      </c>
      <c r="F81" s="740">
        <v>3.5</v>
      </c>
      <c r="G81" s="797">
        <v>2441.1799999999998</v>
      </c>
      <c r="H81" s="742">
        <f t="shared" si="23"/>
        <v>8544.1299999999992</v>
      </c>
      <c r="I81" s="1215">
        <f>LOOKUP(B81,valoriz!$A$13:$A$242,valoriz!I$13:I$242)</f>
        <v>0</v>
      </c>
      <c r="J81" s="744">
        <f t="shared" si="15"/>
        <v>0</v>
      </c>
      <c r="K81" s="745">
        <f t="shared" si="22"/>
        <v>4.9000000000000004</v>
      </c>
      <c r="L81" s="746">
        <f t="shared" si="24"/>
        <v>457.01</v>
      </c>
      <c r="M81" s="747">
        <f t="shared" si="25"/>
        <v>476.04</v>
      </c>
      <c r="N81" s="748">
        <f t="shared" si="26"/>
        <v>0</v>
      </c>
      <c r="O81" s="744">
        <f t="shared" si="18"/>
        <v>0</v>
      </c>
      <c r="Q81" s="960">
        <v>0</v>
      </c>
      <c r="R81" s="983">
        <f t="shared" si="27"/>
        <v>0</v>
      </c>
      <c r="S81" s="984">
        <f t="shared" si="28"/>
        <v>8544.1299999999992</v>
      </c>
      <c r="T81" s="710"/>
      <c r="U81" s="985">
        <f t="shared" si="29"/>
        <v>0</v>
      </c>
      <c r="V81" s="986">
        <f t="shared" si="30"/>
        <v>0</v>
      </c>
      <c r="W81" s="987"/>
    </row>
    <row r="82" spans="2:23" ht="11.25" customHeight="1">
      <c r="B82" s="796" t="s">
        <v>1208</v>
      </c>
      <c r="C82" s="1023" t="s">
        <v>1796</v>
      </c>
      <c r="D82" s="738" t="s">
        <v>434</v>
      </c>
      <c r="E82" s="739">
        <v>1</v>
      </c>
      <c r="F82" s="740">
        <v>3.5</v>
      </c>
      <c r="G82" s="797">
        <v>7110.76</v>
      </c>
      <c r="H82" s="742">
        <f t="shared" si="23"/>
        <v>24887.66</v>
      </c>
      <c r="I82" s="1215">
        <f>LOOKUP(B82,valoriz!$A$13:$A$242,valoriz!I$13:I$242)</f>
        <v>0</v>
      </c>
      <c r="J82" s="744">
        <f t="shared" si="15"/>
        <v>0</v>
      </c>
      <c r="K82" s="745">
        <f t="shared" si="22"/>
        <v>4.9000000000000004</v>
      </c>
      <c r="L82" s="746">
        <f t="shared" si="24"/>
        <v>457.01</v>
      </c>
      <c r="M82" s="747">
        <f t="shared" si="25"/>
        <v>476.04</v>
      </c>
      <c r="N82" s="748">
        <f t="shared" si="26"/>
        <v>0</v>
      </c>
      <c r="O82" s="744">
        <f t="shared" si="18"/>
        <v>0</v>
      </c>
      <c r="Q82" s="960">
        <v>0</v>
      </c>
      <c r="R82" s="983">
        <f t="shared" si="27"/>
        <v>0</v>
      </c>
      <c r="S82" s="984">
        <f t="shared" si="28"/>
        <v>24887.66</v>
      </c>
      <c r="T82" s="710"/>
      <c r="U82" s="985">
        <f t="shared" si="29"/>
        <v>0</v>
      </c>
      <c r="V82" s="986">
        <f t="shared" si="30"/>
        <v>0</v>
      </c>
      <c r="W82" s="987"/>
    </row>
    <row r="83" spans="2:23" ht="11.25" customHeight="1">
      <c r="B83" s="796" t="s">
        <v>1214</v>
      </c>
      <c r="C83" s="1023" t="s">
        <v>1796</v>
      </c>
      <c r="D83" s="738" t="s">
        <v>434</v>
      </c>
      <c r="E83" s="739">
        <v>1</v>
      </c>
      <c r="F83" s="740">
        <v>3.5</v>
      </c>
      <c r="G83" s="797">
        <v>2734.96</v>
      </c>
      <c r="H83" s="742">
        <f>+ROUND(E83*F83*G83,2)</f>
        <v>9572.36</v>
      </c>
      <c r="I83" s="743">
        <f>LOOKUP(B83,valoriz!$A$13:$A$242,valoriz!I$13:I$242)</f>
        <v>0</v>
      </c>
      <c r="J83" s="744">
        <f t="shared" si="15"/>
        <v>0</v>
      </c>
      <c r="K83" s="745">
        <f t="shared" si="22"/>
        <v>4.9000000000000004</v>
      </c>
      <c r="L83" s="746">
        <f t="shared" si="16"/>
        <v>457.01</v>
      </c>
      <c r="M83" s="747">
        <f t="shared" si="17"/>
        <v>476.04</v>
      </c>
      <c r="N83" s="748">
        <f>+ROUND(J83*K83*M$16,2)</f>
        <v>0</v>
      </c>
      <c r="O83" s="744">
        <f t="shared" si="18"/>
        <v>0</v>
      </c>
      <c r="Q83" s="960">
        <v>107.1</v>
      </c>
      <c r="R83" s="983">
        <f>+J83+Q83</f>
        <v>107.1</v>
      </c>
      <c r="S83" s="984">
        <f t="shared" si="19"/>
        <v>9465.26</v>
      </c>
      <c r="T83" s="710"/>
      <c r="U83" s="985">
        <f t="shared" si="20"/>
        <v>503.81</v>
      </c>
      <c r="V83" s="986">
        <f t="shared" si="21"/>
        <v>503.81</v>
      </c>
      <c r="W83" s="987"/>
    </row>
    <row r="84" spans="2:23" ht="11.25" customHeight="1">
      <c r="B84" s="796" t="s">
        <v>1220</v>
      </c>
      <c r="C84" s="1023" t="s">
        <v>1797</v>
      </c>
      <c r="D84" s="738" t="s">
        <v>434</v>
      </c>
      <c r="E84" s="739">
        <v>1</v>
      </c>
      <c r="F84" s="740">
        <v>2.8000000000000003</v>
      </c>
      <c r="G84" s="797">
        <v>3091.66</v>
      </c>
      <c r="H84" s="742">
        <f>+ROUND(E84*F84*G84,2)</f>
        <v>8656.65</v>
      </c>
      <c r="I84" s="1215">
        <f>LOOKUP(B84,valoriz!$A$13:$A$242,valoriz!I$13:I$242)</f>
        <v>0</v>
      </c>
      <c r="J84" s="744">
        <f t="shared" si="15"/>
        <v>0</v>
      </c>
      <c r="K84" s="745">
        <f t="shared" si="22"/>
        <v>4.9000000000000004</v>
      </c>
      <c r="L84" s="746">
        <f t="shared" si="16"/>
        <v>457.01</v>
      </c>
      <c r="M84" s="747">
        <f t="shared" si="17"/>
        <v>476.04</v>
      </c>
      <c r="N84" s="748">
        <f>+ROUND(J84*K84*M$16,2)</f>
        <v>0</v>
      </c>
      <c r="O84" s="744">
        <f t="shared" si="18"/>
        <v>0</v>
      </c>
      <c r="Q84" s="960">
        <v>1268.44</v>
      </c>
      <c r="R84" s="983">
        <f>+J84+Q84</f>
        <v>1268.44</v>
      </c>
      <c r="S84" s="984">
        <f t="shared" si="19"/>
        <v>7388.2099999999991</v>
      </c>
      <c r="T84" s="710"/>
      <c r="U84" s="985">
        <f t="shared" si="20"/>
        <v>5966.89</v>
      </c>
      <c r="V84" s="986">
        <f t="shared" si="21"/>
        <v>5966.89</v>
      </c>
      <c r="W84" s="987"/>
    </row>
    <row r="85" spans="2:23" ht="11.25" customHeight="1">
      <c r="B85" s="796" t="s">
        <v>1232</v>
      </c>
      <c r="C85" s="1023" t="s">
        <v>1789</v>
      </c>
      <c r="D85" s="738" t="s">
        <v>431</v>
      </c>
      <c r="E85" s="739">
        <v>0.1</v>
      </c>
      <c r="F85" s="740">
        <v>1.75</v>
      </c>
      <c r="G85" s="797">
        <v>4165</v>
      </c>
      <c r="H85" s="742">
        <f>+ROUND(E85*F85*G85,2)</f>
        <v>728.88</v>
      </c>
      <c r="I85" s="743">
        <f>LOOKUP(B85,valoriz!$A$13:$A$242,valoriz!I$13:I$242)</f>
        <v>0</v>
      </c>
      <c r="J85" s="744">
        <f t="shared" si="15"/>
        <v>0</v>
      </c>
      <c r="K85" s="745">
        <f t="shared" si="22"/>
        <v>4.9000000000000004</v>
      </c>
      <c r="L85" s="746">
        <f t="shared" si="16"/>
        <v>457.01</v>
      </c>
      <c r="M85" s="747">
        <f t="shared" si="17"/>
        <v>476.04</v>
      </c>
      <c r="N85" s="748">
        <f>+ROUND(J85*K85*M$16,2)</f>
        <v>0</v>
      </c>
      <c r="O85" s="744">
        <f t="shared" si="18"/>
        <v>0</v>
      </c>
      <c r="Q85" s="960">
        <v>749.7</v>
      </c>
      <c r="R85" s="983">
        <f>+J85+Q85</f>
        <v>749.7</v>
      </c>
      <c r="S85" s="984">
        <f t="shared" si="19"/>
        <v>-20.82000000000005</v>
      </c>
      <c r="T85" s="710"/>
      <c r="U85" s="985">
        <f t="shared" si="20"/>
        <v>3526.68</v>
      </c>
      <c r="V85" s="986">
        <f t="shared" si="21"/>
        <v>3526.68</v>
      </c>
      <c r="W85" s="987"/>
    </row>
    <row r="86" spans="2:23" ht="11.25" customHeight="1" thickBot="1">
      <c r="B86" s="762"/>
      <c r="C86" s="1024"/>
      <c r="D86" s="764"/>
      <c r="E86" s="765"/>
      <c r="F86" s="766"/>
      <c r="G86" s="799"/>
      <c r="H86" s="800"/>
      <c r="I86" s="767"/>
      <c r="J86" s="769"/>
      <c r="K86" s="770"/>
      <c r="L86" s="771"/>
      <c r="M86" s="772"/>
      <c r="N86" s="773"/>
      <c r="O86" s="769"/>
      <c r="Q86" s="968"/>
      <c r="R86" s="988"/>
      <c r="S86" s="989"/>
      <c r="T86" s="710"/>
      <c r="U86" s="968"/>
      <c r="V86" s="988"/>
      <c r="W86" s="989"/>
    </row>
    <row r="87" spans="2:23" ht="11.25" customHeight="1">
      <c r="B87" s="775"/>
      <c r="C87" s="776"/>
      <c r="D87" s="777"/>
      <c r="E87" s="777"/>
      <c r="F87" s="778"/>
      <c r="G87" s="779"/>
      <c r="H87" s="780">
        <f>SUM(H71:H86)</f>
        <v>90236.9</v>
      </c>
      <c r="I87" s="779"/>
      <c r="J87" s="780">
        <f>SUM(J71:J86)</f>
        <v>8.1999999999999993</v>
      </c>
      <c r="K87" s="781"/>
      <c r="L87" s="777"/>
      <c r="M87" s="946" t="s">
        <v>171</v>
      </c>
      <c r="N87" s="782">
        <f>SUM(N71:N86)</f>
        <v>40.18</v>
      </c>
      <c r="O87" s="783">
        <f>SUM(O71:O86)</f>
        <v>38.58</v>
      </c>
      <c r="Q87" s="1051">
        <f>SUM(Q71:Q86)</f>
        <v>237064.6</v>
      </c>
      <c r="R87" s="1051">
        <f>SUM(R71:R86)</f>
        <v>237072.80000000002</v>
      </c>
      <c r="S87" s="1052">
        <f>SUM(S71:S86)</f>
        <v>-146835.89999999997</v>
      </c>
      <c r="T87" s="964">
        <f>+U88-U87</f>
        <v>-753875.21</v>
      </c>
      <c r="U87" s="1076">
        <f>SUM(U70:U86)</f>
        <v>1115091.47</v>
      </c>
      <c r="V87" s="1077">
        <f>SUM(V70:V86)</f>
        <v>1115130.05</v>
      </c>
      <c r="W87" s="1078">
        <f>+W70-V88</f>
        <v>-416837.2300000001</v>
      </c>
    </row>
    <row r="88" spans="2:23" ht="11.25" customHeight="1">
      <c r="B88" s="784"/>
      <c r="C88" s="785"/>
      <c r="G88" s="786"/>
      <c r="H88" s="787" t="s">
        <v>214</v>
      </c>
      <c r="I88" s="788"/>
      <c r="J88" s="789">
        <v>87205.54</v>
      </c>
      <c r="K88" s="751"/>
      <c r="Q88" s="710"/>
      <c r="R88" s="710"/>
      <c r="S88" s="710"/>
      <c r="T88" s="710"/>
      <c r="U88" s="710">
        <v>361216.26</v>
      </c>
      <c r="V88" s="964">
        <f>+O87+U87</f>
        <v>1115130.05</v>
      </c>
      <c r="W88" s="710"/>
    </row>
    <row r="89" spans="2:23" ht="11.25" customHeight="1">
      <c r="B89" s="784"/>
      <c r="C89" s="785"/>
      <c r="K89" s="751"/>
    </row>
    <row r="90" spans="2:23" ht="11.25" customHeight="1">
      <c r="B90" s="1714" t="s">
        <v>198</v>
      </c>
      <c r="C90" s="1714" t="s">
        <v>199</v>
      </c>
      <c r="D90" s="1716" t="s">
        <v>601</v>
      </c>
      <c r="E90" s="1712" t="s">
        <v>200</v>
      </c>
      <c r="F90" s="1713"/>
      <c r="G90" s="1712" t="s">
        <v>201</v>
      </c>
      <c r="H90" s="1713"/>
      <c r="I90" s="1678" t="s">
        <v>202</v>
      </c>
      <c r="J90" s="1680"/>
      <c r="K90" s="1685" t="s">
        <v>203</v>
      </c>
      <c r="L90" s="1678" t="s">
        <v>204</v>
      </c>
      <c r="M90" s="1680"/>
      <c r="N90" s="1678" t="s">
        <v>423</v>
      </c>
      <c r="O90" s="1680"/>
      <c r="Q90" s="1695" t="s">
        <v>205</v>
      </c>
      <c r="R90" s="1696"/>
      <c r="S90" s="1697"/>
      <c r="T90" s="710"/>
      <c r="U90" s="1695" t="s">
        <v>331</v>
      </c>
      <c r="V90" s="1696"/>
      <c r="W90" s="1697"/>
    </row>
    <row r="91" spans="2:23" ht="21.75" customHeight="1">
      <c r="B91" s="1715"/>
      <c r="C91" s="1715"/>
      <c r="D91" s="1717"/>
      <c r="E91" s="1011" t="s">
        <v>206</v>
      </c>
      <c r="F91" s="1012" t="s">
        <v>207</v>
      </c>
      <c r="G91" s="1011" t="s">
        <v>452</v>
      </c>
      <c r="H91" s="1012" t="s">
        <v>208</v>
      </c>
      <c r="I91" s="717" t="s">
        <v>452</v>
      </c>
      <c r="J91" s="718" t="s">
        <v>208</v>
      </c>
      <c r="K91" s="1686"/>
      <c r="L91" s="717" t="s">
        <v>467</v>
      </c>
      <c r="M91" s="718" t="s">
        <v>468</v>
      </c>
      <c r="N91" s="717" t="s">
        <v>209</v>
      </c>
      <c r="O91" s="718" t="s">
        <v>210</v>
      </c>
      <c r="Q91" s="954" t="s">
        <v>211</v>
      </c>
      <c r="R91" s="978" t="s">
        <v>394</v>
      </c>
      <c r="S91" s="979" t="s">
        <v>451</v>
      </c>
      <c r="T91" s="710"/>
      <c r="U91" s="954" t="s">
        <v>211</v>
      </c>
      <c r="V91" s="978" t="s">
        <v>394</v>
      </c>
      <c r="W91" s="979" t="s">
        <v>451</v>
      </c>
    </row>
    <row r="92" spans="2:23" ht="11.25" customHeight="1">
      <c r="B92" s="722" t="s">
        <v>183</v>
      </c>
      <c r="C92" s="728"/>
      <c r="D92" s="724"/>
      <c r="E92" s="730"/>
      <c r="G92" s="726"/>
      <c r="H92" s="727"/>
      <c r="I92" s="726"/>
      <c r="J92" s="728"/>
      <c r="K92" s="729"/>
      <c r="L92" s="724"/>
      <c r="M92" s="725"/>
      <c r="N92" s="730"/>
      <c r="O92" s="728"/>
      <c r="Q92" s="957"/>
      <c r="R92" s="980"/>
      <c r="S92" s="981"/>
      <c r="T92" s="710"/>
      <c r="U92" s="957"/>
      <c r="V92" s="980"/>
      <c r="W92" s="981"/>
    </row>
    <row r="93" spans="2:23" ht="11.25" customHeight="1">
      <c r="B93" s="722" t="s">
        <v>212</v>
      </c>
      <c r="C93" s="733" t="s">
        <v>1291</v>
      </c>
      <c r="D93" s="724"/>
      <c r="E93" s="730"/>
      <c r="F93" s="802"/>
      <c r="G93" s="726"/>
      <c r="H93" s="727"/>
      <c r="I93" s="726"/>
      <c r="J93" s="727"/>
      <c r="K93" s="729"/>
      <c r="L93" s="724"/>
      <c r="M93" s="725"/>
      <c r="N93" s="730"/>
      <c r="O93" s="728"/>
      <c r="Q93" s="960"/>
      <c r="R93" s="982"/>
      <c r="S93" s="981"/>
      <c r="T93" s="710"/>
      <c r="U93" s="960">
        <v>-88.71</v>
      </c>
      <c r="V93" s="982">
        <f>+U93</f>
        <v>-88.71</v>
      </c>
      <c r="W93" s="981">
        <v>698292.82</v>
      </c>
    </row>
    <row r="94" spans="2:23" ht="11.25" customHeight="1">
      <c r="B94" s="796" t="s">
        <v>1164</v>
      </c>
      <c r="C94" s="1023" t="s">
        <v>1785</v>
      </c>
      <c r="D94" s="738" t="s">
        <v>433</v>
      </c>
      <c r="E94" s="739">
        <v>1</v>
      </c>
      <c r="F94" s="740">
        <v>2</v>
      </c>
      <c r="G94" s="797">
        <v>4</v>
      </c>
      <c r="H94" s="742">
        <f t="shared" ref="H94:H101" si="31">+ROUND(E94*F94*G94,2)</f>
        <v>8</v>
      </c>
      <c r="I94" s="743">
        <f>LOOKUP(B94,valoriz!$A$13:$A$242,valoriz!I$13:I$242)</f>
        <v>0.10999999999999999</v>
      </c>
      <c r="J94" s="744">
        <f t="shared" ref="J94:J101" si="32">+ROUND(E94*F94*I94,2)</f>
        <v>0.22</v>
      </c>
      <c r="K94" s="745">
        <v>21.44</v>
      </c>
      <c r="L94" s="746">
        <f t="shared" ref="L94:L101" si="33">D$15</f>
        <v>457.01</v>
      </c>
      <c r="M94" s="747">
        <f t="shared" ref="M94:M101" si="34">D$14</f>
        <v>476.04</v>
      </c>
      <c r="N94" s="748">
        <f>+ROUND(J94*K94*M$16,2)</f>
        <v>4.72</v>
      </c>
      <c r="O94" s="744">
        <f t="shared" ref="O94:O100" si="35">+ROUND(J94*K94*L94*M$16/M94,2)</f>
        <v>4.53</v>
      </c>
      <c r="Q94" s="960">
        <v>233495.61</v>
      </c>
      <c r="R94" s="983">
        <f>+J94+Q94</f>
        <v>233495.83</v>
      </c>
      <c r="S94" s="984">
        <f t="shared" ref="S94:S101" si="36">+H94-R94</f>
        <v>-233487.83</v>
      </c>
      <c r="T94" s="710"/>
      <c r="U94" s="985">
        <f t="shared" ref="U94:U101" si="37">+ROUND(Q94*$K94*$L94/$M94,2)</f>
        <v>4806022.03</v>
      </c>
      <c r="V94" s="986">
        <f t="shared" ref="V94:V101" si="38">+ROUND(R94*$K94*$L94/$M94,2)</f>
        <v>4806026.5599999996</v>
      </c>
      <c r="W94" s="987"/>
    </row>
    <row r="95" spans="2:23" ht="11.25" customHeight="1">
      <c r="B95" s="796" t="s">
        <v>1188</v>
      </c>
      <c r="C95" s="1023" t="s">
        <v>1778</v>
      </c>
      <c r="D95" s="738" t="s">
        <v>434</v>
      </c>
      <c r="E95" s="739">
        <v>1</v>
      </c>
      <c r="F95" s="740">
        <v>0.94920000000000004</v>
      </c>
      <c r="G95" s="797">
        <v>297.5</v>
      </c>
      <c r="H95" s="742">
        <f t="shared" si="31"/>
        <v>282.39</v>
      </c>
      <c r="I95" s="743">
        <f>LOOKUP(B95,valoriz!$A$13:$A$242,valoriz!I$13:I$242)</f>
        <v>0</v>
      </c>
      <c r="J95" s="744">
        <f t="shared" si="32"/>
        <v>0</v>
      </c>
      <c r="K95" s="745">
        <f t="shared" ref="K95:K101" si="39">+K94</f>
        <v>21.44</v>
      </c>
      <c r="L95" s="746">
        <f t="shared" si="33"/>
        <v>457.01</v>
      </c>
      <c r="M95" s="747">
        <f t="shared" si="34"/>
        <v>476.04</v>
      </c>
      <c r="N95" s="748">
        <f t="shared" ref="N95:N101" si="40">+ROUND(J95*K95*M$16,2)</f>
        <v>0</v>
      </c>
      <c r="O95" s="744">
        <f t="shared" si="35"/>
        <v>0</v>
      </c>
      <c r="Q95" s="960">
        <v>1443.75</v>
      </c>
      <c r="R95" s="983">
        <f t="shared" ref="R95:R101" si="41">+J95+Q95</f>
        <v>1443.75</v>
      </c>
      <c r="S95" s="984">
        <f t="shared" si="36"/>
        <v>-1161.3600000000001</v>
      </c>
      <c r="T95" s="710"/>
      <c r="U95" s="985">
        <f t="shared" si="37"/>
        <v>29716.59</v>
      </c>
      <c r="V95" s="986">
        <f t="shared" si="38"/>
        <v>29716.59</v>
      </c>
      <c r="W95" s="987"/>
    </row>
    <row r="96" spans="2:23" ht="11.25" customHeight="1">
      <c r="B96" s="796" t="s">
        <v>1189</v>
      </c>
      <c r="C96" s="1023" t="s">
        <v>1779</v>
      </c>
      <c r="D96" s="738" t="s">
        <v>434</v>
      </c>
      <c r="E96" s="739">
        <v>1</v>
      </c>
      <c r="F96" s="740">
        <v>0.94920000000000004</v>
      </c>
      <c r="G96" s="797">
        <v>70</v>
      </c>
      <c r="H96" s="742">
        <f t="shared" si="31"/>
        <v>66.44</v>
      </c>
      <c r="I96" s="743">
        <f>LOOKUP(B96,valoriz!$A$13:$A$242,valoriz!I$13:I$242)</f>
        <v>0</v>
      </c>
      <c r="J96" s="744">
        <f t="shared" si="32"/>
        <v>0</v>
      </c>
      <c r="K96" s="745">
        <f t="shared" si="39"/>
        <v>21.44</v>
      </c>
      <c r="L96" s="746">
        <f t="shared" si="33"/>
        <v>457.01</v>
      </c>
      <c r="M96" s="747">
        <f t="shared" si="34"/>
        <v>476.04</v>
      </c>
      <c r="N96" s="748">
        <f t="shared" si="40"/>
        <v>0</v>
      </c>
      <c r="O96" s="744">
        <f t="shared" si="35"/>
        <v>0</v>
      </c>
      <c r="Q96" s="960">
        <v>0</v>
      </c>
      <c r="R96" s="983">
        <f t="shared" si="41"/>
        <v>0</v>
      </c>
      <c r="S96" s="984">
        <f t="shared" si="36"/>
        <v>66.44</v>
      </c>
      <c r="T96" s="710"/>
      <c r="U96" s="985">
        <f t="shared" si="37"/>
        <v>0</v>
      </c>
      <c r="V96" s="986">
        <f t="shared" si="38"/>
        <v>0</v>
      </c>
      <c r="W96" s="987"/>
    </row>
    <row r="97" spans="2:23" ht="11.25" customHeight="1">
      <c r="B97" s="796" t="s">
        <v>1198</v>
      </c>
      <c r="C97" s="1023" t="s">
        <v>1766</v>
      </c>
      <c r="D97" s="738" t="s">
        <v>434</v>
      </c>
      <c r="E97" s="739">
        <v>1</v>
      </c>
      <c r="F97" s="740">
        <v>0.94920000000000004</v>
      </c>
      <c r="G97" s="797">
        <v>1763.12</v>
      </c>
      <c r="H97" s="742">
        <f t="shared" si="31"/>
        <v>1673.55</v>
      </c>
      <c r="I97" s="1215">
        <f>LOOKUP(B97,valoriz!$A$13:$A$242,valoriz!I$13:I$242)</f>
        <v>0</v>
      </c>
      <c r="J97" s="744">
        <f t="shared" si="32"/>
        <v>0</v>
      </c>
      <c r="K97" s="745">
        <f t="shared" si="39"/>
        <v>21.44</v>
      </c>
      <c r="L97" s="746">
        <f>D$15</f>
        <v>457.01</v>
      </c>
      <c r="M97" s="747">
        <f>D$14</f>
        <v>476.04</v>
      </c>
      <c r="N97" s="748">
        <f>+ROUND(J97*K97*M$16,2)</f>
        <v>0</v>
      </c>
      <c r="O97" s="744">
        <f>+ROUND(J97*K97*L97*M$16/M97,2)</f>
        <v>0</v>
      </c>
      <c r="Q97" s="960">
        <v>0</v>
      </c>
      <c r="R97" s="983">
        <f>+J97+Q97</f>
        <v>0</v>
      </c>
      <c r="S97" s="984">
        <f>+H97-R97</f>
        <v>1673.55</v>
      </c>
      <c r="T97" s="710"/>
      <c r="U97" s="985">
        <f>+ROUND(Q97*$K97*$L97/$M97,2)</f>
        <v>0</v>
      </c>
      <c r="V97" s="986">
        <f>+ROUND(R97*$K97*$L97/$M97,2)</f>
        <v>0</v>
      </c>
      <c r="W97" s="987"/>
    </row>
    <row r="98" spans="2:23" ht="11.25" customHeight="1">
      <c r="B98" s="796" t="s">
        <v>1204</v>
      </c>
      <c r="C98" s="1023" t="s">
        <v>1766</v>
      </c>
      <c r="D98" s="738" t="s">
        <v>434</v>
      </c>
      <c r="E98" s="739">
        <v>1</v>
      </c>
      <c r="F98" s="740">
        <v>0.94920000000000004</v>
      </c>
      <c r="G98" s="797">
        <v>735.24</v>
      </c>
      <c r="H98" s="742">
        <f t="shared" si="31"/>
        <v>697.89</v>
      </c>
      <c r="I98" s="1215">
        <f>LOOKUP(B98,valoriz!$A$13:$A$242,valoriz!I$13:I$242)</f>
        <v>0</v>
      </c>
      <c r="J98" s="744">
        <f t="shared" si="32"/>
        <v>0</v>
      </c>
      <c r="K98" s="745">
        <f t="shared" si="39"/>
        <v>21.44</v>
      </c>
      <c r="L98" s="746">
        <f t="shared" si="33"/>
        <v>457.01</v>
      </c>
      <c r="M98" s="747">
        <f t="shared" si="34"/>
        <v>476.04</v>
      </c>
      <c r="N98" s="748">
        <f t="shared" si="40"/>
        <v>0</v>
      </c>
      <c r="O98" s="744">
        <f t="shared" si="35"/>
        <v>0</v>
      </c>
      <c r="Q98" s="960">
        <v>0</v>
      </c>
      <c r="R98" s="983">
        <f t="shared" si="41"/>
        <v>0</v>
      </c>
      <c r="S98" s="984">
        <f t="shared" si="36"/>
        <v>697.89</v>
      </c>
      <c r="T98" s="710"/>
      <c r="U98" s="985">
        <f t="shared" si="37"/>
        <v>0</v>
      </c>
      <c r="V98" s="986">
        <f t="shared" si="38"/>
        <v>0</v>
      </c>
      <c r="W98" s="987"/>
    </row>
    <row r="99" spans="2:23" ht="11.25" customHeight="1">
      <c r="B99" s="796" t="s">
        <v>1210</v>
      </c>
      <c r="C99" s="1023" t="s">
        <v>1766</v>
      </c>
      <c r="D99" s="738" t="s">
        <v>434</v>
      </c>
      <c r="E99" s="739">
        <v>1</v>
      </c>
      <c r="F99" s="740">
        <v>0.94920000000000004</v>
      </c>
      <c r="G99" s="797">
        <v>1837.93</v>
      </c>
      <c r="H99" s="742">
        <f t="shared" si="31"/>
        <v>1744.56</v>
      </c>
      <c r="I99" s="1215">
        <f>LOOKUP(B99,valoriz!$A$13:$A$242,valoriz!I$13:I$242)</f>
        <v>0</v>
      </c>
      <c r="J99" s="744">
        <f t="shared" si="32"/>
        <v>0</v>
      </c>
      <c r="K99" s="745">
        <f t="shared" si="39"/>
        <v>21.44</v>
      </c>
      <c r="L99" s="746">
        <f t="shared" si="33"/>
        <v>457.01</v>
      </c>
      <c r="M99" s="747">
        <f t="shared" si="34"/>
        <v>476.04</v>
      </c>
      <c r="N99" s="748">
        <f t="shared" si="40"/>
        <v>0</v>
      </c>
      <c r="O99" s="744">
        <f t="shared" si="35"/>
        <v>0</v>
      </c>
      <c r="Q99" s="960">
        <v>107.1</v>
      </c>
      <c r="R99" s="983">
        <f t="shared" si="41"/>
        <v>107.1</v>
      </c>
      <c r="S99" s="984">
        <f t="shared" si="36"/>
        <v>1637.46</v>
      </c>
      <c r="T99" s="710"/>
      <c r="U99" s="985">
        <f t="shared" si="37"/>
        <v>2204.4299999999998</v>
      </c>
      <c r="V99" s="986">
        <f t="shared" si="38"/>
        <v>2204.4299999999998</v>
      </c>
      <c r="W99" s="987"/>
    </row>
    <row r="100" spans="2:23" ht="11.25" customHeight="1">
      <c r="B100" s="796" t="s">
        <v>1216</v>
      </c>
      <c r="C100" s="1023" t="s">
        <v>1766</v>
      </c>
      <c r="D100" s="738" t="s">
        <v>434</v>
      </c>
      <c r="E100" s="739">
        <v>1</v>
      </c>
      <c r="F100" s="740">
        <v>0.94920000000000004</v>
      </c>
      <c r="G100" s="797">
        <v>619.45000000000005</v>
      </c>
      <c r="H100" s="742">
        <f t="shared" si="31"/>
        <v>587.98</v>
      </c>
      <c r="I100" s="743">
        <f>LOOKUP(B100,valoriz!$A$13:$A$242,valoriz!I$13:I$242)</f>
        <v>0</v>
      </c>
      <c r="J100" s="744">
        <f t="shared" si="32"/>
        <v>0</v>
      </c>
      <c r="K100" s="745">
        <f t="shared" si="39"/>
        <v>21.44</v>
      </c>
      <c r="L100" s="746">
        <f t="shared" si="33"/>
        <v>457.01</v>
      </c>
      <c r="M100" s="747">
        <f t="shared" si="34"/>
        <v>476.04</v>
      </c>
      <c r="N100" s="748">
        <f t="shared" si="40"/>
        <v>0</v>
      </c>
      <c r="O100" s="744">
        <f t="shared" si="35"/>
        <v>0</v>
      </c>
      <c r="Q100" s="960">
        <v>1268.44</v>
      </c>
      <c r="R100" s="983">
        <f t="shared" si="41"/>
        <v>1268.44</v>
      </c>
      <c r="S100" s="984">
        <f t="shared" si="36"/>
        <v>-680.46</v>
      </c>
      <c r="T100" s="710"/>
      <c r="U100" s="985">
        <f t="shared" si="37"/>
        <v>26108.2</v>
      </c>
      <c r="V100" s="986">
        <f t="shared" si="38"/>
        <v>26108.2</v>
      </c>
      <c r="W100" s="987"/>
    </row>
    <row r="101" spans="2:23" ht="11.25" customHeight="1">
      <c r="B101" s="796" t="s">
        <v>1222</v>
      </c>
      <c r="C101" s="1023" t="s">
        <v>1770</v>
      </c>
      <c r="D101" s="738" t="s">
        <v>432</v>
      </c>
      <c r="E101" s="739">
        <v>1</v>
      </c>
      <c r="F101" s="740">
        <v>3.5</v>
      </c>
      <c r="G101" s="797">
        <v>3252.54</v>
      </c>
      <c r="H101" s="742">
        <f t="shared" si="31"/>
        <v>11383.89</v>
      </c>
      <c r="I101" s="1215">
        <f>LOOKUP(B101,valoriz!$A$13:$A$242,valoriz!I$13:I$242)</f>
        <v>0</v>
      </c>
      <c r="J101" s="744">
        <f t="shared" si="32"/>
        <v>0</v>
      </c>
      <c r="K101" s="745">
        <f t="shared" si="39"/>
        <v>21.44</v>
      </c>
      <c r="L101" s="746">
        <f t="shared" si="33"/>
        <v>457.01</v>
      </c>
      <c r="M101" s="747">
        <f t="shared" si="34"/>
        <v>476.04</v>
      </c>
      <c r="N101" s="748">
        <f t="shared" si="40"/>
        <v>0</v>
      </c>
      <c r="O101" s="744">
        <f>+ROUND(J101*K101*L101*M$16/M101,2)</f>
        <v>0</v>
      </c>
      <c r="Q101" s="960">
        <v>749.7</v>
      </c>
      <c r="R101" s="983">
        <f t="shared" si="41"/>
        <v>749.7</v>
      </c>
      <c r="S101" s="984">
        <f t="shared" si="36"/>
        <v>10634.189999999999</v>
      </c>
      <c r="T101" s="710"/>
      <c r="U101" s="985">
        <f t="shared" si="37"/>
        <v>15431.02</v>
      </c>
      <c r="V101" s="986">
        <f t="shared" si="38"/>
        <v>15431.02</v>
      </c>
      <c r="W101" s="987"/>
    </row>
    <row r="102" spans="2:23" ht="11.25" customHeight="1" thickBot="1">
      <c r="B102" s="762"/>
      <c r="C102" s="1024"/>
      <c r="D102" s="764"/>
      <c r="E102" s="765"/>
      <c r="F102" s="766"/>
      <c r="G102" s="799"/>
      <c r="H102" s="800"/>
      <c r="I102" s="767"/>
      <c r="J102" s="769"/>
      <c r="K102" s="770"/>
      <c r="L102" s="771"/>
      <c r="M102" s="772"/>
      <c r="N102" s="773"/>
      <c r="O102" s="769"/>
      <c r="Q102" s="968"/>
      <c r="R102" s="988"/>
      <c r="S102" s="989"/>
      <c r="T102" s="710"/>
      <c r="U102" s="968"/>
      <c r="V102" s="988"/>
      <c r="W102" s="989"/>
    </row>
    <row r="103" spans="2:23" ht="11.25" customHeight="1">
      <c r="B103" s="775"/>
      <c r="C103" s="776"/>
      <c r="D103" s="777"/>
      <c r="E103" s="777"/>
      <c r="F103" s="778"/>
      <c r="G103" s="779"/>
      <c r="H103" s="780">
        <f>SUM(H94:H102)</f>
        <v>16444.699999999997</v>
      </c>
      <c r="I103" s="779"/>
      <c r="J103" s="780">
        <f>SUM(J94:J102)</f>
        <v>0.22</v>
      </c>
      <c r="K103" s="781"/>
      <c r="L103" s="777"/>
      <c r="M103" s="946" t="s">
        <v>171</v>
      </c>
      <c r="N103" s="782">
        <f>SUM(N94:N102)</f>
        <v>4.72</v>
      </c>
      <c r="O103" s="783">
        <f>SUM(O94:O102)</f>
        <v>4.53</v>
      </c>
      <c r="Q103" s="1051">
        <f>SUM(Q94:Q102)</f>
        <v>237064.6</v>
      </c>
      <c r="R103" s="1051">
        <f>SUM(R94:R102)</f>
        <v>237064.82</v>
      </c>
      <c r="S103" s="1052">
        <f>SUM(S94:S102)</f>
        <v>-220620.11999999997</v>
      </c>
      <c r="T103" s="964">
        <f>+U104-U103</f>
        <v>-4518177.3</v>
      </c>
      <c r="U103" s="1076">
        <f>SUM(U93:U102)</f>
        <v>4879393.5599999996</v>
      </c>
      <c r="V103" s="1077">
        <f>SUM(V93:V102)</f>
        <v>4879398.0899999989</v>
      </c>
      <c r="W103" s="1078">
        <f>+W93-V104</f>
        <v>-4181105.27</v>
      </c>
    </row>
    <row r="104" spans="2:23" ht="11.25" customHeight="1">
      <c r="B104" s="784"/>
      <c r="C104" s="785"/>
      <c r="G104" s="786"/>
      <c r="H104" s="787" t="s">
        <v>214</v>
      </c>
      <c r="I104" s="788"/>
      <c r="J104" s="789">
        <v>16085.09</v>
      </c>
      <c r="K104" s="751"/>
      <c r="Q104" s="710"/>
      <c r="R104" s="710"/>
      <c r="S104" s="710"/>
      <c r="T104" s="710"/>
      <c r="U104" s="710">
        <v>361216.26</v>
      </c>
      <c r="V104" s="964">
        <f>+O103+U103</f>
        <v>4879398.09</v>
      </c>
      <c r="W104" s="710"/>
    </row>
    <row r="105" spans="2:23" ht="11.25" customHeight="1">
      <c r="B105" s="784"/>
      <c r="C105" s="785"/>
      <c r="K105" s="751"/>
    </row>
    <row r="106" spans="2:23" ht="11.25" customHeight="1">
      <c r="B106" s="1714" t="s">
        <v>198</v>
      </c>
      <c r="C106" s="1714" t="s">
        <v>199</v>
      </c>
      <c r="D106" s="1716" t="s">
        <v>601</v>
      </c>
      <c r="E106" s="1712" t="s">
        <v>200</v>
      </c>
      <c r="F106" s="1713"/>
      <c r="G106" s="1712" t="s">
        <v>201</v>
      </c>
      <c r="H106" s="1713"/>
      <c r="I106" s="1678" t="s">
        <v>202</v>
      </c>
      <c r="J106" s="1680"/>
      <c r="K106" s="1685" t="s">
        <v>203</v>
      </c>
      <c r="L106" s="1678" t="s">
        <v>204</v>
      </c>
      <c r="M106" s="1680"/>
      <c r="N106" s="1678" t="s">
        <v>423</v>
      </c>
      <c r="O106" s="1680"/>
      <c r="Q106" s="1695" t="s">
        <v>205</v>
      </c>
      <c r="R106" s="1696"/>
      <c r="S106" s="1697"/>
      <c r="T106" s="710"/>
      <c r="U106" s="1695" t="s">
        <v>331</v>
      </c>
      <c r="V106" s="1696"/>
      <c r="W106" s="1697"/>
    </row>
    <row r="107" spans="2:23" ht="21.75" customHeight="1">
      <c r="B107" s="1715"/>
      <c r="C107" s="1715"/>
      <c r="D107" s="1717"/>
      <c r="E107" s="1011" t="s">
        <v>206</v>
      </c>
      <c r="F107" s="1012" t="s">
        <v>207</v>
      </c>
      <c r="G107" s="1011" t="s">
        <v>452</v>
      </c>
      <c r="H107" s="1012" t="s">
        <v>208</v>
      </c>
      <c r="I107" s="717" t="s">
        <v>452</v>
      </c>
      <c r="J107" s="718" t="s">
        <v>208</v>
      </c>
      <c r="K107" s="1686"/>
      <c r="L107" s="717" t="s">
        <v>467</v>
      </c>
      <c r="M107" s="718" t="s">
        <v>468</v>
      </c>
      <c r="N107" s="717" t="s">
        <v>209</v>
      </c>
      <c r="O107" s="718" t="s">
        <v>210</v>
      </c>
      <c r="Q107" s="954" t="s">
        <v>211</v>
      </c>
      <c r="R107" s="978" t="s">
        <v>394</v>
      </c>
      <c r="S107" s="979" t="s">
        <v>451</v>
      </c>
      <c r="T107" s="710"/>
      <c r="U107" s="954" t="s">
        <v>211</v>
      </c>
      <c r="V107" s="978" t="s">
        <v>394</v>
      </c>
      <c r="W107" s="979" t="s">
        <v>451</v>
      </c>
    </row>
    <row r="108" spans="2:23" ht="11.25" customHeight="1">
      <c r="B108" s="722" t="s">
        <v>183</v>
      </c>
      <c r="C108" s="728"/>
      <c r="D108" s="724"/>
      <c r="E108" s="730"/>
      <c r="G108" s="726"/>
      <c r="H108" s="727"/>
      <c r="I108" s="726"/>
      <c r="J108" s="728"/>
      <c r="K108" s="729"/>
      <c r="L108" s="724"/>
      <c r="M108" s="725"/>
      <c r="N108" s="730"/>
      <c r="O108" s="728"/>
      <c r="Q108" s="957"/>
      <c r="R108" s="980"/>
      <c r="S108" s="981"/>
      <c r="T108" s="710"/>
      <c r="U108" s="957"/>
      <c r="V108" s="980"/>
      <c r="W108" s="981"/>
    </row>
    <row r="109" spans="2:23" ht="11.25" customHeight="1">
      <c r="B109" s="722" t="s">
        <v>212</v>
      </c>
      <c r="C109" s="733" t="s">
        <v>1292</v>
      </c>
      <c r="D109" s="724"/>
      <c r="E109" s="730"/>
      <c r="F109" s="802"/>
      <c r="G109" s="726"/>
      <c r="H109" s="727"/>
      <c r="I109" s="726"/>
      <c r="J109" s="727"/>
      <c r="K109" s="729"/>
      <c r="L109" s="724"/>
      <c r="M109" s="725"/>
      <c r="N109" s="730"/>
      <c r="O109" s="728"/>
      <c r="Q109" s="960"/>
      <c r="R109" s="982"/>
      <c r="S109" s="981"/>
      <c r="T109" s="710"/>
      <c r="U109" s="960">
        <v>-88.71</v>
      </c>
      <c r="V109" s="982">
        <f>+U109</f>
        <v>-88.71</v>
      </c>
      <c r="W109" s="981">
        <v>698292.82</v>
      </c>
    </row>
    <row r="110" spans="2:23" ht="11.25" customHeight="1">
      <c r="B110" s="796" t="s">
        <v>1245</v>
      </c>
      <c r="C110" s="1023" t="s">
        <v>1798</v>
      </c>
      <c r="D110" s="738" t="s">
        <v>433</v>
      </c>
      <c r="E110" s="739">
        <v>1</v>
      </c>
      <c r="F110" s="740">
        <v>1</v>
      </c>
      <c r="G110" s="797">
        <v>34</v>
      </c>
      <c r="H110" s="742">
        <f>+ROUND(E110*F110*G110,2)</f>
        <v>34</v>
      </c>
      <c r="I110" s="743">
        <f>LOOKUP(B110,valoriz!$A$13:$A$242,valoriz!I$13:I$242)</f>
        <v>0</v>
      </c>
      <c r="J110" s="744">
        <f>+ROUND(E110*F110*I110,2)</f>
        <v>0</v>
      </c>
      <c r="K110" s="745">
        <v>7823.25</v>
      </c>
      <c r="L110" s="746">
        <f>D$15</f>
        <v>457.01</v>
      </c>
      <c r="M110" s="747">
        <f>D$14</f>
        <v>476.04</v>
      </c>
      <c r="N110" s="748">
        <f>+ROUND(J110*K110*M$16,2)</f>
        <v>0</v>
      </c>
      <c r="O110" s="744">
        <f>+ROUND(J110*K110*L110*M$16/M110,2)</f>
        <v>0</v>
      </c>
      <c r="Q110" s="960">
        <v>233495.61</v>
      </c>
      <c r="R110" s="983">
        <f>+J110+Q110</f>
        <v>233495.61</v>
      </c>
      <c r="S110" s="984">
        <f>+H110-R110</f>
        <v>-233461.61</v>
      </c>
      <c r="T110" s="710"/>
      <c r="U110" s="985">
        <f>+ROUND(Q110*$K110*$L110/$M110,2)</f>
        <v>1753671262.04</v>
      </c>
      <c r="V110" s="986">
        <f>+ROUND(R110*$K110*$L110/$M110,2)</f>
        <v>1753671262.04</v>
      </c>
      <c r="W110" s="987"/>
    </row>
    <row r="111" spans="2:23" ht="11.25" customHeight="1" thickBot="1">
      <c r="B111" s="762"/>
      <c r="C111" s="1024"/>
      <c r="D111" s="764"/>
      <c r="E111" s="765"/>
      <c r="F111" s="766"/>
      <c r="G111" s="799"/>
      <c r="H111" s="800"/>
      <c r="I111" s="767"/>
      <c r="J111" s="769"/>
      <c r="K111" s="770"/>
      <c r="L111" s="771"/>
      <c r="M111" s="772"/>
      <c r="N111" s="773"/>
      <c r="O111" s="769"/>
      <c r="Q111" s="968"/>
      <c r="R111" s="988"/>
      <c r="S111" s="989"/>
      <c r="T111" s="710"/>
      <c r="U111" s="968"/>
      <c r="V111" s="988"/>
      <c r="W111" s="989"/>
    </row>
    <row r="112" spans="2:23" ht="11.25" customHeight="1">
      <c r="B112" s="775"/>
      <c r="C112" s="776"/>
      <c r="D112" s="777"/>
      <c r="E112" s="777"/>
      <c r="F112" s="778"/>
      <c r="G112" s="779"/>
      <c r="H112" s="780">
        <f>SUM(H110:H111)</f>
        <v>34</v>
      </c>
      <c r="I112" s="779"/>
      <c r="J112" s="780">
        <f>SUM(J110:J111)</f>
        <v>0</v>
      </c>
      <c r="K112" s="781"/>
      <c r="L112" s="777"/>
      <c r="M112" s="946" t="s">
        <v>171</v>
      </c>
      <c r="N112" s="782">
        <f>SUM(N110:N111)</f>
        <v>0</v>
      </c>
      <c r="O112" s="783">
        <f>SUM(O110:O111)</f>
        <v>0</v>
      </c>
      <c r="Q112" s="1051">
        <f>SUM(Q110:Q111)</f>
        <v>233495.61</v>
      </c>
      <c r="R112" s="1051">
        <f>SUM(R110:R111)</f>
        <v>233495.61</v>
      </c>
      <c r="S112" s="1052">
        <f>SUM(S110:S111)</f>
        <v>-233461.61</v>
      </c>
      <c r="T112" s="964">
        <f>+U113-U112</f>
        <v>-1753309957.0699999</v>
      </c>
      <c r="U112" s="1076">
        <f>SUM(U109:U111)</f>
        <v>1753671173.3299999</v>
      </c>
      <c r="V112" s="1077">
        <f>SUM(V109:V111)</f>
        <v>1753671173.3299999</v>
      </c>
      <c r="W112" s="1078">
        <f>+W109-V113</f>
        <v>-1752972880.51</v>
      </c>
    </row>
    <row r="113" spans="2:23" ht="11.25" customHeight="1">
      <c r="B113" s="784"/>
      <c r="C113" s="785"/>
      <c r="G113" s="786"/>
      <c r="H113" s="787" t="s">
        <v>214</v>
      </c>
      <c r="I113" s="788"/>
      <c r="J113" s="789">
        <v>34</v>
      </c>
      <c r="K113" s="751"/>
      <c r="Q113" s="710"/>
      <c r="R113" s="710"/>
      <c r="S113" s="710"/>
      <c r="T113" s="710"/>
      <c r="U113" s="710">
        <v>361216.26</v>
      </c>
      <c r="V113" s="964">
        <f>+O112+U112</f>
        <v>1753671173.3299999</v>
      </c>
      <c r="W113" s="710"/>
    </row>
    <row r="114" spans="2:23" ht="11.25" customHeight="1">
      <c r="B114" s="784"/>
      <c r="C114" s="785"/>
      <c r="K114" s="751"/>
    </row>
    <row r="115" spans="2:23" ht="11.25" customHeight="1">
      <c r="B115" s="1714" t="s">
        <v>198</v>
      </c>
      <c r="C115" s="1714" t="s">
        <v>199</v>
      </c>
      <c r="D115" s="1716" t="s">
        <v>601</v>
      </c>
      <c r="E115" s="1712" t="s">
        <v>200</v>
      </c>
      <c r="F115" s="1713"/>
      <c r="G115" s="1712" t="s">
        <v>201</v>
      </c>
      <c r="H115" s="1713"/>
      <c r="I115" s="1678" t="s">
        <v>202</v>
      </c>
      <c r="J115" s="1680"/>
      <c r="K115" s="1685" t="s">
        <v>203</v>
      </c>
      <c r="L115" s="1678" t="s">
        <v>204</v>
      </c>
      <c r="M115" s="1680"/>
      <c r="N115" s="1678" t="s">
        <v>423</v>
      </c>
      <c r="O115" s="1680"/>
      <c r="Q115" s="1695" t="s">
        <v>205</v>
      </c>
      <c r="R115" s="1696"/>
      <c r="S115" s="1697"/>
      <c r="T115" s="710"/>
      <c r="U115" s="1695" t="s">
        <v>331</v>
      </c>
      <c r="V115" s="1696"/>
      <c r="W115" s="1697"/>
    </row>
    <row r="116" spans="2:23" ht="21.75" customHeight="1">
      <c r="B116" s="1715"/>
      <c r="C116" s="1715"/>
      <c r="D116" s="1717"/>
      <c r="E116" s="1011" t="s">
        <v>206</v>
      </c>
      <c r="F116" s="1012" t="s">
        <v>207</v>
      </c>
      <c r="G116" s="1011" t="s">
        <v>452</v>
      </c>
      <c r="H116" s="1012" t="s">
        <v>208</v>
      </c>
      <c r="I116" s="717" t="s">
        <v>452</v>
      </c>
      <c r="J116" s="718" t="s">
        <v>208</v>
      </c>
      <c r="K116" s="1686"/>
      <c r="L116" s="717" t="s">
        <v>467</v>
      </c>
      <c r="M116" s="718" t="s">
        <v>468</v>
      </c>
      <c r="N116" s="717" t="s">
        <v>209</v>
      </c>
      <c r="O116" s="718" t="s">
        <v>210</v>
      </c>
      <c r="Q116" s="954" t="s">
        <v>211</v>
      </c>
      <c r="R116" s="978" t="s">
        <v>394</v>
      </c>
      <c r="S116" s="979" t="s">
        <v>451</v>
      </c>
      <c r="T116" s="710"/>
      <c r="U116" s="954" t="s">
        <v>211</v>
      </c>
      <c r="V116" s="978" t="s">
        <v>394</v>
      </c>
      <c r="W116" s="979" t="s">
        <v>451</v>
      </c>
    </row>
    <row r="117" spans="2:23" ht="11.25" customHeight="1">
      <c r="B117" s="722" t="s">
        <v>183</v>
      </c>
      <c r="C117" s="728"/>
      <c r="D117" s="724"/>
      <c r="E117" s="730"/>
      <c r="G117" s="726"/>
      <c r="H117" s="727"/>
      <c r="I117" s="726"/>
      <c r="J117" s="728"/>
      <c r="K117" s="729"/>
      <c r="L117" s="724"/>
      <c r="M117" s="725"/>
      <c r="N117" s="730"/>
      <c r="O117" s="728"/>
      <c r="Q117" s="957"/>
      <c r="R117" s="980"/>
      <c r="S117" s="981"/>
      <c r="T117" s="710"/>
      <c r="U117" s="957"/>
      <c r="V117" s="980"/>
      <c r="W117" s="981"/>
    </row>
    <row r="118" spans="2:23" ht="11.25" customHeight="1">
      <c r="B118" s="722" t="s">
        <v>212</v>
      </c>
      <c r="C118" s="733" t="s">
        <v>1293</v>
      </c>
      <c r="D118" s="724"/>
      <c r="E118" s="730"/>
      <c r="F118" s="802"/>
      <c r="G118" s="726"/>
      <c r="H118" s="727"/>
      <c r="I118" s="726"/>
      <c r="J118" s="727"/>
      <c r="K118" s="729"/>
      <c r="L118" s="724"/>
      <c r="M118" s="725"/>
      <c r="N118" s="730"/>
      <c r="O118" s="728"/>
      <c r="Q118" s="960"/>
      <c r="R118" s="982"/>
      <c r="S118" s="981"/>
      <c r="T118" s="710"/>
      <c r="U118" s="960">
        <v>-88.71</v>
      </c>
      <c r="V118" s="982">
        <f>+U118</f>
        <v>-88.71</v>
      </c>
      <c r="W118" s="981">
        <v>698292.82</v>
      </c>
    </row>
    <row r="119" spans="2:23" ht="11.25" customHeight="1">
      <c r="B119" s="796" t="s">
        <v>724</v>
      </c>
      <c r="C119" s="1023" t="s">
        <v>1799</v>
      </c>
      <c r="D119" s="738" t="s">
        <v>433</v>
      </c>
      <c r="E119" s="739">
        <v>1</v>
      </c>
      <c r="F119" s="740">
        <v>3</v>
      </c>
      <c r="G119" s="797">
        <v>431</v>
      </c>
      <c r="H119" s="742">
        <f>+ROUND(E119*F119*G119,2)</f>
        <v>1293</v>
      </c>
      <c r="I119" s="743">
        <f>LOOKUP(B119,valoriz!$A$13:$A$242,valoriz!I$13:I$242)</f>
        <v>1635.7399999999998</v>
      </c>
      <c r="J119" s="744">
        <f>+ROUND(E119*F119*I119,2)</f>
        <v>4907.22</v>
      </c>
      <c r="K119" s="745">
        <v>155.05000000000001</v>
      </c>
      <c r="L119" s="746">
        <f>D$15</f>
        <v>457.01</v>
      </c>
      <c r="M119" s="747">
        <f>D$14</f>
        <v>476.04</v>
      </c>
      <c r="N119" s="748">
        <f>+ROUND(J119*K119*M$16,2)</f>
        <v>760864.46</v>
      </c>
      <c r="O119" s="744">
        <f>+ROUND(J119*K119*L119*M$16/M119,2)</f>
        <v>730448.42</v>
      </c>
      <c r="Q119" s="960">
        <v>233495.61</v>
      </c>
      <c r="R119" s="983">
        <f>+J119+Q119</f>
        <v>238402.83</v>
      </c>
      <c r="S119" s="984">
        <f>+H119-R119</f>
        <v>-237109.83</v>
      </c>
      <c r="T119" s="710"/>
      <c r="U119" s="985">
        <f t="shared" ref="U119:V121" si="42">+ROUND(Q119*$K119*$L119/$M119,2)</f>
        <v>34756236.75</v>
      </c>
      <c r="V119" s="986">
        <f t="shared" si="42"/>
        <v>35486685.18</v>
      </c>
      <c r="W119" s="987"/>
    </row>
    <row r="120" spans="2:23" ht="11.25" customHeight="1">
      <c r="B120" s="796" t="s">
        <v>645</v>
      </c>
      <c r="C120" s="1023" t="s">
        <v>1800</v>
      </c>
      <c r="D120" s="738" t="s">
        <v>433</v>
      </c>
      <c r="E120" s="739">
        <v>1</v>
      </c>
      <c r="F120" s="740">
        <v>3</v>
      </c>
      <c r="G120" s="797">
        <v>55</v>
      </c>
      <c r="H120" s="742">
        <f>+ROUND(E120*F120*G120,2)</f>
        <v>165</v>
      </c>
      <c r="I120" s="743">
        <f>LOOKUP(B120,valoriz!$A$13:$A$242,valoriz!I$13:I$242)</f>
        <v>0</v>
      </c>
      <c r="J120" s="744">
        <f>+ROUND(E120*F120*I120,2)</f>
        <v>0</v>
      </c>
      <c r="K120" s="745">
        <v>155.05000000000001</v>
      </c>
      <c r="L120" s="746">
        <f>D$15</f>
        <v>457.01</v>
      </c>
      <c r="M120" s="747">
        <f>D$14</f>
        <v>476.04</v>
      </c>
      <c r="N120" s="748">
        <f>+ROUND(J120*K120*M$16,2)</f>
        <v>0</v>
      </c>
      <c r="O120" s="744">
        <f>+ROUND(J120*K120*L120*M$16/M120,2)</f>
        <v>0</v>
      </c>
      <c r="Q120" s="960">
        <v>1268.44</v>
      </c>
      <c r="R120" s="983">
        <f>+J120+Q120</f>
        <v>1268.44</v>
      </c>
      <c r="S120" s="984">
        <f>+H120-R120</f>
        <v>-1103.44</v>
      </c>
      <c r="T120" s="710"/>
      <c r="U120" s="985">
        <f t="shared" si="42"/>
        <v>188809.55</v>
      </c>
      <c r="V120" s="986">
        <f t="shared" si="42"/>
        <v>188809.55</v>
      </c>
      <c r="W120" s="987"/>
    </row>
    <row r="121" spans="2:23" ht="11.25" customHeight="1">
      <c r="B121" s="796" t="s">
        <v>1237</v>
      </c>
      <c r="C121" s="1023" t="s">
        <v>1790</v>
      </c>
      <c r="D121" s="738" t="s">
        <v>433</v>
      </c>
      <c r="E121" s="739">
        <v>1</v>
      </c>
      <c r="F121" s="740">
        <v>2</v>
      </c>
      <c r="G121" s="797">
        <v>120.8</v>
      </c>
      <c r="H121" s="742">
        <f>+ROUND(E121*F121*G121,2)</f>
        <v>241.6</v>
      </c>
      <c r="I121" s="743">
        <f>LOOKUP(B121,valoriz!$A$13:$A$242,valoriz!I$13:I$242)</f>
        <v>0</v>
      </c>
      <c r="J121" s="744">
        <f>+ROUND(E121*F121*I121,2)</f>
        <v>0</v>
      </c>
      <c r="K121" s="745">
        <v>155.05000000000001</v>
      </c>
      <c r="L121" s="746">
        <f>D$15</f>
        <v>457.01</v>
      </c>
      <c r="M121" s="747">
        <f>D$14</f>
        <v>476.04</v>
      </c>
      <c r="N121" s="748">
        <f>+ROUND(J121*K121*M$16,2)</f>
        <v>0</v>
      </c>
      <c r="O121" s="744">
        <f>+ROUND(J121*K121*L121*M$16/M121,2)</f>
        <v>0</v>
      </c>
      <c r="Q121" s="960">
        <v>749.7</v>
      </c>
      <c r="R121" s="983">
        <f>+J121+Q121</f>
        <v>749.7</v>
      </c>
      <c r="S121" s="984">
        <f>+H121-R121</f>
        <v>-508.1</v>
      </c>
      <c r="T121" s="710"/>
      <c r="U121" s="985">
        <f t="shared" si="42"/>
        <v>111594.18</v>
      </c>
      <c r="V121" s="986">
        <f t="shared" si="42"/>
        <v>111594.18</v>
      </c>
      <c r="W121" s="987"/>
    </row>
    <row r="122" spans="2:23" ht="11.25" customHeight="1" thickBot="1">
      <c r="B122" s="762"/>
      <c r="C122" s="1024"/>
      <c r="D122" s="764"/>
      <c r="E122" s="765"/>
      <c r="F122" s="766"/>
      <c r="G122" s="799"/>
      <c r="H122" s="800"/>
      <c r="I122" s="767"/>
      <c r="J122" s="769"/>
      <c r="K122" s="770"/>
      <c r="L122" s="771"/>
      <c r="M122" s="772"/>
      <c r="N122" s="773"/>
      <c r="O122" s="769"/>
      <c r="Q122" s="968"/>
      <c r="R122" s="988"/>
      <c r="S122" s="989"/>
      <c r="T122" s="710"/>
      <c r="U122" s="968"/>
      <c r="V122" s="988"/>
      <c r="W122" s="989"/>
    </row>
    <row r="123" spans="2:23" ht="11.25" customHeight="1">
      <c r="B123" s="775"/>
      <c r="C123" s="776"/>
      <c r="D123" s="777"/>
      <c r="E123" s="777"/>
      <c r="F123" s="778"/>
      <c r="G123" s="779"/>
      <c r="H123" s="780">
        <f>SUM(H119:H122)</f>
        <v>1699.6</v>
      </c>
      <c r="I123" s="779"/>
      <c r="J123" s="780">
        <f>SUM(J119:J122)</f>
        <v>4907.22</v>
      </c>
      <c r="K123" s="781"/>
      <c r="L123" s="777"/>
      <c r="M123" s="946" t="s">
        <v>171</v>
      </c>
      <c r="N123" s="782">
        <f>SUM(N119:N122)</f>
        <v>760864.46</v>
      </c>
      <c r="O123" s="783">
        <f>SUM(O119:O122)</f>
        <v>730448.42</v>
      </c>
      <c r="Q123" s="1051">
        <f>SUM(Q119:Q122)</f>
        <v>235513.75</v>
      </c>
      <c r="R123" s="1051">
        <f>SUM(R119:R122)</f>
        <v>240420.97</v>
      </c>
      <c r="S123" s="1052">
        <f>SUM(S119:S122)</f>
        <v>-238721.37</v>
      </c>
      <c r="T123" s="964">
        <f>+U124-U123</f>
        <v>-34695335.509999998</v>
      </c>
      <c r="U123" s="1076">
        <f>SUM(U118:U122)</f>
        <v>35056551.769999996</v>
      </c>
      <c r="V123" s="1077">
        <f>SUM(V118:V122)</f>
        <v>35787000.199999996</v>
      </c>
      <c r="W123" s="1078">
        <f>+W118-V124</f>
        <v>-35088707.369999997</v>
      </c>
    </row>
    <row r="124" spans="2:23" ht="11.25" customHeight="1">
      <c r="B124" s="784"/>
      <c r="C124" s="785"/>
      <c r="G124" s="786"/>
      <c r="H124" s="787" t="s">
        <v>214</v>
      </c>
      <c r="I124" s="788"/>
      <c r="J124" s="789">
        <v>1699.6</v>
      </c>
      <c r="K124" s="751"/>
      <c r="Q124" s="710"/>
      <c r="R124" s="710"/>
      <c r="S124" s="710"/>
      <c r="T124" s="710"/>
      <c r="U124" s="710">
        <v>361216.26</v>
      </c>
      <c r="V124" s="964">
        <f>+O123+U123</f>
        <v>35787000.189999998</v>
      </c>
      <c r="W124" s="710"/>
    </row>
    <row r="125" spans="2:23" ht="11.25" customHeight="1">
      <c r="B125" s="784"/>
      <c r="C125" s="785"/>
      <c r="K125" s="751"/>
    </row>
    <row r="126" spans="2:23" ht="11.25" customHeight="1">
      <c r="B126" s="1714" t="s">
        <v>198</v>
      </c>
      <c r="C126" s="1714" t="s">
        <v>199</v>
      </c>
      <c r="D126" s="1716" t="s">
        <v>601</v>
      </c>
      <c r="E126" s="1712" t="s">
        <v>200</v>
      </c>
      <c r="F126" s="1713"/>
      <c r="G126" s="1712" t="s">
        <v>201</v>
      </c>
      <c r="H126" s="1713"/>
      <c r="I126" s="1678" t="s">
        <v>202</v>
      </c>
      <c r="J126" s="1680"/>
      <c r="K126" s="1685" t="s">
        <v>203</v>
      </c>
      <c r="L126" s="1678" t="s">
        <v>204</v>
      </c>
      <c r="M126" s="1680"/>
      <c r="N126" s="1678" t="s">
        <v>423</v>
      </c>
      <c r="O126" s="1680"/>
      <c r="Q126" s="1695" t="s">
        <v>205</v>
      </c>
      <c r="R126" s="1696"/>
      <c r="S126" s="1697"/>
      <c r="T126" s="710"/>
      <c r="U126" s="1695" t="s">
        <v>331</v>
      </c>
      <c r="V126" s="1696"/>
      <c r="W126" s="1697"/>
    </row>
    <row r="127" spans="2:23" ht="21.75" customHeight="1">
      <c r="B127" s="1715"/>
      <c r="C127" s="1715"/>
      <c r="D127" s="1717"/>
      <c r="E127" s="1011" t="s">
        <v>206</v>
      </c>
      <c r="F127" s="1012" t="s">
        <v>207</v>
      </c>
      <c r="G127" s="1011" t="s">
        <v>452</v>
      </c>
      <c r="H127" s="1012" t="s">
        <v>208</v>
      </c>
      <c r="I127" s="717" t="s">
        <v>452</v>
      </c>
      <c r="J127" s="718" t="s">
        <v>208</v>
      </c>
      <c r="K127" s="1686"/>
      <c r="L127" s="717" t="s">
        <v>467</v>
      </c>
      <c r="M127" s="718" t="s">
        <v>468</v>
      </c>
      <c r="N127" s="717" t="s">
        <v>209</v>
      </c>
      <c r="O127" s="718" t="s">
        <v>210</v>
      </c>
      <c r="Q127" s="954" t="s">
        <v>211</v>
      </c>
      <c r="R127" s="978" t="s">
        <v>394</v>
      </c>
      <c r="S127" s="979" t="s">
        <v>451</v>
      </c>
      <c r="T127" s="710"/>
      <c r="U127" s="954" t="s">
        <v>211</v>
      </c>
      <c r="V127" s="978" t="s">
        <v>394</v>
      </c>
      <c r="W127" s="979" t="s">
        <v>451</v>
      </c>
    </row>
    <row r="128" spans="2:23" ht="11.25" customHeight="1">
      <c r="B128" s="722" t="s">
        <v>183</v>
      </c>
      <c r="C128" s="728"/>
      <c r="D128" s="724"/>
      <c r="E128" s="730"/>
      <c r="G128" s="726"/>
      <c r="H128" s="727"/>
      <c r="I128" s="726"/>
      <c r="J128" s="728"/>
      <c r="K128" s="729"/>
      <c r="L128" s="724"/>
      <c r="M128" s="725"/>
      <c r="N128" s="730"/>
      <c r="O128" s="728"/>
      <c r="Q128" s="957"/>
      <c r="R128" s="980"/>
      <c r="S128" s="981"/>
      <c r="T128" s="710"/>
      <c r="U128" s="957"/>
      <c r="V128" s="980"/>
      <c r="W128" s="981"/>
    </row>
    <row r="129" spans="2:23" ht="11.25" customHeight="1">
      <c r="B129" s="722" t="s">
        <v>212</v>
      </c>
      <c r="C129" s="733" t="s">
        <v>1294</v>
      </c>
      <c r="D129" s="724"/>
      <c r="E129" s="730"/>
      <c r="F129" s="802"/>
      <c r="G129" s="726"/>
      <c r="H129" s="727"/>
      <c r="I129" s="726"/>
      <c r="J129" s="727"/>
      <c r="K129" s="729"/>
      <c r="L129" s="724"/>
      <c r="M129" s="725"/>
      <c r="N129" s="730"/>
      <c r="O129" s="728"/>
      <c r="Q129" s="960"/>
      <c r="R129" s="982"/>
      <c r="S129" s="981"/>
      <c r="T129" s="710"/>
      <c r="U129" s="960">
        <v>-88.71</v>
      </c>
      <c r="V129" s="982">
        <f>+U129</f>
        <v>-88.71</v>
      </c>
      <c r="W129" s="981">
        <v>698292.82</v>
      </c>
    </row>
    <row r="130" spans="2:23" ht="11.25" customHeight="1">
      <c r="B130" s="796" t="s">
        <v>1191</v>
      </c>
      <c r="C130" s="1023" t="s">
        <v>1765</v>
      </c>
      <c r="D130" s="738" t="s">
        <v>432</v>
      </c>
      <c r="E130" s="739">
        <v>1</v>
      </c>
      <c r="F130" s="740">
        <v>0.1</v>
      </c>
      <c r="G130" s="797">
        <v>4.1500000000000004</v>
      </c>
      <c r="H130" s="742">
        <f t="shared" ref="H130:H140" si="43">+ROUND(E130*F130*G130,2)</f>
        <v>0.42</v>
      </c>
      <c r="I130" s="743">
        <f>LOOKUP(B130,valoriz!$A$13:$A$242,valoriz!I$13:I$242)</f>
        <v>0</v>
      </c>
      <c r="J130" s="744">
        <f t="shared" ref="J130:J140" si="44">+ROUND(E130*F130*I130,2)</f>
        <v>0</v>
      </c>
      <c r="K130" s="745">
        <v>3.48</v>
      </c>
      <c r="L130" s="746">
        <f t="shared" ref="L130:L140" si="45">D$15</f>
        <v>457.01</v>
      </c>
      <c r="M130" s="747">
        <f t="shared" ref="M130:M140" si="46">D$14</f>
        <v>476.04</v>
      </c>
      <c r="N130" s="748">
        <f>+ROUND(J130*K130*M$16,2)</f>
        <v>0</v>
      </c>
      <c r="O130" s="744">
        <f t="shared" ref="O130:O140" si="47">+ROUND(J130*K130*L130*M$16/M130,2)</f>
        <v>0</v>
      </c>
      <c r="Q130" s="960">
        <v>233495.61</v>
      </c>
      <c r="R130" s="983">
        <f>+J130+Q130</f>
        <v>233495.61</v>
      </c>
      <c r="S130" s="984">
        <f t="shared" ref="S130:S140" si="48">+H130-R130</f>
        <v>-233495.18999999997</v>
      </c>
      <c r="T130" s="710"/>
      <c r="U130" s="985">
        <f t="shared" ref="U130:U140" si="49">+ROUND(Q130*$K130*$L130/$M130,2)</f>
        <v>780081.93</v>
      </c>
      <c r="V130" s="986">
        <f t="shared" ref="V130:V140" si="50">+ROUND(R130*$K130*$L130/$M130,2)</f>
        <v>780081.93</v>
      </c>
      <c r="W130" s="987"/>
    </row>
    <row r="131" spans="2:23" ht="11.25" customHeight="1">
      <c r="B131" s="796" t="s">
        <v>1196</v>
      </c>
      <c r="C131" s="1023" t="s">
        <v>1796</v>
      </c>
      <c r="D131" s="738" t="s">
        <v>434</v>
      </c>
      <c r="E131" s="739">
        <v>1</v>
      </c>
      <c r="F131" s="740">
        <v>0.25</v>
      </c>
      <c r="G131" s="797">
        <v>10473.77</v>
      </c>
      <c r="H131" s="742">
        <f t="shared" si="43"/>
        <v>2618.44</v>
      </c>
      <c r="I131" s="1215">
        <f>LOOKUP(B131,valoriz!$A$13:$A$242,valoriz!I$13:I$242)</f>
        <v>0</v>
      </c>
      <c r="J131" s="744">
        <f t="shared" si="44"/>
        <v>0</v>
      </c>
      <c r="K131" s="745">
        <f t="shared" ref="K131:K140" si="51">+K130</f>
        <v>3.48</v>
      </c>
      <c r="L131" s="746">
        <f t="shared" si="45"/>
        <v>457.01</v>
      </c>
      <c r="M131" s="747">
        <f t="shared" si="46"/>
        <v>476.04</v>
      </c>
      <c r="N131" s="748">
        <f t="shared" ref="N131:N140" si="52">+ROUND(J131*K131*M$16,2)</f>
        <v>0</v>
      </c>
      <c r="O131" s="744">
        <f t="shared" si="47"/>
        <v>0</v>
      </c>
      <c r="Q131" s="960">
        <v>1443.75</v>
      </c>
      <c r="R131" s="983">
        <f t="shared" ref="R131:R140" si="53">+J131+Q131</f>
        <v>1443.75</v>
      </c>
      <c r="S131" s="984">
        <f t="shared" si="48"/>
        <v>1174.69</v>
      </c>
      <c r="T131" s="710"/>
      <c r="U131" s="985">
        <f t="shared" si="49"/>
        <v>4823.3999999999996</v>
      </c>
      <c r="V131" s="986">
        <f t="shared" si="50"/>
        <v>4823.3999999999996</v>
      </c>
      <c r="W131" s="987"/>
    </row>
    <row r="132" spans="2:23" ht="11.25" customHeight="1">
      <c r="B132" s="796" t="s">
        <v>1197</v>
      </c>
      <c r="C132" s="1023" t="s">
        <v>1791</v>
      </c>
      <c r="D132" s="738" t="s">
        <v>436</v>
      </c>
      <c r="E132" s="739">
        <v>1</v>
      </c>
      <c r="F132" s="740">
        <v>0.05</v>
      </c>
      <c r="G132" s="797">
        <v>97325.36</v>
      </c>
      <c r="H132" s="742">
        <f t="shared" si="43"/>
        <v>4866.2700000000004</v>
      </c>
      <c r="I132" s="1215">
        <f>LOOKUP(B132,valoriz!$A$13:$A$242,valoriz!I$13:I$242)</f>
        <v>0</v>
      </c>
      <c r="J132" s="744">
        <f t="shared" si="44"/>
        <v>0</v>
      </c>
      <c r="K132" s="745">
        <f t="shared" si="51"/>
        <v>3.48</v>
      </c>
      <c r="L132" s="746">
        <f t="shared" si="45"/>
        <v>457.01</v>
      </c>
      <c r="M132" s="747">
        <f t="shared" si="46"/>
        <v>476.04</v>
      </c>
      <c r="N132" s="748">
        <f t="shared" si="52"/>
        <v>0</v>
      </c>
      <c r="O132" s="744">
        <f t="shared" si="47"/>
        <v>0</v>
      </c>
      <c r="Q132" s="960">
        <v>0</v>
      </c>
      <c r="R132" s="983">
        <f t="shared" si="53"/>
        <v>0</v>
      </c>
      <c r="S132" s="984">
        <f t="shared" si="48"/>
        <v>4866.2700000000004</v>
      </c>
      <c r="T132" s="710"/>
      <c r="U132" s="985">
        <f t="shared" si="49"/>
        <v>0</v>
      </c>
      <c r="V132" s="986">
        <f t="shared" si="50"/>
        <v>0</v>
      </c>
      <c r="W132" s="987"/>
    </row>
    <row r="133" spans="2:23" ht="11.25" customHeight="1">
      <c r="B133" s="796" t="s">
        <v>1202</v>
      </c>
      <c r="C133" s="1023" t="s">
        <v>1796</v>
      </c>
      <c r="D133" s="738" t="s">
        <v>434</v>
      </c>
      <c r="E133" s="739">
        <v>1</v>
      </c>
      <c r="F133" s="740">
        <v>0.25</v>
      </c>
      <c r="G133" s="797">
        <v>2441.1799999999998</v>
      </c>
      <c r="H133" s="742">
        <f t="shared" si="43"/>
        <v>610.29999999999995</v>
      </c>
      <c r="I133" s="1215">
        <f>LOOKUP(B133,valoriz!$A$13:$A$242,valoriz!I$13:I$242)</f>
        <v>0</v>
      </c>
      <c r="J133" s="744">
        <f t="shared" si="44"/>
        <v>0</v>
      </c>
      <c r="K133" s="745">
        <f t="shared" si="51"/>
        <v>3.48</v>
      </c>
      <c r="L133" s="746">
        <f>D$15</f>
        <v>457.01</v>
      </c>
      <c r="M133" s="747">
        <f>D$14</f>
        <v>476.04</v>
      </c>
      <c r="N133" s="748">
        <f>+ROUND(J133*K133*M$16,2)</f>
        <v>0</v>
      </c>
      <c r="O133" s="744">
        <f>+ROUND(J133*K133*L133*M$16/M133,2)</f>
        <v>0</v>
      </c>
      <c r="Q133" s="960">
        <v>0</v>
      </c>
      <c r="R133" s="983">
        <f>+J133+Q133</f>
        <v>0</v>
      </c>
      <c r="S133" s="984">
        <f>+H133-R133</f>
        <v>610.29999999999995</v>
      </c>
      <c r="T133" s="710"/>
      <c r="U133" s="985">
        <f t="shared" ref="U133:V136" si="54">+ROUND(Q133*$K133*$L133/$M133,2)</f>
        <v>0</v>
      </c>
      <c r="V133" s="986">
        <f t="shared" si="54"/>
        <v>0</v>
      </c>
      <c r="W133" s="987"/>
    </row>
    <row r="134" spans="2:23" ht="11.25" customHeight="1">
      <c r="B134" s="796" t="s">
        <v>1203</v>
      </c>
      <c r="C134" s="1023" t="s">
        <v>1791</v>
      </c>
      <c r="D134" s="738" t="s">
        <v>436</v>
      </c>
      <c r="E134" s="739">
        <v>1</v>
      </c>
      <c r="F134" s="740">
        <v>0.05</v>
      </c>
      <c r="G134" s="797">
        <v>23000.14</v>
      </c>
      <c r="H134" s="742">
        <f t="shared" si="43"/>
        <v>1150.01</v>
      </c>
      <c r="I134" s="743">
        <f>LOOKUP(B134,valoriz!$A$13:$A$242,valoriz!I$13:I$242)</f>
        <v>0</v>
      </c>
      <c r="J134" s="744">
        <f t="shared" si="44"/>
        <v>0</v>
      </c>
      <c r="K134" s="745">
        <f t="shared" si="51"/>
        <v>3.48</v>
      </c>
      <c r="L134" s="746">
        <f>D$15</f>
        <v>457.01</v>
      </c>
      <c r="M134" s="747">
        <f>D$14</f>
        <v>476.04</v>
      </c>
      <c r="N134" s="748">
        <f>+ROUND(J134*K134*M$16,2)</f>
        <v>0</v>
      </c>
      <c r="O134" s="744">
        <f>+ROUND(J134*K134*L134*M$16/M134,2)</f>
        <v>0</v>
      </c>
      <c r="Q134" s="960">
        <v>0</v>
      </c>
      <c r="R134" s="983">
        <f>+J134+Q134</f>
        <v>0</v>
      </c>
      <c r="S134" s="984">
        <f>+H134-R134</f>
        <v>1150.01</v>
      </c>
      <c r="T134" s="710"/>
      <c r="U134" s="985">
        <f t="shared" si="54"/>
        <v>0</v>
      </c>
      <c r="V134" s="986">
        <f t="shared" si="54"/>
        <v>0</v>
      </c>
      <c r="W134" s="987"/>
    </row>
    <row r="135" spans="2:23" ht="11.25" customHeight="1">
      <c r="B135" s="796" t="s">
        <v>1208</v>
      </c>
      <c r="C135" s="1023" t="s">
        <v>1796</v>
      </c>
      <c r="D135" s="738" t="s">
        <v>434</v>
      </c>
      <c r="E135" s="739">
        <v>1</v>
      </c>
      <c r="F135" s="740">
        <v>0.25</v>
      </c>
      <c r="G135" s="797">
        <v>7110.76</v>
      </c>
      <c r="H135" s="742">
        <f t="shared" si="43"/>
        <v>1777.69</v>
      </c>
      <c r="I135" s="1215">
        <f>LOOKUP(B135,valoriz!$A$13:$A$242,valoriz!I$13:I$242)</f>
        <v>0</v>
      </c>
      <c r="J135" s="744">
        <f t="shared" si="44"/>
        <v>0</v>
      </c>
      <c r="K135" s="745">
        <f t="shared" si="51"/>
        <v>3.48</v>
      </c>
      <c r="L135" s="746">
        <f>D$15</f>
        <v>457.01</v>
      </c>
      <c r="M135" s="747">
        <f>D$14</f>
        <v>476.04</v>
      </c>
      <c r="N135" s="748">
        <f>+ROUND(J135*K135*M$16,2)</f>
        <v>0</v>
      </c>
      <c r="O135" s="744">
        <f>+ROUND(J135*K135*L135*M$16/M135,2)</f>
        <v>0</v>
      </c>
      <c r="Q135" s="960">
        <v>0</v>
      </c>
      <c r="R135" s="983">
        <f>+J135+Q135</f>
        <v>0</v>
      </c>
      <c r="S135" s="984">
        <f>+H135-R135</f>
        <v>1777.69</v>
      </c>
      <c r="T135" s="710"/>
      <c r="U135" s="985">
        <f t="shared" si="54"/>
        <v>0</v>
      </c>
      <c r="V135" s="986">
        <f t="shared" si="54"/>
        <v>0</v>
      </c>
      <c r="W135" s="987"/>
    </row>
    <row r="136" spans="2:23" ht="11.25" customHeight="1">
      <c r="B136" s="796" t="s">
        <v>1209</v>
      </c>
      <c r="C136" s="1023" t="s">
        <v>1791</v>
      </c>
      <c r="D136" s="738" t="s">
        <v>436</v>
      </c>
      <c r="E136" s="739">
        <v>1</v>
      </c>
      <c r="F136" s="740">
        <v>0.05</v>
      </c>
      <c r="G136" s="797">
        <v>152304.60999999999</v>
      </c>
      <c r="H136" s="742">
        <f t="shared" si="43"/>
        <v>7615.23</v>
      </c>
      <c r="I136" s="1215">
        <f>LOOKUP(B136,valoriz!$A$13:$A$242,valoriz!I$13:I$242)</f>
        <v>0</v>
      </c>
      <c r="J136" s="744">
        <f t="shared" si="44"/>
        <v>0</v>
      </c>
      <c r="K136" s="745">
        <f t="shared" si="51"/>
        <v>3.48</v>
      </c>
      <c r="L136" s="746">
        <f>D$15</f>
        <v>457.01</v>
      </c>
      <c r="M136" s="747">
        <f>D$14</f>
        <v>476.04</v>
      </c>
      <c r="N136" s="748">
        <f>+ROUND(J136*K136*M$16,2)</f>
        <v>0</v>
      </c>
      <c r="O136" s="744">
        <f>+ROUND(J136*K136*L136*M$16/M136,2)</f>
        <v>0</v>
      </c>
      <c r="Q136" s="960">
        <v>0</v>
      </c>
      <c r="R136" s="983">
        <f>+J136+Q136</f>
        <v>0</v>
      </c>
      <c r="S136" s="984">
        <f>+H136-R136</f>
        <v>7615.23</v>
      </c>
      <c r="T136" s="710"/>
      <c r="U136" s="985">
        <f t="shared" si="54"/>
        <v>0</v>
      </c>
      <c r="V136" s="986">
        <f t="shared" si="54"/>
        <v>0</v>
      </c>
      <c r="W136" s="987"/>
    </row>
    <row r="137" spans="2:23" ht="11.25" customHeight="1">
      <c r="B137" s="796" t="s">
        <v>1214</v>
      </c>
      <c r="C137" s="1023" t="s">
        <v>1796</v>
      </c>
      <c r="D137" s="738" t="s">
        <v>434</v>
      </c>
      <c r="E137" s="739">
        <v>1</v>
      </c>
      <c r="F137" s="740">
        <v>0.25</v>
      </c>
      <c r="G137" s="797">
        <v>2734.96</v>
      </c>
      <c r="H137" s="742">
        <f>+ROUND(E137*F137*G137,2)</f>
        <v>683.74</v>
      </c>
      <c r="I137" s="743">
        <f>LOOKUP(B137,valoriz!$A$13:$A$242,valoriz!I$13:I$242)</f>
        <v>0</v>
      </c>
      <c r="J137" s="744">
        <f t="shared" si="44"/>
        <v>0</v>
      </c>
      <c r="K137" s="745">
        <f t="shared" si="51"/>
        <v>3.48</v>
      </c>
      <c r="L137" s="746">
        <f t="shared" si="45"/>
        <v>457.01</v>
      </c>
      <c r="M137" s="747">
        <f t="shared" si="46"/>
        <v>476.04</v>
      </c>
      <c r="N137" s="748">
        <f t="shared" si="52"/>
        <v>0</v>
      </c>
      <c r="O137" s="744">
        <f t="shared" si="47"/>
        <v>0</v>
      </c>
      <c r="Q137" s="960">
        <v>0</v>
      </c>
      <c r="R137" s="983">
        <f t="shared" si="53"/>
        <v>0</v>
      </c>
      <c r="S137" s="984">
        <f t="shared" si="48"/>
        <v>683.74</v>
      </c>
      <c r="T137" s="710"/>
      <c r="U137" s="985">
        <f t="shared" si="49"/>
        <v>0</v>
      </c>
      <c r="V137" s="986">
        <f t="shared" si="50"/>
        <v>0</v>
      </c>
      <c r="W137" s="987"/>
    </row>
    <row r="138" spans="2:23" ht="11.25" customHeight="1">
      <c r="B138" s="796" t="s">
        <v>1215</v>
      </c>
      <c r="C138" s="1023" t="s">
        <v>1791</v>
      </c>
      <c r="D138" s="738" t="s">
        <v>436</v>
      </c>
      <c r="E138" s="739">
        <v>1</v>
      </c>
      <c r="F138" s="740">
        <v>0.05</v>
      </c>
      <c r="G138" s="797">
        <v>24747.770270270299</v>
      </c>
      <c r="H138" s="742">
        <f>+ROUND(E138*F138*G138,2)</f>
        <v>1237.3900000000001</v>
      </c>
      <c r="I138" s="743">
        <f>LOOKUP(B138,valoriz!$A$13:$A$242,valoriz!I$13:I$242)</f>
        <v>0</v>
      </c>
      <c r="J138" s="744">
        <f t="shared" si="44"/>
        <v>0</v>
      </c>
      <c r="K138" s="745">
        <f t="shared" si="51"/>
        <v>3.48</v>
      </c>
      <c r="L138" s="746">
        <f t="shared" si="45"/>
        <v>457.01</v>
      </c>
      <c r="M138" s="747">
        <f t="shared" si="46"/>
        <v>476.04</v>
      </c>
      <c r="N138" s="748">
        <f t="shared" si="52"/>
        <v>0</v>
      </c>
      <c r="O138" s="744">
        <f t="shared" si="47"/>
        <v>0</v>
      </c>
      <c r="Q138" s="960">
        <v>107.1</v>
      </c>
      <c r="R138" s="983">
        <f t="shared" si="53"/>
        <v>107.1</v>
      </c>
      <c r="S138" s="984">
        <f t="shared" si="48"/>
        <v>1130.2900000000002</v>
      </c>
      <c r="T138" s="710"/>
      <c r="U138" s="985">
        <f t="shared" si="49"/>
        <v>357.81</v>
      </c>
      <c r="V138" s="986">
        <f t="shared" si="50"/>
        <v>357.81</v>
      </c>
      <c r="W138" s="987"/>
    </row>
    <row r="139" spans="2:23" ht="11.25" customHeight="1">
      <c r="B139" s="796" t="s">
        <v>1220</v>
      </c>
      <c r="C139" s="1023" t="s">
        <v>1797</v>
      </c>
      <c r="D139" s="738" t="s">
        <v>434</v>
      </c>
      <c r="E139" s="739">
        <v>1</v>
      </c>
      <c r="F139" s="740">
        <v>0.2</v>
      </c>
      <c r="G139" s="797">
        <v>3091.66</v>
      </c>
      <c r="H139" s="742">
        <f>+ROUND(E139*F139*G139,2)</f>
        <v>618.33000000000004</v>
      </c>
      <c r="I139" s="1215">
        <f>LOOKUP(B139,valoriz!$A$13:$A$242,valoriz!I$13:I$242)</f>
        <v>0</v>
      </c>
      <c r="J139" s="744">
        <f t="shared" si="44"/>
        <v>0</v>
      </c>
      <c r="K139" s="745">
        <f t="shared" si="51"/>
        <v>3.48</v>
      </c>
      <c r="L139" s="746">
        <f t="shared" si="45"/>
        <v>457.01</v>
      </c>
      <c r="M139" s="747">
        <f t="shared" si="46"/>
        <v>476.04</v>
      </c>
      <c r="N139" s="748">
        <f t="shared" si="52"/>
        <v>0</v>
      </c>
      <c r="O139" s="744">
        <f t="shared" si="47"/>
        <v>0</v>
      </c>
      <c r="Q139" s="960">
        <v>1268.44</v>
      </c>
      <c r="R139" s="983">
        <f t="shared" si="53"/>
        <v>1268.44</v>
      </c>
      <c r="S139" s="984">
        <f t="shared" si="48"/>
        <v>-650.11</v>
      </c>
      <c r="T139" s="710"/>
      <c r="U139" s="985">
        <f t="shared" si="49"/>
        <v>4237.71</v>
      </c>
      <c r="V139" s="986">
        <f t="shared" si="50"/>
        <v>4237.71</v>
      </c>
      <c r="W139" s="987"/>
    </row>
    <row r="140" spans="2:23" ht="11.25" customHeight="1">
      <c r="B140" s="796" t="s">
        <v>1224</v>
      </c>
      <c r="C140" s="1023" t="s">
        <v>1792</v>
      </c>
      <c r="D140" s="738" t="s">
        <v>436</v>
      </c>
      <c r="E140" s="739">
        <v>1</v>
      </c>
      <c r="F140" s="740">
        <v>0.05</v>
      </c>
      <c r="G140" s="797">
        <v>274194.3</v>
      </c>
      <c r="H140" s="742">
        <f t="shared" si="43"/>
        <v>13709.72</v>
      </c>
      <c r="I140" s="1215">
        <f>LOOKUP(B140,valoriz!$A$13:$A$242,valoriz!I$13:I$242)</f>
        <v>0</v>
      </c>
      <c r="J140" s="744">
        <f t="shared" si="44"/>
        <v>0</v>
      </c>
      <c r="K140" s="745">
        <f t="shared" si="51"/>
        <v>3.48</v>
      </c>
      <c r="L140" s="746">
        <f t="shared" si="45"/>
        <v>457.01</v>
      </c>
      <c r="M140" s="747">
        <f t="shared" si="46"/>
        <v>476.04</v>
      </c>
      <c r="N140" s="748">
        <f t="shared" si="52"/>
        <v>0</v>
      </c>
      <c r="O140" s="744">
        <f t="shared" si="47"/>
        <v>0</v>
      </c>
      <c r="Q140" s="960">
        <v>749.7</v>
      </c>
      <c r="R140" s="983">
        <f t="shared" si="53"/>
        <v>749.7</v>
      </c>
      <c r="S140" s="984">
        <f t="shared" si="48"/>
        <v>12960.019999999999</v>
      </c>
      <c r="T140" s="710"/>
      <c r="U140" s="985">
        <f t="shared" si="49"/>
        <v>2504.66</v>
      </c>
      <c r="V140" s="986">
        <f t="shared" si="50"/>
        <v>2504.66</v>
      </c>
      <c r="W140" s="987"/>
    </row>
    <row r="141" spans="2:23" ht="11.25" customHeight="1" thickBot="1">
      <c r="B141" s="762"/>
      <c r="C141" s="1024"/>
      <c r="D141" s="764"/>
      <c r="E141" s="765"/>
      <c r="F141" s="766"/>
      <c r="G141" s="799"/>
      <c r="H141" s="800"/>
      <c r="I141" s="767"/>
      <c r="J141" s="769"/>
      <c r="K141" s="770"/>
      <c r="L141" s="771"/>
      <c r="M141" s="772"/>
      <c r="N141" s="773"/>
      <c r="O141" s="769"/>
      <c r="Q141" s="968"/>
      <c r="R141" s="988"/>
      <c r="S141" s="989"/>
      <c r="T141" s="710"/>
      <c r="U141" s="968"/>
      <c r="V141" s="988"/>
      <c r="W141" s="989"/>
    </row>
    <row r="142" spans="2:23" ht="11.25" customHeight="1">
      <c r="B142" s="775"/>
      <c r="C142" s="776"/>
      <c r="D142" s="777"/>
      <c r="E142" s="777"/>
      <c r="F142" s="778"/>
      <c r="G142" s="779"/>
      <c r="H142" s="780">
        <f>SUM(H130:H141)</f>
        <v>34887.54</v>
      </c>
      <c r="I142" s="779"/>
      <c r="J142" s="780">
        <f>SUM(J130:J141)</f>
        <v>0</v>
      </c>
      <c r="K142" s="781"/>
      <c r="L142" s="777"/>
      <c r="M142" s="946" t="s">
        <v>171</v>
      </c>
      <c r="N142" s="782">
        <f>SUM(N130:N141)</f>
        <v>0</v>
      </c>
      <c r="O142" s="783">
        <f>SUM(O130:O141)</f>
        <v>0</v>
      </c>
      <c r="Q142" s="1051">
        <f>SUM(Q130:Q141)</f>
        <v>237064.6</v>
      </c>
      <c r="R142" s="1051">
        <f>SUM(R130:R141)</f>
        <v>237064.6</v>
      </c>
      <c r="S142" s="1052">
        <f>SUM(S130:S141)</f>
        <v>-202177.05999999997</v>
      </c>
      <c r="T142" s="964">
        <f>+U143-U142</f>
        <v>-430700.54000000015</v>
      </c>
      <c r="U142" s="1076">
        <f>SUM(U129:U141)</f>
        <v>791916.80000000016</v>
      </c>
      <c r="V142" s="1077">
        <f>SUM(V129:V141)</f>
        <v>791916.80000000016</v>
      </c>
      <c r="W142" s="1078">
        <f>+W129-V143</f>
        <v>-93623.980000000214</v>
      </c>
    </row>
    <row r="143" spans="2:23" ht="11.25" customHeight="1">
      <c r="B143" s="784"/>
      <c r="C143" s="785"/>
      <c r="G143" s="786"/>
      <c r="H143" s="787" t="s">
        <v>214</v>
      </c>
      <c r="I143" s="788"/>
      <c r="J143" s="789">
        <v>34584.25</v>
      </c>
      <c r="K143" s="751"/>
      <c r="Q143" s="710"/>
      <c r="R143" s="710"/>
      <c r="S143" s="710"/>
      <c r="T143" s="710"/>
      <c r="U143" s="710">
        <v>361216.26</v>
      </c>
      <c r="V143" s="964">
        <f>+O142+U142</f>
        <v>791916.80000000016</v>
      </c>
      <c r="W143" s="710"/>
    </row>
    <row r="144" spans="2:23" ht="11.25" customHeight="1">
      <c r="B144" s="784"/>
      <c r="C144" s="785"/>
      <c r="K144" s="751"/>
    </row>
    <row r="145" spans="2:23" ht="11.25" customHeight="1">
      <c r="B145" s="1714" t="s">
        <v>198</v>
      </c>
      <c r="C145" s="1714" t="s">
        <v>199</v>
      </c>
      <c r="D145" s="1716" t="s">
        <v>601</v>
      </c>
      <c r="E145" s="1712" t="s">
        <v>200</v>
      </c>
      <c r="F145" s="1713"/>
      <c r="G145" s="1712" t="s">
        <v>201</v>
      </c>
      <c r="H145" s="1713"/>
      <c r="I145" s="1678" t="s">
        <v>202</v>
      </c>
      <c r="J145" s="1680"/>
      <c r="K145" s="1685" t="s">
        <v>203</v>
      </c>
      <c r="L145" s="1678" t="s">
        <v>204</v>
      </c>
      <c r="M145" s="1680"/>
      <c r="N145" s="1678" t="s">
        <v>423</v>
      </c>
      <c r="O145" s="1680"/>
      <c r="Q145" s="1695" t="s">
        <v>205</v>
      </c>
      <c r="R145" s="1696"/>
      <c r="S145" s="1697"/>
      <c r="T145" s="710"/>
      <c r="U145" s="1695" t="s">
        <v>331</v>
      </c>
      <c r="V145" s="1696"/>
      <c r="W145" s="1697"/>
    </row>
    <row r="146" spans="2:23" ht="21.75" customHeight="1">
      <c r="B146" s="1715"/>
      <c r="C146" s="1715"/>
      <c r="D146" s="1717"/>
      <c r="E146" s="1011" t="s">
        <v>206</v>
      </c>
      <c r="F146" s="1012" t="s">
        <v>207</v>
      </c>
      <c r="G146" s="1011" t="s">
        <v>452</v>
      </c>
      <c r="H146" s="1012" t="s">
        <v>208</v>
      </c>
      <c r="I146" s="717" t="s">
        <v>452</v>
      </c>
      <c r="J146" s="718" t="s">
        <v>208</v>
      </c>
      <c r="K146" s="1686"/>
      <c r="L146" s="717" t="s">
        <v>467</v>
      </c>
      <c r="M146" s="718" t="s">
        <v>468</v>
      </c>
      <c r="N146" s="717" t="s">
        <v>209</v>
      </c>
      <c r="O146" s="718" t="s">
        <v>210</v>
      </c>
      <c r="Q146" s="954" t="s">
        <v>211</v>
      </c>
      <c r="R146" s="978" t="s">
        <v>394</v>
      </c>
      <c r="S146" s="979" t="s">
        <v>451</v>
      </c>
      <c r="T146" s="710"/>
      <c r="U146" s="954" t="s">
        <v>211</v>
      </c>
      <c r="V146" s="978" t="s">
        <v>394</v>
      </c>
      <c r="W146" s="979" t="s">
        <v>451</v>
      </c>
    </row>
    <row r="147" spans="2:23" ht="11.25" customHeight="1">
      <c r="B147" s="722" t="s">
        <v>183</v>
      </c>
      <c r="C147" s="728"/>
      <c r="D147" s="724"/>
      <c r="E147" s="730"/>
      <c r="G147" s="726"/>
      <c r="H147" s="727"/>
      <c r="I147" s="726"/>
      <c r="J147" s="728"/>
      <c r="K147" s="729"/>
      <c r="L147" s="724"/>
      <c r="M147" s="725"/>
      <c r="N147" s="730"/>
      <c r="O147" s="728"/>
      <c r="Q147" s="957"/>
      <c r="R147" s="980"/>
      <c r="S147" s="981"/>
      <c r="T147" s="710"/>
      <c r="U147" s="957"/>
      <c r="V147" s="980"/>
      <c r="W147" s="981"/>
    </row>
    <row r="148" spans="2:23" ht="11.25" customHeight="1">
      <c r="B148" s="722" t="s">
        <v>212</v>
      </c>
      <c r="C148" s="733" t="s">
        <v>1295</v>
      </c>
      <c r="D148" s="724"/>
      <c r="E148" s="730"/>
      <c r="F148" s="802"/>
      <c r="G148" s="726"/>
      <c r="H148" s="727"/>
      <c r="I148" s="726"/>
      <c r="J148" s="727"/>
      <c r="K148" s="729"/>
      <c r="L148" s="724"/>
      <c r="M148" s="725"/>
      <c r="N148" s="730"/>
      <c r="O148" s="728"/>
      <c r="Q148" s="960"/>
      <c r="R148" s="982"/>
      <c r="S148" s="981"/>
      <c r="T148" s="710"/>
      <c r="U148" s="960">
        <v>-88.71</v>
      </c>
      <c r="V148" s="982">
        <f>+U148</f>
        <v>-88.71</v>
      </c>
      <c r="W148" s="981">
        <v>698292.82</v>
      </c>
    </row>
    <row r="149" spans="2:23" ht="11.25" customHeight="1">
      <c r="B149" s="796" t="s">
        <v>1230</v>
      </c>
      <c r="C149" s="1023" t="s">
        <v>1801</v>
      </c>
      <c r="D149" s="738" t="s">
        <v>431</v>
      </c>
      <c r="E149" s="739">
        <v>1</v>
      </c>
      <c r="F149" s="740">
        <v>1.1000000000000001</v>
      </c>
      <c r="G149" s="797">
        <v>369.75</v>
      </c>
      <c r="H149" s="742">
        <f>+ROUND(E149*F149*G149,2)</f>
        <v>406.73</v>
      </c>
      <c r="I149" s="743">
        <f>LOOKUP(B149,valoriz!$A$13:$A$242,valoriz!I$13:I$242)</f>
        <v>0</v>
      </c>
      <c r="J149" s="744">
        <f>+ROUND(E149*F149*I149,2)</f>
        <v>0</v>
      </c>
      <c r="K149" s="745">
        <v>199.38</v>
      </c>
      <c r="L149" s="746">
        <f>D$15</f>
        <v>457.01</v>
      </c>
      <c r="M149" s="747">
        <f>D$14</f>
        <v>476.04</v>
      </c>
      <c r="N149" s="748">
        <f>+ROUND(J149*K149*M$16,2)</f>
        <v>0</v>
      </c>
      <c r="O149" s="744">
        <f>+ROUND(J149*K149*L149*M$16/M149,2)</f>
        <v>0</v>
      </c>
      <c r="Q149" s="960">
        <v>233495.61</v>
      </c>
      <c r="R149" s="983">
        <f>+J149+Q149</f>
        <v>233495.61</v>
      </c>
      <c r="S149" s="984">
        <f>+H149-R149</f>
        <v>-233088.87999999998</v>
      </c>
      <c r="T149" s="710"/>
      <c r="U149" s="985">
        <f>+ROUND(Q149*$K149*$L149/$M149,2)</f>
        <v>44693314.960000001</v>
      </c>
      <c r="V149" s="986">
        <f>+ROUND(R149*$K149*$L149/$M149,2)</f>
        <v>44693314.960000001</v>
      </c>
      <c r="W149" s="987"/>
    </row>
    <row r="150" spans="2:23" ht="11.25" customHeight="1" thickBot="1">
      <c r="B150" s="762"/>
      <c r="C150" s="1024"/>
      <c r="D150" s="764"/>
      <c r="E150" s="765"/>
      <c r="F150" s="766"/>
      <c r="G150" s="799"/>
      <c r="H150" s="800"/>
      <c r="I150" s="767"/>
      <c r="J150" s="769"/>
      <c r="K150" s="770"/>
      <c r="L150" s="771"/>
      <c r="M150" s="772"/>
      <c r="N150" s="773"/>
      <c r="O150" s="769"/>
      <c r="Q150" s="968"/>
      <c r="R150" s="988"/>
      <c r="S150" s="989"/>
      <c r="T150" s="710"/>
      <c r="U150" s="968"/>
      <c r="V150" s="988"/>
      <c r="W150" s="989"/>
    </row>
    <row r="151" spans="2:23" ht="11.25" customHeight="1">
      <c r="B151" s="775"/>
      <c r="C151" s="776"/>
      <c r="D151" s="777"/>
      <c r="E151" s="777"/>
      <c r="F151" s="778"/>
      <c r="G151" s="779"/>
      <c r="H151" s="780">
        <f>SUM(H149:H150)</f>
        <v>406.73</v>
      </c>
      <c r="I151" s="779"/>
      <c r="J151" s="780">
        <f>SUM(J149:J150)</f>
        <v>0</v>
      </c>
      <c r="K151" s="781"/>
      <c r="L151" s="777"/>
      <c r="M151" s="946" t="s">
        <v>171</v>
      </c>
      <c r="N151" s="782">
        <f>SUM(N149:N150)</f>
        <v>0</v>
      </c>
      <c r="O151" s="783">
        <f>SUM(O149:O150)</f>
        <v>0</v>
      </c>
      <c r="Q151" s="1051">
        <f>SUM(Q149:Q150)</f>
        <v>233495.61</v>
      </c>
      <c r="R151" s="1051">
        <f>SUM(R149:R150)</f>
        <v>233495.61</v>
      </c>
      <c r="S151" s="1052">
        <f>SUM(S149:S150)</f>
        <v>-233088.87999999998</v>
      </c>
      <c r="T151" s="964">
        <f>+U152-U151</f>
        <v>-44332009.990000002</v>
      </c>
      <c r="U151" s="1076">
        <f>SUM(U148:U150)</f>
        <v>44693226.25</v>
      </c>
      <c r="V151" s="1077">
        <f>SUM(V148:V150)</f>
        <v>44693226.25</v>
      </c>
      <c r="W151" s="1078">
        <f>+W148-V152</f>
        <v>-43994933.43</v>
      </c>
    </row>
    <row r="152" spans="2:23" ht="11.25" customHeight="1">
      <c r="B152" s="784"/>
      <c r="C152" s="785"/>
      <c r="G152" s="786"/>
      <c r="H152" s="787" t="s">
        <v>214</v>
      </c>
      <c r="I152" s="788"/>
      <c r="J152" s="789">
        <v>406.73</v>
      </c>
      <c r="K152" s="751"/>
      <c r="Q152" s="710"/>
      <c r="R152" s="710"/>
      <c r="S152" s="710"/>
      <c r="T152" s="710"/>
      <c r="U152" s="710">
        <v>361216.26</v>
      </c>
      <c r="V152" s="964">
        <f>+O151+U151</f>
        <v>44693226.25</v>
      </c>
      <c r="W152" s="710"/>
    </row>
    <row r="153" spans="2:23" ht="11.25" customHeight="1">
      <c r="B153" s="784"/>
      <c r="C153" s="785"/>
      <c r="K153" s="751"/>
    </row>
    <row r="154" spans="2:23" ht="11.25" customHeight="1">
      <c r="B154" s="1714" t="s">
        <v>198</v>
      </c>
      <c r="C154" s="1714" t="s">
        <v>199</v>
      </c>
      <c r="D154" s="1716" t="s">
        <v>601</v>
      </c>
      <c r="E154" s="1712" t="s">
        <v>200</v>
      </c>
      <c r="F154" s="1713"/>
      <c r="G154" s="1712" t="s">
        <v>201</v>
      </c>
      <c r="H154" s="1713"/>
      <c r="I154" s="1678" t="s">
        <v>202</v>
      </c>
      <c r="J154" s="1680"/>
      <c r="K154" s="1685" t="s">
        <v>203</v>
      </c>
      <c r="L154" s="1678" t="s">
        <v>204</v>
      </c>
      <c r="M154" s="1680"/>
      <c r="N154" s="1678" t="s">
        <v>423</v>
      </c>
      <c r="O154" s="1680"/>
      <c r="Q154" s="1695" t="s">
        <v>205</v>
      </c>
      <c r="R154" s="1696"/>
      <c r="S154" s="1697"/>
      <c r="T154" s="710"/>
      <c r="U154" s="1695" t="s">
        <v>331</v>
      </c>
      <c r="V154" s="1696"/>
      <c r="W154" s="1697"/>
    </row>
    <row r="155" spans="2:23" ht="21.75" customHeight="1">
      <c r="B155" s="1715"/>
      <c r="C155" s="1715"/>
      <c r="D155" s="1717"/>
      <c r="E155" s="1011" t="s">
        <v>206</v>
      </c>
      <c r="F155" s="1012" t="s">
        <v>207</v>
      </c>
      <c r="G155" s="1011" t="s">
        <v>452</v>
      </c>
      <c r="H155" s="1012" t="s">
        <v>208</v>
      </c>
      <c r="I155" s="717" t="s">
        <v>452</v>
      </c>
      <c r="J155" s="718" t="s">
        <v>208</v>
      </c>
      <c r="K155" s="1686"/>
      <c r="L155" s="717" t="s">
        <v>467</v>
      </c>
      <c r="M155" s="718" t="s">
        <v>468</v>
      </c>
      <c r="N155" s="717" t="s">
        <v>209</v>
      </c>
      <c r="O155" s="718" t="s">
        <v>210</v>
      </c>
      <c r="Q155" s="954" t="s">
        <v>211</v>
      </c>
      <c r="R155" s="978" t="s">
        <v>394</v>
      </c>
      <c r="S155" s="979" t="s">
        <v>451</v>
      </c>
      <c r="T155" s="710"/>
      <c r="U155" s="954" t="s">
        <v>211</v>
      </c>
      <c r="V155" s="978" t="s">
        <v>394</v>
      </c>
      <c r="W155" s="979" t="s">
        <v>451</v>
      </c>
    </row>
    <row r="156" spans="2:23" ht="11.25" customHeight="1">
      <c r="B156" s="722" t="s">
        <v>183</v>
      </c>
      <c r="C156" s="728"/>
      <c r="D156" s="724"/>
      <c r="E156" s="730"/>
      <c r="G156" s="726"/>
      <c r="H156" s="727"/>
      <c r="I156" s="726"/>
      <c r="J156" s="728"/>
      <c r="K156" s="729"/>
      <c r="L156" s="724"/>
      <c r="M156" s="725"/>
      <c r="N156" s="730"/>
      <c r="O156" s="728"/>
      <c r="Q156" s="957"/>
      <c r="R156" s="980"/>
      <c r="S156" s="981"/>
      <c r="T156" s="710"/>
      <c r="U156" s="957"/>
      <c r="V156" s="980"/>
      <c r="W156" s="981"/>
    </row>
    <row r="157" spans="2:23" ht="11.25" customHeight="1">
      <c r="B157" s="722" t="s">
        <v>212</v>
      </c>
      <c r="C157" s="733" t="s">
        <v>1296</v>
      </c>
      <c r="D157" s="724"/>
      <c r="E157" s="730"/>
      <c r="F157" s="802"/>
      <c r="G157" s="726"/>
      <c r="H157" s="727"/>
      <c r="I157" s="726"/>
      <c r="J157" s="727"/>
      <c r="K157" s="729"/>
      <c r="L157" s="724"/>
      <c r="M157" s="725"/>
      <c r="N157" s="730"/>
      <c r="O157" s="728"/>
      <c r="Q157" s="960"/>
      <c r="R157" s="982"/>
      <c r="S157" s="981"/>
      <c r="T157" s="710"/>
      <c r="U157" s="960">
        <v>-88.71</v>
      </c>
      <c r="V157" s="982">
        <f>+U157</f>
        <v>-88.71</v>
      </c>
      <c r="W157" s="981">
        <v>698292.82</v>
      </c>
    </row>
    <row r="158" spans="2:23" ht="11.25" customHeight="1">
      <c r="B158" s="796" t="s">
        <v>1228</v>
      </c>
      <c r="C158" s="1023" t="s">
        <v>1783</v>
      </c>
      <c r="D158" s="738" t="s">
        <v>432</v>
      </c>
      <c r="E158" s="739">
        <v>1</v>
      </c>
      <c r="F158" s="740">
        <v>0.2</v>
      </c>
      <c r="G158" s="797">
        <v>1585</v>
      </c>
      <c r="H158" s="742">
        <f>+ROUND(E158*F158*G158,2)</f>
        <v>317</v>
      </c>
      <c r="I158" s="743">
        <f>LOOKUP(B158,valoriz!$A$13:$A$242,valoriz!I$13:I$242)</f>
        <v>0</v>
      </c>
      <c r="J158" s="744">
        <f>+ROUND(E158*F158*I158,2)</f>
        <v>0</v>
      </c>
      <c r="K158" s="745">
        <v>183.53</v>
      </c>
      <c r="L158" s="746">
        <f>D$15</f>
        <v>457.01</v>
      </c>
      <c r="M158" s="747">
        <f>D$14</f>
        <v>476.04</v>
      </c>
      <c r="N158" s="748">
        <f>+ROUND(J158*K158*M$16,2)</f>
        <v>0</v>
      </c>
      <c r="O158" s="744">
        <f>+ROUND(J158*K158*L158*M$16/M158,2)</f>
        <v>0</v>
      </c>
      <c r="Q158" s="960">
        <v>233495.61</v>
      </c>
      <c r="R158" s="983">
        <f>+J158+Q158</f>
        <v>233495.61</v>
      </c>
      <c r="S158" s="984">
        <f>+H158-R158</f>
        <v>-233178.61</v>
      </c>
      <c r="T158" s="710"/>
      <c r="U158" s="985">
        <f>+ROUND(Q158*$K158*$L158/$M158,2)</f>
        <v>41140355.57</v>
      </c>
      <c r="V158" s="986">
        <f>+ROUND(R158*$K158*$L158/$M158,2)</f>
        <v>41140355.57</v>
      </c>
      <c r="W158" s="987"/>
    </row>
    <row r="159" spans="2:23" ht="11.25" customHeight="1" thickBot="1">
      <c r="B159" s="762"/>
      <c r="C159" s="1024"/>
      <c r="D159" s="764"/>
      <c r="E159" s="765"/>
      <c r="F159" s="766"/>
      <c r="G159" s="799"/>
      <c r="H159" s="800"/>
      <c r="I159" s="767"/>
      <c r="J159" s="769"/>
      <c r="K159" s="770"/>
      <c r="L159" s="771"/>
      <c r="M159" s="772"/>
      <c r="N159" s="773"/>
      <c r="O159" s="769"/>
      <c r="Q159" s="968"/>
      <c r="R159" s="988"/>
      <c r="S159" s="989"/>
      <c r="T159" s="710"/>
      <c r="U159" s="968"/>
      <c r="V159" s="988"/>
      <c r="W159" s="989"/>
    </row>
    <row r="160" spans="2:23" ht="11.25" customHeight="1">
      <c r="B160" s="775"/>
      <c r="C160" s="776"/>
      <c r="D160" s="777"/>
      <c r="E160" s="777"/>
      <c r="F160" s="778"/>
      <c r="G160" s="779"/>
      <c r="H160" s="780">
        <f>SUM(H158:H159)</f>
        <v>317</v>
      </c>
      <c r="I160" s="779"/>
      <c r="J160" s="780">
        <f>SUM(J158:J159)</f>
        <v>0</v>
      </c>
      <c r="K160" s="781"/>
      <c r="L160" s="777"/>
      <c r="M160" s="946" t="s">
        <v>171</v>
      </c>
      <c r="N160" s="782">
        <f>SUM(N158:N159)</f>
        <v>0</v>
      </c>
      <c r="O160" s="783">
        <f>SUM(O158:O159)</f>
        <v>0</v>
      </c>
      <c r="Q160" s="1051">
        <f>SUM(Q158:Q159)</f>
        <v>233495.61</v>
      </c>
      <c r="R160" s="1051">
        <f>SUM(R158:R159)</f>
        <v>233495.61</v>
      </c>
      <c r="S160" s="1052">
        <f>SUM(S158:S159)</f>
        <v>-233178.61</v>
      </c>
      <c r="T160" s="964">
        <f>+U161-U160</f>
        <v>-40779050.600000001</v>
      </c>
      <c r="U160" s="1076">
        <f>SUM(U157:U159)</f>
        <v>41140266.859999999</v>
      </c>
      <c r="V160" s="1077">
        <f>SUM(V157:V159)</f>
        <v>41140266.859999999</v>
      </c>
      <c r="W160" s="1078">
        <f>+W157-V161</f>
        <v>-40441974.039999999</v>
      </c>
    </row>
    <row r="161" spans="2:23" ht="11.25" customHeight="1">
      <c r="B161" s="784"/>
      <c r="C161" s="785"/>
      <c r="G161" s="786"/>
      <c r="H161" s="787" t="s">
        <v>214</v>
      </c>
      <c r="I161" s="788"/>
      <c r="J161" s="789">
        <v>317</v>
      </c>
      <c r="K161" s="751"/>
      <c r="Q161" s="710"/>
      <c r="R161" s="710"/>
      <c r="S161" s="710"/>
      <c r="T161" s="710"/>
      <c r="U161" s="710">
        <v>361216.26</v>
      </c>
      <c r="V161" s="964">
        <f>+O160+U160</f>
        <v>41140266.859999999</v>
      </c>
      <c r="W161" s="710"/>
    </row>
    <row r="162" spans="2:23" ht="11.25" customHeight="1">
      <c r="B162" s="784"/>
      <c r="C162" s="785"/>
      <c r="K162" s="751"/>
    </row>
    <row r="163" spans="2:23" ht="11.25" customHeight="1">
      <c r="B163" s="1714" t="s">
        <v>198</v>
      </c>
      <c r="C163" s="1714" t="s">
        <v>199</v>
      </c>
      <c r="D163" s="1716" t="s">
        <v>601</v>
      </c>
      <c r="E163" s="1712" t="s">
        <v>200</v>
      </c>
      <c r="F163" s="1713"/>
      <c r="G163" s="1712" t="s">
        <v>201</v>
      </c>
      <c r="H163" s="1713"/>
      <c r="I163" s="1678" t="s">
        <v>202</v>
      </c>
      <c r="J163" s="1680"/>
      <c r="K163" s="1685" t="s">
        <v>203</v>
      </c>
      <c r="L163" s="1678" t="s">
        <v>204</v>
      </c>
      <c r="M163" s="1680"/>
      <c r="N163" s="1678" t="s">
        <v>423</v>
      </c>
      <c r="O163" s="1680"/>
      <c r="Q163" s="1695" t="s">
        <v>205</v>
      </c>
      <c r="R163" s="1696"/>
      <c r="S163" s="1697"/>
      <c r="T163" s="710"/>
      <c r="U163" s="1695" t="s">
        <v>331</v>
      </c>
      <c r="V163" s="1696"/>
      <c r="W163" s="1697"/>
    </row>
    <row r="164" spans="2:23" ht="21.75" customHeight="1">
      <c r="B164" s="1715"/>
      <c r="C164" s="1715"/>
      <c r="D164" s="1717"/>
      <c r="E164" s="1011" t="s">
        <v>206</v>
      </c>
      <c r="F164" s="1012" t="s">
        <v>207</v>
      </c>
      <c r="G164" s="1011" t="s">
        <v>452</v>
      </c>
      <c r="H164" s="1012" t="s">
        <v>208</v>
      </c>
      <c r="I164" s="717" t="s">
        <v>452</v>
      </c>
      <c r="J164" s="718" t="s">
        <v>208</v>
      </c>
      <c r="K164" s="1686"/>
      <c r="L164" s="717" t="s">
        <v>467</v>
      </c>
      <c r="M164" s="718" t="s">
        <v>468</v>
      </c>
      <c r="N164" s="717" t="s">
        <v>209</v>
      </c>
      <c r="O164" s="718" t="s">
        <v>210</v>
      </c>
      <c r="Q164" s="954" t="s">
        <v>211</v>
      </c>
      <c r="R164" s="978" t="s">
        <v>394</v>
      </c>
      <c r="S164" s="979" t="s">
        <v>451</v>
      </c>
      <c r="T164" s="710"/>
      <c r="U164" s="954" t="s">
        <v>211</v>
      </c>
      <c r="V164" s="978" t="s">
        <v>394</v>
      </c>
      <c r="W164" s="979" t="s">
        <v>451</v>
      </c>
    </row>
    <row r="165" spans="2:23" ht="11.25" customHeight="1">
      <c r="B165" s="722" t="s">
        <v>183</v>
      </c>
      <c r="C165" s="728"/>
      <c r="D165" s="724"/>
      <c r="E165" s="730"/>
      <c r="G165" s="726"/>
      <c r="H165" s="727"/>
      <c r="I165" s="726"/>
      <c r="J165" s="728"/>
      <c r="K165" s="729"/>
      <c r="L165" s="724"/>
      <c r="M165" s="725"/>
      <c r="N165" s="730"/>
      <c r="O165" s="728"/>
      <c r="Q165" s="957"/>
      <c r="R165" s="980"/>
      <c r="S165" s="981"/>
      <c r="T165" s="710"/>
      <c r="U165" s="957"/>
      <c r="V165" s="980"/>
      <c r="W165" s="981"/>
    </row>
    <row r="166" spans="2:23" ht="11.25" customHeight="1">
      <c r="B166" s="722" t="s">
        <v>212</v>
      </c>
      <c r="C166" s="733" t="s">
        <v>1297</v>
      </c>
      <c r="D166" s="724"/>
      <c r="E166" s="730"/>
      <c r="F166" s="802"/>
      <c r="G166" s="726"/>
      <c r="H166" s="727"/>
      <c r="I166" s="726"/>
      <c r="J166" s="727"/>
      <c r="K166" s="729"/>
      <c r="L166" s="724"/>
      <c r="M166" s="725"/>
      <c r="N166" s="730"/>
      <c r="O166" s="728"/>
      <c r="Q166" s="960"/>
      <c r="R166" s="982"/>
      <c r="S166" s="981"/>
      <c r="T166" s="710"/>
      <c r="U166" s="960">
        <v>-88.71</v>
      </c>
      <c r="V166" s="982">
        <f>+U166</f>
        <v>-88.71</v>
      </c>
      <c r="W166" s="981">
        <v>698292.82</v>
      </c>
    </row>
    <row r="167" spans="2:23" ht="11.25" customHeight="1">
      <c r="B167" s="796" t="s">
        <v>1242</v>
      </c>
      <c r="C167" s="1023" t="s">
        <v>1772</v>
      </c>
      <c r="D167" s="738" t="s">
        <v>431</v>
      </c>
      <c r="E167" s="739">
        <v>1</v>
      </c>
      <c r="F167" s="740">
        <v>1</v>
      </c>
      <c r="G167" s="797">
        <v>769.5</v>
      </c>
      <c r="H167" s="742">
        <f>+ROUND(E167*F167*G167,2)</f>
        <v>769.5</v>
      </c>
      <c r="I167" s="743">
        <f>LOOKUP(B167,valoriz!$A$13:$A$242,valoriz!I$13:I$242)</f>
        <v>0</v>
      </c>
      <c r="J167" s="744">
        <f>+ROUND(E167*F167*I167,2)</f>
        <v>0</v>
      </c>
      <c r="K167" s="745">
        <v>35.46</v>
      </c>
      <c r="L167" s="746">
        <f>D$15</f>
        <v>457.01</v>
      </c>
      <c r="M167" s="747">
        <f>D$14</f>
        <v>476.04</v>
      </c>
      <c r="N167" s="748">
        <f>+ROUND(J167*K167*M$16,2)</f>
        <v>0</v>
      </c>
      <c r="O167" s="744">
        <f>+ROUND(J167*K167*L167*M$16/M167,2)</f>
        <v>0</v>
      </c>
      <c r="Q167" s="960">
        <v>233495.61</v>
      </c>
      <c r="R167" s="983">
        <f>+J167+Q167</f>
        <v>233495.61</v>
      </c>
      <c r="S167" s="984">
        <f>+H167-R167</f>
        <v>-232726.11</v>
      </c>
      <c r="T167" s="710"/>
      <c r="U167" s="985">
        <f>+ROUND(Q167*$K167*$L167/$M167,2)</f>
        <v>7948765.9199999999</v>
      </c>
      <c r="V167" s="986">
        <f>+ROUND(R167*$K167*$L167/$M167,2)</f>
        <v>7948765.9199999999</v>
      </c>
      <c r="W167" s="987"/>
    </row>
    <row r="168" spans="2:23" ht="11.25" customHeight="1" thickBot="1">
      <c r="B168" s="762"/>
      <c r="C168" s="1024"/>
      <c r="D168" s="764"/>
      <c r="E168" s="765"/>
      <c r="F168" s="766"/>
      <c r="G168" s="799"/>
      <c r="H168" s="800"/>
      <c r="I168" s="767"/>
      <c r="J168" s="769"/>
      <c r="K168" s="770"/>
      <c r="L168" s="771"/>
      <c r="M168" s="772"/>
      <c r="N168" s="773"/>
      <c r="O168" s="769"/>
      <c r="Q168" s="968"/>
      <c r="R168" s="988"/>
      <c r="S168" s="989"/>
      <c r="T168" s="710"/>
      <c r="U168" s="968"/>
      <c r="V168" s="988"/>
      <c r="W168" s="989"/>
    </row>
    <row r="169" spans="2:23" ht="11.25" customHeight="1">
      <c r="B169" s="775"/>
      <c r="C169" s="776"/>
      <c r="D169" s="777"/>
      <c r="E169" s="777"/>
      <c r="F169" s="778"/>
      <c r="G169" s="779"/>
      <c r="H169" s="780">
        <f>SUM(H167:H168)</f>
        <v>769.5</v>
      </c>
      <c r="I169" s="779"/>
      <c r="J169" s="780">
        <f>SUM(J167:J168)</f>
        <v>0</v>
      </c>
      <c r="K169" s="781"/>
      <c r="L169" s="777"/>
      <c r="M169" s="946" t="s">
        <v>171</v>
      </c>
      <c r="N169" s="782">
        <f>SUM(N167:N168)</f>
        <v>0</v>
      </c>
      <c r="O169" s="783">
        <f>SUM(O167:O168)</f>
        <v>0</v>
      </c>
      <c r="Q169" s="1051">
        <f>SUM(Q167:Q168)</f>
        <v>233495.61</v>
      </c>
      <c r="R169" s="1051">
        <f>SUM(R167:R168)</f>
        <v>233495.61</v>
      </c>
      <c r="S169" s="1052">
        <f>SUM(S167:S168)</f>
        <v>-232726.11</v>
      </c>
      <c r="T169" s="964">
        <f>+U170-U169</f>
        <v>-7587460.9500000002</v>
      </c>
      <c r="U169" s="1076">
        <f>SUM(U166:U168)</f>
        <v>7948677.21</v>
      </c>
      <c r="V169" s="1077">
        <f>SUM(V166:V168)</f>
        <v>7948677.21</v>
      </c>
      <c r="W169" s="1078">
        <f>+W166-V170</f>
        <v>-7250384.3899999997</v>
      </c>
    </row>
    <row r="170" spans="2:23" ht="11.25" customHeight="1">
      <c r="B170" s="784"/>
      <c r="C170" s="785"/>
      <c r="G170" s="786"/>
      <c r="H170" s="787" t="s">
        <v>214</v>
      </c>
      <c r="I170" s="788"/>
      <c r="J170" s="789">
        <v>769.5</v>
      </c>
      <c r="K170" s="751"/>
      <c r="Q170" s="710"/>
      <c r="R170" s="710"/>
      <c r="S170" s="710"/>
      <c r="T170" s="710"/>
      <c r="U170" s="710">
        <v>361216.26</v>
      </c>
      <c r="V170" s="964">
        <f>+O169+U169</f>
        <v>7948677.21</v>
      </c>
      <c r="W170" s="710"/>
    </row>
    <row r="171" spans="2:23" ht="11.25" customHeight="1">
      <c r="B171" s="784"/>
      <c r="C171" s="785"/>
      <c r="K171" s="751"/>
    </row>
    <row r="172" spans="2:23" ht="11.25" customHeight="1">
      <c r="B172" s="1714" t="s">
        <v>198</v>
      </c>
      <c r="C172" s="1714" t="s">
        <v>199</v>
      </c>
      <c r="D172" s="1716" t="s">
        <v>601</v>
      </c>
      <c r="E172" s="1712" t="s">
        <v>200</v>
      </c>
      <c r="F172" s="1713"/>
      <c r="G172" s="1712" t="s">
        <v>201</v>
      </c>
      <c r="H172" s="1713"/>
      <c r="I172" s="1678" t="s">
        <v>202</v>
      </c>
      <c r="J172" s="1680"/>
      <c r="K172" s="1685" t="s">
        <v>203</v>
      </c>
      <c r="L172" s="1678" t="s">
        <v>204</v>
      </c>
      <c r="M172" s="1680"/>
      <c r="N172" s="1678" t="s">
        <v>423</v>
      </c>
      <c r="O172" s="1680"/>
      <c r="Q172" s="1695" t="s">
        <v>205</v>
      </c>
      <c r="R172" s="1696"/>
      <c r="S172" s="1697"/>
      <c r="T172" s="710"/>
      <c r="U172" s="1695" t="s">
        <v>331</v>
      </c>
      <c r="V172" s="1696"/>
      <c r="W172" s="1697"/>
    </row>
    <row r="173" spans="2:23" ht="21.75" customHeight="1">
      <c r="B173" s="1715"/>
      <c r="C173" s="1715"/>
      <c r="D173" s="1717"/>
      <c r="E173" s="1011" t="s">
        <v>206</v>
      </c>
      <c r="F173" s="1012" t="s">
        <v>207</v>
      </c>
      <c r="G173" s="1011" t="s">
        <v>452</v>
      </c>
      <c r="H173" s="1012" t="s">
        <v>208</v>
      </c>
      <c r="I173" s="717" t="s">
        <v>452</v>
      </c>
      <c r="J173" s="718" t="s">
        <v>208</v>
      </c>
      <c r="K173" s="1686"/>
      <c r="L173" s="717" t="s">
        <v>467</v>
      </c>
      <c r="M173" s="718" t="s">
        <v>468</v>
      </c>
      <c r="N173" s="717" t="s">
        <v>209</v>
      </c>
      <c r="O173" s="718" t="s">
        <v>210</v>
      </c>
      <c r="Q173" s="954" t="s">
        <v>211</v>
      </c>
      <c r="R173" s="978" t="s">
        <v>394</v>
      </c>
      <c r="S173" s="979" t="s">
        <v>451</v>
      </c>
      <c r="T173" s="710"/>
      <c r="U173" s="954" t="s">
        <v>211</v>
      </c>
      <c r="V173" s="978" t="s">
        <v>394</v>
      </c>
      <c r="W173" s="979" t="s">
        <v>451</v>
      </c>
    </row>
    <row r="174" spans="2:23" ht="11.25" customHeight="1">
      <c r="B174" s="722" t="s">
        <v>183</v>
      </c>
      <c r="C174" s="728"/>
      <c r="D174" s="724"/>
      <c r="E174" s="730"/>
      <c r="G174" s="726"/>
      <c r="H174" s="727"/>
      <c r="I174" s="726"/>
      <c r="J174" s="728"/>
      <c r="K174" s="729"/>
      <c r="L174" s="724"/>
      <c r="M174" s="725"/>
      <c r="N174" s="730"/>
      <c r="O174" s="728"/>
      <c r="Q174" s="957"/>
      <c r="R174" s="980"/>
      <c r="S174" s="981"/>
      <c r="T174" s="710"/>
      <c r="U174" s="957"/>
      <c r="V174" s="980"/>
      <c r="W174" s="981"/>
    </row>
    <row r="175" spans="2:23" ht="11.25" customHeight="1">
      <c r="B175" s="722" t="s">
        <v>212</v>
      </c>
      <c r="C175" s="733" t="s">
        <v>1298</v>
      </c>
      <c r="D175" s="724"/>
      <c r="E175" s="730"/>
      <c r="F175" s="802"/>
      <c r="G175" s="726"/>
      <c r="H175" s="727"/>
      <c r="I175" s="726"/>
      <c r="J175" s="727"/>
      <c r="K175" s="729"/>
      <c r="L175" s="724"/>
      <c r="M175" s="725"/>
      <c r="N175" s="730"/>
      <c r="O175" s="728"/>
      <c r="Q175" s="960"/>
      <c r="R175" s="982"/>
      <c r="S175" s="981"/>
      <c r="T175" s="710"/>
      <c r="U175" s="960">
        <v>-88.71</v>
      </c>
      <c r="V175" s="982">
        <f>+U175</f>
        <v>-88.71</v>
      </c>
      <c r="W175" s="981">
        <v>698292.82</v>
      </c>
    </row>
    <row r="176" spans="2:23" ht="11.25" customHeight="1">
      <c r="B176" s="796" t="s">
        <v>1161</v>
      </c>
      <c r="C176" s="1023" t="s">
        <v>1793</v>
      </c>
      <c r="D176" s="738" t="s">
        <v>434</v>
      </c>
      <c r="E176" s="739">
        <v>1</v>
      </c>
      <c r="F176" s="740">
        <v>0.25</v>
      </c>
      <c r="G176" s="797">
        <v>80</v>
      </c>
      <c r="H176" s="742">
        <f t="shared" ref="H176:H186" si="55">+ROUND(E176*F176*G176,2)</f>
        <v>20</v>
      </c>
      <c r="I176" s="743">
        <f>LOOKUP(B176,valoriz!$A$13:$A$242,valoriz!I$13:I$242)</f>
        <v>0</v>
      </c>
      <c r="J176" s="744">
        <f t="shared" ref="J176:J186" si="56">+ROUND(E176*F176*I176,2)</f>
        <v>0</v>
      </c>
      <c r="K176" s="745">
        <v>2.77</v>
      </c>
      <c r="L176" s="746">
        <f t="shared" ref="L176:L186" si="57">D$15</f>
        <v>457.01</v>
      </c>
      <c r="M176" s="747">
        <f t="shared" ref="M176:M186" si="58">D$14</f>
        <v>476.04</v>
      </c>
      <c r="N176" s="748">
        <f>+ROUND(J176*K176*M$16,2)</f>
        <v>0</v>
      </c>
      <c r="O176" s="744">
        <f t="shared" ref="O176:O186" si="59">+ROUND(J176*K176*L176*M$16/M176,2)</f>
        <v>0</v>
      </c>
      <c r="Q176" s="960">
        <v>233495.61</v>
      </c>
      <c r="R176" s="983">
        <f>+J176+Q176</f>
        <v>233495.61</v>
      </c>
      <c r="S176" s="984">
        <f t="shared" ref="S176:S186" si="60">+H176-R176</f>
        <v>-233475.61</v>
      </c>
      <c r="T176" s="710"/>
      <c r="U176" s="985">
        <f t="shared" ref="U176:U186" si="61">+ROUND(Q176*$K176*$L176/$M176,2)</f>
        <v>620927.29</v>
      </c>
      <c r="V176" s="986">
        <f t="shared" ref="V176:V186" si="62">+ROUND(R176*$K176*$L176/$M176,2)</f>
        <v>620927.29</v>
      </c>
      <c r="W176" s="987"/>
    </row>
    <row r="177" spans="2:23" ht="11.25" customHeight="1">
      <c r="B177" s="796" t="s">
        <v>1162</v>
      </c>
      <c r="C177" s="1023" t="s">
        <v>1794</v>
      </c>
      <c r="D177" s="738" t="s">
        <v>434</v>
      </c>
      <c r="E177" s="739">
        <v>1</v>
      </c>
      <c r="F177" s="740">
        <v>0.25</v>
      </c>
      <c r="G177" s="797">
        <v>192</v>
      </c>
      <c r="H177" s="742">
        <f t="shared" si="55"/>
        <v>48</v>
      </c>
      <c r="I177" s="743">
        <f>LOOKUP(B177,valoriz!$A$13:$A$242,valoriz!I$13:I$242)</f>
        <v>0</v>
      </c>
      <c r="J177" s="744">
        <f t="shared" si="56"/>
        <v>0</v>
      </c>
      <c r="K177" s="745">
        <f t="shared" ref="K177:K186" si="63">+K176</f>
        <v>2.77</v>
      </c>
      <c r="L177" s="746">
        <f t="shared" si="57"/>
        <v>457.01</v>
      </c>
      <c r="M177" s="747">
        <f t="shared" si="58"/>
        <v>476.04</v>
      </c>
      <c r="N177" s="748">
        <f t="shared" ref="N177:N186" si="64">+ROUND(J177*K177*M$16,2)</f>
        <v>0</v>
      </c>
      <c r="O177" s="744">
        <f t="shared" si="59"/>
        <v>0</v>
      </c>
      <c r="Q177" s="960">
        <v>1443.75</v>
      </c>
      <c r="R177" s="983">
        <f t="shared" ref="R177:R186" si="65">+J177+Q177</f>
        <v>1443.75</v>
      </c>
      <c r="S177" s="984">
        <f t="shared" si="60"/>
        <v>-1395.75</v>
      </c>
      <c r="T177" s="710"/>
      <c r="U177" s="985">
        <f t="shared" si="61"/>
        <v>3839.32</v>
      </c>
      <c r="V177" s="986">
        <f t="shared" si="62"/>
        <v>3839.32</v>
      </c>
      <c r="W177" s="987"/>
    </row>
    <row r="178" spans="2:23" ht="11.25" customHeight="1">
      <c r="B178" s="796" t="s">
        <v>1163</v>
      </c>
      <c r="C178" s="1023" t="s">
        <v>1795</v>
      </c>
      <c r="D178" s="738" t="s">
        <v>434</v>
      </c>
      <c r="E178" s="739">
        <v>1</v>
      </c>
      <c r="F178" s="740">
        <v>0.05</v>
      </c>
      <c r="G178" s="797">
        <v>80</v>
      </c>
      <c r="H178" s="742">
        <f t="shared" si="55"/>
        <v>4</v>
      </c>
      <c r="I178" s="743">
        <f>LOOKUP(B178,valoriz!$A$13:$A$242,valoriz!I$13:I$242)</f>
        <v>0.10999999999999999</v>
      </c>
      <c r="J178" s="744">
        <f t="shared" si="56"/>
        <v>0.01</v>
      </c>
      <c r="K178" s="745">
        <f t="shared" si="63"/>
        <v>2.77</v>
      </c>
      <c r="L178" s="746">
        <f t="shared" si="57"/>
        <v>457.01</v>
      </c>
      <c r="M178" s="747">
        <f t="shared" si="58"/>
        <v>476.04</v>
      </c>
      <c r="N178" s="748">
        <f t="shared" si="64"/>
        <v>0.03</v>
      </c>
      <c r="O178" s="744">
        <f t="shared" si="59"/>
        <v>0.03</v>
      </c>
      <c r="Q178" s="960">
        <v>0</v>
      </c>
      <c r="R178" s="983">
        <f t="shared" si="65"/>
        <v>0.01</v>
      </c>
      <c r="S178" s="984">
        <f t="shared" si="60"/>
        <v>3.99</v>
      </c>
      <c r="T178" s="710"/>
      <c r="U178" s="985">
        <f t="shared" si="61"/>
        <v>0</v>
      </c>
      <c r="V178" s="986">
        <f t="shared" si="62"/>
        <v>0.03</v>
      </c>
      <c r="W178" s="987"/>
    </row>
    <row r="179" spans="2:23" ht="11.25" customHeight="1">
      <c r="B179" s="796" t="s">
        <v>1164</v>
      </c>
      <c r="C179" s="1023" t="s">
        <v>1785</v>
      </c>
      <c r="D179" s="738" t="s">
        <v>433</v>
      </c>
      <c r="E179" s="739">
        <v>1</v>
      </c>
      <c r="F179" s="740">
        <v>2</v>
      </c>
      <c r="G179" s="797">
        <v>4</v>
      </c>
      <c r="H179" s="742">
        <f t="shared" si="55"/>
        <v>8</v>
      </c>
      <c r="I179" s="743">
        <f>LOOKUP(B179,valoriz!$A$13:$A$242,valoriz!I$13:I$242)</f>
        <v>0.10999999999999999</v>
      </c>
      <c r="J179" s="744">
        <f t="shared" si="56"/>
        <v>0.22</v>
      </c>
      <c r="K179" s="745">
        <f t="shared" si="63"/>
        <v>2.77</v>
      </c>
      <c r="L179" s="746">
        <f t="shared" si="57"/>
        <v>457.01</v>
      </c>
      <c r="M179" s="747">
        <f t="shared" si="58"/>
        <v>476.04</v>
      </c>
      <c r="N179" s="748">
        <f t="shared" si="64"/>
        <v>0.61</v>
      </c>
      <c r="O179" s="744">
        <f t="shared" si="59"/>
        <v>0.59</v>
      </c>
      <c r="Q179" s="960">
        <v>0</v>
      </c>
      <c r="R179" s="983">
        <f t="shared" si="65"/>
        <v>0.22</v>
      </c>
      <c r="S179" s="984">
        <f t="shared" si="60"/>
        <v>7.78</v>
      </c>
      <c r="T179" s="710"/>
      <c r="U179" s="985">
        <f t="shared" si="61"/>
        <v>0</v>
      </c>
      <c r="V179" s="986">
        <f t="shared" si="62"/>
        <v>0.59</v>
      </c>
      <c r="W179" s="987"/>
    </row>
    <row r="180" spans="2:23" ht="11.25" customHeight="1">
      <c r="B180" s="796" t="s">
        <v>1191</v>
      </c>
      <c r="C180" s="1023" t="s">
        <v>1765</v>
      </c>
      <c r="D180" s="738" t="s">
        <v>432</v>
      </c>
      <c r="E180" s="739">
        <v>1</v>
      </c>
      <c r="F180" s="740">
        <v>0.12</v>
      </c>
      <c r="G180" s="797">
        <v>4.1500000000000004</v>
      </c>
      <c r="H180" s="742">
        <f t="shared" si="55"/>
        <v>0.5</v>
      </c>
      <c r="I180" s="743">
        <f>LOOKUP(B180,valoriz!$A$13:$A$242,valoriz!I$13:I$242)</f>
        <v>0</v>
      </c>
      <c r="J180" s="744">
        <f t="shared" si="56"/>
        <v>0</v>
      </c>
      <c r="K180" s="745">
        <f t="shared" si="63"/>
        <v>2.77</v>
      </c>
      <c r="L180" s="746">
        <f>D$15</f>
        <v>457.01</v>
      </c>
      <c r="M180" s="747">
        <f>D$14</f>
        <v>476.04</v>
      </c>
      <c r="N180" s="748">
        <f>+ROUND(J180*K180*M$16,2)</f>
        <v>0</v>
      </c>
      <c r="O180" s="744">
        <f>+ROUND(J180*K180*L180*M$16/M180,2)</f>
        <v>0</v>
      </c>
      <c r="Q180" s="960">
        <v>0</v>
      </c>
      <c r="R180" s="983">
        <f>+J180+Q180</f>
        <v>0</v>
      </c>
      <c r="S180" s="984">
        <f>+H180-R180</f>
        <v>0.5</v>
      </c>
      <c r="T180" s="710"/>
      <c r="U180" s="985">
        <f t="shared" ref="U180:V183" si="66">+ROUND(Q180*$K180*$L180/$M180,2)</f>
        <v>0</v>
      </c>
      <c r="V180" s="986">
        <f t="shared" si="66"/>
        <v>0</v>
      </c>
      <c r="W180" s="987"/>
    </row>
    <row r="181" spans="2:23" ht="11.25" customHeight="1">
      <c r="B181" s="796" t="s">
        <v>1196</v>
      </c>
      <c r="C181" s="1023" t="s">
        <v>1796</v>
      </c>
      <c r="D181" s="738" t="s">
        <v>434</v>
      </c>
      <c r="E181" s="739">
        <v>1</v>
      </c>
      <c r="F181" s="740">
        <v>0.2</v>
      </c>
      <c r="G181" s="797">
        <v>10473.77</v>
      </c>
      <c r="H181" s="742">
        <f t="shared" si="55"/>
        <v>2094.75</v>
      </c>
      <c r="I181" s="1215">
        <f>LOOKUP(B181,valoriz!$A$13:$A$242,valoriz!I$13:I$242)</f>
        <v>0</v>
      </c>
      <c r="J181" s="744">
        <f t="shared" si="56"/>
        <v>0</v>
      </c>
      <c r="K181" s="745">
        <f t="shared" si="63"/>
        <v>2.77</v>
      </c>
      <c r="L181" s="746">
        <f>D$15</f>
        <v>457.01</v>
      </c>
      <c r="M181" s="747">
        <f>D$14</f>
        <v>476.04</v>
      </c>
      <c r="N181" s="748">
        <f>+ROUND(J181*K181*M$16,2)</f>
        <v>0</v>
      </c>
      <c r="O181" s="744">
        <f>+ROUND(J181*K181*L181*M$16/M181,2)</f>
        <v>0</v>
      </c>
      <c r="Q181" s="960">
        <v>0</v>
      </c>
      <c r="R181" s="983">
        <f>+J181+Q181</f>
        <v>0</v>
      </c>
      <c r="S181" s="984">
        <f>+H181-R181</f>
        <v>2094.75</v>
      </c>
      <c r="T181" s="710"/>
      <c r="U181" s="985">
        <f t="shared" si="66"/>
        <v>0</v>
      </c>
      <c r="V181" s="986">
        <f t="shared" si="66"/>
        <v>0</v>
      </c>
      <c r="W181" s="987"/>
    </row>
    <row r="182" spans="2:23" ht="11.25" customHeight="1">
      <c r="B182" s="796" t="s">
        <v>1202</v>
      </c>
      <c r="C182" s="1023" t="s">
        <v>1796</v>
      </c>
      <c r="D182" s="738" t="s">
        <v>434</v>
      </c>
      <c r="E182" s="739">
        <v>1</v>
      </c>
      <c r="F182" s="740">
        <v>0.2</v>
      </c>
      <c r="G182" s="797">
        <v>2441.1799999999998</v>
      </c>
      <c r="H182" s="742">
        <f t="shared" si="55"/>
        <v>488.24</v>
      </c>
      <c r="I182" s="1215">
        <f>LOOKUP(B182,valoriz!$A$13:$A$242,valoriz!I$13:I$242)</f>
        <v>0</v>
      </c>
      <c r="J182" s="744">
        <f t="shared" si="56"/>
        <v>0</v>
      </c>
      <c r="K182" s="745">
        <f t="shared" si="63"/>
        <v>2.77</v>
      </c>
      <c r="L182" s="746">
        <f>D$15</f>
        <v>457.01</v>
      </c>
      <c r="M182" s="747">
        <f>D$14</f>
        <v>476.04</v>
      </c>
      <c r="N182" s="748">
        <f>+ROUND(J182*K182*M$16,2)</f>
        <v>0</v>
      </c>
      <c r="O182" s="744">
        <f>+ROUND(J182*K182*L182*M$16/M182,2)</f>
        <v>0</v>
      </c>
      <c r="Q182" s="960">
        <v>0</v>
      </c>
      <c r="R182" s="983">
        <f>+J182+Q182</f>
        <v>0</v>
      </c>
      <c r="S182" s="984">
        <f>+H182-R182</f>
        <v>488.24</v>
      </c>
      <c r="T182" s="710"/>
      <c r="U182" s="985">
        <f t="shared" si="66"/>
        <v>0</v>
      </c>
      <c r="V182" s="986">
        <f t="shared" si="66"/>
        <v>0</v>
      </c>
      <c r="W182" s="987"/>
    </row>
    <row r="183" spans="2:23" ht="11.25" customHeight="1">
      <c r="B183" s="796" t="s">
        <v>1208</v>
      </c>
      <c r="C183" s="1023" t="s">
        <v>1796</v>
      </c>
      <c r="D183" s="738" t="s">
        <v>434</v>
      </c>
      <c r="E183" s="739">
        <v>1</v>
      </c>
      <c r="F183" s="740">
        <v>0.2</v>
      </c>
      <c r="G183" s="797">
        <v>7110.76</v>
      </c>
      <c r="H183" s="742">
        <f t="shared" si="55"/>
        <v>1422.15</v>
      </c>
      <c r="I183" s="1215">
        <f>LOOKUP(B183,valoriz!$A$13:$A$242,valoriz!I$13:I$242)</f>
        <v>0</v>
      </c>
      <c r="J183" s="744">
        <f t="shared" si="56"/>
        <v>0</v>
      </c>
      <c r="K183" s="745">
        <f t="shared" si="63"/>
        <v>2.77</v>
      </c>
      <c r="L183" s="746">
        <f>D$15</f>
        <v>457.01</v>
      </c>
      <c r="M183" s="747">
        <f>D$14</f>
        <v>476.04</v>
      </c>
      <c r="N183" s="748">
        <f>+ROUND(J183*K183*M$16,2)</f>
        <v>0</v>
      </c>
      <c r="O183" s="744">
        <f>+ROUND(J183*K183*L183*M$16/M183,2)</f>
        <v>0</v>
      </c>
      <c r="Q183" s="960">
        <v>0</v>
      </c>
      <c r="R183" s="983">
        <f>+J183+Q183</f>
        <v>0</v>
      </c>
      <c r="S183" s="984">
        <f>+H183-R183</f>
        <v>1422.15</v>
      </c>
      <c r="T183" s="710"/>
      <c r="U183" s="985">
        <f t="shared" si="66"/>
        <v>0</v>
      </c>
      <c r="V183" s="986">
        <f t="shared" si="66"/>
        <v>0</v>
      </c>
      <c r="W183" s="987"/>
    </row>
    <row r="184" spans="2:23" ht="11.25" customHeight="1">
      <c r="B184" s="796" t="s">
        <v>1214</v>
      </c>
      <c r="C184" s="1023" t="s">
        <v>1796</v>
      </c>
      <c r="D184" s="738" t="s">
        <v>434</v>
      </c>
      <c r="E184" s="739">
        <v>1</v>
      </c>
      <c r="F184" s="740">
        <v>0.2</v>
      </c>
      <c r="G184" s="797">
        <v>2734.96</v>
      </c>
      <c r="H184" s="742">
        <f t="shared" si="55"/>
        <v>546.99</v>
      </c>
      <c r="I184" s="743">
        <f>LOOKUP(B184,valoriz!$A$13:$A$242,valoriz!I$13:I$242)</f>
        <v>0</v>
      </c>
      <c r="J184" s="744">
        <f t="shared" si="56"/>
        <v>0</v>
      </c>
      <c r="K184" s="745">
        <f t="shared" si="63"/>
        <v>2.77</v>
      </c>
      <c r="L184" s="746">
        <f t="shared" si="57"/>
        <v>457.01</v>
      </c>
      <c r="M184" s="747">
        <f t="shared" si="58"/>
        <v>476.04</v>
      </c>
      <c r="N184" s="748">
        <f t="shared" si="64"/>
        <v>0</v>
      </c>
      <c r="O184" s="744">
        <f t="shared" si="59"/>
        <v>0</v>
      </c>
      <c r="Q184" s="960">
        <v>107.1</v>
      </c>
      <c r="R184" s="983">
        <f t="shared" si="65"/>
        <v>107.1</v>
      </c>
      <c r="S184" s="984">
        <f t="shared" si="60"/>
        <v>439.89</v>
      </c>
      <c r="T184" s="710"/>
      <c r="U184" s="985">
        <f t="shared" si="61"/>
        <v>284.81</v>
      </c>
      <c r="V184" s="986">
        <f t="shared" si="62"/>
        <v>284.81</v>
      </c>
      <c r="W184" s="987"/>
    </row>
    <row r="185" spans="2:23" ht="11.25" customHeight="1">
      <c r="B185" s="796" t="s">
        <v>1220</v>
      </c>
      <c r="C185" s="1023" t="s">
        <v>1797</v>
      </c>
      <c r="D185" s="738" t="s">
        <v>434</v>
      </c>
      <c r="E185" s="739">
        <v>1</v>
      </c>
      <c r="F185" s="740">
        <v>0.1</v>
      </c>
      <c r="G185" s="797">
        <v>3091.66</v>
      </c>
      <c r="H185" s="742">
        <f t="shared" si="55"/>
        <v>309.17</v>
      </c>
      <c r="I185" s="1215">
        <f>LOOKUP(B185,valoriz!$A$13:$A$242,valoriz!I$13:I$242)</f>
        <v>0</v>
      </c>
      <c r="J185" s="744">
        <f t="shared" si="56"/>
        <v>0</v>
      </c>
      <c r="K185" s="745">
        <f t="shared" si="63"/>
        <v>2.77</v>
      </c>
      <c r="L185" s="746">
        <f t="shared" si="57"/>
        <v>457.01</v>
      </c>
      <c r="M185" s="747">
        <f t="shared" si="58"/>
        <v>476.04</v>
      </c>
      <c r="N185" s="748">
        <f t="shared" si="64"/>
        <v>0</v>
      </c>
      <c r="O185" s="744">
        <f t="shared" si="59"/>
        <v>0</v>
      </c>
      <c r="Q185" s="960">
        <v>1268.44</v>
      </c>
      <c r="R185" s="983">
        <f t="shared" si="65"/>
        <v>1268.44</v>
      </c>
      <c r="S185" s="984">
        <f t="shared" si="60"/>
        <v>-959.27</v>
      </c>
      <c r="T185" s="710"/>
      <c r="U185" s="985">
        <f t="shared" si="61"/>
        <v>3373.12</v>
      </c>
      <c r="V185" s="986">
        <f t="shared" si="62"/>
        <v>3373.12</v>
      </c>
      <c r="W185" s="987"/>
    </row>
    <row r="186" spans="2:23" ht="11.25" customHeight="1">
      <c r="B186" s="796" t="s">
        <v>1232</v>
      </c>
      <c r="C186" s="1023" t="s">
        <v>1789</v>
      </c>
      <c r="D186" s="738" t="s">
        <v>431</v>
      </c>
      <c r="E186" s="739">
        <v>0.1</v>
      </c>
      <c r="F186" s="740">
        <v>0.2</v>
      </c>
      <c r="G186" s="797">
        <v>4165</v>
      </c>
      <c r="H186" s="742">
        <f t="shared" si="55"/>
        <v>83.3</v>
      </c>
      <c r="I186" s="743">
        <f>LOOKUP(B186,valoriz!$A$13:$A$242,valoriz!I$13:I$242)</f>
        <v>0</v>
      </c>
      <c r="J186" s="744">
        <f t="shared" si="56"/>
        <v>0</v>
      </c>
      <c r="K186" s="745">
        <f t="shared" si="63"/>
        <v>2.77</v>
      </c>
      <c r="L186" s="746">
        <f t="shared" si="57"/>
        <v>457.01</v>
      </c>
      <c r="M186" s="747">
        <f t="shared" si="58"/>
        <v>476.04</v>
      </c>
      <c r="N186" s="748">
        <f t="shared" si="64"/>
        <v>0</v>
      </c>
      <c r="O186" s="744">
        <f t="shared" si="59"/>
        <v>0</v>
      </c>
      <c r="Q186" s="960">
        <v>749.7</v>
      </c>
      <c r="R186" s="983">
        <f t="shared" si="65"/>
        <v>749.7</v>
      </c>
      <c r="S186" s="984">
        <f t="shared" si="60"/>
        <v>-666.40000000000009</v>
      </c>
      <c r="T186" s="710"/>
      <c r="U186" s="985">
        <f t="shared" si="61"/>
        <v>1993.65</v>
      </c>
      <c r="V186" s="986">
        <f t="shared" si="62"/>
        <v>1993.65</v>
      </c>
      <c r="W186" s="987"/>
    </row>
    <row r="187" spans="2:23" ht="11.25" customHeight="1" thickBot="1">
      <c r="B187" s="762"/>
      <c r="C187" s="1024"/>
      <c r="D187" s="764"/>
      <c r="E187" s="765"/>
      <c r="F187" s="766"/>
      <c r="G187" s="799"/>
      <c r="H187" s="800"/>
      <c r="I187" s="767"/>
      <c r="J187" s="769"/>
      <c r="K187" s="770"/>
      <c r="L187" s="771"/>
      <c r="M187" s="772"/>
      <c r="N187" s="773"/>
      <c r="O187" s="769"/>
      <c r="Q187" s="968"/>
      <c r="R187" s="988"/>
      <c r="S187" s="989"/>
      <c r="T187" s="710"/>
      <c r="U187" s="968"/>
      <c r="V187" s="988"/>
      <c r="W187" s="989"/>
    </row>
    <row r="188" spans="2:23" ht="11.25" customHeight="1">
      <c r="B188" s="775"/>
      <c r="C188" s="776"/>
      <c r="D188" s="777"/>
      <c r="E188" s="777"/>
      <c r="F188" s="778"/>
      <c r="G188" s="779"/>
      <c r="H188" s="780">
        <f>SUM(H176:H187)</f>
        <v>5025.1000000000004</v>
      </c>
      <c r="I188" s="779"/>
      <c r="J188" s="780">
        <f>SUM(J176:J187)</f>
        <v>0.23</v>
      </c>
      <c r="K188" s="781"/>
      <c r="L188" s="777"/>
      <c r="M188" s="946" t="s">
        <v>171</v>
      </c>
      <c r="N188" s="782">
        <f>SUM(N176:N187)</f>
        <v>0.64</v>
      </c>
      <c r="O188" s="783">
        <f>SUM(O176:O187)</f>
        <v>0.62</v>
      </c>
      <c r="Q188" s="1051">
        <f>SUM(Q176:Q187)</f>
        <v>237064.6</v>
      </c>
      <c r="R188" s="1051">
        <f>SUM(R176:R187)</f>
        <v>237064.83000000002</v>
      </c>
      <c r="S188" s="1052">
        <f>SUM(S176:S187)</f>
        <v>-232039.72999999998</v>
      </c>
      <c r="T188" s="964">
        <f>+U189-U188</f>
        <v>-269113.22000000009</v>
      </c>
      <c r="U188" s="1076">
        <f>SUM(U175:U187)</f>
        <v>630329.4800000001</v>
      </c>
      <c r="V188" s="1077">
        <f>SUM(V175:V187)</f>
        <v>630330.10000000009</v>
      </c>
      <c r="W188" s="1078">
        <f>+W175-V189</f>
        <v>67962.719999999856</v>
      </c>
    </row>
    <row r="189" spans="2:23" ht="11.25" customHeight="1">
      <c r="B189" s="784"/>
      <c r="C189" s="785"/>
      <c r="G189" s="786"/>
      <c r="H189" s="787" t="s">
        <v>214</v>
      </c>
      <c r="I189" s="788"/>
      <c r="J189" s="789">
        <v>4838.67</v>
      </c>
      <c r="K189" s="751"/>
      <c r="Q189" s="710"/>
      <c r="R189" s="710"/>
      <c r="S189" s="710"/>
      <c r="T189" s="710"/>
      <c r="U189" s="710">
        <v>361216.26</v>
      </c>
      <c r="V189" s="964">
        <f>+O188+U188</f>
        <v>630330.10000000009</v>
      </c>
      <c r="W189" s="710"/>
    </row>
    <row r="190" spans="2:23" ht="11.25" customHeight="1">
      <c r="B190" s="784"/>
      <c r="C190" s="785"/>
      <c r="K190" s="751"/>
    </row>
    <row r="191" spans="2:23" ht="11.25" customHeight="1">
      <c r="B191" s="1714" t="s">
        <v>198</v>
      </c>
      <c r="C191" s="1714" t="s">
        <v>199</v>
      </c>
      <c r="D191" s="1716" t="s">
        <v>601</v>
      </c>
      <c r="E191" s="1712" t="s">
        <v>200</v>
      </c>
      <c r="F191" s="1713"/>
      <c r="G191" s="1712" t="s">
        <v>201</v>
      </c>
      <c r="H191" s="1713"/>
      <c r="I191" s="1678" t="s">
        <v>202</v>
      </c>
      <c r="J191" s="1680"/>
      <c r="K191" s="1685" t="s">
        <v>203</v>
      </c>
      <c r="L191" s="1678" t="s">
        <v>204</v>
      </c>
      <c r="M191" s="1680"/>
      <c r="N191" s="1678" t="s">
        <v>423</v>
      </c>
      <c r="O191" s="1680"/>
      <c r="Q191" s="1695" t="s">
        <v>205</v>
      </c>
      <c r="R191" s="1696"/>
      <c r="S191" s="1697"/>
      <c r="T191" s="710"/>
      <c r="U191" s="1695" t="s">
        <v>331</v>
      </c>
      <c r="V191" s="1696"/>
      <c r="W191" s="1697"/>
    </row>
    <row r="192" spans="2:23" ht="21.75" customHeight="1">
      <c r="B192" s="1715"/>
      <c r="C192" s="1715"/>
      <c r="D192" s="1717"/>
      <c r="E192" s="1011" t="s">
        <v>206</v>
      </c>
      <c r="F192" s="1012" t="s">
        <v>207</v>
      </c>
      <c r="G192" s="1011" t="s">
        <v>452</v>
      </c>
      <c r="H192" s="1012" t="s">
        <v>208</v>
      </c>
      <c r="I192" s="717" t="s">
        <v>452</v>
      </c>
      <c r="J192" s="718" t="s">
        <v>208</v>
      </c>
      <c r="K192" s="1686"/>
      <c r="L192" s="717" t="s">
        <v>467</v>
      </c>
      <c r="M192" s="718" t="s">
        <v>468</v>
      </c>
      <c r="N192" s="717" t="s">
        <v>209</v>
      </c>
      <c r="O192" s="718" t="s">
        <v>210</v>
      </c>
      <c r="Q192" s="954" t="s">
        <v>211</v>
      </c>
      <c r="R192" s="978" t="s">
        <v>394</v>
      </c>
      <c r="S192" s="979" t="s">
        <v>451</v>
      </c>
      <c r="T192" s="710"/>
      <c r="U192" s="954" t="s">
        <v>211</v>
      </c>
      <c r="V192" s="978" t="s">
        <v>394</v>
      </c>
      <c r="W192" s="979" t="s">
        <v>451</v>
      </c>
    </row>
    <row r="193" spans="2:23" ht="11.25" customHeight="1">
      <c r="B193" s="722" t="s">
        <v>183</v>
      </c>
      <c r="C193" s="728"/>
      <c r="D193" s="724"/>
      <c r="E193" s="730"/>
      <c r="G193" s="726"/>
      <c r="H193" s="727"/>
      <c r="I193" s="726"/>
      <c r="J193" s="728"/>
      <c r="K193" s="729"/>
      <c r="L193" s="724"/>
      <c r="M193" s="725"/>
      <c r="N193" s="730"/>
      <c r="O193" s="728"/>
      <c r="Q193" s="957"/>
      <c r="R193" s="980"/>
      <c r="S193" s="981"/>
      <c r="T193" s="710"/>
      <c r="U193" s="957"/>
      <c r="V193" s="980"/>
      <c r="W193" s="981"/>
    </row>
    <row r="194" spans="2:23" ht="11.25" customHeight="1">
      <c r="B194" s="722" t="s">
        <v>212</v>
      </c>
      <c r="C194" s="733" t="s">
        <v>1299</v>
      </c>
      <c r="D194" s="724"/>
      <c r="E194" s="730"/>
      <c r="F194" s="802"/>
      <c r="G194" s="726"/>
      <c r="H194" s="727"/>
      <c r="I194" s="726"/>
      <c r="J194" s="727"/>
      <c r="K194" s="729"/>
      <c r="L194" s="724"/>
      <c r="M194" s="725"/>
      <c r="N194" s="730"/>
      <c r="O194" s="728"/>
      <c r="Q194" s="960"/>
      <c r="R194" s="982"/>
      <c r="S194" s="981"/>
      <c r="T194" s="710"/>
      <c r="U194" s="960">
        <v>-88.71</v>
      </c>
      <c r="V194" s="982">
        <f>+U194</f>
        <v>-88.71</v>
      </c>
      <c r="W194" s="981">
        <v>698292.82</v>
      </c>
    </row>
    <row r="195" spans="2:23" ht="11.25" customHeight="1">
      <c r="B195" s="796" t="s">
        <v>784</v>
      </c>
      <c r="C195" s="1023" t="s">
        <v>1802</v>
      </c>
      <c r="D195" s="738" t="s">
        <v>431</v>
      </c>
      <c r="E195" s="739">
        <v>1</v>
      </c>
      <c r="F195" s="740">
        <v>1.05</v>
      </c>
      <c r="G195" s="797">
        <v>769.5</v>
      </c>
      <c r="H195" s="742">
        <f>+ROUND(E195*F195*G195,2)</f>
        <v>807.98</v>
      </c>
      <c r="I195" s="743">
        <f>LOOKUP(B195,valoriz!$A$13:$A$242,valoriz!I$13:I$242)</f>
        <v>0</v>
      </c>
      <c r="J195" s="744">
        <f>+ROUND(E195*F195*I195,2)</f>
        <v>0</v>
      </c>
      <c r="K195" s="745">
        <v>14.39</v>
      </c>
      <c r="L195" s="746">
        <f>D$15</f>
        <v>457.01</v>
      </c>
      <c r="M195" s="747">
        <f>D$14</f>
        <v>476.04</v>
      </c>
      <c r="N195" s="748">
        <f>+ROUND(J195*K195*M$16,2)</f>
        <v>0</v>
      </c>
      <c r="O195" s="744">
        <f>+ROUND(J195*K195*L195*M$16/M195,2)</f>
        <v>0</v>
      </c>
      <c r="Q195" s="960">
        <v>233495.61</v>
      </c>
      <c r="R195" s="983">
        <f>+J195+Q195</f>
        <v>233495.61</v>
      </c>
      <c r="S195" s="984">
        <f>+H195-R195</f>
        <v>-232687.62999999998</v>
      </c>
      <c r="T195" s="710"/>
      <c r="U195" s="985">
        <f>+ROUND(Q195*$K195*$L195/$M195,2)</f>
        <v>3225683.63</v>
      </c>
      <c r="V195" s="986">
        <f>+ROUND(R195*$K195*$L195/$M195,2)</f>
        <v>3225683.63</v>
      </c>
      <c r="W195" s="987"/>
    </row>
    <row r="196" spans="2:23" ht="11.25" customHeight="1" thickBot="1">
      <c r="B196" s="762"/>
      <c r="C196" s="1024"/>
      <c r="D196" s="764"/>
      <c r="E196" s="765"/>
      <c r="F196" s="766"/>
      <c r="G196" s="799"/>
      <c r="H196" s="800"/>
      <c r="I196" s="767"/>
      <c r="J196" s="769"/>
      <c r="K196" s="770"/>
      <c r="L196" s="771"/>
      <c r="M196" s="772"/>
      <c r="N196" s="773"/>
      <c r="O196" s="769"/>
      <c r="Q196" s="968"/>
      <c r="R196" s="988"/>
      <c r="S196" s="989"/>
      <c r="T196" s="710"/>
      <c r="U196" s="968"/>
      <c r="V196" s="988"/>
      <c r="W196" s="989"/>
    </row>
    <row r="197" spans="2:23" ht="11.25" customHeight="1">
      <c r="B197" s="775"/>
      <c r="C197" s="776"/>
      <c r="D197" s="777"/>
      <c r="E197" s="777"/>
      <c r="F197" s="778"/>
      <c r="G197" s="779"/>
      <c r="H197" s="780">
        <f>SUM(H195:H196)</f>
        <v>807.98</v>
      </c>
      <c r="I197" s="779"/>
      <c r="J197" s="780">
        <f>SUM(J195:J196)</f>
        <v>0</v>
      </c>
      <c r="K197" s="781"/>
      <c r="L197" s="777"/>
      <c r="M197" s="946" t="s">
        <v>171</v>
      </c>
      <c r="N197" s="782">
        <f>SUM(N195:N196)</f>
        <v>0</v>
      </c>
      <c r="O197" s="783">
        <f>SUM(O195:O196)</f>
        <v>0</v>
      </c>
      <c r="Q197" s="1051">
        <f>SUM(Q195:Q196)</f>
        <v>233495.61</v>
      </c>
      <c r="R197" s="1051">
        <f>SUM(R195:R196)</f>
        <v>233495.61</v>
      </c>
      <c r="S197" s="1052">
        <f>SUM(S195:S196)</f>
        <v>-232687.62999999998</v>
      </c>
      <c r="T197" s="964">
        <f>+U198-U197</f>
        <v>-2864378.66</v>
      </c>
      <c r="U197" s="1076">
        <f>SUM(U194:U196)</f>
        <v>3225594.92</v>
      </c>
      <c r="V197" s="1077">
        <f>SUM(V194:V196)</f>
        <v>3225594.92</v>
      </c>
      <c r="W197" s="1078">
        <f>+W194-V198</f>
        <v>-2527302.1</v>
      </c>
    </row>
    <row r="198" spans="2:23" ht="11.25" customHeight="1">
      <c r="B198" s="784"/>
      <c r="C198" s="785"/>
      <c r="G198" s="786"/>
      <c r="H198" s="787" t="s">
        <v>214</v>
      </c>
      <c r="I198" s="788"/>
      <c r="J198" s="789">
        <v>807.98</v>
      </c>
      <c r="K198" s="751"/>
      <c r="Q198" s="710"/>
      <c r="R198" s="710"/>
      <c r="S198" s="710"/>
      <c r="T198" s="710"/>
      <c r="U198" s="710">
        <v>361216.26</v>
      </c>
      <c r="V198" s="964">
        <f>+O197+U197</f>
        <v>3225594.92</v>
      </c>
      <c r="W198" s="710"/>
    </row>
    <row r="199" spans="2:23" ht="11.25" customHeight="1">
      <c r="B199" s="784"/>
      <c r="C199" s="785"/>
      <c r="K199" s="751"/>
    </row>
    <row r="200" spans="2:23" ht="11.25" customHeight="1">
      <c r="B200" s="1714" t="s">
        <v>198</v>
      </c>
      <c r="C200" s="1714" t="s">
        <v>199</v>
      </c>
      <c r="D200" s="1716" t="s">
        <v>601</v>
      </c>
      <c r="E200" s="1712" t="s">
        <v>200</v>
      </c>
      <c r="F200" s="1713"/>
      <c r="G200" s="1712" t="s">
        <v>201</v>
      </c>
      <c r="H200" s="1713"/>
      <c r="I200" s="1678" t="s">
        <v>202</v>
      </c>
      <c r="J200" s="1680"/>
      <c r="K200" s="1685" t="s">
        <v>203</v>
      </c>
      <c r="L200" s="1678" t="s">
        <v>204</v>
      </c>
      <c r="M200" s="1680"/>
      <c r="N200" s="1678" t="s">
        <v>423</v>
      </c>
      <c r="O200" s="1680"/>
      <c r="Q200" s="1695" t="s">
        <v>205</v>
      </c>
      <c r="R200" s="1696"/>
      <c r="S200" s="1697"/>
      <c r="T200" s="710"/>
      <c r="U200" s="1695" t="s">
        <v>331</v>
      </c>
      <c r="V200" s="1696"/>
      <c r="W200" s="1697"/>
    </row>
    <row r="201" spans="2:23" ht="21.75" customHeight="1">
      <c r="B201" s="1715"/>
      <c r="C201" s="1715"/>
      <c r="D201" s="1717"/>
      <c r="E201" s="1011" t="s">
        <v>206</v>
      </c>
      <c r="F201" s="1012" t="s">
        <v>207</v>
      </c>
      <c r="G201" s="1011" t="s">
        <v>452</v>
      </c>
      <c r="H201" s="1012" t="s">
        <v>208</v>
      </c>
      <c r="I201" s="717" t="s">
        <v>452</v>
      </c>
      <c r="J201" s="718" t="s">
        <v>208</v>
      </c>
      <c r="K201" s="1686"/>
      <c r="L201" s="717" t="s">
        <v>467</v>
      </c>
      <c r="M201" s="718" t="s">
        <v>468</v>
      </c>
      <c r="N201" s="717" t="s">
        <v>209</v>
      </c>
      <c r="O201" s="718" t="s">
        <v>210</v>
      </c>
      <c r="Q201" s="954" t="s">
        <v>211</v>
      </c>
      <c r="R201" s="978" t="s">
        <v>394</v>
      </c>
      <c r="S201" s="979" t="s">
        <v>451</v>
      </c>
      <c r="T201" s="710"/>
      <c r="U201" s="954" t="s">
        <v>211</v>
      </c>
      <c r="V201" s="978" t="s">
        <v>394</v>
      </c>
      <c r="W201" s="979" t="s">
        <v>451</v>
      </c>
    </row>
    <row r="202" spans="2:23" ht="11.25" customHeight="1">
      <c r="B202" s="722" t="s">
        <v>183</v>
      </c>
      <c r="C202" s="728"/>
      <c r="D202" s="724"/>
      <c r="E202" s="730"/>
      <c r="G202" s="726"/>
      <c r="H202" s="727"/>
      <c r="I202" s="726"/>
      <c r="J202" s="728"/>
      <c r="K202" s="729"/>
      <c r="L202" s="724"/>
      <c r="M202" s="725"/>
      <c r="N202" s="730"/>
      <c r="O202" s="728"/>
      <c r="Q202" s="957"/>
      <c r="R202" s="980"/>
      <c r="S202" s="981"/>
      <c r="T202" s="710"/>
      <c r="U202" s="957"/>
      <c r="V202" s="980"/>
      <c r="W202" s="981"/>
    </row>
    <row r="203" spans="2:23" ht="11.25" customHeight="1">
      <c r="B203" s="722" t="s">
        <v>212</v>
      </c>
      <c r="C203" s="733" t="s">
        <v>1300</v>
      </c>
      <c r="D203" s="724"/>
      <c r="E203" s="730"/>
      <c r="F203" s="802"/>
      <c r="G203" s="726"/>
      <c r="H203" s="727"/>
      <c r="I203" s="726"/>
      <c r="J203" s="727"/>
      <c r="K203" s="729"/>
      <c r="L203" s="724"/>
      <c r="M203" s="725"/>
      <c r="N203" s="730"/>
      <c r="O203" s="728"/>
      <c r="Q203" s="960"/>
      <c r="R203" s="982"/>
      <c r="S203" s="981"/>
      <c r="T203" s="710"/>
      <c r="U203" s="960">
        <v>-88.71</v>
      </c>
      <c r="V203" s="982">
        <f>+U203</f>
        <v>-88.71</v>
      </c>
      <c r="W203" s="981">
        <v>698292.82</v>
      </c>
    </row>
    <row r="204" spans="2:23" ht="11.25" customHeight="1">
      <c r="B204" s="796" t="s">
        <v>1161</v>
      </c>
      <c r="C204" s="1023" t="s">
        <v>1793</v>
      </c>
      <c r="D204" s="738" t="s">
        <v>434</v>
      </c>
      <c r="E204" s="739">
        <v>1</v>
      </c>
      <c r="F204" s="740">
        <v>0.35000000000000003</v>
      </c>
      <c r="G204" s="797">
        <v>80</v>
      </c>
      <c r="H204" s="742">
        <f>+ROUND(E204*F204*G204,2)</f>
        <v>28</v>
      </c>
      <c r="I204" s="743">
        <f>LOOKUP(B204,valoriz!$A$13:$A$242,valoriz!I$13:I$242)</f>
        <v>0</v>
      </c>
      <c r="J204" s="744">
        <f>+ROUND(E204*F204*I204,2)</f>
        <v>0</v>
      </c>
      <c r="K204" s="745">
        <v>24.6</v>
      </c>
      <c r="L204" s="746">
        <f>D$15</f>
        <v>457.01</v>
      </c>
      <c r="M204" s="747">
        <f>D$14</f>
        <v>476.04</v>
      </c>
      <c r="N204" s="748">
        <f>+ROUND(J204*K204*M$16,2)</f>
        <v>0</v>
      </c>
      <c r="O204" s="744">
        <f>+ROUND(J204*K204*L204*M$16/M204,2)</f>
        <v>0</v>
      </c>
      <c r="Q204" s="960">
        <v>233495.61</v>
      </c>
      <c r="R204" s="983">
        <f>+J204+Q204</f>
        <v>233495.61</v>
      </c>
      <c r="S204" s="984">
        <f>+H204-R204</f>
        <v>-233467.61</v>
      </c>
      <c r="T204" s="710"/>
      <c r="U204" s="985">
        <f t="shared" ref="U204:V208" si="67">+ROUND(Q204*$K204*$L204/$M204,2)</f>
        <v>5514372.29</v>
      </c>
      <c r="V204" s="986">
        <f t="shared" si="67"/>
        <v>5514372.29</v>
      </c>
      <c r="W204" s="987"/>
    </row>
    <row r="205" spans="2:23" ht="11.25" customHeight="1">
      <c r="B205" s="796" t="s">
        <v>1162</v>
      </c>
      <c r="C205" s="1023" t="s">
        <v>1794</v>
      </c>
      <c r="D205" s="738" t="s">
        <v>434</v>
      </c>
      <c r="E205" s="739">
        <v>1</v>
      </c>
      <c r="F205" s="740">
        <v>0.35000000000000003</v>
      </c>
      <c r="G205" s="797">
        <v>192</v>
      </c>
      <c r="H205" s="742">
        <f>+ROUND(E205*F205*G205,2)</f>
        <v>67.2</v>
      </c>
      <c r="I205" s="743">
        <f>LOOKUP(B205,valoriz!$A$13:$A$242,valoriz!I$13:I$242)</f>
        <v>0</v>
      </c>
      <c r="J205" s="744">
        <f>+ROUND(E205*F205*I205,2)</f>
        <v>0</v>
      </c>
      <c r="K205" s="745">
        <f>+K204</f>
        <v>24.6</v>
      </c>
      <c r="L205" s="746">
        <f>D$15</f>
        <v>457.01</v>
      </c>
      <c r="M205" s="747">
        <f>D$14</f>
        <v>476.04</v>
      </c>
      <c r="N205" s="748">
        <f>+ROUND(J205*K205*M$16,2)</f>
        <v>0</v>
      </c>
      <c r="O205" s="744">
        <f>+ROUND(J205*K205*L205*M$16/M205,2)</f>
        <v>0</v>
      </c>
      <c r="Q205" s="960">
        <v>1443.75</v>
      </c>
      <c r="R205" s="983">
        <f>+J205+Q205</f>
        <v>1443.75</v>
      </c>
      <c r="S205" s="984">
        <f>+H205-R205</f>
        <v>-1376.55</v>
      </c>
      <c r="T205" s="710"/>
      <c r="U205" s="985">
        <f t="shared" si="67"/>
        <v>34096.47</v>
      </c>
      <c r="V205" s="986">
        <f t="shared" si="67"/>
        <v>34096.47</v>
      </c>
      <c r="W205" s="987"/>
    </row>
    <row r="206" spans="2:23" ht="11.25" customHeight="1">
      <c r="B206" s="796" t="s">
        <v>1164</v>
      </c>
      <c r="C206" s="1023" t="s">
        <v>1785</v>
      </c>
      <c r="D206" s="738" t="s">
        <v>433</v>
      </c>
      <c r="E206" s="739">
        <v>1</v>
      </c>
      <c r="F206" s="740">
        <v>9</v>
      </c>
      <c r="G206" s="797">
        <v>4</v>
      </c>
      <c r="H206" s="742">
        <f>+ROUND(E206*F206*G206,2)</f>
        <v>36</v>
      </c>
      <c r="I206" s="743">
        <f>LOOKUP(B206,valoriz!$A$13:$A$242,valoriz!I$13:I$242)</f>
        <v>0.10999999999999999</v>
      </c>
      <c r="J206" s="744">
        <f>+ROUND(E206*F206*I206,2)</f>
        <v>0.99</v>
      </c>
      <c r="K206" s="745">
        <f>+K205</f>
        <v>24.6</v>
      </c>
      <c r="L206" s="746">
        <f>D$15</f>
        <v>457.01</v>
      </c>
      <c r="M206" s="747">
        <f>D$14</f>
        <v>476.04</v>
      </c>
      <c r="N206" s="748">
        <f>+ROUND(J206*K206*M$16,2)</f>
        <v>24.35</v>
      </c>
      <c r="O206" s="744">
        <f>+ROUND(J206*K206*L206*M$16/M206,2)</f>
        <v>23.38</v>
      </c>
      <c r="Q206" s="960">
        <v>107.1</v>
      </c>
      <c r="R206" s="983">
        <f>+J206+Q206</f>
        <v>108.08999999999999</v>
      </c>
      <c r="S206" s="984">
        <f>+H206-R206</f>
        <v>-72.089999999999989</v>
      </c>
      <c r="T206" s="710"/>
      <c r="U206" s="985">
        <f t="shared" si="67"/>
        <v>2529.34</v>
      </c>
      <c r="V206" s="986">
        <f t="shared" si="67"/>
        <v>2552.7199999999998</v>
      </c>
      <c r="W206" s="987"/>
    </row>
    <row r="207" spans="2:23" ht="11.25" customHeight="1">
      <c r="B207" s="796" t="s">
        <v>1220</v>
      </c>
      <c r="C207" s="1023" t="s">
        <v>1797</v>
      </c>
      <c r="D207" s="738" t="s">
        <v>434</v>
      </c>
      <c r="E207" s="739">
        <v>1</v>
      </c>
      <c r="F207" s="740">
        <v>8.6800000000000002E-2</v>
      </c>
      <c r="G207" s="797">
        <v>3091.66</v>
      </c>
      <c r="H207" s="742">
        <f>+ROUND(E207*F207*G207,2)</f>
        <v>268.36</v>
      </c>
      <c r="I207" s="1215">
        <f>LOOKUP(B207,valoriz!$A$13:$A$242,valoriz!I$13:I$242)</f>
        <v>0</v>
      </c>
      <c r="J207" s="744">
        <f>+ROUND(E207*F207*I207,2)</f>
        <v>0</v>
      </c>
      <c r="K207" s="745">
        <f>+K206</f>
        <v>24.6</v>
      </c>
      <c r="L207" s="746">
        <f>D$15</f>
        <v>457.01</v>
      </c>
      <c r="M207" s="747">
        <f>D$14</f>
        <v>476.04</v>
      </c>
      <c r="N207" s="748">
        <f>+ROUND(J207*K207*M$16,2)</f>
        <v>0</v>
      </c>
      <c r="O207" s="744">
        <f>+ROUND(J207*K207*L207*M$16/M207,2)</f>
        <v>0</v>
      </c>
      <c r="Q207" s="960">
        <v>1268.44</v>
      </c>
      <c r="R207" s="983">
        <f>+J207+Q207</f>
        <v>1268.44</v>
      </c>
      <c r="S207" s="984">
        <f>+H207-R207</f>
        <v>-1000.08</v>
      </c>
      <c r="T207" s="710"/>
      <c r="U207" s="985">
        <f t="shared" si="67"/>
        <v>29956.240000000002</v>
      </c>
      <c r="V207" s="986">
        <f t="shared" si="67"/>
        <v>29956.240000000002</v>
      </c>
      <c r="W207" s="987"/>
    </row>
    <row r="208" spans="2:23" ht="11.25" customHeight="1">
      <c r="B208" s="796" t="s">
        <v>1232</v>
      </c>
      <c r="C208" s="1023" t="s">
        <v>1789</v>
      </c>
      <c r="D208" s="738" t="s">
        <v>431</v>
      </c>
      <c r="E208" s="739">
        <v>0.1</v>
      </c>
      <c r="F208" s="740">
        <v>7.0000000000000007E-2</v>
      </c>
      <c r="G208" s="797">
        <v>4165</v>
      </c>
      <c r="H208" s="742">
        <f>+ROUND(E208*F208*G208,2)</f>
        <v>29.16</v>
      </c>
      <c r="I208" s="743">
        <f>LOOKUP(B208,valoriz!$A$13:$A$242,valoriz!I$13:I$242)</f>
        <v>0</v>
      </c>
      <c r="J208" s="744">
        <f>+ROUND(E208*F208*I208,2)</f>
        <v>0</v>
      </c>
      <c r="K208" s="745">
        <f>+K207</f>
        <v>24.6</v>
      </c>
      <c r="L208" s="746">
        <f>D$15</f>
        <v>457.01</v>
      </c>
      <c r="M208" s="747">
        <f>D$14</f>
        <v>476.04</v>
      </c>
      <c r="N208" s="748">
        <f>+ROUND(J208*K208*M$16,2)</f>
        <v>0</v>
      </c>
      <c r="O208" s="744">
        <f>+ROUND(J208*K208*L208*M$16/M208,2)</f>
        <v>0</v>
      </c>
      <c r="Q208" s="960">
        <v>749.7</v>
      </c>
      <c r="R208" s="983">
        <f>+J208+Q208</f>
        <v>749.7</v>
      </c>
      <c r="S208" s="984">
        <f>+H208-R208</f>
        <v>-720.54000000000008</v>
      </c>
      <c r="T208" s="710"/>
      <c r="U208" s="985">
        <f t="shared" si="67"/>
        <v>17705.36</v>
      </c>
      <c r="V208" s="986">
        <f t="shared" si="67"/>
        <v>17705.36</v>
      </c>
      <c r="W208" s="987"/>
    </row>
    <row r="209" spans="2:23" ht="11.25" customHeight="1" thickBot="1">
      <c r="B209" s="762"/>
      <c r="C209" s="1024"/>
      <c r="D209" s="764"/>
      <c r="E209" s="765"/>
      <c r="F209" s="766"/>
      <c r="G209" s="799"/>
      <c r="H209" s="800"/>
      <c r="I209" s="767"/>
      <c r="J209" s="769"/>
      <c r="K209" s="770"/>
      <c r="L209" s="771"/>
      <c r="M209" s="772"/>
      <c r="N209" s="773"/>
      <c r="O209" s="769"/>
      <c r="Q209" s="968"/>
      <c r="R209" s="988"/>
      <c r="S209" s="989"/>
      <c r="T209" s="710"/>
      <c r="U209" s="968"/>
      <c r="V209" s="988"/>
      <c r="W209" s="989"/>
    </row>
    <row r="210" spans="2:23" ht="11.25" customHeight="1">
      <c r="B210" s="775"/>
      <c r="C210" s="776"/>
      <c r="D210" s="777"/>
      <c r="E210" s="777"/>
      <c r="F210" s="778"/>
      <c r="G210" s="779"/>
      <c r="H210" s="780">
        <f>SUM(H204:H209)</f>
        <v>428.72</v>
      </c>
      <c r="I210" s="779"/>
      <c r="J210" s="780">
        <f>SUM(J204:J209)</f>
        <v>0.99</v>
      </c>
      <c r="K210" s="781"/>
      <c r="L210" s="777"/>
      <c r="M210" s="946" t="s">
        <v>171</v>
      </c>
      <c r="N210" s="782">
        <f>SUM(N204:N209)</f>
        <v>24.35</v>
      </c>
      <c r="O210" s="783">
        <f>SUM(O204:O209)</f>
        <v>23.38</v>
      </c>
      <c r="Q210" s="1051">
        <f>SUM(Q204:Q209)</f>
        <v>237064.6</v>
      </c>
      <c r="R210" s="1051">
        <f>SUM(R204:R209)</f>
        <v>237065.59</v>
      </c>
      <c r="S210" s="1052">
        <f>SUM(S204:S209)</f>
        <v>-236636.86999999997</v>
      </c>
      <c r="T210" s="964">
        <f>+U211-U210</f>
        <v>-5237354.7300000004</v>
      </c>
      <c r="U210" s="1076">
        <f>SUM(U203:U209)</f>
        <v>5598570.9900000002</v>
      </c>
      <c r="V210" s="1077">
        <f>SUM(V203:V209)</f>
        <v>5598594.3700000001</v>
      </c>
      <c r="W210" s="1078">
        <f>+W203-V211</f>
        <v>-4900301.55</v>
      </c>
    </row>
    <row r="211" spans="2:23" ht="11.25" customHeight="1">
      <c r="B211" s="784"/>
      <c r="C211" s="785"/>
      <c r="G211" s="786"/>
      <c r="H211" s="787" t="s">
        <v>214</v>
      </c>
      <c r="I211" s="788"/>
      <c r="J211" s="789">
        <v>346.04</v>
      </c>
      <c r="K211" s="751"/>
      <c r="Q211" s="710"/>
      <c r="R211" s="710"/>
      <c r="S211" s="710"/>
      <c r="T211" s="710"/>
      <c r="U211" s="710">
        <v>361216.26</v>
      </c>
      <c r="V211" s="964">
        <f>+O210+U210</f>
        <v>5598594.3700000001</v>
      </c>
      <c r="W211" s="710"/>
    </row>
    <row r="212" spans="2:23" ht="11.25" customHeight="1">
      <c r="B212" s="784"/>
      <c r="C212" s="785"/>
      <c r="K212" s="751"/>
    </row>
    <row r="213" spans="2:23" ht="11.25" customHeight="1">
      <c r="B213" s="1714" t="s">
        <v>198</v>
      </c>
      <c r="C213" s="1714" t="s">
        <v>199</v>
      </c>
      <c r="D213" s="1716" t="s">
        <v>601</v>
      </c>
      <c r="E213" s="1712" t="s">
        <v>200</v>
      </c>
      <c r="F213" s="1713"/>
      <c r="G213" s="1712" t="s">
        <v>201</v>
      </c>
      <c r="H213" s="1713"/>
      <c r="I213" s="1678" t="s">
        <v>202</v>
      </c>
      <c r="J213" s="1680"/>
      <c r="K213" s="1685" t="s">
        <v>203</v>
      </c>
      <c r="L213" s="1678" t="s">
        <v>204</v>
      </c>
      <c r="M213" s="1680"/>
      <c r="N213" s="1678" t="s">
        <v>423</v>
      </c>
      <c r="O213" s="1680"/>
      <c r="Q213" s="1695" t="s">
        <v>205</v>
      </c>
      <c r="R213" s="1696"/>
      <c r="S213" s="1697"/>
      <c r="T213" s="710"/>
      <c r="U213" s="1695" t="s">
        <v>331</v>
      </c>
      <c r="V213" s="1696"/>
      <c r="W213" s="1697"/>
    </row>
    <row r="214" spans="2:23" ht="21.75" customHeight="1">
      <c r="B214" s="1715"/>
      <c r="C214" s="1715"/>
      <c r="D214" s="1717"/>
      <c r="E214" s="1011" t="s">
        <v>206</v>
      </c>
      <c r="F214" s="1012" t="s">
        <v>207</v>
      </c>
      <c r="G214" s="1011" t="s">
        <v>452</v>
      </c>
      <c r="H214" s="1012" t="s">
        <v>208</v>
      </c>
      <c r="I214" s="717" t="s">
        <v>452</v>
      </c>
      <c r="J214" s="718" t="s">
        <v>208</v>
      </c>
      <c r="K214" s="1686"/>
      <c r="L214" s="717" t="s">
        <v>467</v>
      </c>
      <c r="M214" s="718" t="s">
        <v>468</v>
      </c>
      <c r="N214" s="717" t="s">
        <v>209</v>
      </c>
      <c r="O214" s="718" t="s">
        <v>210</v>
      </c>
      <c r="Q214" s="954" t="s">
        <v>211</v>
      </c>
      <c r="R214" s="978" t="s">
        <v>394</v>
      </c>
      <c r="S214" s="979" t="s">
        <v>451</v>
      </c>
      <c r="T214" s="710"/>
      <c r="U214" s="954" t="s">
        <v>211</v>
      </c>
      <c r="V214" s="978" t="s">
        <v>394</v>
      </c>
      <c r="W214" s="979" t="s">
        <v>451</v>
      </c>
    </row>
    <row r="215" spans="2:23" ht="11.25" customHeight="1">
      <c r="B215" s="722" t="s">
        <v>183</v>
      </c>
      <c r="C215" s="728"/>
      <c r="D215" s="724"/>
      <c r="E215" s="730"/>
      <c r="G215" s="726"/>
      <c r="H215" s="727"/>
      <c r="I215" s="726"/>
      <c r="J215" s="728"/>
      <c r="K215" s="729"/>
      <c r="L215" s="724"/>
      <c r="M215" s="725"/>
      <c r="N215" s="730"/>
      <c r="O215" s="728"/>
      <c r="Q215" s="957"/>
      <c r="R215" s="980"/>
      <c r="S215" s="981"/>
      <c r="T215" s="710"/>
      <c r="U215" s="957"/>
      <c r="V215" s="980"/>
      <c r="W215" s="981"/>
    </row>
    <row r="216" spans="2:23" ht="11.25" customHeight="1">
      <c r="B216" s="722" t="s">
        <v>212</v>
      </c>
      <c r="C216" s="733" t="s">
        <v>1301</v>
      </c>
      <c r="D216" s="724"/>
      <c r="E216" s="730"/>
      <c r="F216" s="802"/>
      <c r="G216" s="726"/>
      <c r="H216" s="727"/>
      <c r="I216" s="726"/>
      <c r="J216" s="727"/>
      <c r="K216" s="729"/>
      <c r="L216" s="724"/>
      <c r="M216" s="725"/>
      <c r="N216" s="730"/>
      <c r="O216" s="728"/>
      <c r="Q216" s="960"/>
      <c r="R216" s="982"/>
      <c r="S216" s="981"/>
      <c r="T216" s="710"/>
      <c r="U216" s="960">
        <v>-88.71</v>
      </c>
      <c r="V216" s="982">
        <f>+U216</f>
        <v>-88.71</v>
      </c>
      <c r="W216" s="981">
        <v>698292.82</v>
      </c>
    </row>
    <row r="217" spans="2:23" ht="11.25" customHeight="1">
      <c r="B217" s="796" t="s">
        <v>1165</v>
      </c>
      <c r="C217" s="1023" t="s">
        <v>1803</v>
      </c>
      <c r="D217" s="738" t="s">
        <v>433</v>
      </c>
      <c r="E217" s="739">
        <v>1</v>
      </c>
      <c r="F217" s="740">
        <v>134</v>
      </c>
      <c r="G217" s="797">
        <v>1</v>
      </c>
      <c r="H217" s="742">
        <f>+ROUND(E217*F217*G217,2)</f>
        <v>134</v>
      </c>
      <c r="I217" s="1215">
        <f>LOOKUP(B217,valoriz!$A$13:$A$242,valoriz!I$13:I$242)</f>
        <v>0.10999999999999999</v>
      </c>
      <c r="J217" s="744">
        <f>+ROUND(E217*F217*I217,2)</f>
        <v>14.74</v>
      </c>
      <c r="K217" s="745">
        <v>76.66</v>
      </c>
      <c r="L217" s="746">
        <f>D$15</f>
        <v>457.01</v>
      </c>
      <c r="M217" s="747">
        <f>D$14</f>
        <v>476.04</v>
      </c>
      <c r="N217" s="748">
        <f>+ROUND(J217*K217*M$16,2)</f>
        <v>1129.97</v>
      </c>
      <c r="O217" s="744">
        <f>+ROUND(J217*K217*L217*M$16/M217,2)</f>
        <v>1084.8</v>
      </c>
      <c r="Q217" s="960">
        <v>233495.61</v>
      </c>
      <c r="R217" s="983">
        <f>+J217+Q217</f>
        <v>233510.34999999998</v>
      </c>
      <c r="S217" s="984">
        <f>+H217-R217</f>
        <v>-233376.34999999998</v>
      </c>
      <c r="T217" s="710"/>
      <c r="U217" s="985">
        <f>+ROUND(Q217*$K217*$L217/$M217,2)</f>
        <v>17184218.699999999</v>
      </c>
      <c r="V217" s="986">
        <f>+ROUND(R217*$K217*$L217/$M217,2)</f>
        <v>17185303.5</v>
      </c>
      <c r="W217" s="987"/>
    </row>
    <row r="218" spans="2:23" ht="11.25" customHeight="1" thickBot="1">
      <c r="B218" s="762"/>
      <c r="C218" s="1024"/>
      <c r="D218" s="764"/>
      <c r="E218" s="765"/>
      <c r="F218" s="766"/>
      <c r="G218" s="799"/>
      <c r="H218" s="800"/>
      <c r="I218" s="767"/>
      <c r="J218" s="769"/>
      <c r="K218" s="770"/>
      <c r="L218" s="771"/>
      <c r="M218" s="772"/>
      <c r="N218" s="773"/>
      <c r="O218" s="769"/>
      <c r="Q218" s="968"/>
      <c r="R218" s="988"/>
      <c r="S218" s="989"/>
      <c r="T218" s="710"/>
      <c r="U218" s="968"/>
      <c r="V218" s="988"/>
      <c r="W218" s="989"/>
    </row>
    <row r="219" spans="2:23" ht="11.25" customHeight="1">
      <c r="B219" s="775"/>
      <c r="C219" s="776"/>
      <c r="D219" s="777"/>
      <c r="E219" s="777"/>
      <c r="F219" s="778"/>
      <c r="G219" s="779"/>
      <c r="H219" s="780">
        <f>SUM(H217:H218)</f>
        <v>134</v>
      </c>
      <c r="I219" s="779"/>
      <c r="J219" s="780">
        <f>SUM(J217:J218)</f>
        <v>14.74</v>
      </c>
      <c r="K219" s="781"/>
      <c r="L219" s="777"/>
      <c r="M219" s="946" t="s">
        <v>171</v>
      </c>
      <c r="N219" s="782">
        <f>SUM(N217:N218)</f>
        <v>1129.97</v>
      </c>
      <c r="O219" s="783">
        <f>SUM(O217:O218)</f>
        <v>1084.8</v>
      </c>
      <c r="Q219" s="1051">
        <f>SUM(Q217:Q218)</f>
        <v>233495.61</v>
      </c>
      <c r="R219" s="1051">
        <f>SUM(R217:R218)</f>
        <v>233510.34999999998</v>
      </c>
      <c r="S219" s="1052">
        <f>SUM(S217:S218)</f>
        <v>-233376.34999999998</v>
      </c>
      <c r="T219" s="964">
        <f>+U220-U219</f>
        <v>-16822913.729999997</v>
      </c>
      <c r="U219" s="1076">
        <f>SUM(U216:U218)</f>
        <v>17184129.989999998</v>
      </c>
      <c r="V219" s="1077">
        <f>SUM(V216:V218)</f>
        <v>17185214.789999999</v>
      </c>
      <c r="W219" s="1078">
        <f>+W216-V220</f>
        <v>-16486921.969999999</v>
      </c>
    </row>
    <row r="220" spans="2:23" ht="11.25" customHeight="1">
      <c r="B220" s="784"/>
      <c r="C220" s="785"/>
      <c r="G220" s="786"/>
      <c r="H220" s="787" t="s">
        <v>214</v>
      </c>
      <c r="I220" s="788"/>
      <c r="J220" s="789">
        <v>108.29</v>
      </c>
      <c r="K220" s="751"/>
      <c r="Q220" s="710"/>
      <c r="R220" s="710"/>
      <c r="S220" s="710"/>
      <c r="T220" s="710"/>
      <c r="U220" s="710">
        <v>361216.26</v>
      </c>
      <c r="V220" s="964">
        <f>+O219+U219</f>
        <v>17185214.789999999</v>
      </c>
      <c r="W220" s="710"/>
    </row>
    <row r="221" spans="2:23" ht="11.25" customHeight="1">
      <c r="B221" s="784"/>
      <c r="C221" s="785"/>
      <c r="K221" s="751"/>
    </row>
    <row r="222" spans="2:23" ht="11.25" customHeight="1">
      <c r="B222" s="1714" t="s">
        <v>198</v>
      </c>
      <c r="C222" s="1714" t="s">
        <v>199</v>
      </c>
      <c r="D222" s="1716" t="s">
        <v>601</v>
      </c>
      <c r="E222" s="1712" t="s">
        <v>200</v>
      </c>
      <c r="F222" s="1713"/>
      <c r="G222" s="1712" t="s">
        <v>201</v>
      </c>
      <c r="H222" s="1713"/>
      <c r="I222" s="1678" t="s">
        <v>202</v>
      </c>
      <c r="J222" s="1680"/>
      <c r="K222" s="1685" t="s">
        <v>203</v>
      </c>
      <c r="L222" s="1678" t="s">
        <v>204</v>
      </c>
      <c r="M222" s="1680"/>
      <c r="N222" s="1678" t="s">
        <v>423</v>
      </c>
      <c r="O222" s="1680"/>
      <c r="Q222" s="1695" t="s">
        <v>205</v>
      </c>
      <c r="R222" s="1696"/>
      <c r="S222" s="1697"/>
      <c r="T222" s="710"/>
      <c r="U222" s="1695" t="s">
        <v>331</v>
      </c>
      <c r="V222" s="1696"/>
      <c r="W222" s="1697"/>
    </row>
    <row r="223" spans="2:23" ht="21.75" customHeight="1">
      <c r="B223" s="1715"/>
      <c r="C223" s="1715"/>
      <c r="D223" s="1717"/>
      <c r="E223" s="1011" t="s">
        <v>206</v>
      </c>
      <c r="F223" s="1012" t="s">
        <v>207</v>
      </c>
      <c r="G223" s="1011" t="s">
        <v>452</v>
      </c>
      <c r="H223" s="1012" t="s">
        <v>208</v>
      </c>
      <c r="I223" s="717" t="s">
        <v>452</v>
      </c>
      <c r="J223" s="718" t="s">
        <v>208</v>
      </c>
      <c r="K223" s="1686"/>
      <c r="L223" s="717" t="s">
        <v>467</v>
      </c>
      <c r="M223" s="718" t="s">
        <v>468</v>
      </c>
      <c r="N223" s="717" t="s">
        <v>209</v>
      </c>
      <c r="O223" s="718" t="s">
        <v>210</v>
      </c>
      <c r="Q223" s="954" t="s">
        <v>211</v>
      </c>
      <c r="R223" s="978" t="s">
        <v>394</v>
      </c>
      <c r="S223" s="979" t="s">
        <v>451</v>
      </c>
      <c r="T223" s="710"/>
      <c r="U223" s="954" t="s">
        <v>211</v>
      </c>
      <c r="V223" s="978" t="s">
        <v>394</v>
      </c>
      <c r="W223" s="979" t="s">
        <v>451</v>
      </c>
    </row>
    <row r="224" spans="2:23" ht="11.25" customHeight="1">
      <c r="B224" s="722" t="s">
        <v>183</v>
      </c>
      <c r="C224" s="728"/>
      <c r="D224" s="724"/>
      <c r="E224" s="730"/>
      <c r="G224" s="726"/>
      <c r="H224" s="727"/>
      <c r="I224" s="726"/>
      <c r="J224" s="728"/>
      <c r="K224" s="729"/>
      <c r="L224" s="724"/>
      <c r="M224" s="725"/>
      <c r="N224" s="730"/>
      <c r="O224" s="728"/>
      <c r="Q224" s="957"/>
      <c r="R224" s="980"/>
      <c r="S224" s="981"/>
      <c r="T224" s="710"/>
      <c r="U224" s="957"/>
      <c r="V224" s="980"/>
      <c r="W224" s="981"/>
    </row>
    <row r="225" spans="2:23" ht="11.25" customHeight="1">
      <c r="B225" s="722" t="s">
        <v>212</v>
      </c>
      <c r="C225" s="733" t="s">
        <v>1302</v>
      </c>
      <c r="D225" s="724"/>
      <c r="E225" s="730"/>
      <c r="F225" s="802"/>
      <c r="G225" s="726"/>
      <c r="H225" s="727"/>
      <c r="I225" s="726"/>
      <c r="J225" s="727"/>
      <c r="K225" s="729"/>
      <c r="L225" s="724"/>
      <c r="M225" s="725"/>
      <c r="N225" s="730"/>
      <c r="O225" s="728"/>
      <c r="Q225" s="960"/>
      <c r="R225" s="982"/>
      <c r="S225" s="981"/>
      <c r="T225" s="710"/>
      <c r="U225" s="960">
        <v>-88.71</v>
      </c>
      <c r="V225" s="982">
        <f>+U225</f>
        <v>-88.71</v>
      </c>
      <c r="W225" s="981">
        <v>698292.82</v>
      </c>
    </row>
    <row r="226" spans="2:23" ht="11.25" customHeight="1">
      <c r="B226" s="796" t="s">
        <v>783</v>
      </c>
      <c r="C226" s="1023" t="s">
        <v>1804</v>
      </c>
      <c r="D226" s="738" t="s">
        <v>431</v>
      </c>
      <c r="E226" s="739">
        <v>1</v>
      </c>
      <c r="F226" s="740">
        <v>1.05</v>
      </c>
      <c r="G226" s="797">
        <v>483</v>
      </c>
      <c r="H226" s="742">
        <f>+ROUND(E226*F226*G226,2)</f>
        <v>507.15</v>
      </c>
      <c r="I226" s="743">
        <f>LOOKUP(B226,valoriz!$A$13:$A$242,valoriz!I$13:I$242)</f>
        <v>0</v>
      </c>
      <c r="J226" s="744">
        <f>+ROUND(E226*F226*I226,2)</f>
        <v>0</v>
      </c>
      <c r="K226" s="745">
        <v>19.18</v>
      </c>
      <c r="L226" s="746">
        <f>D$15</f>
        <v>457.01</v>
      </c>
      <c r="M226" s="747">
        <f>D$14</f>
        <v>476.04</v>
      </c>
      <c r="N226" s="748">
        <f>+ROUND(J226*K226*M$16,2)</f>
        <v>0</v>
      </c>
      <c r="O226" s="744">
        <f>+ROUND(J226*K226*L226*M$16/M226,2)</f>
        <v>0</v>
      </c>
      <c r="Q226" s="960">
        <v>233495.61</v>
      </c>
      <c r="R226" s="983">
        <f>+J226+Q226</f>
        <v>233495.61</v>
      </c>
      <c r="S226" s="984">
        <f>+H226-R226</f>
        <v>-232988.46</v>
      </c>
      <c r="T226" s="710"/>
      <c r="U226" s="985">
        <f>+ROUND(Q226*$K226*$L226/$M226,2)</f>
        <v>4299417.0999999996</v>
      </c>
      <c r="V226" s="986">
        <f>+ROUND(R226*$K226*$L226/$M226,2)</f>
        <v>4299417.0999999996</v>
      </c>
      <c r="W226" s="987"/>
    </row>
    <row r="227" spans="2:23" ht="11.25" customHeight="1" thickBot="1">
      <c r="B227" s="762"/>
      <c r="C227" s="1024"/>
      <c r="D227" s="764"/>
      <c r="E227" s="765"/>
      <c r="F227" s="766"/>
      <c r="G227" s="799"/>
      <c r="H227" s="800"/>
      <c r="I227" s="767"/>
      <c r="J227" s="769"/>
      <c r="K227" s="770"/>
      <c r="L227" s="771"/>
      <c r="M227" s="772"/>
      <c r="N227" s="773"/>
      <c r="O227" s="769"/>
      <c r="Q227" s="968"/>
      <c r="R227" s="988"/>
      <c r="S227" s="989"/>
      <c r="T227" s="710"/>
      <c r="U227" s="968"/>
      <c r="V227" s="988"/>
      <c r="W227" s="989"/>
    </row>
    <row r="228" spans="2:23" ht="11.25" customHeight="1">
      <c r="B228" s="775"/>
      <c r="C228" s="776"/>
      <c r="D228" s="777"/>
      <c r="E228" s="777"/>
      <c r="F228" s="778"/>
      <c r="G228" s="779"/>
      <c r="H228" s="780">
        <f>SUM(H226:H227)</f>
        <v>507.15</v>
      </c>
      <c r="I228" s="779"/>
      <c r="J228" s="780">
        <f>SUM(J226:J227)</f>
        <v>0</v>
      </c>
      <c r="K228" s="781"/>
      <c r="L228" s="777"/>
      <c r="M228" s="946" t="s">
        <v>171</v>
      </c>
      <c r="N228" s="782">
        <f>SUM(N226:N227)</f>
        <v>0</v>
      </c>
      <c r="O228" s="783">
        <f>SUM(O226:O227)</f>
        <v>0</v>
      </c>
      <c r="Q228" s="1051">
        <f>SUM(Q226:Q227)</f>
        <v>233495.61</v>
      </c>
      <c r="R228" s="1051">
        <f>SUM(R226:R227)</f>
        <v>233495.61</v>
      </c>
      <c r="S228" s="1052">
        <f>SUM(S226:S227)</f>
        <v>-232988.46</v>
      </c>
      <c r="T228" s="964">
        <f>+U229-U228</f>
        <v>-3938112.13</v>
      </c>
      <c r="U228" s="1076">
        <f>SUM(U225:U227)</f>
        <v>4299328.3899999997</v>
      </c>
      <c r="V228" s="1077">
        <f>SUM(V225:V227)</f>
        <v>4299328.3899999997</v>
      </c>
      <c r="W228" s="1078">
        <f>+W225-V229</f>
        <v>-3601035.57</v>
      </c>
    </row>
    <row r="229" spans="2:23" ht="11.25" customHeight="1">
      <c r="B229" s="784"/>
      <c r="C229" s="785"/>
      <c r="G229" s="786"/>
      <c r="H229" s="787" t="s">
        <v>214</v>
      </c>
      <c r="I229" s="788"/>
      <c r="J229" s="789">
        <v>507.15</v>
      </c>
      <c r="K229" s="751"/>
      <c r="Q229" s="710"/>
      <c r="R229" s="710"/>
      <c r="S229" s="710"/>
      <c r="T229" s="710"/>
      <c r="U229" s="710">
        <v>361216.26</v>
      </c>
      <c r="V229" s="964">
        <f>+O228+U228</f>
        <v>4299328.3899999997</v>
      </c>
      <c r="W229" s="710"/>
    </row>
    <row r="230" spans="2:23" ht="11.25" customHeight="1">
      <c r="B230" s="784"/>
      <c r="C230" s="785"/>
      <c r="K230" s="751"/>
    </row>
    <row r="231" spans="2:23" ht="11.25" customHeight="1">
      <c r="B231" s="1714" t="s">
        <v>198</v>
      </c>
      <c r="C231" s="1714" t="s">
        <v>199</v>
      </c>
      <c r="D231" s="1716" t="s">
        <v>601</v>
      </c>
      <c r="E231" s="1712" t="s">
        <v>200</v>
      </c>
      <c r="F231" s="1713"/>
      <c r="G231" s="1712" t="s">
        <v>201</v>
      </c>
      <c r="H231" s="1713"/>
      <c r="I231" s="1678" t="s">
        <v>202</v>
      </c>
      <c r="J231" s="1680"/>
      <c r="K231" s="1685" t="s">
        <v>203</v>
      </c>
      <c r="L231" s="1678" t="s">
        <v>204</v>
      </c>
      <c r="M231" s="1680"/>
      <c r="N231" s="1678" t="s">
        <v>423</v>
      </c>
      <c r="O231" s="1680"/>
      <c r="Q231" s="1695" t="s">
        <v>205</v>
      </c>
      <c r="R231" s="1696"/>
      <c r="S231" s="1697"/>
      <c r="T231" s="710"/>
      <c r="U231" s="1695" t="s">
        <v>331</v>
      </c>
      <c r="V231" s="1696"/>
      <c r="W231" s="1697"/>
    </row>
    <row r="232" spans="2:23" ht="21.75" customHeight="1">
      <c r="B232" s="1715"/>
      <c r="C232" s="1715"/>
      <c r="D232" s="1717"/>
      <c r="E232" s="1011" t="s">
        <v>206</v>
      </c>
      <c r="F232" s="1012" t="s">
        <v>207</v>
      </c>
      <c r="G232" s="1011" t="s">
        <v>452</v>
      </c>
      <c r="H232" s="1012" t="s">
        <v>208</v>
      </c>
      <c r="I232" s="717" t="s">
        <v>452</v>
      </c>
      <c r="J232" s="718" t="s">
        <v>208</v>
      </c>
      <c r="K232" s="1686"/>
      <c r="L232" s="717" t="s">
        <v>467</v>
      </c>
      <c r="M232" s="718" t="s">
        <v>468</v>
      </c>
      <c r="N232" s="717" t="s">
        <v>209</v>
      </c>
      <c r="O232" s="718" t="s">
        <v>210</v>
      </c>
      <c r="Q232" s="954" t="s">
        <v>211</v>
      </c>
      <c r="R232" s="978" t="s">
        <v>394</v>
      </c>
      <c r="S232" s="979" t="s">
        <v>451</v>
      </c>
      <c r="T232" s="710"/>
      <c r="U232" s="954" t="s">
        <v>211</v>
      </c>
      <c r="V232" s="978" t="s">
        <v>394</v>
      </c>
      <c r="W232" s="979" t="s">
        <v>451</v>
      </c>
    </row>
    <row r="233" spans="2:23" ht="11.25" customHeight="1">
      <c r="B233" s="722" t="s">
        <v>183</v>
      </c>
      <c r="C233" s="728"/>
      <c r="D233" s="724"/>
      <c r="E233" s="730"/>
      <c r="G233" s="726"/>
      <c r="H233" s="727"/>
      <c r="I233" s="726"/>
      <c r="J233" s="728"/>
      <c r="K233" s="729"/>
      <c r="L233" s="724"/>
      <c r="M233" s="725"/>
      <c r="N233" s="730"/>
      <c r="O233" s="728"/>
      <c r="Q233" s="957"/>
      <c r="R233" s="980"/>
      <c r="S233" s="981"/>
      <c r="T233" s="710"/>
      <c r="U233" s="957"/>
      <c r="V233" s="980"/>
      <c r="W233" s="981"/>
    </row>
    <row r="234" spans="2:23" ht="11.25" customHeight="1">
      <c r="B234" s="722" t="s">
        <v>212</v>
      </c>
      <c r="C234" s="733" t="s">
        <v>1303</v>
      </c>
      <c r="D234" s="724"/>
      <c r="E234" s="730"/>
      <c r="F234" s="802"/>
      <c r="G234" s="726"/>
      <c r="H234" s="727"/>
      <c r="I234" s="726"/>
      <c r="J234" s="727"/>
      <c r="K234" s="729"/>
      <c r="L234" s="724"/>
      <c r="M234" s="725"/>
      <c r="N234" s="730"/>
      <c r="O234" s="728"/>
      <c r="Q234" s="960"/>
      <c r="R234" s="982"/>
      <c r="S234" s="981"/>
      <c r="T234" s="710"/>
      <c r="U234" s="960">
        <v>-88.71</v>
      </c>
      <c r="V234" s="982">
        <f>+U234</f>
        <v>-88.71</v>
      </c>
      <c r="W234" s="981">
        <v>698292.82</v>
      </c>
    </row>
    <row r="235" spans="2:23" ht="11.25" customHeight="1">
      <c r="B235" s="796" t="s">
        <v>1244</v>
      </c>
      <c r="C235" s="1023" t="s">
        <v>1773</v>
      </c>
      <c r="D235" s="738" t="s">
        <v>433</v>
      </c>
      <c r="E235" s="739">
        <v>1</v>
      </c>
      <c r="F235" s="740">
        <v>1</v>
      </c>
      <c r="G235" s="797">
        <v>114</v>
      </c>
      <c r="H235" s="742">
        <f>+ROUND(E235*F235*G235,2)</f>
        <v>114</v>
      </c>
      <c r="I235" s="743">
        <f>LOOKUP(B235,valoriz!$A$13:$A$242,valoriz!I$13:I$242)</f>
        <v>0</v>
      </c>
      <c r="J235" s="744">
        <f>+ROUND(E235*F235*I235,2)</f>
        <v>0</v>
      </c>
      <c r="K235" s="745">
        <v>65</v>
      </c>
      <c r="L235" s="746">
        <f>D$15</f>
        <v>457.01</v>
      </c>
      <c r="M235" s="747">
        <f>D$14</f>
        <v>476.04</v>
      </c>
      <c r="N235" s="748">
        <f>+ROUND(J235*K235*M$16,2)</f>
        <v>0</v>
      </c>
      <c r="O235" s="744">
        <f>+ROUND(J235*K235*L235*M$16/M235,2)</f>
        <v>0</v>
      </c>
      <c r="Q235" s="960">
        <v>233495.61</v>
      </c>
      <c r="R235" s="983">
        <f>+J235+Q235</f>
        <v>233495.61</v>
      </c>
      <c r="S235" s="984">
        <f>+H235-R235</f>
        <v>-233381.61</v>
      </c>
      <c r="T235" s="710"/>
      <c r="U235" s="985">
        <f>+ROUND(Q235*$K235*$L235/$M235,2)</f>
        <v>14570495.9</v>
      </c>
      <c r="V235" s="986">
        <f>+ROUND(R235*$K235*$L235/$M235,2)</f>
        <v>14570495.9</v>
      </c>
      <c r="W235" s="987"/>
    </row>
    <row r="236" spans="2:23" ht="11.25" customHeight="1" thickBot="1">
      <c r="B236" s="762"/>
      <c r="C236" s="1024"/>
      <c r="D236" s="764"/>
      <c r="E236" s="765"/>
      <c r="F236" s="766"/>
      <c r="G236" s="799"/>
      <c r="H236" s="800"/>
      <c r="I236" s="767"/>
      <c r="J236" s="769"/>
      <c r="K236" s="770"/>
      <c r="L236" s="771"/>
      <c r="M236" s="772"/>
      <c r="N236" s="773"/>
      <c r="O236" s="769"/>
      <c r="Q236" s="968"/>
      <c r="R236" s="988"/>
      <c r="S236" s="989"/>
      <c r="T236" s="710"/>
      <c r="U236" s="968"/>
      <c r="V236" s="988"/>
      <c r="W236" s="989"/>
    </row>
    <row r="237" spans="2:23" ht="11.25" customHeight="1">
      <c r="B237" s="775"/>
      <c r="C237" s="776"/>
      <c r="D237" s="777"/>
      <c r="E237" s="777"/>
      <c r="F237" s="778"/>
      <c r="G237" s="779"/>
      <c r="H237" s="780">
        <f>SUM(H235:H236)</f>
        <v>114</v>
      </c>
      <c r="I237" s="779"/>
      <c r="J237" s="780">
        <f>SUM(J235:J236)</f>
        <v>0</v>
      </c>
      <c r="K237" s="781"/>
      <c r="L237" s="777"/>
      <c r="M237" s="946" t="s">
        <v>171</v>
      </c>
      <c r="N237" s="782">
        <f>SUM(N235:N236)</f>
        <v>0</v>
      </c>
      <c r="O237" s="783">
        <f>SUM(O235:O236)</f>
        <v>0</v>
      </c>
      <c r="Q237" s="1051">
        <f>SUM(Q235:Q236)</f>
        <v>233495.61</v>
      </c>
      <c r="R237" s="1051">
        <f>SUM(R235:R236)</f>
        <v>233495.61</v>
      </c>
      <c r="S237" s="1052">
        <f>SUM(S235:S236)</f>
        <v>-233381.61</v>
      </c>
      <c r="T237" s="964">
        <f>+U238-U237</f>
        <v>-14209190.93</v>
      </c>
      <c r="U237" s="1076">
        <f>SUM(U234:U236)</f>
        <v>14570407.189999999</v>
      </c>
      <c r="V237" s="1077">
        <f>SUM(V234:V236)</f>
        <v>14570407.189999999</v>
      </c>
      <c r="W237" s="1078">
        <f>+W234-V238</f>
        <v>-13872114.369999999</v>
      </c>
    </row>
    <row r="238" spans="2:23" ht="11.25" customHeight="1">
      <c r="B238" s="784"/>
      <c r="C238" s="785"/>
      <c r="G238" s="786"/>
      <c r="H238" s="787" t="s">
        <v>214</v>
      </c>
      <c r="I238" s="788"/>
      <c r="J238" s="789">
        <v>114</v>
      </c>
      <c r="K238" s="751"/>
      <c r="Q238" s="710"/>
      <c r="R238" s="710"/>
      <c r="S238" s="710"/>
      <c r="T238" s="710"/>
      <c r="U238" s="710">
        <v>361216.26</v>
      </c>
      <c r="V238" s="964">
        <f>+O237+U237</f>
        <v>14570407.189999999</v>
      </c>
      <c r="W238" s="710"/>
    </row>
    <row r="239" spans="2:23" ht="11.25" customHeight="1">
      <c r="B239" s="784"/>
      <c r="C239" s="785"/>
      <c r="K239" s="751"/>
    </row>
    <row r="240" spans="2:23" ht="11.25" customHeight="1">
      <c r="B240" s="1714" t="s">
        <v>198</v>
      </c>
      <c r="C240" s="1714" t="s">
        <v>199</v>
      </c>
      <c r="D240" s="1716" t="s">
        <v>601</v>
      </c>
      <c r="E240" s="1712" t="s">
        <v>200</v>
      </c>
      <c r="F240" s="1713"/>
      <c r="G240" s="1712" t="s">
        <v>201</v>
      </c>
      <c r="H240" s="1713"/>
      <c r="I240" s="1678" t="s">
        <v>202</v>
      </c>
      <c r="J240" s="1680"/>
      <c r="K240" s="1685" t="s">
        <v>203</v>
      </c>
      <c r="L240" s="1678" t="s">
        <v>204</v>
      </c>
      <c r="M240" s="1680"/>
      <c r="N240" s="1678" t="s">
        <v>423</v>
      </c>
      <c r="O240" s="1680"/>
      <c r="Q240" s="1695" t="s">
        <v>205</v>
      </c>
      <c r="R240" s="1696"/>
      <c r="S240" s="1697"/>
      <c r="T240" s="710"/>
      <c r="U240" s="1695" t="s">
        <v>331</v>
      </c>
      <c r="V240" s="1696"/>
      <c r="W240" s="1697"/>
    </row>
    <row r="241" spans="2:23" ht="21.75" customHeight="1">
      <c r="B241" s="1715"/>
      <c r="C241" s="1715"/>
      <c r="D241" s="1717"/>
      <c r="E241" s="1011" t="s">
        <v>206</v>
      </c>
      <c r="F241" s="1012" t="s">
        <v>207</v>
      </c>
      <c r="G241" s="1011" t="s">
        <v>452</v>
      </c>
      <c r="H241" s="1012" t="s">
        <v>208</v>
      </c>
      <c r="I241" s="717" t="s">
        <v>452</v>
      </c>
      <c r="J241" s="718" t="s">
        <v>208</v>
      </c>
      <c r="K241" s="1686"/>
      <c r="L241" s="717" t="s">
        <v>467</v>
      </c>
      <c r="M241" s="718" t="s">
        <v>468</v>
      </c>
      <c r="N241" s="717" t="s">
        <v>209</v>
      </c>
      <c r="O241" s="718" t="s">
        <v>210</v>
      </c>
      <c r="Q241" s="954" t="s">
        <v>211</v>
      </c>
      <c r="R241" s="978" t="s">
        <v>394</v>
      </c>
      <c r="S241" s="979" t="s">
        <v>451</v>
      </c>
      <c r="T241" s="710"/>
      <c r="U241" s="954" t="s">
        <v>211</v>
      </c>
      <c r="V241" s="978" t="s">
        <v>394</v>
      </c>
      <c r="W241" s="979" t="s">
        <v>451</v>
      </c>
    </row>
    <row r="242" spans="2:23" ht="11.25" customHeight="1">
      <c r="B242" s="722" t="s">
        <v>183</v>
      </c>
      <c r="C242" s="728"/>
      <c r="D242" s="724"/>
      <c r="E242" s="730"/>
      <c r="G242" s="726"/>
      <c r="H242" s="727"/>
      <c r="I242" s="726"/>
      <c r="J242" s="728"/>
      <c r="K242" s="729"/>
      <c r="L242" s="724"/>
      <c r="M242" s="725"/>
      <c r="N242" s="730"/>
      <c r="O242" s="728"/>
      <c r="Q242" s="957"/>
      <c r="R242" s="980"/>
      <c r="S242" s="981"/>
      <c r="T242" s="710"/>
      <c r="U242" s="957"/>
      <c r="V242" s="980"/>
      <c r="W242" s="981"/>
    </row>
    <row r="243" spans="2:23" ht="11.25" customHeight="1">
      <c r="B243" s="722" t="s">
        <v>212</v>
      </c>
      <c r="C243" s="733" t="s">
        <v>1304</v>
      </c>
      <c r="D243" s="724"/>
      <c r="E243" s="730"/>
      <c r="F243" s="802"/>
      <c r="G243" s="726"/>
      <c r="H243" s="727"/>
      <c r="I243" s="726"/>
      <c r="J243" s="727"/>
      <c r="K243" s="729"/>
      <c r="L243" s="724"/>
      <c r="M243" s="725"/>
      <c r="N243" s="730"/>
      <c r="O243" s="728"/>
      <c r="Q243" s="960"/>
      <c r="R243" s="982"/>
      <c r="S243" s="981"/>
      <c r="T243" s="710"/>
      <c r="U243" s="960">
        <v>-88.71</v>
      </c>
      <c r="V243" s="982">
        <f>+U243</f>
        <v>-88.71</v>
      </c>
      <c r="W243" s="981">
        <v>698292.82</v>
      </c>
    </row>
    <row r="244" spans="2:23" ht="11.25" customHeight="1">
      <c r="B244" s="796" t="s">
        <v>1169</v>
      </c>
      <c r="C244" s="1023" t="s">
        <v>1805</v>
      </c>
      <c r="D244" s="738" t="s">
        <v>1806</v>
      </c>
      <c r="E244" s="739">
        <v>1</v>
      </c>
      <c r="F244" s="740">
        <v>10</v>
      </c>
      <c r="G244" s="797">
        <v>80.25</v>
      </c>
      <c r="H244" s="742">
        <f t="shared" ref="H244:H250" si="68">+ROUND(E244*F244*G244,2)</f>
        <v>802.5</v>
      </c>
      <c r="I244" s="743">
        <f>LOOKUP(B244,valoriz!$A$13:$A$242,valoriz!I$13:I$242)</f>
        <v>0</v>
      </c>
      <c r="J244" s="744">
        <f t="shared" ref="J244:J250" si="69">+ROUND(E244*F244*I244,2)</f>
        <v>0</v>
      </c>
      <c r="K244" s="745">
        <v>8</v>
      </c>
      <c r="L244" s="746">
        <f t="shared" ref="L244:L250" si="70">D$15</f>
        <v>457.01</v>
      </c>
      <c r="M244" s="747">
        <f t="shared" ref="M244:M250" si="71">D$14</f>
        <v>476.04</v>
      </c>
      <c r="N244" s="748">
        <f>+ROUND(J244*K244*M$16,2)</f>
        <v>0</v>
      </c>
      <c r="O244" s="744">
        <f t="shared" ref="O244:O250" si="72">+ROUND(J244*K244*L244*M$16/M244,2)</f>
        <v>0</v>
      </c>
      <c r="Q244" s="960">
        <v>233495.61</v>
      </c>
      <c r="R244" s="983">
        <f>+J244+Q244</f>
        <v>233495.61</v>
      </c>
      <c r="S244" s="984">
        <f t="shared" ref="S244:S250" si="73">+H244-R244</f>
        <v>-232693.11</v>
      </c>
      <c r="T244" s="710"/>
      <c r="U244" s="985">
        <f t="shared" ref="U244:U250" si="74">+ROUND(Q244*$K244*$L244/$M244,2)</f>
        <v>1793291.8</v>
      </c>
      <c r="V244" s="986">
        <f t="shared" ref="V244:V250" si="75">+ROUND(R244*$K244*$L244/$M244,2)</f>
        <v>1793291.8</v>
      </c>
      <c r="W244" s="987"/>
    </row>
    <row r="245" spans="2:23" ht="11.25" customHeight="1">
      <c r="B245" s="796" t="s">
        <v>1194</v>
      </c>
      <c r="C245" s="1023" t="s">
        <v>1807</v>
      </c>
      <c r="D245" s="738" t="s">
        <v>434</v>
      </c>
      <c r="E245" s="739">
        <v>1</v>
      </c>
      <c r="F245" s="740">
        <v>5.0000000000000001E-3</v>
      </c>
      <c r="G245" s="797">
        <v>2997.63</v>
      </c>
      <c r="H245" s="742">
        <f t="shared" si="68"/>
        <v>14.99</v>
      </c>
      <c r="I245" s="1215">
        <f>LOOKUP(B245,valoriz!$A$13:$A$242,valoriz!I$13:I$242)</f>
        <v>0</v>
      </c>
      <c r="J245" s="744">
        <f t="shared" si="69"/>
        <v>0</v>
      </c>
      <c r="K245" s="745">
        <f t="shared" ref="K245:K250" si="76">+K244</f>
        <v>8</v>
      </c>
      <c r="L245" s="746">
        <f t="shared" si="70"/>
        <v>457.01</v>
      </c>
      <c r="M245" s="747">
        <f t="shared" si="71"/>
        <v>476.04</v>
      </c>
      <c r="N245" s="748">
        <f t="shared" ref="N245:N250" si="77">+ROUND(J245*K245*M$16,2)</f>
        <v>0</v>
      </c>
      <c r="O245" s="744">
        <f t="shared" si="72"/>
        <v>0</v>
      </c>
      <c r="Q245" s="960">
        <v>1443.75</v>
      </c>
      <c r="R245" s="983">
        <f t="shared" ref="R245:R250" si="78">+J245+Q245</f>
        <v>1443.75</v>
      </c>
      <c r="S245" s="984">
        <f t="shared" si="73"/>
        <v>-1428.76</v>
      </c>
      <c r="T245" s="710"/>
      <c r="U245" s="985">
        <f t="shared" si="74"/>
        <v>11088.28</v>
      </c>
      <c r="V245" s="986">
        <f t="shared" si="75"/>
        <v>11088.28</v>
      </c>
      <c r="W245" s="987"/>
    </row>
    <row r="246" spans="2:23" ht="11.25" customHeight="1">
      <c r="B246" s="796" t="s">
        <v>1200</v>
      </c>
      <c r="C246" s="1023" t="s">
        <v>1807</v>
      </c>
      <c r="D246" s="738" t="s">
        <v>434</v>
      </c>
      <c r="E246" s="739">
        <v>1</v>
      </c>
      <c r="F246" s="740">
        <v>5.0000000000000001E-3</v>
      </c>
      <c r="G246" s="797">
        <v>716.52</v>
      </c>
      <c r="H246" s="742">
        <f t="shared" si="68"/>
        <v>3.58</v>
      </c>
      <c r="I246" s="1215">
        <f>LOOKUP(B246,valoriz!$A$13:$A$242,valoriz!I$13:I$242)</f>
        <v>0</v>
      </c>
      <c r="J246" s="744">
        <f t="shared" si="69"/>
        <v>0</v>
      </c>
      <c r="K246" s="745">
        <f t="shared" si="76"/>
        <v>8</v>
      </c>
      <c r="L246" s="746">
        <f t="shared" si="70"/>
        <v>457.01</v>
      </c>
      <c r="M246" s="747">
        <f t="shared" si="71"/>
        <v>476.04</v>
      </c>
      <c r="N246" s="748">
        <f t="shared" si="77"/>
        <v>0</v>
      </c>
      <c r="O246" s="744">
        <f t="shared" si="72"/>
        <v>0</v>
      </c>
      <c r="Q246" s="960">
        <v>0</v>
      </c>
      <c r="R246" s="983">
        <f t="shared" si="78"/>
        <v>0</v>
      </c>
      <c r="S246" s="984">
        <f t="shared" si="73"/>
        <v>3.58</v>
      </c>
      <c r="T246" s="710"/>
      <c r="U246" s="985">
        <f t="shared" si="74"/>
        <v>0</v>
      </c>
      <c r="V246" s="986">
        <f t="shared" si="75"/>
        <v>0</v>
      </c>
      <c r="W246" s="987"/>
    </row>
    <row r="247" spans="2:23" ht="11.25" customHeight="1">
      <c r="B247" s="796" t="s">
        <v>1206</v>
      </c>
      <c r="C247" s="1023" t="s">
        <v>1807</v>
      </c>
      <c r="D247" s="738" t="s">
        <v>434</v>
      </c>
      <c r="E247" s="739">
        <v>1</v>
      </c>
      <c r="F247" s="740">
        <v>5.0000000000000001E-3</v>
      </c>
      <c r="G247" s="797">
        <v>2349.56</v>
      </c>
      <c r="H247" s="742">
        <f t="shared" si="68"/>
        <v>11.75</v>
      </c>
      <c r="I247" s="1215">
        <f>LOOKUP(B247,valoriz!$A$13:$A$242,valoriz!I$13:I$242)</f>
        <v>0</v>
      </c>
      <c r="J247" s="744">
        <f t="shared" si="69"/>
        <v>0</v>
      </c>
      <c r="K247" s="745">
        <f t="shared" si="76"/>
        <v>8</v>
      </c>
      <c r="L247" s="746">
        <f t="shared" si="70"/>
        <v>457.01</v>
      </c>
      <c r="M247" s="747">
        <f t="shared" si="71"/>
        <v>476.04</v>
      </c>
      <c r="N247" s="748">
        <f t="shared" si="77"/>
        <v>0</v>
      </c>
      <c r="O247" s="744">
        <f t="shared" si="72"/>
        <v>0</v>
      </c>
      <c r="Q247" s="960">
        <v>0</v>
      </c>
      <c r="R247" s="983">
        <f t="shared" si="78"/>
        <v>0</v>
      </c>
      <c r="S247" s="984">
        <f t="shared" si="73"/>
        <v>11.75</v>
      </c>
      <c r="T247" s="710"/>
      <c r="U247" s="985">
        <f t="shared" si="74"/>
        <v>0</v>
      </c>
      <c r="V247" s="986">
        <f t="shared" si="75"/>
        <v>0</v>
      </c>
      <c r="W247" s="987"/>
    </row>
    <row r="248" spans="2:23" ht="11.25" customHeight="1">
      <c r="B248" s="796" t="s">
        <v>1212</v>
      </c>
      <c r="C248" s="1023" t="s">
        <v>1807</v>
      </c>
      <c r="D248" s="738" t="s">
        <v>434</v>
      </c>
      <c r="E248" s="739">
        <v>1</v>
      </c>
      <c r="F248" s="740">
        <v>5.0000000000000001E-3</v>
      </c>
      <c r="G248" s="797">
        <v>660.83</v>
      </c>
      <c r="H248" s="742">
        <f t="shared" si="68"/>
        <v>3.3</v>
      </c>
      <c r="I248" s="743">
        <f>LOOKUP(B248,valoriz!$A$13:$A$242,valoriz!I$13:I$242)</f>
        <v>0</v>
      </c>
      <c r="J248" s="744">
        <f t="shared" si="69"/>
        <v>0</v>
      </c>
      <c r="K248" s="745">
        <f t="shared" si="76"/>
        <v>8</v>
      </c>
      <c r="L248" s="746">
        <f t="shared" si="70"/>
        <v>457.01</v>
      </c>
      <c r="M248" s="747">
        <f t="shared" si="71"/>
        <v>476.04</v>
      </c>
      <c r="N248" s="748">
        <f t="shared" si="77"/>
        <v>0</v>
      </c>
      <c r="O248" s="744">
        <f t="shared" si="72"/>
        <v>0</v>
      </c>
      <c r="Q248" s="960">
        <v>107.1</v>
      </c>
      <c r="R248" s="983">
        <f t="shared" si="78"/>
        <v>107.1</v>
      </c>
      <c r="S248" s="984">
        <f t="shared" si="73"/>
        <v>-103.8</v>
      </c>
      <c r="T248" s="710"/>
      <c r="U248" s="985">
        <f t="shared" si="74"/>
        <v>822.55</v>
      </c>
      <c r="V248" s="986">
        <f t="shared" si="75"/>
        <v>822.55</v>
      </c>
      <c r="W248" s="987"/>
    </row>
    <row r="249" spans="2:23" ht="11.25" customHeight="1">
      <c r="B249" s="796" t="s">
        <v>1219</v>
      </c>
      <c r="C249" s="1023" t="s">
        <v>1808</v>
      </c>
      <c r="D249" s="738" t="s">
        <v>434</v>
      </c>
      <c r="E249" s="739">
        <v>1</v>
      </c>
      <c r="F249" s="740">
        <v>5.0000000000000001E-3</v>
      </c>
      <c r="G249" s="797">
        <v>13810.81</v>
      </c>
      <c r="H249" s="742">
        <f t="shared" si="68"/>
        <v>69.05</v>
      </c>
      <c r="I249" s="1215">
        <f>LOOKUP(B249,valoriz!$A$13:$A$242,valoriz!I$13:I$242)</f>
        <v>0</v>
      </c>
      <c r="J249" s="744">
        <f t="shared" si="69"/>
        <v>0</v>
      </c>
      <c r="K249" s="745">
        <f t="shared" si="76"/>
        <v>8</v>
      </c>
      <c r="L249" s="746">
        <f t="shared" si="70"/>
        <v>457.01</v>
      </c>
      <c r="M249" s="747">
        <f t="shared" si="71"/>
        <v>476.04</v>
      </c>
      <c r="N249" s="748">
        <f t="shared" si="77"/>
        <v>0</v>
      </c>
      <c r="O249" s="744">
        <f t="shared" si="72"/>
        <v>0</v>
      </c>
      <c r="Q249" s="960">
        <v>1268.44</v>
      </c>
      <c r="R249" s="983">
        <f t="shared" si="78"/>
        <v>1268.44</v>
      </c>
      <c r="S249" s="984">
        <f t="shared" si="73"/>
        <v>-1199.3900000000001</v>
      </c>
      <c r="T249" s="710"/>
      <c r="U249" s="985">
        <f t="shared" si="74"/>
        <v>9741.8700000000008</v>
      </c>
      <c r="V249" s="986">
        <f t="shared" si="75"/>
        <v>9741.8700000000008</v>
      </c>
      <c r="W249" s="987"/>
    </row>
    <row r="250" spans="2:23" ht="11.25" customHeight="1">
      <c r="B250" s="796" t="s">
        <v>1227</v>
      </c>
      <c r="C250" s="1023" t="s">
        <v>1808</v>
      </c>
      <c r="D250" s="738" t="s">
        <v>434</v>
      </c>
      <c r="E250" s="739">
        <v>1</v>
      </c>
      <c r="F250" s="740">
        <v>5.0000000000000001E-3</v>
      </c>
      <c r="G250" s="797">
        <v>2380</v>
      </c>
      <c r="H250" s="742">
        <f t="shared" si="68"/>
        <v>11.9</v>
      </c>
      <c r="I250" s="743">
        <f>LOOKUP(B250,valoriz!$A$13:$A$242,valoriz!I$13:I$242)</f>
        <v>0</v>
      </c>
      <c r="J250" s="744">
        <f t="shared" si="69"/>
        <v>0</v>
      </c>
      <c r="K250" s="745">
        <f t="shared" si="76"/>
        <v>8</v>
      </c>
      <c r="L250" s="746">
        <f t="shared" si="70"/>
        <v>457.01</v>
      </c>
      <c r="M250" s="747">
        <f t="shared" si="71"/>
        <v>476.04</v>
      </c>
      <c r="N250" s="748">
        <f t="shared" si="77"/>
        <v>0</v>
      </c>
      <c r="O250" s="744">
        <f t="shared" si="72"/>
        <v>0</v>
      </c>
      <c r="Q250" s="960">
        <v>749.7</v>
      </c>
      <c r="R250" s="983">
        <f t="shared" si="78"/>
        <v>749.7</v>
      </c>
      <c r="S250" s="984">
        <f t="shared" si="73"/>
        <v>-737.80000000000007</v>
      </c>
      <c r="T250" s="710"/>
      <c r="U250" s="985">
        <f t="shared" si="74"/>
        <v>5757.84</v>
      </c>
      <c r="V250" s="986">
        <f t="shared" si="75"/>
        <v>5757.84</v>
      </c>
      <c r="W250" s="987"/>
    </row>
    <row r="251" spans="2:23" ht="11.25" customHeight="1" thickBot="1">
      <c r="B251" s="762"/>
      <c r="C251" s="1024"/>
      <c r="D251" s="764"/>
      <c r="E251" s="765"/>
      <c r="F251" s="766"/>
      <c r="G251" s="799"/>
      <c r="H251" s="800"/>
      <c r="I251" s="767"/>
      <c r="J251" s="769"/>
      <c r="K251" s="770"/>
      <c r="L251" s="771"/>
      <c r="M251" s="772"/>
      <c r="N251" s="773"/>
      <c r="O251" s="769"/>
      <c r="Q251" s="968"/>
      <c r="R251" s="988"/>
      <c r="S251" s="989"/>
      <c r="T251" s="710"/>
      <c r="U251" s="968"/>
      <c r="V251" s="988"/>
      <c r="W251" s="989"/>
    </row>
    <row r="252" spans="2:23" ht="11.25" customHeight="1">
      <c r="B252" s="775"/>
      <c r="C252" s="776"/>
      <c r="D252" s="777"/>
      <c r="E252" s="777"/>
      <c r="F252" s="778"/>
      <c r="G252" s="779"/>
      <c r="H252" s="780">
        <f>SUM(H244:H251)</f>
        <v>917.06999999999994</v>
      </c>
      <c r="I252" s="779"/>
      <c r="J252" s="780">
        <f>SUM(J244:J251)</f>
        <v>0</v>
      </c>
      <c r="K252" s="781"/>
      <c r="L252" s="777"/>
      <c r="M252" s="946" t="s">
        <v>171</v>
      </c>
      <c r="N252" s="782">
        <f>SUM(N244:N251)</f>
        <v>0</v>
      </c>
      <c r="O252" s="783">
        <f>SUM(O244:O251)</f>
        <v>0</v>
      </c>
      <c r="Q252" s="1051">
        <f>SUM(Q244:Q251)</f>
        <v>237064.6</v>
      </c>
      <c r="R252" s="1051">
        <f>SUM(R244:R251)</f>
        <v>237064.6</v>
      </c>
      <c r="S252" s="1052">
        <f>SUM(S244:S251)</f>
        <v>-236147.53</v>
      </c>
      <c r="T252" s="964">
        <f>+U253-U252</f>
        <v>-1459397.3700000003</v>
      </c>
      <c r="U252" s="1076">
        <f>SUM(U243:U251)</f>
        <v>1820613.6300000004</v>
      </c>
      <c r="V252" s="1077">
        <f>SUM(V243:V251)</f>
        <v>1820613.6300000004</v>
      </c>
      <c r="W252" s="1078">
        <f>+W243-V253</f>
        <v>-1122320.8100000005</v>
      </c>
    </row>
    <row r="253" spans="2:23" ht="11.25" customHeight="1">
      <c r="B253" s="784"/>
      <c r="C253" s="785"/>
      <c r="G253" s="786"/>
      <c r="H253" s="787" t="s">
        <v>214</v>
      </c>
      <c r="I253" s="788"/>
      <c r="J253" s="789">
        <v>329.79</v>
      </c>
      <c r="K253" s="751"/>
      <c r="Q253" s="710"/>
      <c r="R253" s="710"/>
      <c r="S253" s="710"/>
      <c r="T253" s="710"/>
      <c r="U253" s="710">
        <v>361216.26</v>
      </c>
      <c r="V253" s="964">
        <f>+O252+U252</f>
        <v>1820613.6300000004</v>
      </c>
      <c r="W253" s="710"/>
    </row>
    <row r="254" spans="2:23" ht="11.25" customHeight="1">
      <c r="B254" s="784"/>
      <c r="C254" s="785"/>
      <c r="K254" s="751"/>
    </row>
    <row r="255" spans="2:23" ht="11.25" customHeight="1">
      <c r="B255" s="1714" t="s">
        <v>198</v>
      </c>
      <c r="C255" s="1714" t="s">
        <v>199</v>
      </c>
      <c r="D255" s="1716" t="s">
        <v>601</v>
      </c>
      <c r="E255" s="1712" t="s">
        <v>200</v>
      </c>
      <c r="F255" s="1713"/>
      <c r="G255" s="1712" t="s">
        <v>201</v>
      </c>
      <c r="H255" s="1713"/>
      <c r="I255" s="1678" t="s">
        <v>202</v>
      </c>
      <c r="J255" s="1680"/>
      <c r="K255" s="1685" t="s">
        <v>203</v>
      </c>
      <c r="L255" s="1678" t="s">
        <v>204</v>
      </c>
      <c r="M255" s="1680"/>
      <c r="N255" s="1678" t="s">
        <v>423</v>
      </c>
      <c r="O255" s="1680"/>
      <c r="Q255" s="1695" t="s">
        <v>205</v>
      </c>
      <c r="R255" s="1696"/>
      <c r="S255" s="1697"/>
      <c r="T255" s="710"/>
      <c r="U255" s="1695" t="s">
        <v>331</v>
      </c>
      <c r="V255" s="1696"/>
      <c r="W255" s="1697"/>
    </row>
    <row r="256" spans="2:23" ht="21.75" customHeight="1">
      <c r="B256" s="1715"/>
      <c r="C256" s="1715"/>
      <c r="D256" s="1717"/>
      <c r="E256" s="1011" t="s">
        <v>206</v>
      </c>
      <c r="F256" s="1012" t="s">
        <v>207</v>
      </c>
      <c r="G256" s="1011" t="s">
        <v>452</v>
      </c>
      <c r="H256" s="1012" t="s">
        <v>208</v>
      </c>
      <c r="I256" s="717" t="s">
        <v>452</v>
      </c>
      <c r="J256" s="718" t="s">
        <v>208</v>
      </c>
      <c r="K256" s="1686"/>
      <c r="L256" s="717" t="s">
        <v>467</v>
      </c>
      <c r="M256" s="718" t="s">
        <v>468</v>
      </c>
      <c r="N256" s="717" t="s">
        <v>209</v>
      </c>
      <c r="O256" s="718" t="s">
        <v>210</v>
      </c>
      <c r="Q256" s="954" t="s">
        <v>211</v>
      </c>
      <c r="R256" s="978" t="s">
        <v>394</v>
      </c>
      <c r="S256" s="979" t="s">
        <v>451</v>
      </c>
      <c r="T256" s="710"/>
      <c r="U256" s="954" t="s">
        <v>211</v>
      </c>
      <c r="V256" s="978" t="s">
        <v>394</v>
      </c>
      <c r="W256" s="979" t="s">
        <v>451</v>
      </c>
    </row>
    <row r="257" spans="2:23" ht="11.25" customHeight="1">
      <c r="B257" s="722" t="s">
        <v>183</v>
      </c>
      <c r="C257" s="728"/>
      <c r="D257" s="724"/>
      <c r="E257" s="730"/>
      <c r="G257" s="726"/>
      <c r="H257" s="727"/>
      <c r="I257" s="726"/>
      <c r="J257" s="728"/>
      <c r="K257" s="729"/>
      <c r="L257" s="724"/>
      <c r="M257" s="725"/>
      <c r="N257" s="730"/>
      <c r="O257" s="728"/>
      <c r="Q257" s="957"/>
      <c r="R257" s="980"/>
      <c r="S257" s="981"/>
      <c r="T257" s="710"/>
      <c r="U257" s="957"/>
      <c r="V257" s="980"/>
      <c r="W257" s="981"/>
    </row>
    <row r="258" spans="2:23" ht="11.25" customHeight="1">
      <c r="B258" s="722" t="s">
        <v>212</v>
      </c>
      <c r="C258" s="733" t="s">
        <v>1305</v>
      </c>
      <c r="D258" s="724"/>
      <c r="E258" s="730"/>
      <c r="F258" s="802"/>
      <c r="G258" s="726"/>
      <c r="H258" s="727"/>
      <c r="I258" s="726"/>
      <c r="J258" s="727"/>
      <c r="K258" s="729"/>
      <c r="L258" s="724"/>
      <c r="M258" s="725"/>
      <c r="N258" s="730"/>
      <c r="O258" s="728"/>
      <c r="Q258" s="960"/>
      <c r="R258" s="982"/>
      <c r="S258" s="981"/>
      <c r="T258" s="710"/>
      <c r="U258" s="960">
        <v>-88.71</v>
      </c>
      <c r="V258" s="982">
        <f>+U258</f>
        <v>-88.71</v>
      </c>
      <c r="W258" s="981">
        <v>698292.82</v>
      </c>
    </row>
    <row r="259" spans="2:23" ht="11.25" customHeight="1">
      <c r="B259" s="796" t="s">
        <v>1247</v>
      </c>
      <c r="C259" s="1023" t="s">
        <v>1809</v>
      </c>
      <c r="D259" s="738" t="s">
        <v>433</v>
      </c>
      <c r="E259" s="739">
        <v>1</v>
      </c>
      <c r="F259" s="740">
        <v>1</v>
      </c>
      <c r="G259" s="797">
        <v>9</v>
      </c>
      <c r="H259" s="742">
        <f>+ROUND(E259*F259*G259,2)</f>
        <v>9</v>
      </c>
      <c r="I259" s="743">
        <f>LOOKUP(B259,valoriz!$A$13:$A$242,valoriz!I$13:I$242)</f>
        <v>0</v>
      </c>
      <c r="J259" s="744">
        <f>+ROUND(E259*F259*I259,2)</f>
        <v>0</v>
      </c>
      <c r="K259" s="745">
        <v>802.44</v>
      </c>
      <c r="L259" s="746">
        <f>D$15</f>
        <v>457.01</v>
      </c>
      <c r="M259" s="747">
        <f>D$14</f>
        <v>476.04</v>
      </c>
      <c r="N259" s="748">
        <f>+ROUND(J259*K259*M$16,2)</f>
        <v>0</v>
      </c>
      <c r="O259" s="744">
        <f>+ROUND(J259*K259*L259*M$16/M259,2)</f>
        <v>0</v>
      </c>
      <c r="Q259" s="960">
        <v>233495.61</v>
      </c>
      <c r="R259" s="983">
        <f>+J259+Q259</f>
        <v>233495.61</v>
      </c>
      <c r="S259" s="984">
        <f>+H259-R259</f>
        <v>-233486.61</v>
      </c>
      <c r="T259" s="710"/>
      <c r="U259" s="985">
        <f>+ROUND(Q259*$K259*$L259/$M259,2)</f>
        <v>179876134.28</v>
      </c>
      <c r="V259" s="986">
        <f>+ROUND(R259*$K259*$L259/$M259,2)</f>
        <v>179876134.28</v>
      </c>
      <c r="W259" s="987"/>
    </row>
    <row r="260" spans="2:23" ht="11.25" customHeight="1" thickBot="1">
      <c r="B260" s="762"/>
      <c r="C260" s="1024"/>
      <c r="D260" s="764"/>
      <c r="E260" s="765"/>
      <c r="F260" s="766"/>
      <c r="G260" s="799"/>
      <c r="H260" s="800"/>
      <c r="I260" s="767"/>
      <c r="J260" s="769"/>
      <c r="K260" s="770"/>
      <c r="L260" s="771"/>
      <c r="M260" s="772"/>
      <c r="N260" s="773"/>
      <c r="O260" s="769"/>
      <c r="Q260" s="968"/>
      <c r="R260" s="988"/>
      <c r="S260" s="989"/>
      <c r="T260" s="710"/>
      <c r="U260" s="968"/>
      <c r="V260" s="988"/>
      <c r="W260" s="989"/>
    </row>
    <row r="261" spans="2:23" ht="11.25" customHeight="1">
      <c r="B261" s="775"/>
      <c r="C261" s="776"/>
      <c r="D261" s="777"/>
      <c r="E261" s="777"/>
      <c r="F261" s="778"/>
      <c r="G261" s="779"/>
      <c r="H261" s="780">
        <f>SUM(H259:H260)</f>
        <v>9</v>
      </c>
      <c r="I261" s="779"/>
      <c r="J261" s="780">
        <f>SUM(J259:J260)</f>
        <v>0</v>
      </c>
      <c r="K261" s="781"/>
      <c r="L261" s="777"/>
      <c r="M261" s="946" t="s">
        <v>171</v>
      </c>
      <c r="N261" s="782">
        <f>SUM(N259:N260)</f>
        <v>0</v>
      </c>
      <c r="O261" s="783">
        <f>SUM(O259:O260)</f>
        <v>0</v>
      </c>
      <c r="Q261" s="1051">
        <f>SUM(Q259:Q260)</f>
        <v>233495.61</v>
      </c>
      <c r="R261" s="1051">
        <f>SUM(R259:R260)</f>
        <v>233495.61</v>
      </c>
      <c r="S261" s="1052">
        <f>SUM(S259:S260)</f>
        <v>-233486.61</v>
      </c>
      <c r="T261" s="964">
        <f>+U262-U261</f>
        <v>-179514829.31</v>
      </c>
      <c r="U261" s="1076">
        <f>SUM(U258:U260)</f>
        <v>179876045.56999999</v>
      </c>
      <c r="V261" s="1077">
        <f>SUM(V258:V260)</f>
        <v>179876045.56999999</v>
      </c>
      <c r="W261" s="1078">
        <f>+W258-V262</f>
        <v>-179177752.75</v>
      </c>
    </row>
    <row r="262" spans="2:23" ht="11.25" customHeight="1">
      <c r="B262" s="784"/>
      <c r="C262" s="785"/>
      <c r="G262" s="786"/>
      <c r="H262" s="787" t="s">
        <v>214</v>
      </c>
      <c r="I262" s="788"/>
      <c r="J262" s="789">
        <v>9</v>
      </c>
      <c r="K262" s="751"/>
      <c r="Q262" s="710"/>
      <c r="R262" s="710"/>
      <c r="S262" s="710"/>
      <c r="T262" s="710"/>
      <c r="U262" s="710">
        <v>361216.26</v>
      </c>
      <c r="V262" s="964">
        <f>+O261+U261</f>
        <v>179876045.56999999</v>
      </c>
      <c r="W262" s="710"/>
    </row>
    <row r="263" spans="2:23" ht="11.25" customHeight="1">
      <c r="B263" s="784"/>
      <c r="C263" s="785"/>
      <c r="K263" s="751"/>
    </row>
    <row r="264" spans="2:23" ht="11.25" customHeight="1">
      <c r="B264" s="1714" t="s">
        <v>198</v>
      </c>
      <c r="C264" s="1714" t="s">
        <v>199</v>
      </c>
      <c r="D264" s="1716" t="s">
        <v>601</v>
      </c>
      <c r="E264" s="1712" t="s">
        <v>200</v>
      </c>
      <c r="F264" s="1713"/>
      <c r="G264" s="1712" t="s">
        <v>201</v>
      </c>
      <c r="H264" s="1713"/>
      <c r="I264" s="1678" t="s">
        <v>202</v>
      </c>
      <c r="J264" s="1680"/>
      <c r="K264" s="1685" t="s">
        <v>203</v>
      </c>
      <c r="L264" s="1678" t="s">
        <v>204</v>
      </c>
      <c r="M264" s="1680"/>
      <c r="N264" s="1678" t="s">
        <v>423</v>
      </c>
      <c r="O264" s="1680"/>
      <c r="Q264" s="1695" t="s">
        <v>205</v>
      </c>
      <c r="R264" s="1696"/>
      <c r="S264" s="1697"/>
      <c r="T264" s="710"/>
      <c r="U264" s="1695" t="s">
        <v>331</v>
      </c>
      <c r="V264" s="1696"/>
      <c r="W264" s="1697"/>
    </row>
    <row r="265" spans="2:23" ht="21.75" customHeight="1">
      <c r="B265" s="1715"/>
      <c r="C265" s="1715"/>
      <c r="D265" s="1717"/>
      <c r="E265" s="1011" t="s">
        <v>206</v>
      </c>
      <c r="F265" s="1012" t="s">
        <v>207</v>
      </c>
      <c r="G265" s="1011" t="s">
        <v>452</v>
      </c>
      <c r="H265" s="1012" t="s">
        <v>208</v>
      </c>
      <c r="I265" s="717" t="s">
        <v>452</v>
      </c>
      <c r="J265" s="718" t="s">
        <v>208</v>
      </c>
      <c r="K265" s="1686"/>
      <c r="L265" s="717" t="s">
        <v>467</v>
      </c>
      <c r="M265" s="718" t="s">
        <v>468</v>
      </c>
      <c r="N265" s="717" t="s">
        <v>209</v>
      </c>
      <c r="O265" s="718" t="s">
        <v>210</v>
      </c>
      <c r="Q265" s="954" t="s">
        <v>211</v>
      </c>
      <c r="R265" s="978" t="s">
        <v>394</v>
      </c>
      <c r="S265" s="979" t="s">
        <v>451</v>
      </c>
      <c r="T265" s="710"/>
      <c r="U265" s="954" t="s">
        <v>211</v>
      </c>
      <c r="V265" s="978" t="s">
        <v>394</v>
      </c>
      <c r="W265" s="979" t="s">
        <v>451</v>
      </c>
    </row>
    <row r="266" spans="2:23" ht="11.25" customHeight="1">
      <c r="B266" s="722" t="s">
        <v>183</v>
      </c>
      <c r="C266" s="728"/>
      <c r="D266" s="724"/>
      <c r="E266" s="730"/>
      <c r="G266" s="726"/>
      <c r="H266" s="727"/>
      <c r="I266" s="726"/>
      <c r="J266" s="728"/>
      <c r="K266" s="729"/>
      <c r="L266" s="724"/>
      <c r="M266" s="725"/>
      <c r="N266" s="730"/>
      <c r="O266" s="728"/>
      <c r="Q266" s="957"/>
      <c r="R266" s="980"/>
      <c r="S266" s="981"/>
      <c r="T266" s="710"/>
      <c r="U266" s="957"/>
      <c r="V266" s="980"/>
      <c r="W266" s="981"/>
    </row>
    <row r="267" spans="2:23" ht="11.25" customHeight="1">
      <c r="B267" s="722" t="s">
        <v>212</v>
      </c>
      <c r="C267" s="733" t="s">
        <v>1306</v>
      </c>
      <c r="D267" s="724"/>
      <c r="E267" s="730"/>
      <c r="F267" s="802"/>
      <c r="G267" s="726"/>
      <c r="H267" s="727"/>
      <c r="I267" s="726"/>
      <c r="J267" s="727"/>
      <c r="K267" s="729"/>
      <c r="L267" s="724"/>
      <c r="M267" s="725"/>
      <c r="N267" s="730"/>
      <c r="O267" s="728"/>
      <c r="Q267" s="960"/>
      <c r="R267" s="982"/>
      <c r="S267" s="981"/>
      <c r="T267" s="710"/>
      <c r="U267" s="960">
        <v>-88.71</v>
      </c>
      <c r="V267" s="982">
        <f>+U267</f>
        <v>-88.71</v>
      </c>
      <c r="W267" s="981">
        <v>698292.82</v>
      </c>
    </row>
    <row r="268" spans="2:23" ht="11.25" customHeight="1">
      <c r="B268" s="796" t="s">
        <v>1239</v>
      </c>
      <c r="C268" s="1023" t="s">
        <v>1810</v>
      </c>
      <c r="D268" s="738" t="s">
        <v>433</v>
      </c>
      <c r="E268" s="739">
        <v>1</v>
      </c>
      <c r="F268" s="740">
        <v>1</v>
      </c>
      <c r="G268" s="797">
        <v>109</v>
      </c>
      <c r="H268" s="742">
        <f>+ROUND(E268*F268*G268,2)</f>
        <v>109</v>
      </c>
      <c r="I268" s="743">
        <f>LOOKUP(B268,valoriz!$A$13:$A$242,valoriz!I$13:I$242)</f>
        <v>290.75000000000017</v>
      </c>
      <c r="J268" s="744">
        <f>+ROUND(E268*F268*I268,2)</f>
        <v>290.75</v>
      </c>
      <c r="K268" s="745">
        <v>50</v>
      </c>
      <c r="L268" s="746">
        <f>D$15</f>
        <v>457.01</v>
      </c>
      <c r="M268" s="747">
        <f>D$14</f>
        <v>476.04</v>
      </c>
      <c r="N268" s="748">
        <f>+ROUND(J268*K268*M$16,2)</f>
        <v>14537.5</v>
      </c>
      <c r="O268" s="744">
        <f>+ROUND(J268*K268*L268*M$16/M268,2)</f>
        <v>13956.35</v>
      </c>
      <c r="Q268" s="960">
        <v>233495.61</v>
      </c>
      <c r="R268" s="983">
        <f>+J268+Q268</f>
        <v>233786.36</v>
      </c>
      <c r="S268" s="984">
        <f>+H268-R268</f>
        <v>-233677.36</v>
      </c>
      <c r="T268" s="710"/>
      <c r="U268" s="985">
        <f>+ROUND(Q268*$K268*$L268/$M268,2)</f>
        <v>11208073.77</v>
      </c>
      <c r="V268" s="986">
        <f>+ROUND(R268*$K268*$L268/$M268,2)</f>
        <v>11222030.119999999</v>
      </c>
      <c r="W268" s="987"/>
    </row>
    <row r="269" spans="2:23" ht="11.25" customHeight="1" thickBot="1">
      <c r="B269" s="762"/>
      <c r="C269" s="1024"/>
      <c r="D269" s="764"/>
      <c r="E269" s="765"/>
      <c r="F269" s="766"/>
      <c r="G269" s="799"/>
      <c r="H269" s="800"/>
      <c r="I269" s="767"/>
      <c r="J269" s="769"/>
      <c r="K269" s="770"/>
      <c r="L269" s="771"/>
      <c r="M269" s="772"/>
      <c r="N269" s="773"/>
      <c r="O269" s="769"/>
      <c r="Q269" s="968"/>
      <c r="R269" s="988"/>
      <c r="S269" s="989"/>
      <c r="T269" s="710"/>
      <c r="U269" s="968"/>
      <c r="V269" s="988"/>
      <c r="W269" s="989"/>
    </row>
    <row r="270" spans="2:23" ht="11.25" customHeight="1">
      <c r="B270" s="775"/>
      <c r="C270" s="776"/>
      <c r="D270" s="777"/>
      <c r="E270" s="777"/>
      <c r="F270" s="778"/>
      <c r="G270" s="779"/>
      <c r="H270" s="780">
        <f>SUM(H268:H269)</f>
        <v>109</v>
      </c>
      <c r="I270" s="779"/>
      <c r="J270" s="780">
        <f>SUM(J268:J269)</f>
        <v>290.75</v>
      </c>
      <c r="K270" s="781"/>
      <c r="L270" s="777"/>
      <c r="M270" s="946" t="s">
        <v>171</v>
      </c>
      <c r="N270" s="782">
        <f>SUM(N268:N269)</f>
        <v>14537.5</v>
      </c>
      <c r="O270" s="783">
        <f>SUM(O268:O269)</f>
        <v>13956.35</v>
      </c>
      <c r="Q270" s="1051">
        <f>SUM(Q268:Q269)</f>
        <v>233495.61</v>
      </c>
      <c r="R270" s="1051">
        <f>SUM(R268:R269)</f>
        <v>233786.36</v>
      </c>
      <c r="S270" s="1052">
        <f>SUM(S268:S269)</f>
        <v>-233677.36</v>
      </c>
      <c r="T270" s="964">
        <f>+U271-U270</f>
        <v>-10846768.799999999</v>
      </c>
      <c r="U270" s="1076">
        <f>SUM(U267:U269)</f>
        <v>11207985.059999999</v>
      </c>
      <c r="V270" s="1077">
        <f>SUM(V267:V269)</f>
        <v>11221941.409999998</v>
      </c>
      <c r="W270" s="1078">
        <f>+W267-V271</f>
        <v>-10523648.589999998</v>
      </c>
    </row>
    <row r="271" spans="2:23" ht="11.25" customHeight="1">
      <c r="B271" s="784"/>
      <c r="C271" s="785"/>
      <c r="G271" s="786"/>
      <c r="H271" s="787" t="s">
        <v>214</v>
      </c>
      <c r="I271" s="788"/>
      <c r="J271" s="789">
        <v>109</v>
      </c>
      <c r="K271" s="751"/>
      <c r="Q271" s="710"/>
      <c r="R271" s="710"/>
      <c r="S271" s="710"/>
      <c r="T271" s="710"/>
      <c r="U271" s="710">
        <v>361216.26</v>
      </c>
      <c r="V271" s="964">
        <f>+O270+U270</f>
        <v>11221941.409999998</v>
      </c>
      <c r="W271" s="710"/>
    </row>
    <row r="272" spans="2:23" ht="11.25" customHeight="1">
      <c r="B272" s="784"/>
      <c r="C272" s="785"/>
      <c r="K272" s="751"/>
    </row>
    <row r="273" spans="2:23" ht="11.25" customHeight="1">
      <c r="B273" s="1714" t="s">
        <v>198</v>
      </c>
      <c r="C273" s="1714" t="s">
        <v>199</v>
      </c>
      <c r="D273" s="1716" t="s">
        <v>601</v>
      </c>
      <c r="E273" s="1712" t="s">
        <v>200</v>
      </c>
      <c r="F273" s="1713"/>
      <c r="G273" s="1712" t="s">
        <v>201</v>
      </c>
      <c r="H273" s="1713"/>
      <c r="I273" s="1678" t="s">
        <v>202</v>
      </c>
      <c r="J273" s="1680"/>
      <c r="K273" s="1685" t="s">
        <v>203</v>
      </c>
      <c r="L273" s="1678" t="s">
        <v>204</v>
      </c>
      <c r="M273" s="1680"/>
      <c r="N273" s="1678" t="s">
        <v>423</v>
      </c>
      <c r="O273" s="1680"/>
      <c r="Q273" s="1695" t="s">
        <v>205</v>
      </c>
      <c r="R273" s="1696"/>
      <c r="S273" s="1697"/>
      <c r="T273" s="710"/>
      <c r="U273" s="1695" t="s">
        <v>331</v>
      </c>
      <c r="V273" s="1696"/>
      <c r="W273" s="1697"/>
    </row>
    <row r="274" spans="2:23" ht="21.75" customHeight="1">
      <c r="B274" s="1715"/>
      <c r="C274" s="1715"/>
      <c r="D274" s="1717"/>
      <c r="E274" s="1011" t="s">
        <v>206</v>
      </c>
      <c r="F274" s="1012" t="s">
        <v>207</v>
      </c>
      <c r="G274" s="1011" t="s">
        <v>452</v>
      </c>
      <c r="H274" s="1012" t="s">
        <v>208</v>
      </c>
      <c r="I274" s="717" t="s">
        <v>452</v>
      </c>
      <c r="J274" s="718" t="s">
        <v>208</v>
      </c>
      <c r="K274" s="1686"/>
      <c r="L274" s="717" t="s">
        <v>467</v>
      </c>
      <c r="M274" s="718" t="s">
        <v>468</v>
      </c>
      <c r="N274" s="717" t="s">
        <v>209</v>
      </c>
      <c r="O274" s="718" t="s">
        <v>210</v>
      </c>
      <c r="Q274" s="954" t="s">
        <v>211</v>
      </c>
      <c r="R274" s="978" t="s">
        <v>394</v>
      </c>
      <c r="S274" s="979" t="s">
        <v>451</v>
      </c>
      <c r="T274" s="710"/>
      <c r="U274" s="954" t="s">
        <v>211</v>
      </c>
      <c r="V274" s="978" t="s">
        <v>394</v>
      </c>
      <c r="W274" s="979" t="s">
        <v>451</v>
      </c>
    </row>
    <row r="275" spans="2:23" ht="11.25" customHeight="1">
      <c r="B275" s="722" t="s">
        <v>183</v>
      </c>
      <c r="C275" s="728"/>
      <c r="D275" s="724"/>
      <c r="E275" s="730"/>
      <c r="G275" s="726"/>
      <c r="H275" s="727"/>
      <c r="I275" s="726"/>
      <c r="J275" s="728"/>
      <c r="K275" s="729"/>
      <c r="L275" s="724"/>
      <c r="M275" s="725"/>
      <c r="N275" s="730"/>
      <c r="O275" s="728"/>
      <c r="Q275" s="957"/>
      <c r="R275" s="980"/>
      <c r="S275" s="981"/>
      <c r="T275" s="710"/>
      <c r="U275" s="957"/>
      <c r="V275" s="980"/>
      <c r="W275" s="981"/>
    </row>
    <row r="276" spans="2:23" ht="11.25" customHeight="1">
      <c r="B276" s="722" t="s">
        <v>212</v>
      </c>
      <c r="C276" s="733" t="s">
        <v>1307</v>
      </c>
      <c r="D276" s="724"/>
      <c r="E276" s="730"/>
      <c r="F276" s="802"/>
      <c r="G276" s="726"/>
      <c r="H276" s="727"/>
      <c r="I276" s="726"/>
      <c r="J276" s="727"/>
      <c r="K276" s="729"/>
      <c r="L276" s="724"/>
      <c r="M276" s="725"/>
      <c r="N276" s="730"/>
      <c r="O276" s="728"/>
      <c r="Q276" s="960"/>
      <c r="R276" s="982"/>
      <c r="S276" s="981"/>
      <c r="T276" s="710"/>
      <c r="U276" s="960">
        <v>-88.71</v>
      </c>
      <c r="V276" s="982">
        <f>+U276</f>
        <v>-88.71</v>
      </c>
      <c r="W276" s="981">
        <v>698292.82</v>
      </c>
    </row>
    <row r="277" spans="2:23" ht="11.25" customHeight="1">
      <c r="B277" s="796" t="s">
        <v>1229</v>
      </c>
      <c r="C277" s="1023" t="s">
        <v>1784</v>
      </c>
      <c r="D277" s="738" t="s">
        <v>434</v>
      </c>
      <c r="E277" s="739">
        <v>1</v>
      </c>
      <c r="F277" s="740">
        <v>0.1</v>
      </c>
      <c r="G277" s="797">
        <v>210</v>
      </c>
      <c r="H277" s="742">
        <f>+ROUND(E277*F277*G277,2)</f>
        <v>21</v>
      </c>
      <c r="I277" s="743">
        <f>LOOKUP(B277,valoriz!$A$13:$A$242,valoriz!I$13:I$242)</f>
        <v>0</v>
      </c>
      <c r="J277" s="744">
        <f>+ROUND(E277*F277*I277,2)</f>
        <v>0</v>
      </c>
      <c r="K277" s="745">
        <v>199.39</v>
      </c>
      <c r="L277" s="746">
        <f>D$15</f>
        <v>457.01</v>
      </c>
      <c r="M277" s="747">
        <f>D$14</f>
        <v>476.04</v>
      </c>
      <c r="N277" s="748">
        <f>+ROUND(J277*K277*M$16,2)</f>
        <v>0</v>
      </c>
      <c r="O277" s="744">
        <f>+ROUND(J277*K277*L277*M$16/M277,2)</f>
        <v>0</v>
      </c>
      <c r="Q277" s="960">
        <v>233495.61</v>
      </c>
      <c r="R277" s="983">
        <f>+J277+Q277</f>
        <v>233495.61</v>
      </c>
      <c r="S277" s="984">
        <f>+H277-R277</f>
        <v>-233474.61</v>
      </c>
      <c r="T277" s="710"/>
      <c r="U277" s="985">
        <f>+ROUND(Q277*$K277*$L277/$M277,2)</f>
        <v>44695556.57</v>
      </c>
      <c r="V277" s="986">
        <f>+ROUND(R277*$K277*$L277/$M277,2)</f>
        <v>44695556.57</v>
      </c>
      <c r="W277" s="987"/>
    </row>
    <row r="278" spans="2:23" ht="11.25" customHeight="1" thickBot="1">
      <c r="B278" s="762"/>
      <c r="C278" s="1024"/>
      <c r="D278" s="764"/>
      <c r="E278" s="765"/>
      <c r="F278" s="766"/>
      <c r="G278" s="799"/>
      <c r="H278" s="800"/>
      <c r="I278" s="767"/>
      <c r="J278" s="769"/>
      <c r="K278" s="770"/>
      <c r="L278" s="771"/>
      <c r="M278" s="772"/>
      <c r="N278" s="773"/>
      <c r="O278" s="769"/>
      <c r="Q278" s="968"/>
      <c r="R278" s="988"/>
      <c r="S278" s="989"/>
      <c r="T278" s="710"/>
      <c r="U278" s="968"/>
      <c r="V278" s="988"/>
      <c r="W278" s="989"/>
    </row>
    <row r="279" spans="2:23" ht="11.25" customHeight="1">
      <c r="B279" s="775"/>
      <c r="C279" s="776"/>
      <c r="D279" s="777"/>
      <c r="E279" s="777"/>
      <c r="F279" s="778"/>
      <c r="G279" s="779"/>
      <c r="H279" s="780">
        <f>SUM(H277:H278)</f>
        <v>21</v>
      </c>
      <c r="I279" s="779"/>
      <c r="J279" s="780">
        <f>SUM(J277:J278)</f>
        <v>0</v>
      </c>
      <c r="K279" s="781"/>
      <c r="L279" s="777"/>
      <c r="M279" s="946" t="s">
        <v>171</v>
      </c>
      <c r="N279" s="782">
        <f>SUM(N277:N278)</f>
        <v>0</v>
      </c>
      <c r="O279" s="783">
        <f>SUM(O277:O278)</f>
        <v>0</v>
      </c>
      <c r="Q279" s="1051">
        <f>SUM(Q277:Q278)</f>
        <v>233495.61</v>
      </c>
      <c r="R279" s="1051">
        <f>SUM(R277:R278)</f>
        <v>233495.61</v>
      </c>
      <c r="S279" s="1052">
        <f>SUM(S277:S278)</f>
        <v>-233474.61</v>
      </c>
      <c r="T279" s="964">
        <f>+U280-U279</f>
        <v>-44334251.600000001</v>
      </c>
      <c r="U279" s="1076">
        <f>SUM(U276:U278)</f>
        <v>44695467.859999999</v>
      </c>
      <c r="V279" s="1077">
        <f>SUM(V276:V278)</f>
        <v>44695467.859999999</v>
      </c>
      <c r="W279" s="1078">
        <f>+W276-V280</f>
        <v>-43997175.039999999</v>
      </c>
    </row>
    <row r="280" spans="2:23" ht="11.25" customHeight="1">
      <c r="B280" s="784"/>
      <c r="C280" s="785"/>
      <c r="G280" s="786"/>
      <c r="H280" s="787" t="s">
        <v>214</v>
      </c>
      <c r="I280" s="788"/>
      <c r="J280" s="789">
        <v>21</v>
      </c>
      <c r="K280" s="751"/>
      <c r="Q280" s="710"/>
      <c r="R280" s="710"/>
      <c r="S280" s="710"/>
      <c r="T280" s="710"/>
      <c r="U280" s="710">
        <v>361216.26</v>
      </c>
      <c r="V280" s="964">
        <f>+O279+U279</f>
        <v>44695467.859999999</v>
      </c>
      <c r="W280" s="710"/>
    </row>
    <row r="281" spans="2:23" ht="11.25" customHeight="1">
      <c r="B281" s="784"/>
      <c r="C281" s="785"/>
      <c r="K281" s="751"/>
    </row>
    <row r="282" spans="2:23" ht="11.25" customHeight="1">
      <c r="B282" s="1714" t="s">
        <v>198</v>
      </c>
      <c r="C282" s="1714" t="s">
        <v>199</v>
      </c>
      <c r="D282" s="1716" t="s">
        <v>601</v>
      </c>
      <c r="E282" s="1712" t="s">
        <v>200</v>
      </c>
      <c r="F282" s="1713"/>
      <c r="G282" s="1712" t="s">
        <v>201</v>
      </c>
      <c r="H282" s="1713"/>
      <c r="I282" s="1678" t="s">
        <v>202</v>
      </c>
      <c r="J282" s="1680"/>
      <c r="K282" s="1685" t="s">
        <v>203</v>
      </c>
      <c r="L282" s="1678" t="s">
        <v>204</v>
      </c>
      <c r="M282" s="1680"/>
      <c r="N282" s="1678" t="s">
        <v>423</v>
      </c>
      <c r="O282" s="1680"/>
      <c r="Q282" s="1695" t="s">
        <v>205</v>
      </c>
      <c r="R282" s="1696"/>
      <c r="S282" s="1697"/>
      <c r="T282" s="710"/>
      <c r="U282" s="1695" t="s">
        <v>331</v>
      </c>
      <c r="V282" s="1696"/>
      <c r="W282" s="1697"/>
    </row>
    <row r="283" spans="2:23" ht="21.75" customHeight="1">
      <c r="B283" s="1715"/>
      <c r="C283" s="1715"/>
      <c r="D283" s="1717"/>
      <c r="E283" s="1011" t="s">
        <v>206</v>
      </c>
      <c r="F283" s="1012" t="s">
        <v>207</v>
      </c>
      <c r="G283" s="1011" t="s">
        <v>452</v>
      </c>
      <c r="H283" s="1012" t="s">
        <v>208</v>
      </c>
      <c r="I283" s="717" t="s">
        <v>452</v>
      </c>
      <c r="J283" s="718" t="s">
        <v>208</v>
      </c>
      <c r="K283" s="1686"/>
      <c r="L283" s="717" t="s">
        <v>467</v>
      </c>
      <c r="M283" s="718" t="s">
        <v>468</v>
      </c>
      <c r="N283" s="717" t="s">
        <v>209</v>
      </c>
      <c r="O283" s="718" t="s">
        <v>210</v>
      </c>
      <c r="Q283" s="954" t="s">
        <v>211</v>
      </c>
      <c r="R283" s="978" t="s">
        <v>394</v>
      </c>
      <c r="S283" s="979" t="s">
        <v>451</v>
      </c>
      <c r="T283" s="710"/>
      <c r="U283" s="954" t="s">
        <v>211</v>
      </c>
      <c r="V283" s="978" t="s">
        <v>394</v>
      </c>
      <c r="W283" s="979" t="s">
        <v>451</v>
      </c>
    </row>
    <row r="284" spans="2:23" ht="11.25" customHeight="1">
      <c r="B284" s="722" t="s">
        <v>183</v>
      </c>
      <c r="C284" s="728"/>
      <c r="D284" s="724"/>
      <c r="E284" s="730"/>
      <c r="G284" s="726"/>
      <c r="H284" s="727"/>
      <c r="I284" s="726"/>
      <c r="J284" s="728"/>
      <c r="K284" s="729"/>
      <c r="L284" s="724"/>
      <c r="M284" s="725"/>
      <c r="N284" s="730"/>
      <c r="O284" s="728"/>
      <c r="Q284" s="957"/>
      <c r="R284" s="980"/>
      <c r="S284" s="981"/>
      <c r="T284" s="710"/>
      <c r="U284" s="957"/>
      <c r="V284" s="980"/>
      <c r="W284" s="981"/>
    </row>
    <row r="285" spans="2:23" ht="11.25" customHeight="1">
      <c r="B285" s="722" t="s">
        <v>212</v>
      </c>
      <c r="C285" s="733" t="s">
        <v>1308</v>
      </c>
      <c r="D285" s="724"/>
      <c r="E285" s="730"/>
      <c r="F285" s="802"/>
      <c r="G285" s="726"/>
      <c r="H285" s="727"/>
      <c r="I285" s="726"/>
      <c r="J285" s="727"/>
      <c r="K285" s="729"/>
      <c r="L285" s="724"/>
      <c r="M285" s="725"/>
      <c r="N285" s="730"/>
      <c r="O285" s="728"/>
      <c r="Q285" s="960"/>
      <c r="R285" s="982"/>
      <c r="S285" s="981"/>
      <c r="T285" s="710"/>
      <c r="U285" s="960">
        <v>-88.71</v>
      </c>
      <c r="V285" s="982">
        <f>+U285</f>
        <v>-88.71</v>
      </c>
      <c r="W285" s="981">
        <v>698292.82</v>
      </c>
    </row>
    <row r="286" spans="2:23" ht="11.25" customHeight="1">
      <c r="B286" s="796" t="s">
        <v>1161</v>
      </c>
      <c r="C286" s="1023" t="s">
        <v>1793</v>
      </c>
      <c r="D286" s="738" t="s">
        <v>434</v>
      </c>
      <c r="E286" s="739">
        <v>1</v>
      </c>
      <c r="F286" s="740">
        <v>0.9</v>
      </c>
      <c r="G286" s="797">
        <v>80</v>
      </c>
      <c r="H286" s="742">
        <f>+ROUND(E286*F286*G286,2)</f>
        <v>72</v>
      </c>
      <c r="I286" s="743">
        <f>LOOKUP(B286,valoriz!$A$13:$A$242,valoriz!I$13:I$242)</f>
        <v>0</v>
      </c>
      <c r="J286" s="744">
        <f>+ROUND(E286*F286*I286,2)</f>
        <v>0</v>
      </c>
      <c r="K286" s="745">
        <v>15.5</v>
      </c>
      <c r="L286" s="746">
        <f>D$15</f>
        <v>457.01</v>
      </c>
      <c r="M286" s="747">
        <f>D$14</f>
        <v>476.04</v>
      </c>
      <c r="N286" s="748">
        <f>+ROUND(J286*K286*M$16,2)</f>
        <v>0</v>
      </c>
      <c r="O286" s="744">
        <f>+ROUND(J286*K286*L286*M$16/M286,2)</f>
        <v>0</v>
      </c>
      <c r="Q286" s="960">
        <v>233495.61</v>
      </c>
      <c r="R286" s="983">
        <f>+J286+Q286</f>
        <v>233495.61</v>
      </c>
      <c r="S286" s="984">
        <f>+H286-R286</f>
        <v>-233423.61</v>
      </c>
      <c r="T286" s="710"/>
      <c r="U286" s="985">
        <f>+ROUND(Q286*$K286*$L286/$M286,2)</f>
        <v>3474502.87</v>
      </c>
      <c r="V286" s="986">
        <f>+ROUND(R286*$K286*$L286/$M286,2)</f>
        <v>3474502.87</v>
      </c>
      <c r="W286" s="987"/>
    </row>
    <row r="287" spans="2:23" ht="11.25" customHeight="1">
      <c r="B287" s="796" t="s">
        <v>1162</v>
      </c>
      <c r="C287" s="1023" t="s">
        <v>1794</v>
      </c>
      <c r="D287" s="738" t="s">
        <v>434</v>
      </c>
      <c r="E287" s="739">
        <v>1</v>
      </c>
      <c r="F287" s="740">
        <v>0.9</v>
      </c>
      <c r="G287" s="797">
        <v>192</v>
      </c>
      <c r="H287" s="742">
        <f>+ROUND(E287*F287*G287,2)</f>
        <v>172.8</v>
      </c>
      <c r="I287" s="743">
        <f>LOOKUP(B287,valoriz!$A$13:$A$242,valoriz!I$13:I$242)</f>
        <v>0</v>
      </c>
      <c r="J287" s="744">
        <f>+ROUND(E287*F287*I287,2)</f>
        <v>0</v>
      </c>
      <c r="K287" s="745">
        <v>15.5</v>
      </c>
      <c r="L287" s="746">
        <f>D$15</f>
        <v>457.01</v>
      </c>
      <c r="M287" s="747">
        <f>D$14</f>
        <v>476.04</v>
      </c>
      <c r="N287" s="748">
        <f>+ROUND(J287*K287*M$16,2)</f>
        <v>0</v>
      </c>
      <c r="O287" s="744">
        <f>+ROUND(J287*K287*L287*M$16/M287,2)</f>
        <v>0</v>
      </c>
      <c r="Q287" s="960">
        <v>233495.61</v>
      </c>
      <c r="R287" s="983">
        <f>+J287+Q287</f>
        <v>233495.61</v>
      </c>
      <c r="S287" s="984">
        <f>+H287-R287</f>
        <v>-233322.81</v>
      </c>
      <c r="T287" s="710"/>
      <c r="U287" s="985">
        <f>+ROUND(Q287*$K287*$L287/$M287,2)</f>
        <v>3474502.87</v>
      </c>
      <c r="V287" s="986">
        <f>+ROUND(R287*$K287*$L287/$M287,2)</f>
        <v>3474502.87</v>
      </c>
      <c r="W287" s="987"/>
    </row>
    <row r="288" spans="2:23" ht="11.25" customHeight="1" thickBot="1">
      <c r="B288" s="762"/>
      <c r="C288" s="1024"/>
      <c r="D288" s="764"/>
      <c r="E288" s="765"/>
      <c r="F288" s="766"/>
      <c r="G288" s="799"/>
      <c r="H288" s="800"/>
      <c r="I288" s="767"/>
      <c r="J288" s="769"/>
      <c r="K288" s="770"/>
      <c r="L288" s="771"/>
      <c r="M288" s="772"/>
      <c r="N288" s="773"/>
      <c r="O288" s="769"/>
      <c r="Q288" s="968"/>
      <c r="R288" s="988"/>
      <c r="S288" s="989"/>
      <c r="T288" s="710"/>
      <c r="U288" s="968"/>
      <c r="V288" s="988"/>
      <c r="W288" s="989"/>
    </row>
    <row r="289" spans="2:23" ht="11.25" customHeight="1">
      <c r="B289" s="775"/>
      <c r="C289" s="776"/>
      <c r="D289" s="777"/>
      <c r="E289" s="777"/>
      <c r="F289" s="778"/>
      <c r="G289" s="779"/>
      <c r="H289" s="780">
        <f>SUM(H286:H288)</f>
        <v>244.8</v>
      </c>
      <c r="I289" s="779"/>
      <c r="J289" s="780">
        <f>SUM(J286:J288)</f>
        <v>0</v>
      </c>
      <c r="K289" s="781"/>
      <c r="L289" s="777"/>
      <c r="M289" s="946" t="s">
        <v>171</v>
      </c>
      <c r="N289" s="782">
        <f>SUM(N286:N288)</f>
        <v>0</v>
      </c>
      <c r="O289" s="783">
        <f>SUM(O286:O288)</f>
        <v>0</v>
      </c>
      <c r="Q289" s="1051">
        <f>SUM(Q286:Q288)</f>
        <v>466991.22</v>
      </c>
      <c r="R289" s="1051">
        <f>SUM(R286:R288)</f>
        <v>466991.22</v>
      </c>
      <c r="S289" s="1052">
        <f>SUM(S286:S288)</f>
        <v>-466746.42</v>
      </c>
      <c r="T289" s="964">
        <f>+U290-U289</f>
        <v>-6587700.7700000005</v>
      </c>
      <c r="U289" s="1076">
        <f>SUM(U285:U288)</f>
        <v>6948917.0300000003</v>
      </c>
      <c r="V289" s="1077">
        <f>SUM(V285:V288)</f>
        <v>6948917.0300000003</v>
      </c>
      <c r="W289" s="1078">
        <f>+W285-V290</f>
        <v>-6250624.21</v>
      </c>
    </row>
    <row r="290" spans="2:23" ht="11.25" customHeight="1">
      <c r="B290" s="784"/>
      <c r="C290" s="785"/>
      <c r="G290" s="786"/>
      <c r="H290" s="787" t="s">
        <v>214</v>
      </c>
      <c r="I290" s="788"/>
      <c r="J290" s="789">
        <v>81.599999999999994</v>
      </c>
      <c r="K290" s="751"/>
      <c r="Q290" s="710"/>
      <c r="R290" s="710"/>
      <c r="S290" s="710"/>
      <c r="T290" s="710"/>
      <c r="U290" s="710">
        <v>361216.26</v>
      </c>
      <c r="V290" s="964">
        <f>+O289+U289</f>
        <v>6948917.0300000003</v>
      </c>
      <c r="W290" s="710"/>
    </row>
    <row r="291" spans="2:23" ht="11.25" customHeight="1">
      <c r="B291" s="784"/>
      <c r="C291" s="785"/>
      <c r="K291" s="751"/>
    </row>
    <row r="292" spans="2:23" ht="11.25" customHeight="1">
      <c r="B292" s="1714" t="s">
        <v>198</v>
      </c>
      <c r="C292" s="1714" t="s">
        <v>199</v>
      </c>
      <c r="D292" s="1716" t="s">
        <v>601</v>
      </c>
      <c r="E292" s="1712" t="s">
        <v>200</v>
      </c>
      <c r="F292" s="1713"/>
      <c r="G292" s="1712" t="s">
        <v>201</v>
      </c>
      <c r="H292" s="1713"/>
      <c r="I292" s="1678" t="s">
        <v>202</v>
      </c>
      <c r="J292" s="1680"/>
      <c r="K292" s="1685" t="s">
        <v>203</v>
      </c>
      <c r="L292" s="1678" t="s">
        <v>204</v>
      </c>
      <c r="M292" s="1680"/>
      <c r="N292" s="1678" t="s">
        <v>423</v>
      </c>
      <c r="O292" s="1680"/>
      <c r="Q292" s="1695" t="s">
        <v>205</v>
      </c>
      <c r="R292" s="1696"/>
      <c r="S292" s="1697"/>
      <c r="T292" s="710"/>
      <c r="U292" s="1695" t="s">
        <v>331</v>
      </c>
      <c r="V292" s="1696"/>
      <c r="W292" s="1697"/>
    </row>
    <row r="293" spans="2:23" ht="21.75" customHeight="1">
      <c r="B293" s="1715"/>
      <c r="C293" s="1715"/>
      <c r="D293" s="1717"/>
      <c r="E293" s="1011" t="s">
        <v>206</v>
      </c>
      <c r="F293" s="1012" t="s">
        <v>207</v>
      </c>
      <c r="G293" s="1011" t="s">
        <v>452</v>
      </c>
      <c r="H293" s="1012" t="s">
        <v>208</v>
      </c>
      <c r="I293" s="717" t="s">
        <v>452</v>
      </c>
      <c r="J293" s="718" t="s">
        <v>208</v>
      </c>
      <c r="K293" s="1686"/>
      <c r="L293" s="717" t="s">
        <v>467</v>
      </c>
      <c r="M293" s="718" t="s">
        <v>468</v>
      </c>
      <c r="N293" s="717" t="s">
        <v>209</v>
      </c>
      <c r="O293" s="718" t="s">
        <v>210</v>
      </c>
      <c r="Q293" s="954" t="s">
        <v>211</v>
      </c>
      <c r="R293" s="978" t="s">
        <v>394</v>
      </c>
      <c r="S293" s="979" t="s">
        <v>451</v>
      </c>
      <c r="T293" s="710"/>
      <c r="U293" s="954" t="s">
        <v>211</v>
      </c>
      <c r="V293" s="978" t="s">
        <v>394</v>
      </c>
      <c r="W293" s="979" t="s">
        <v>451</v>
      </c>
    </row>
    <row r="294" spans="2:23" ht="11.25" customHeight="1">
      <c r="B294" s="722" t="s">
        <v>183</v>
      </c>
      <c r="C294" s="728"/>
      <c r="D294" s="724"/>
      <c r="E294" s="730"/>
      <c r="G294" s="726"/>
      <c r="H294" s="727"/>
      <c r="I294" s="726"/>
      <c r="J294" s="728"/>
      <c r="K294" s="729"/>
      <c r="L294" s="724"/>
      <c r="M294" s="725"/>
      <c r="N294" s="730"/>
      <c r="O294" s="728"/>
      <c r="Q294" s="957"/>
      <c r="R294" s="980"/>
      <c r="S294" s="981"/>
      <c r="T294" s="710"/>
      <c r="U294" s="957"/>
      <c r="V294" s="980"/>
      <c r="W294" s="981"/>
    </row>
    <row r="295" spans="2:23" ht="11.25" customHeight="1">
      <c r="B295" s="722" t="s">
        <v>212</v>
      </c>
      <c r="C295" s="733" t="s">
        <v>1309</v>
      </c>
      <c r="D295" s="724"/>
      <c r="E295" s="730"/>
      <c r="F295" s="802"/>
      <c r="G295" s="726"/>
      <c r="H295" s="727"/>
      <c r="I295" s="726"/>
      <c r="J295" s="727"/>
      <c r="K295" s="729"/>
      <c r="L295" s="724"/>
      <c r="M295" s="725"/>
      <c r="N295" s="730"/>
      <c r="O295" s="728"/>
      <c r="Q295" s="960"/>
      <c r="R295" s="982"/>
      <c r="S295" s="981"/>
      <c r="T295" s="710"/>
      <c r="U295" s="960">
        <v>-88.71</v>
      </c>
      <c r="V295" s="982">
        <f>+U295</f>
        <v>-88.71</v>
      </c>
      <c r="W295" s="981">
        <v>698292.82</v>
      </c>
    </row>
    <row r="296" spans="2:23" ht="11.25" customHeight="1">
      <c r="B296" s="796" t="s">
        <v>1169</v>
      </c>
      <c r="C296" s="1023" t="s">
        <v>1805</v>
      </c>
      <c r="D296" s="738" t="s">
        <v>1806</v>
      </c>
      <c r="E296" s="739">
        <v>1</v>
      </c>
      <c r="F296" s="740">
        <v>20</v>
      </c>
      <c r="G296" s="797">
        <v>80.25</v>
      </c>
      <c r="H296" s="742">
        <f>+ROUND(E296*F296*G296,2)</f>
        <v>1605</v>
      </c>
      <c r="I296" s="743">
        <f>LOOKUP(B296,valoriz!$A$13:$A$242,valoriz!I$13:I$242)</f>
        <v>0</v>
      </c>
      <c r="J296" s="744">
        <f>+ROUND(E296*F296*I296,2)</f>
        <v>0</v>
      </c>
      <c r="K296" s="745">
        <v>2</v>
      </c>
      <c r="L296" s="746">
        <f>D$15</f>
        <v>457.01</v>
      </c>
      <c r="M296" s="747">
        <f>D$14</f>
        <v>476.04</v>
      </c>
      <c r="N296" s="748">
        <f>+ROUND(J296*K296*M$16,2)</f>
        <v>0</v>
      </c>
      <c r="O296" s="744">
        <f>+ROUND(J296*K296*L296*M$16/M296,2)</f>
        <v>0</v>
      </c>
      <c r="Q296" s="960">
        <v>233495.61</v>
      </c>
      <c r="R296" s="983">
        <f>+J296+Q296</f>
        <v>233495.61</v>
      </c>
      <c r="S296" s="984">
        <f>+H296-R296</f>
        <v>-231890.61</v>
      </c>
      <c r="T296" s="710"/>
      <c r="U296" s="985">
        <f>+ROUND(Q296*$K296*$L296/$M296,2)</f>
        <v>448322.95</v>
      </c>
      <c r="V296" s="986">
        <f>+ROUND(R296*$K296*$L296/$M296,2)</f>
        <v>448322.95</v>
      </c>
      <c r="W296" s="987"/>
    </row>
    <row r="297" spans="2:23" ht="11.25" customHeight="1" thickBot="1">
      <c r="B297" s="762"/>
      <c r="C297" s="1024"/>
      <c r="D297" s="764"/>
      <c r="E297" s="765"/>
      <c r="F297" s="766"/>
      <c r="G297" s="799"/>
      <c r="H297" s="800"/>
      <c r="I297" s="767"/>
      <c r="J297" s="769"/>
      <c r="K297" s="770"/>
      <c r="L297" s="771"/>
      <c r="M297" s="772"/>
      <c r="N297" s="773"/>
      <c r="O297" s="769"/>
      <c r="Q297" s="968"/>
      <c r="R297" s="988"/>
      <c r="S297" s="989"/>
      <c r="T297" s="710"/>
      <c r="U297" s="968"/>
      <c r="V297" s="988"/>
      <c r="W297" s="989"/>
    </row>
    <row r="298" spans="2:23" ht="11.25" customHeight="1">
      <c r="B298" s="775"/>
      <c r="C298" s="776"/>
      <c r="D298" s="777"/>
      <c r="E298" s="777"/>
      <c r="F298" s="778"/>
      <c r="G298" s="779"/>
      <c r="H298" s="780">
        <f>SUM(H296:H297)</f>
        <v>1605</v>
      </c>
      <c r="I298" s="779"/>
      <c r="J298" s="780">
        <f>SUM(J296:J297)</f>
        <v>0</v>
      </c>
      <c r="K298" s="781"/>
      <c r="L298" s="777"/>
      <c r="M298" s="946" t="s">
        <v>171</v>
      </c>
      <c r="N298" s="782">
        <f>SUM(N296:N297)</f>
        <v>0</v>
      </c>
      <c r="O298" s="783">
        <f>SUM(O296:O297)</f>
        <v>0</v>
      </c>
      <c r="Q298" s="1051">
        <f>SUM(Q296:Q297)</f>
        <v>233495.61</v>
      </c>
      <c r="R298" s="1051">
        <f>SUM(R296:R297)</f>
        <v>233495.61</v>
      </c>
      <c r="S298" s="1052">
        <f>SUM(S296:S297)</f>
        <v>-231890.61</v>
      </c>
      <c r="T298" s="964">
        <f>+U299-U298</f>
        <v>-87017.979999999981</v>
      </c>
      <c r="U298" s="1076">
        <f>SUM(U295:U297)</f>
        <v>448234.23999999999</v>
      </c>
      <c r="V298" s="1077">
        <f>SUM(V295:V297)</f>
        <v>448234.23999999999</v>
      </c>
      <c r="W298" s="1078">
        <f>+W295-V299</f>
        <v>250058.57999999996</v>
      </c>
    </row>
    <row r="299" spans="2:23" ht="11.25" customHeight="1">
      <c r="B299" s="784"/>
      <c r="C299" s="785"/>
      <c r="G299" s="786"/>
      <c r="H299" s="787" t="s">
        <v>214</v>
      </c>
      <c r="I299" s="788"/>
      <c r="J299" s="789">
        <v>570.4</v>
      </c>
      <c r="K299" s="751"/>
      <c r="Q299" s="710"/>
      <c r="R299" s="710"/>
      <c r="S299" s="710"/>
      <c r="T299" s="710"/>
      <c r="U299" s="710">
        <v>361216.26</v>
      </c>
      <c r="V299" s="964">
        <f>+O298+U298</f>
        <v>448234.23999999999</v>
      </c>
      <c r="W299" s="710"/>
    </row>
    <row r="300" spans="2:23" ht="11.25" customHeight="1">
      <c r="B300" s="784"/>
      <c r="C300" s="785"/>
      <c r="K300" s="751"/>
    </row>
    <row r="301" spans="2:23" ht="11.25" customHeight="1">
      <c r="B301" s="1714" t="s">
        <v>198</v>
      </c>
      <c r="C301" s="1714" t="s">
        <v>199</v>
      </c>
      <c r="D301" s="1716" t="s">
        <v>601</v>
      </c>
      <c r="E301" s="1712" t="s">
        <v>200</v>
      </c>
      <c r="F301" s="1713"/>
      <c r="G301" s="1712" t="s">
        <v>201</v>
      </c>
      <c r="H301" s="1713"/>
      <c r="I301" s="1678" t="s">
        <v>202</v>
      </c>
      <c r="J301" s="1680"/>
      <c r="K301" s="1685" t="s">
        <v>203</v>
      </c>
      <c r="L301" s="1678" t="s">
        <v>204</v>
      </c>
      <c r="M301" s="1680"/>
      <c r="N301" s="1678" t="s">
        <v>423</v>
      </c>
      <c r="O301" s="1680"/>
      <c r="Q301" s="1695" t="s">
        <v>205</v>
      </c>
      <c r="R301" s="1696"/>
      <c r="S301" s="1697"/>
      <c r="T301" s="710"/>
      <c r="U301" s="1695" t="s">
        <v>331</v>
      </c>
      <c r="V301" s="1696"/>
      <c r="W301" s="1697"/>
    </row>
    <row r="302" spans="2:23" ht="21.75" customHeight="1">
      <c r="B302" s="1715"/>
      <c r="C302" s="1715"/>
      <c r="D302" s="1717"/>
      <c r="E302" s="1011" t="s">
        <v>206</v>
      </c>
      <c r="F302" s="1012" t="s">
        <v>207</v>
      </c>
      <c r="G302" s="1011" t="s">
        <v>452</v>
      </c>
      <c r="H302" s="1012" t="s">
        <v>208</v>
      </c>
      <c r="I302" s="717" t="s">
        <v>452</v>
      </c>
      <c r="J302" s="718" t="s">
        <v>208</v>
      </c>
      <c r="K302" s="1686"/>
      <c r="L302" s="717" t="s">
        <v>467</v>
      </c>
      <c r="M302" s="718" t="s">
        <v>468</v>
      </c>
      <c r="N302" s="717" t="s">
        <v>209</v>
      </c>
      <c r="O302" s="718" t="s">
        <v>210</v>
      </c>
      <c r="Q302" s="954" t="s">
        <v>211</v>
      </c>
      <c r="R302" s="978" t="s">
        <v>394</v>
      </c>
      <c r="S302" s="979" t="s">
        <v>451</v>
      </c>
      <c r="T302" s="710"/>
      <c r="U302" s="954" t="s">
        <v>211</v>
      </c>
      <c r="V302" s="978" t="s">
        <v>394</v>
      </c>
      <c r="W302" s="979" t="s">
        <v>451</v>
      </c>
    </row>
    <row r="303" spans="2:23" ht="11.25" customHeight="1">
      <c r="B303" s="722" t="s">
        <v>183</v>
      </c>
      <c r="C303" s="728"/>
      <c r="D303" s="724"/>
      <c r="E303" s="730"/>
      <c r="G303" s="726"/>
      <c r="H303" s="727"/>
      <c r="I303" s="726"/>
      <c r="J303" s="728"/>
      <c r="K303" s="729"/>
      <c r="L303" s="724"/>
      <c r="M303" s="725"/>
      <c r="N303" s="730"/>
      <c r="O303" s="728"/>
      <c r="Q303" s="957"/>
      <c r="R303" s="980"/>
      <c r="S303" s="981"/>
      <c r="T303" s="710"/>
      <c r="U303" s="957"/>
      <c r="V303" s="980"/>
      <c r="W303" s="981"/>
    </row>
    <row r="304" spans="2:23" ht="11.25" customHeight="1">
      <c r="B304" s="722" t="s">
        <v>212</v>
      </c>
      <c r="C304" s="733" t="s">
        <v>1310</v>
      </c>
      <c r="D304" s="724"/>
      <c r="E304" s="730"/>
      <c r="F304" s="802"/>
      <c r="G304" s="726"/>
      <c r="H304" s="727"/>
      <c r="I304" s="726"/>
      <c r="J304" s="727"/>
      <c r="K304" s="729"/>
      <c r="L304" s="724"/>
      <c r="M304" s="725"/>
      <c r="N304" s="730"/>
      <c r="O304" s="728"/>
      <c r="Q304" s="960"/>
      <c r="R304" s="982"/>
      <c r="S304" s="981"/>
      <c r="T304" s="710"/>
      <c r="U304" s="960">
        <v>-88.71</v>
      </c>
      <c r="V304" s="982">
        <f>+U304</f>
        <v>-88.71</v>
      </c>
      <c r="W304" s="981">
        <v>698292.82</v>
      </c>
    </row>
    <row r="305" spans="2:23" ht="11.25" customHeight="1">
      <c r="B305" s="796" t="s">
        <v>1239</v>
      </c>
      <c r="C305" s="1023" t="s">
        <v>1810</v>
      </c>
      <c r="D305" s="738" t="s">
        <v>433</v>
      </c>
      <c r="E305" s="739">
        <v>1</v>
      </c>
      <c r="F305" s="740">
        <v>1</v>
      </c>
      <c r="G305" s="797">
        <v>109</v>
      </c>
      <c r="H305" s="742">
        <f>+ROUND(E305*F305*G305,2)</f>
        <v>109</v>
      </c>
      <c r="I305" s="743">
        <f>LOOKUP(B305,valoriz!$A$13:$A$242,valoriz!I$13:I$242)</f>
        <v>290.75000000000017</v>
      </c>
      <c r="J305" s="744">
        <f>+ROUND(E305*F305*I305,2)</f>
        <v>290.75</v>
      </c>
      <c r="K305" s="745">
        <v>26.93</v>
      </c>
      <c r="L305" s="746">
        <f>D$15</f>
        <v>457.01</v>
      </c>
      <c r="M305" s="747">
        <f>D$14</f>
        <v>476.04</v>
      </c>
      <c r="N305" s="748">
        <f>+ROUND(J305*K305*M$16,2)</f>
        <v>7829.9</v>
      </c>
      <c r="O305" s="744">
        <f>+ROUND(J305*K305*L305*M$16/M305,2)</f>
        <v>7516.89</v>
      </c>
      <c r="Q305" s="960">
        <v>233495.61</v>
      </c>
      <c r="R305" s="983">
        <f>+J305+Q305</f>
        <v>233786.36</v>
      </c>
      <c r="S305" s="984">
        <f>+H305-R305</f>
        <v>-233677.36</v>
      </c>
      <c r="T305" s="710"/>
      <c r="U305" s="985">
        <f>+ROUND(Q305*$K305*$L305/$M305,2)</f>
        <v>6036668.5300000003</v>
      </c>
      <c r="V305" s="986">
        <f>+ROUND(R305*$K305*$L305/$M305,2)</f>
        <v>6044185.4199999999</v>
      </c>
      <c r="W305" s="987"/>
    </row>
    <row r="306" spans="2:23" ht="11.25" customHeight="1" thickBot="1">
      <c r="B306" s="762"/>
      <c r="C306" s="1024"/>
      <c r="D306" s="764"/>
      <c r="E306" s="765"/>
      <c r="F306" s="766"/>
      <c r="G306" s="799"/>
      <c r="H306" s="800"/>
      <c r="I306" s="767"/>
      <c r="J306" s="769"/>
      <c r="K306" s="770"/>
      <c r="L306" s="771"/>
      <c r="M306" s="772"/>
      <c r="N306" s="773"/>
      <c r="O306" s="769"/>
      <c r="Q306" s="968"/>
      <c r="R306" s="988"/>
      <c r="S306" s="989"/>
      <c r="T306" s="710"/>
      <c r="U306" s="968"/>
      <c r="V306" s="988"/>
      <c r="W306" s="989"/>
    </row>
    <row r="307" spans="2:23" ht="11.25" customHeight="1">
      <c r="B307" s="775"/>
      <c r="C307" s="776"/>
      <c r="D307" s="777"/>
      <c r="E307" s="777"/>
      <c r="F307" s="778"/>
      <c r="G307" s="779"/>
      <c r="H307" s="780">
        <f>SUM(H305:H306)</f>
        <v>109</v>
      </c>
      <c r="I307" s="779"/>
      <c r="J307" s="780">
        <f>SUM(J305:J306)</f>
        <v>290.75</v>
      </c>
      <c r="K307" s="781"/>
      <c r="L307" s="777"/>
      <c r="M307" s="946" t="s">
        <v>171</v>
      </c>
      <c r="N307" s="782">
        <f>SUM(N305:N306)</f>
        <v>7829.9</v>
      </c>
      <c r="O307" s="783">
        <f>SUM(O305:O306)</f>
        <v>7516.89</v>
      </c>
      <c r="Q307" s="1051">
        <f>SUM(Q305:Q306)</f>
        <v>233495.61</v>
      </c>
      <c r="R307" s="1051">
        <f>SUM(R305:R306)</f>
        <v>233786.36</v>
      </c>
      <c r="S307" s="1052">
        <f>SUM(S305:S306)</f>
        <v>-233677.36</v>
      </c>
      <c r="T307" s="964">
        <f>+U308-U307</f>
        <v>-5675363.5600000005</v>
      </c>
      <c r="U307" s="1076">
        <f>SUM(U304:U306)</f>
        <v>6036579.8200000003</v>
      </c>
      <c r="V307" s="1077">
        <f>SUM(V304:V306)</f>
        <v>6044096.71</v>
      </c>
      <c r="W307" s="1078">
        <f>+W304-V308</f>
        <v>-5345803.8899999997</v>
      </c>
    </row>
    <row r="308" spans="2:23" ht="11.25" customHeight="1">
      <c r="B308" s="784"/>
      <c r="C308" s="785"/>
      <c r="G308" s="786"/>
      <c r="H308" s="787" t="s">
        <v>214</v>
      </c>
      <c r="I308" s="788"/>
      <c r="J308" s="789">
        <v>109</v>
      </c>
      <c r="K308" s="751"/>
      <c r="Q308" s="710"/>
      <c r="R308" s="710"/>
      <c r="S308" s="710"/>
      <c r="T308" s="710"/>
      <c r="U308" s="710">
        <v>361216.26</v>
      </c>
      <c r="V308" s="964">
        <f>+O307+U307</f>
        <v>6044096.71</v>
      </c>
      <c r="W308" s="710"/>
    </row>
    <row r="309" spans="2:23" ht="11.25" customHeight="1">
      <c r="B309" s="784"/>
      <c r="C309" s="785"/>
      <c r="K309" s="751"/>
    </row>
    <row r="310" spans="2:23" ht="11.25" customHeight="1">
      <c r="B310" s="1714" t="s">
        <v>198</v>
      </c>
      <c r="C310" s="1714" t="s">
        <v>199</v>
      </c>
      <c r="D310" s="1716" t="s">
        <v>601</v>
      </c>
      <c r="E310" s="1712" t="s">
        <v>200</v>
      </c>
      <c r="F310" s="1713"/>
      <c r="G310" s="1712" t="s">
        <v>201</v>
      </c>
      <c r="H310" s="1713"/>
      <c r="I310" s="1678" t="s">
        <v>202</v>
      </c>
      <c r="J310" s="1680"/>
      <c r="K310" s="1685" t="s">
        <v>203</v>
      </c>
      <c r="L310" s="1678" t="s">
        <v>204</v>
      </c>
      <c r="M310" s="1680"/>
      <c r="N310" s="1678" t="s">
        <v>423</v>
      </c>
      <c r="O310" s="1680"/>
      <c r="Q310" s="1695" t="s">
        <v>205</v>
      </c>
      <c r="R310" s="1696"/>
      <c r="S310" s="1697"/>
      <c r="T310" s="710"/>
      <c r="U310" s="1695" t="s">
        <v>331</v>
      </c>
      <c r="V310" s="1696"/>
      <c r="W310" s="1697"/>
    </row>
    <row r="311" spans="2:23" ht="21.75" customHeight="1">
      <c r="B311" s="1715"/>
      <c r="C311" s="1715"/>
      <c r="D311" s="1717"/>
      <c r="E311" s="1011" t="s">
        <v>206</v>
      </c>
      <c r="F311" s="1012" t="s">
        <v>207</v>
      </c>
      <c r="G311" s="1011" t="s">
        <v>452</v>
      </c>
      <c r="H311" s="1012" t="s">
        <v>208</v>
      </c>
      <c r="I311" s="717" t="s">
        <v>452</v>
      </c>
      <c r="J311" s="718" t="s">
        <v>208</v>
      </c>
      <c r="K311" s="1686"/>
      <c r="L311" s="717" t="s">
        <v>467</v>
      </c>
      <c r="M311" s="718" t="s">
        <v>468</v>
      </c>
      <c r="N311" s="717" t="s">
        <v>209</v>
      </c>
      <c r="O311" s="718" t="s">
        <v>210</v>
      </c>
      <c r="Q311" s="954" t="s">
        <v>211</v>
      </c>
      <c r="R311" s="978" t="s">
        <v>394</v>
      </c>
      <c r="S311" s="979" t="s">
        <v>451</v>
      </c>
      <c r="T311" s="710"/>
      <c r="U311" s="954" t="s">
        <v>211</v>
      </c>
      <c r="V311" s="978" t="s">
        <v>394</v>
      </c>
      <c r="W311" s="979" t="s">
        <v>451</v>
      </c>
    </row>
    <row r="312" spans="2:23" ht="11.25" customHeight="1">
      <c r="B312" s="722" t="s">
        <v>183</v>
      </c>
      <c r="C312" s="728"/>
      <c r="D312" s="724"/>
      <c r="E312" s="730"/>
      <c r="G312" s="726"/>
      <c r="H312" s="727"/>
      <c r="I312" s="726"/>
      <c r="J312" s="728"/>
      <c r="K312" s="729"/>
      <c r="L312" s="724"/>
      <c r="M312" s="725"/>
      <c r="N312" s="730"/>
      <c r="O312" s="728"/>
      <c r="Q312" s="957"/>
      <c r="R312" s="980"/>
      <c r="S312" s="981"/>
      <c r="T312" s="710"/>
      <c r="U312" s="957"/>
      <c r="V312" s="980"/>
      <c r="W312" s="981"/>
    </row>
    <row r="313" spans="2:23" ht="11.25" customHeight="1">
      <c r="B313" s="722" t="s">
        <v>212</v>
      </c>
      <c r="C313" s="733" t="s">
        <v>1311</v>
      </c>
      <c r="D313" s="724"/>
      <c r="E313" s="730"/>
      <c r="F313" s="802"/>
      <c r="G313" s="726"/>
      <c r="H313" s="727"/>
      <c r="I313" s="726"/>
      <c r="J313" s="727"/>
      <c r="K313" s="729"/>
      <c r="L313" s="724"/>
      <c r="M313" s="725"/>
      <c r="N313" s="730"/>
      <c r="O313" s="728"/>
      <c r="Q313" s="960"/>
      <c r="R313" s="982"/>
      <c r="S313" s="981"/>
      <c r="T313" s="710"/>
      <c r="U313" s="960">
        <v>-88.71</v>
      </c>
      <c r="V313" s="982">
        <f>+U313</f>
        <v>-88.71</v>
      </c>
      <c r="W313" s="981">
        <v>698292.82</v>
      </c>
    </row>
    <row r="314" spans="2:23" ht="11.25" customHeight="1">
      <c r="B314" s="796" t="s">
        <v>1251</v>
      </c>
      <c r="C314" s="1023" t="s">
        <v>1811</v>
      </c>
      <c r="D314" s="738" t="s">
        <v>433</v>
      </c>
      <c r="E314" s="739">
        <v>1</v>
      </c>
      <c r="F314" s="740">
        <v>10.3729</v>
      </c>
      <c r="G314" s="797">
        <v>1</v>
      </c>
      <c r="H314" s="742">
        <f>+ROUND(E314*F314*G314,2)</f>
        <v>10.37</v>
      </c>
      <c r="I314" s="1215">
        <f>LOOKUP(B314,valoriz!$A$13:$A$242,valoriz!I$13:I$242)</f>
        <v>0</v>
      </c>
      <c r="J314" s="744">
        <f>+ROUND(E314*F314*I314,2)</f>
        <v>0</v>
      </c>
      <c r="K314" s="745">
        <v>76.22</v>
      </c>
      <c r="L314" s="746">
        <f>D$15</f>
        <v>457.01</v>
      </c>
      <c r="M314" s="747">
        <f>D$14</f>
        <v>476.04</v>
      </c>
      <c r="N314" s="748">
        <f>+ROUND(J314*K314*M$16,2)</f>
        <v>0</v>
      </c>
      <c r="O314" s="744">
        <f>+ROUND(J314*K314*L314*M$16/M314,2)</f>
        <v>0</v>
      </c>
      <c r="Q314" s="960">
        <v>233495.61</v>
      </c>
      <c r="R314" s="983">
        <f>+J314+Q314</f>
        <v>233495.61</v>
      </c>
      <c r="S314" s="984">
        <f>+H314-R314</f>
        <v>-233485.24</v>
      </c>
      <c r="T314" s="710"/>
      <c r="U314" s="985">
        <f>+ROUND(Q314*$K314*$L314/$M314,2)</f>
        <v>17085587.649999999</v>
      </c>
      <c r="V314" s="986">
        <f>+ROUND(R314*$K314*$L314/$M314,2)</f>
        <v>17085587.649999999</v>
      </c>
      <c r="W314" s="987"/>
    </row>
    <row r="315" spans="2:23" ht="11.25" customHeight="1">
      <c r="B315" s="796" t="s">
        <v>1252</v>
      </c>
      <c r="C315" s="1023" t="s">
        <v>1812</v>
      </c>
      <c r="D315" s="738" t="s">
        <v>433</v>
      </c>
      <c r="E315" s="739">
        <v>1</v>
      </c>
      <c r="F315" s="740">
        <v>11.752000000000001</v>
      </c>
      <c r="G315" s="797">
        <v>1</v>
      </c>
      <c r="H315" s="742">
        <f>+ROUND(E315*F315*G315,2)</f>
        <v>11.75</v>
      </c>
      <c r="I315" s="1215">
        <f>LOOKUP(B315,valoriz!$A$13:$A$242,valoriz!I$13:I$242)</f>
        <v>0</v>
      </c>
      <c r="J315" s="744">
        <f>+ROUND(E315*F315*I315,2)</f>
        <v>0</v>
      </c>
      <c r="K315" s="745">
        <v>76.22</v>
      </c>
      <c r="L315" s="746">
        <f>D$15</f>
        <v>457.01</v>
      </c>
      <c r="M315" s="747">
        <f>D$14</f>
        <v>476.04</v>
      </c>
      <c r="N315" s="748">
        <f>+ROUND(J315*K315*M$16,2)</f>
        <v>0</v>
      </c>
      <c r="O315" s="744">
        <f>+ROUND(J315*K315*L315*M$16/M315,2)</f>
        <v>0</v>
      </c>
      <c r="Q315" s="960">
        <v>233495.61</v>
      </c>
      <c r="R315" s="983">
        <f>+J315+Q315</f>
        <v>233495.61</v>
      </c>
      <c r="S315" s="984">
        <f>+H315-R315</f>
        <v>-233483.86</v>
      </c>
      <c r="T315" s="710"/>
      <c r="U315" s="985">
        <f>+ROUND(Q315*$K315*$L315/$M315,2)</f>
        <v>17085587.649999999</v>
      </c>
      <c r="V315" s="986">
        <f>+ROUND(R315*$K315*$L315/$M315,2)</f>
        <v>17085587.649999999</v>
      </c>
      <c r="W315" s="987"/>
    </row>
    <row r="316" spans="2:23" ht="11.25" customHeight="1" thickBot="1">
      <c r="B316" s="762"/>
      <c r="C316" s="1024"/>
      <c r="D316" s="764"/>
      <c r="E316" s="765"/>
      <c r="F316" s="766"/>
      <c r="G316" s="799"/>
      <c r="H316" s="800"/>
      <c r="I316" s="767"/>
      <c r="J316" s="769"/>
      <c r="K316" s="770"/>
      <c r="L316" s="771"/>
      <c r="M316" s="772"/>
      <c r="N316" s="773"/>
      <c r="O316" s="769"/>
      <c r="Q316" s="968"/>
      <c r="R316" s="988"/>
      <c r="S316" s="989"/>
      <c r="T316" s="710"/>
      <c r="U316" s="968"/>
      <c r="V316" s="988"/>
      <c r="W316" s="989"/>
    </row>
    <row r="317" spans="2:23" ht="11.25" customHeight="1">
      <c r="B317" s="775"/>
      <c r="C317" s="776"/>
      <c r="D317" s="777"/>
      <c r="E317" s="777"/>
      <c r="F317" s="778"/>
      <c r="G317" s="779"/>
      <c r="H317" s="780">
        <f>SUM(H314:H316)</f>
        <v>22.119999999999997</v>
      </c>
      <c r="I317" s="779"/>
      <c r="J317" s="780">
        <f>SUM(J314:J316)</f>
        <v>0</v>
      </c>
      <c r="K317" s="781"/>
      <c r="L317" s="777"/>
      <c r="M317" s="946" t="s">
        <v>171</v>
      </c>
      <c r="N317" s="782">
        <f>SUM(N314:N316)</f>
        <v>0</v>
      </c>
      <c r="O317" s="783">
        <f>SUM(O314:O316)</f>
        <v>0</v>
      </c>
      <c r="Q317" s="1051">
        <f>SUM(Q314:Q316)</f>
        <v>466991.22</v>
      </c>
      <c r="R317" s="1051">
        <f>SUM(R314:R316)</f>
        <v>466991.22</v>
      </c>
      <c r="S317" s="1052">
        <f>SUM(S314:S316)</f>
        <v>-466969.1</v>
      </c>
      <c r="T317" s="964">
        <f>+U318-U317</f>
        <v>-33809870.329999998</v>
      </c>
      <c r="U317" s="1076">
        <f>SUM(U313:U316)</f>
        <v>34171086.589999996</v>
      </c>
      <c r="V317" s="1077">
        <f>SUM(V313:V316)</f>
        <v>34171086.589999996</v>
      </c>
      <c r="W317" s="1078">
        <f>+W313-V318</f>
        <v>-33472793.769999996</v>
      </c>
    </row>
    <row r="318" spans="2:23" ht="11.25" customHeight="1">
      <c r="B318" s="784"/>
      <c r="C318" s="785"/>
      <c r="G318" s="786"/>
      <c r="H318" s="787" t="s">
        <v>214</v>
      </c>
      <c r="I318" s="788"/>
      <c r="J318" s="789">
        <v>17.88</v>
      </c>
      <c r="K318" s="751"/>
      <c r="Q318" s="710"/>
      <c r="R318" s="710"/>
      <c r="S318" s="710"/>
      <c r="T318" s="710"/>
      <c r="U318" s="710">
        <v>361216.26</v>
      </c>
      <c r="V318" s="964">
        <f>+O317+U317</f>
        <v>34171086.589999996</v>
      </c>
      <c r="W318" s="710"/>
    </row>
    <row r="319" spans="2:23" ht="11.25" customHeight="1">
      <c r="B319" s="784"/>
      <c r="C319" s="785"/>
      <c r="K319" s="751"/>
    </row>
    <row r="320" spans="2:23" ht="11.25" customHeight="1">
      <c r="B320" s="1714" t="s">
        <v>198</v>
      </c>
      <c r="C320" s="1714" t="s">
        <v>199</v>
      </c>
      <c r="D320" s="1716" t="s">
        <v>601</v>
      </c>
      <c r="E320" s="1712" t="s">
        <v>200</v>
      </c>
      <c r="F320" s="1713"/>
      <c r="G320" s="1712" t="s">
        <v>201</v>
      </c>
      <c r="H320" s="1713"/>
      <c r="I320" s="1678" t="s">
        <v>202</v>
      </c>
      <c r="J320" s="1680"/>
      <c r="K320" s="1685" t="s">
        <v>203</v>
      </c>
      <c r="L320" s="1678" t="s">
        <v>204</v>
      </c>
      <c r="M320" s="1680"/>
      <c r="N320" s="1678" t="s">
        <v>423</v>
      </c>
      <c r="O320" s="1680"/>
      <c r="Q320" s="1695" t="s">
        <v>205</v>
      </c>
      <c r="R320" s="1696"/>
      <c r="S320" s="1697"/>
      <c r="T320" s="710"/>
      <c r="U320" s="1695" t="s">
        <v>331</v>
      </c>
      <c r="V320" s="1696"/>
      <c r="W320" s="1697"/>
    </row>
    <row r="321" spans="2:23" ht="21.75" customHeight="1">
      <c r="B321" s="1715"/>
      <c r="C321" s="1715"/>
      <c r="D321" s="1717"/>
      <c r="E321" s="1011" t="s">
        <v>206</v>
      </c>
      <c r="F321" s="1012" t="s">
        <v>207</v>
      </c>
      <c r="G321" s="1011" t="s">
        <v>452</v>
      </c>
      <c r="H321" s="1012" t="s">
        <v>208</v>
      </c>
      <c r="I321" s="717" t="s">
        <v>452</v>
      </c>
      <c r="J321" s="718" t="s">
        <v>208</v>
      </c>
      <c r="K321" s="1686"/>
      <c r="L321" s="717" t="s">
        <v>467</v>
      </c>
      <c r="M321" s="718" t="s">
        <v>468</v>
      </c>
      <c r="N321" s="717" t="s">
        <v>209</v>
      </c>
      <c r="O321" s="718" t="s">
        <v>210</v>
      </c>
      <c r="Q321" s="954" t="s">
        <v>211</v>
      </c>
      <c r="R321" s="978" t="s">
        <v>394</v>
      </c>
      <c r="S321" s="979" t="s">
        <v>451</v>
      </c>
      <c r="T321" s="710"/>
      <c r="U321" s="954" t="s">
        <v>211</v>
      </c>
      <c r="V321" s="978" t="s">
        <v>394</v>
      </c>
      <c r="W321" s="979" t="s">
        <v>451</v>
      </c>
    </row>
    <row r="322" spans="2:23" ht="11.25" customHeight="1">
      <c r="B322" s="722" t="s">
        <v>183</v>
      </c>
      <c r="C322" s="728"/>
      <c r="D322" s="724"/>
      <c r="E322" s="730"/>
      <c r="G322" s="726"/>
      <c r="H322" s="727"/>
      <c r="I322" s="726"/>
      <c r="J322" s="728"/>
      <c r="K322" s="729"/>
      <c r="L322" s="724"/>
      <c r="M322" s="725"/>
      <c r="N322" s="730"/>
      <c r="O322" s="728"/>
      <c r="Q322" s="957"/>
      <c r="R322" s="980"/>
      <c r="S322" s="981"/>
      <c r="T322" s="710"/>
      <c r="U322" s="957"/>
      <c r="V322" s="980"/>
      <c r="W322" s="981"/>
    </row>
    <row r="323" spans="2:23" ht="11.25" customHeight="1">
      <c r="B323" s="722" t="s">
        <v>212</v>
      </c>
      <c r="C323" s="733" t="s">
        <v>1312</v>
      </c>
      <c r="D323" s="724"/>
      <c r="E323" s="730"/>
      <c r="F323" s="802"/>
      <c r="G323" s="726"/>
      <c r="H323" s="727"/>
      <c r="I323" s="726"/>
      <c r="J323" s="727"/>
      <c r="K323" s="729"/>
      <c r="L323" s="724"/>
      <c r="M323" s="725"/>
      <c r="N323" s="730"/>
      <c r="O323" s="728"/>
      <c r="Q323" s="960"/>
      <c r="R323" s="982"/>
      <c r="S323" s="981"/>
      <c r="T323" s="710"/>
      <c r="U323" s="960">
        <v>-88.71</v>
      </c>
      <c r="V323" s="982">
        <f>+U323</f>
        <v>-88.71</v>
      </c>
      <c r="W323" s="981">
        <v>698292.82</v>
      </c>
    </row>
    <row r="324" spans="2:23" ht="11.25" customHeight="1">
      <c r="B324" s="796" t="s">
        <v>1163</v>
      </c>
      <c r="C324" s="1023" t="s">
        <v>1795</v>
      </c>
      <c r="D324" s="738" t="s">
        <v>434</v>
      </c>
      <c r="E324" s="739">
        <v>1</v>
      </c>
      <c r="F324" s="740">
        <v>0.05</v>
      </c>
      <c r="G324" s="797">
        <v>80</v>
      </c>
      <c r="H324" s="742">
        <f>+ROUND(E324*F324*G324,2)</f>
        <v>4</v>
      </c>
      <c r="I324" s="743">
        <f>LOOKUP(B324,valoriz!$A$13:$A$242,valoriz!I$13:I$242)</f>
        <v>0.10999999999999999</v>
      </c>
      <c r="J324" s="744">
        <f>+ROUND(E324*F324*I324,2)</f>
        <v>0.01</v>
      </c>
      <c r="K324" s="745">
        <v>2.77</v>
      </c>
      <c r="L324" s="746">
        <f>D$15</f>
        <v>457.01</v>
      </c>
      <c r="M324" s="747">
        <f>D$14</f>
        <v>476.04</v>
      </c>
      <c r="N324" s="748">
        <f>+ROUND(J324*K324*M$16,2)</f>
        <v>0.03</v>
      </c>
      <c r="O324" s="744">
        <f>+ROUND(J324*K324*L324*M$16/M324,2)</f>
        <v>0.03</v>
      </c>
      <c r="Q324" s="960">
        <v>233495.61</v>
      </c>
      <c r="R324" s="983">
        <f>+J324+Q324</f>
        <v>233495.62</v>
      </c>
      <c r="S324" s="984">
        <f>+H324-R324</f>
        <v>-233491.62</v>
      </c>
      <c r="T324" s="710"/>
      <c r="U324" s="985">
        <f>+ROUND(Q324*$K324*$L324/$M324,2)</f>
        <v>620927.29</v>
      </c>
      <c r="V324" s="986">
        <f>+ROUND(R324*$K324*$L324/$M324,2)</f>
        <v>620927.31000000006</v>
      </c>
      <c r="W324" s="987"/>
    </row>
    <row r="325" spans="2:23" ht="11.25" customHeight="1">
      <c r="B325" s="796" t="s">
        <v>1220</v>
      </c>
      <c r="C325" s="1023" t="s">
        <v>1797</v>
      </c>
      <c r="D325" s="738" t="s">
        <v>434</v>
      </c>
      <c r="E325" s="739">
        <v>1</v>
      </c>
      <c r="F325" s="740">
        <v>0.1</v>
      </c>
      <c r="G325" s="797">
        <v>3091.66</v>
      </c>
      <c r="H325" s="742">
        <f>+ROUND(E325*F325*G325,2)</f>
        <v>309.17</v>
      </c>
      <c r="I325" s="1215">
        <f>LOOKUP(B325,valoriz!$A$13:$A$242,valoriz!I$13:I$242)</f>
        <v>0</v>
      </c>
      <c r="J325" s="744">
        <f>+ROUND(E325*F325*I325,2)</f>
        <v>0</v>
      </c>
      <c r="K325" s="745">
        <f>+K324</f>
        <v>2.77</v>
      </c>
      <c r="L325" s="746">
        <f>D$15</f>
        <v>457.01</v>
      </c>
      <c r="M325" s="747">
        <f>D$14</f>
        <v>476.04</v>
      </c>
      <c r="N325" s="748">
        <f>+ROUND(J325*K325*M$16,2)</f>
        <v>0</v>
      </c>
      <c r="O325" s="744">
        <f>+ROUND(J325*K325*L325*M$16/M325,2)</f>
        <v>0</v>
      </c>
      <c r="Q325" s="960">
        <v>233495.61</v>
      </c>
      <c r="R325" s="983">
        <f>+J325+Q325</f>
        <v>233495.61</v>
      </c>
      <c r="S325" s="984">
        <f>+H325-R325</f>
        <v>-233186.43999999997</v>
      </c>
      <c r="T325" s="710"/>
      <c r="U325" s="985">
        <f>+ROUND(Q325*$K325*$L325/$M325,2)</f>
        <v>620927.29</v>
      </c>
      <c r="V325" s="986">
        <f>+ROUND(R325*$K325*$L325/$M325,2)</f>
        <v>620927.29</v>
      </c>
      <c r="W325" s="987"/>
    </row>
    <row r="326" spans="2:23" ht="11.25" customHeight="1" thickBot="1">
      <c r="B326" s="762"/>
      <c r="C326" s="1024"/>
      <c r="D326" s="764"/>
      <c r="E326" s="765"/>
      <c r="F326" s="766"/>
      <c r="G326" s="799"/>
      <c r="H326" s="800"/>
      <c r="I326" s="767"/>
      <c r="J326" s="769"/>
      <c r="K326" s="770"/>
      <c r="L326" s="771"/>
      <c r="M326" s="772"/>
      <c r="N326" s="773"/>
      <c r="O326" s="769"/>
      <c r="Q326" s="968"/>
      <c r="R326" s="988"/>
      <c r="S326" s="989"/>
      <c r="T326" s="710"/>
      <c r="U326" s="968"/>
      <c r="V326" s="988"/>
      <c r="W326" s="989"/>
    </row>
    <row r="327" spans="2:23" ht="11.25" customHeight="1">
      <c r="B327" s="775"/>
      <c r="C327" s="776"/>
      <c r="D327" s="777"/>
      <c r="E327" s="777"/>
      <c r="F327" s="778"/>
      <c r="G327" s="779"/>
      <c r="H327" s="780">
        <f>SUM(H324:H326)</f>
        <v>313.17</v>
      </c>
      <c r="I327" s="779"/>
      <c r="J327" s="780">
        <f>SUM(J324:J326)</f>
        <v>0.01</v>
      </c>
      <c r="K327" s="781"/>
      <c r="L327" s="777"/>
      <c r="M327" s="946" t="s">
        <v>171</v>
      </c>
      <c r="N327" s="782">
        <f>SUM(N324:N326)</f>
        <v>0.03</v>
      </c>
      <c r="O327" s="783">
        <f>SUM(O324:O326)</f>
        <v>0.03</v>
      </c>
      <c r="Q327" s="1051">
        <f>SUM(Q324:Q326)</f>
        <v>466991.22</v>
      </c>
      <c r="R327" s="1051">
        <f>SUM(R324:R326)</f>
        <v>466991.23</v>
      </c>
      <c r="S327" s="1052">
        <f>SUM(S324:S326)</f>
        <v>-466678.05999999994</v>
      </c>
      <c r="T327" s="964">
        <f>+U328-U327</f>
        <v>-880549.6100000001</v>
      </c>
      <c r="U327" s="1076">
        <f>SUM(U323:U326)</f>
        <v>1241765.8700000001</v>
      </c>
      <c r="V327" s="1077">
        <f>SUM(V323:V326)</f>
        <v>1241765.8900000001</v>
      </c>
      <c r="W327" s="1078">
        <f>+W323-V328</f>
        <v>-543473.08000000019</v>
      </c>
    </row>
    <row r="328" spans="2:23" ht="11.25" customHeight="1">
      <c r="B328" s="784"/>
      <c r="C328" s="785"/>
      <c r="G328" s="786"/>
      <c r="H328" s="787" t="s">
        <v>214</v>
      </c>
      <c r="I328" s="788"/>
      <c r="J328" s="789">
        <v>312.39999999999998</v>
      </c>
      <c r="K328" s="751"/>
      <c r="Q328" s="710"/>
      <c r="R328" s="710"/>
      <c r="S328" s="710"/>
      <c r="T328" s="710"/>
      <c r="U328" s="710">
        <v>361216.26</v>
      </c>
      <c r="V328" s="964">
        <f>+O327+U327</f>
        <v>1241765.9000000001</v>
      </c>
      <c r="W328" s="710"/>
    </row>
    <row r="329" spans="2:23" ht="11.25" customHeight="1">
      <c r="B329" s="784"/>
      <c r="C329" s="785"/>
      <c r="K329" s="751"/>
    </row>
    <row r="330" spans="2:23" ht="11.25" customHeight="1">
      <c r="B330" s="1714" t="s">
        <v>198</v>
      </c>
      <c r="C330" s="1714" t="s">
        <v>199</v>
      </c>
      <c r="D330" s="1716" t="s">
        <v>601</v>
      </c>
      <c r="E330" s="1712" t="s">
        <v>200</v>
      </c>
      <c r="F330" s="1713"/>
      <c r="G330" s="1712" t="s">
        <v>201</v>
      </c>
      <c r="H330" s="1713"/>
      <c r="I330" s="1678" t="s">
        <v>202</v>
      </c>
      <c r="J330" s="1680"/>
      <c r="K330" s="1685" t="s">
        <v>203</v>
      </c>
      <c r="L330" s="1678" t="s">
        <v>204</v>
      </c>
      <c r="M330" s="1680"/>
      <c r="N330" s="1678" t="s">
        <v>423</v>
      </c>
      <c r="O330" s="1680"/>
      <c r="Q330" s="1695" t="s">
        <v>205</v>
      </c>
      <c r="R330" s="1696"/>
      <c r="S330" s="1697"/>
      <c r="T330" s="710"/>
      <c r="U330" s="1695" t="s">
        <v>331</v>
      </c>
      <c r="V330" s="1696"/>
      <c r="W330" s="1697"/>
    </row>
    <row r="331" spans="2:23" ht="21.75" customHeight="1">
      <c r="B331" s="1715"/>
      <c r="C331" s="1715"/>
      <c r="D331" s="1717"/>
      <c r="E331" s="1011" t="s">
        <v>206</v>
      </c>
      <c r="F331" s="1012" t="s">
        <v>207</v>
      </c>
      <c r="G331" s="1011" t="s">
        <v>452</v>
      </c>
      <c r="H331" s="1012" t="s">
        <v>208</v>
      </c>
      <c r="I331" s="717" t="s">
        <v>452</v>
      </c>
      <c r="J331" s="718" t="s">
        <v>208</v>
      </c>
      <c r="K331" s="1686"/>
      <c r="L331" s="717" t="s">
        <v>467</v>
      </c>
      <c r="M331" s="718" t="s">
        <v>468</v>
      </c>
      <c r="N331" s="717" t="s">
        <v>209</v>
      </c>
      <c r="O331" s="718" t="s">
        <v>210</v>
      </c>
      <c r="Q331" s="954" t="s">
        <v>211</v>
      </c>
      <c r="R331" s="978" t="s">
        <v>394</v>
      </c>
      <c r="S331" s="979" t="s">
        <v>451</v>
      </c>
      <c r="T331" s="710"/>
      <c r="U331" s="954" t="s">
        <v>211</v>
      </c>
      <c r="V331" s="978" t="s">
        <v>394</v>
      </c>
      <c r="W331" s="979" t="s">
        <v>451</v>
      </c>
    </row>
    <row r="332" spans="2:23" ht="11.25" customHeight="1">
      <c r="B332" s="722" t="s">
        <v>183</v>
      </c>
      <c r="C332" s="728"/>
      <c r="D332" s="724"/>
      <c r="E332" s="730"/>
      <c r="G332" s="726"/>
      <c r="H332" s="727"/>
      <c r="I332" s="726"/>
      <c r="J332" s="728"/>
      <c r="K332" s="729"/>
      <c r="L332" s="724"/>
      <c r="M332" s="725"/>
      <c r="N332" s="730"/>
      <c r="O332" s="728"/>
      <c r="Q332" s="957"/>
      <c r="R332" s="980"/>
      <c r="S332" s="981"/>
      <c r="T332" s="710"/>
      <c r="U332" s="957"/>
      <c r="V332" s="980"/>
      <c r="W332" s="981"/>
    </row>
    <row r="333" spans="2:23" ht="11.25" customHeight="1">
      <c r="B333" s="722" t="s">
        <v>212</v>
      </c>
      <c r="C333" s="733" t="s">
        <v>1313</v>
      </c>
      <c r="D333" s="724"/>
      <c r="E333" s="730"/>
      <c r="F333" s="802"/>
      <c r="G333" s="726"/>
      <c r="H333" s="727"/>
      <c r="I333" s="726"/>
      <c r="J333" s="727"/>
      <c r="K333" s="729"/>
      <c r="L333" s="724"/>
      <c r="M333" s="725"/>
      <c r="N333" s="730"/>
      <c r="O333" s="728"/>
      <c r="Q333" s="960"/>
      <c r="R333" s="982"/>
      <c r="S333" s="981"/>
      <c r="T333" s="710"/>
      <c r="U333" s="960">
        <v>-88.71</v>
      </c>
      <c r="V333" s="982">
        <f>+U333</f>
        <v>-88.71</v>
      </c>
      <c r="W333" s="981">
        <v>698292.82</v>
      </c>
    </row>
    <row r="334" spans="2:23" ht="11.25" customHeight="1">
      <c r="B334" s="796" t="s">
        <v>1246</v>
      </c>
      <c r="C334" s="1023" t="s">
        <v>1813</v>
      </c>
      <c r="D334" s="738" t="s">
        <v>431</v>
      </c>
      <c r="E334" s="739">
        <v>1</v>
      </c>
      <c r="F334" s="740">
        <v>1</v>
      </c>
      <c r="G334" s="797">
        <v>54</v>
      </c>
      <c r="H334" s="742">
        <f>+ROUND(E334*F334*G334,2)</f>
        <v>54</v>
      </c>
      <c r="I334" s="743">
        <f>LOOKUP(B334,valoriz!$A$13:$A$242,valoriz!I$13:I$242)</f>
        <v>0</v>
      </c>
      <c r="J334" s="744">
        <f>+ROUND(E334*F334*I334,2)</f>
        <v>0</v>
      </c>
      <c r="K334" s="745">
        <v>12.99</v>
      </c>
      <c r="L334" s="746">
        <f>D$15</f>
        <v>457.01</v>
      </c>
      <c r="M334" s="747">
        <f>D$14</f>
        <v>476.04</v>
      </c>
      <c r="N334" s="748">
        <f>+ROUND(J334*K334*M$16,2)</f>
        <v>0</v>
      </c>
      <c r="O334" s="744">
        <f>+ROUND(J334*K334*L334*M$16/M334,2)</f>
        <v>0</v>
      </c>
      <c r="Q334" s="960">
        <v>233495.61</v>
      </c>
      <c r="R334" s="983">
        <f>+J334+Q334</f>
        <v>233495.61</v>
      </c>
      <c r="S334" s="984">
        <f>+H334-R334</f>
        <v>-233441.61</v>
      </c>
      <c r="T334" s="710"/>
      <c r="U334" s="985">
        <f>+ROUND(Q334*$K334*$L334/$M334,2)</f>
        <v>2911857.56</v>
      </c>
      <c r="V334" s="986">
        <f>+ROUND(R334*$K334*$L334/$M334,2)</f>
        <v>2911857.56</v>
      </c>
      <c r="W334" s="987"/>
    </row>
    <row r="335" spans="2:23" ht="11.25" customHeight="1" thickBot="1">
      <c r="B335" s="762"/>
      <c r="C335" s="1024"/>
      <c r="D335" s="764"/>
      <c r="E335" s="765"/>
      <c r="F335" s="766"/>
      <c r="G335" s="799"/>
      <c r="H335" s="800"/>
      <c r="I335" s="767"/>
      <c r="J335" s="769"/>
      <c r="K335" s="770"/>
      <c r="L335" s="771"/>
      <c r="M335" s="772"/>
      <c r="N335" s="773"/>
      <c r="O335" s="769"/>
      <c r="Q335" s="968"/>
      <c r="R335" s="988"/>
      <c r="S335" s="989"/>
      <c r="T335" s="710"/>
      <c r="U335" s="968"/>
      <c r="V335" s="988"/>
      <c r="W335" s="989"/>
    </row>
    <row r="336" spans="2:23" ht="11.25" customHeight="1">
      <c r="B336" s="775"/>
      <c r="C336" s="776"/>
      <c r="D336" s="777"/>
      <c r="E336" s="777"/>
      <c r="F336" s="778"/>
      <c r="G336" s="779"/>
      <c r="H336" s="780">
        <f>SUM(H334:H335)</f>
        <v>54</v>
      </c>
      <c r="I336" s="779"/>
      <c r="J336" s="780">
        <f>SUM(J334:J335)</f>
        <v>0</v>
      </c>
      <c r="K336" s="781"/>
      <c r="L336" s="777"/>
      <c r="M336" s="946" t="s">
        <v>171</v>
      </c>
      <c r="N336" s="782">
        <f>SUM(N334:N335)</f>
        <v>0</v>
      </c>
      <c r="O336" s="783">
        <f>SUM(O334:O335)</f>
        <v>0</v>
      </c>
      <c r="Q336" s="1051">
        <f>SUM(Q334:Q335)</f>
        <v>233495.61</v>
      </c>
      <c r="R336" s="1051">
        <f>SUM(R334:R335)</f>
        <v>233495.61</v>
      </c>
      <c r="S336" s="1052">
        <f>SUM(S334:S335)</f>
        <v>-233441.61</v>
      </c>
      <c r="T336" s="964">
        <f>+U337-U336</f>
        <v>-2550552.59</v>
      </c>
      <c r="U336" s="1076">
        <f>SUM(U333:U335)</f>
        <v>2911768.85</v>
      </c>
      <c r="V336" s="1077">
        <f>SUM(V333:V335)</f>
        <v>2911768.85</v>
      </c>
      <c r="W336" s="1078">
        <f>+W333-V337</f>
        <v>-2213476.0300000003</v>
      </c>
    </row>
    <row r="337" spans="2:23" ht="11.25" customHeight="1">
      <c r="B337" s="784"/>
      <c r="C337" s="785"/>
      <c r="G337" s="786"/>
      <c r="H337" s="787" t="s">
        <v>214</v>
      </c>
      <c r="I337" s="788"/>
      <c r="J337" s="789">
        <v>54</v>
      </c>
      <c r="K337" s="751"/>
      <c r="Q337" s="710"/>
      <c r="R337" s="710"/>
      <c r="S337" s="710"/>
      <c r="T337" s="710"/>
      <c r="U337" s="710">
        <v>361216.26</v>
      </c>
      <c r="V337" s="964">
        <f>+O336+U336</f>
        <v>2911768.85</v>
      </c>
      <c r="W337" s="710"/>
    </row>
    <row r="338" spans="2:23" ht="11.25" customHeight="1">
      <c r="B338" s="784"/>
      <c r="C338" s="785"/>
      <c r="K338" s="751"/>
    </row>
    <row r="339" spans="2:23" ht="11.25" customHeight="1">
      <c r="B339" s="1714" t="s">
        <v>198</v>
      </c>
      <c r="C339" s="1714" t="s">
        <v>199</v>
      </c>
      <c r="D339" s="1716" t="s">
        <v>601</v>
      </c>
      <c r="E339" s="1712" t="s">
        <v>200</v>
      </c>
      <c r="F339" s="1713"/>
      <c r="G339" s="1712" t="s">
        <v>201</v>
      </c>
      <c r="H339" s="1713"/>
      <c r="I339" s="1678" t="s">
        <v>202</v>
      </c>
      <c r="J339" s="1680"/>
      <c r="K339" s="1685" t="s">
        <v>203</v>
      </c>
      <c r="L339" s="1678" t="s">
        <v>204</v>
      </c>
      <c r="M339" s="1680"/>
      <c r="N339" s="1678" t="s">
        <v>423</v>
      </c>
      <c r="O339" s="1680"/>
      <c r="Q339" s="1695" t="s">
        <v>205</v>
      </c>
      <c r="R339" s="1696"/>
      <c r="S339" s="1697"/>
      <c r="T339" s="710"/>
      <c r="U339" s="1695" t="s">
        <v>331</v>
      </c>
      <c r="V339" s="1696"/>
      <c r="W339" s="1697"/>
    </row>
    <row r="340" spans="2:23" ht="21.75" customHeight="1">
      <c r="B340" s="1715"/>
      <c r="C340" s="1715"/>
      <c r="D340" s="1717"/>
      <c r="E340" s="1011" t="s">
        <v>206</v>
      </c>
      <c r="F340" s="1012" t="s">
        <v>207</v>
      </c>
      <c r="G340" s="1011" t="s">
        <v>452</v>
      </c>
      <c r="H340" s="1012" t="s">
        <v>208</v>
      </c>
      <c r="I340" s="717" t="s">
        <v>452</v>
      </c>
      <c r="J340" s="718" t="s">
        <v>208</v>
      </c>
      <c r="K340" s="1686"/>
      <c r="L340" s="717" t="s">
        <v>467</v>
      </c>
      <c r="M340" s="718" t="s">
        <v>468</v>
      </c>
      <c r="N340" s="717" t="s">
        <v>209</v>
      </c>
      <c r="O340" s="718" t="s">
        <v>210</v>
      </c>
      <c r="Q340" s="954" t="s">
        <v>211</v>
      </c>
      <c r="R340" s="978" t="s">
        <v>394</v>
      </c>
      <c r="S340" s="979" t="s">
        <v>451</v>
      </c>
      <c r="T340" s="710"/>
      <c r="U340" s="954" t="s">
        <v>211</v>
      </c>
      <c r="V340" s="978" t="s">
        <v>394</v>
      </c>
      <c r="W340" s="979" t="s">
        <v>451</v>
      </c>
    </row>
    <row r="341" spans="2:23" ht="11.25" customHeight="1">
      <c r="B341" s="722" t="s">
        <v>183</v>
      </c>
      <c r="C341" s="728"/>
      <c r="D341" s="724"/>
      <c r="E341" s="730"/>
      <c r="G341" s="726"/>
      <c r="H341" s="727"/>
      <c r="I341" s="726"/>
      <c r="J341" s="728"/>
      <c r="K341" s="729"/>
      <c r="L341" s="724"/>
      <c r="M341" s="725"/>
      <c r="N341" s="730"/>
      <c r="O341" s="728"/>
      <c r="Q341" s="957"/>
      <c r="R341" s="980"/>
      <c r="S341" s="981"/>
      <c r="T341" s="710"/>
      <c r="U341" s="957"/>
      <c r="V341" s="980"/>
      <c r="W341" s="981"/>
    </row>
    <row r="342" spans="2:23" ht="11.25" customHeight="1">
      <c r="B342" s="722" t="s">
        <v>212</v>
      </c>
      <c r="C342" s="733" t="s">
        <v>1314</v>
      </c>
      <c r="D342" s="724"/>
      <c r="E342" s="730"/>
      <c r="F342" s="802"/>
      <c r="G342" s="726"/>
      <c r="H342" s="727"/>
      <c r="I342" s="726"/>
      <c r="J342" s="727"/>
      <c r="K342" s="729"/>
      <c r="L342" s="724"/>
      <c r="M342" s="725"/>
      <c r="N342" s="730"/>
      <c r="O342" s="728"/>
      <c r="Q342" s="960"/>
      <c r="R342" s="982"/>
      <c r="S342" s="981"/>
      <c r="T342" s="710"/>
      <c r="U342" s="960">
        <v>-88.71</v>
      </c>
      <c r="V342" s="982">
        <f>+U342</f>
        <v>-88.71</v>
      </c>
      <c r="W342" s="981">
        <v>698292.82</v>
      </c>
    </row>
    <row r="343" spans="2:23" ht="11.25" customHeight="1">
      <c r="B343" s="796" t="s">
        <v>1163</v>
      </c>
      <c r="C343" s="1023" t="s">
        <v>1795</v>
      </c>
      <c r="D343" s="738" t="s">
        <v>434</v>
      </c>
      <c r="E343" s="739">
        <v>1</v>
      </c>
      <c r="F343" s="740">
        <v>0.45</v>
      </c>
      <c r="G343" s="797">
        <v>80</v>
      </c>
      <c r="H343" s="742">
        <f>+ROUND(E343*F343*G343,2)</f>
        <v>36</v>
      </c>
      <c r="I343" s="743">
        <f>LOOKUP(B343,valoriz!$A$13:$A$242,valoriz!I$13:I$242)</f>
        <v>0.10999999999999999</v>
      </c>
      <c r="J343" s="744">
        <f>+ROUND(E343*F343*I343,2)</f>
        <v>0.05</v>
      </c>
      <c r="K343" s="745">
        <v>12</v>
      </c>
      <c r="L343" s="746">
        <f>D$15</f>
        <v>457.01</v>
      </c>
      <c r="M343" s="747">
        <f>D$14</f>
        <v>476.04</v>
      </c>
      <c r="N343" s="748">
        <f>+ROUND(J343*K343*M$16,2)</f>
        <v>0.6</v>
      </c>
      <c r="O343" s="744">
        <f>+ROUND(J343*K343*L343*M$16/M343,2)</f>
        <v>0.57999999999999996</v>
      </c>
      <c r="Q343" s="960">
        <v>233495.61</v>
      </c>
      <c r="R343" s="983">
        <f>+J343+Q343</f>
        <v>233495.65999999997</v>
      </c>
      <c r="S343" s="984">
        <f>+H343-R343</f>
        <v>-233459.65999999997</v>
      </c>
      <c r="T343" s="710"/>
      <c r="U343" s="985">
        <f>+ROUND(Q343*$K343*$L343/$M343,2)</f>
        <v>2689937.7</v>
      </c>
      <c r="V343" s="986">
        <f>+ROUND(R343*$K343*$L343/$M343,2)</f>
        <v>2689938.28</v>
      </c>
      <c r="W343" s="987"/>
    </row>
    <row r="344" spans="2:23" ht="11.25" customHeight="1" thickBot="1">
      <c r="B344" s="762"/>
      <c r="C344" s="1024"/>
      <c r="D344" s="764"/>
      <c r="E344" s="765"/>
      <c r="F344" s="766"/>
      <c r="G344" s="799"/>
      <c r="H344" s="800"/>
      <c r="I344" s="767"/>
      <c r="J344" s="769"/>
      <c r="K344" s="770"/>
      <c r="L344" s="771"/>
      <c r="M344" s="772"/>
      <c r="N344" s="773"/>
      <c r="O344" s="769"/>
      <c r="Q344" s="968"/>
      <c r="R344" s="988"/>
      <c r="S344" s="989"/>
      <c r="T344" s="710"/>
      <c r="U344" s="968"/>
      <c r="V344" s="988"/>
      <c r="W344" s="989"/>
    </row>
    <row r="345" spans="2:23" ht="11.25" customHeight="1">
      <c r="B345" s="775"/>
      <c r="C345" s="776"/>
      <c r="D345" s="777"/>
      <c r="E345" s="777"/>
      <c r="F345" s="778"/>
      <c r="G345" s="779"/>
      <c r="H345" s="780">
        <f>SUM(H343:H344)</f>
        <v>36</v>
      </c>
      <c r="I345" s="779"/>
      <c r="J345" s="780">
        <f>SUM(J343:J344)</f>
        <v>0.05</v>
      </c>
      <c r="K345" s="781"/>
      <c r="L345" s="777"/>
      <c r="M345" s="946" t="s">
        <v>171</v>
      </c>
      <c r="N345" s="782">
        <f>SUM(N343:N344)</f>
        <v>0.6</v>
      </c>
      <c r="O345" s="783">
        <f>SUM(O343:O344)</f>
        <v>0.57999999999999996</v>
      </c>
      <c r="Q345" s="1051">
        <f>SUM(Q343:Q344)</f>
        <v>233495.61</v>
      </c>
      <c r="R345" s="1051">
        <f>SUM(R343:R344)</f>
        <v>233495.65999999997</v>
      </c>
      <c r="S345" s="1052">
        <f>SUM(S343:S344)</f>
        <v>-233459.65999999997</v>
      </c>
      <c r="T345" s="964">
        <f>+U346-U345</f>
        <v>-2328632.7300000004</v>
      </c>
      <c r="U345" s="1076">
        <f>SUM(U342:U344)</f>
        <v>2689848.99</v>
      </c>
      <c r="V345" s="1077">
        <f>SUM(V342:V344)</f>
        <v>2689849.57</v>
      </c>
      <c r="W345" s="1078">
        <f>+W342-V346</f>
        <v>-1991556.7500000005</v>
      </c>
    </row>
    <row r="346" spans="2:23" ht="11.25" customHeight="1">
      <c r="B346" s="784"/>
      <c r="C346" s="785"/>
      <c r="G346" s="786"/>
      <c r="H346" s="787" t="s">
        <v>214</v>
      </c>
      <c r="I346" s="788"/>
      <c r="J346" s="789">
        <v>29.09</v>
      </c>
      <c r="K346" s="751"/>
      <c r="Q346" s="710"/>
      <c r="R346" s="710"/>
      <c r="S346" s="710"/>
      <c r="T346" s="710"/>
      <c r="U346" s="710">
        <v>361216.26</v>
      </c>
      <c r="V346" s="964">
        <f>+O345+U345</f>
        <v>2689849.5700000003</v>
      </c>
      <c r="W346" s="710"/>
    </row>
    <row r="347" spans="2:23" ht="11.25" customHeight="1">
      <c r="B347" s="784"/>
      <c r="C347" s="785"/>
      <c r="K347" s="751"/>
    </row>
    <row r="348" spans="2:23" ht="11.25" customHeight="1">
      <c r="B348" s="1714" t="s">
        <v>198</v>
      </c>
      <c r="C348" s="1714" t="s">
        <v>199</v>
      </c>
      <c r="D348" s="1716" t="s">
        <v>601</v>
      </c>
      <c r="E348" s="1712" t="s">
        <v>200</v>
      </c>
      <c r="F348" s="1713"/>
      <c r="G348" s="1712" t="s">
        <v>201</v>
      </c>
      <c r="H348" s="1713"/>
      <c r="I348" s="1678" t="s">
        <v>202</v>
      </c>
      <c r="J348" s="1680"/>
      <c r="K348" s="1685" t="s">
        <v>203</v>
      </c>
      <c r="L348" s="1678" t="s">
        <v>204</v>
      </c>
      <c r="M348" s="1680"/>
      <c r="N348" s="1678" t="s">
        <v>423</v>
      </c>
      <c r="O348" s="1680"/>
      <c r="Q348" s="1695" t="s">
        <v>205</v>
      </c>
      <c r="R348" s="1696"/>
      <c r="S348" s="1697"/>
      <c r="T348" s="710"/>
      <c r="U348" s="1695" t="s">
        <v>331</v>
      </c>
      <c r="V348" s="1696"/>
      <c r="W348" s="1697"/>
    </row>
    <row r="349" spans="2:23" ht="21.75" customHeight="1">
      <c r="B349" s="1715"/>
      <c r="C349" s="1715"/>
      <c r="D349" s="1717"/>
      <c r="E349" s="1011" t="s">
        <v>206</v>
      </c>
      <c r="F349" s="1012" t="s">
        <v>207</v>
      </c>
      <c r="G349" s="1011" t="s">
        <v>452</v>
      </c>
      <c r="H349" s="1012" t="s">
        <v>208</v>
      </c>
      <c r="I349" s="717" t="s">
        <v>452</v>
      </c>
      <c r="J349" s="718" t="s">
        <v>208</v>
      </c>
      <c r="K349" s="1686"/>
      <c r="L349" s="717" t="s">
        <v>467</v>
      </c>
      <c r="M349" s="718" t="s">
        <v>468</v>
      </c>
      <c r="N349" s="717" t="s">
        <v>209</v>
      </c>
      <c r="O349" s="718" t="s">
        <v>210</v>
      </c>
      <c r="Q349" s="954" t="s">
        <v>211</v>
      </c>
      <c r="R349" s="978" t="s">
        <v>394</v>
      </c>
      <c r="S349" s="979" t="s">
        <v>451</v>
      </c>
      <c r="T349" s="710"/>
      <c r="U349" s="954" t="s">
        <v>211</v>
      </c>
      <c r="V349" s="978" t="s">
        <v>394</v>
      </c>
      <c r="W349" s="979" t="s">
        <v>451</v>
      </c>
    </row>
    <row r="350" spans="2:23" ht="11.25" customHeight="1">
      <c r="B350" s="722" t="s">
        <v>183</v>
      </c>
      <c r="C350" s="728"/>
      <c r="D350" s="724"/>
      <c r="E350" s="730"/>
      <c r="G350" s="726"/>
      <c r="H350" s="727"/>
      <c r="I350" s="726"/>
      <c r="J350" s="728"/>
      <c r="K350" s="729"/>
      <c r="L350" s="724"/>
      <c r="M350" s="725"/>
      <c r="N350" s="730"/>
      <c r="O350" s="728"/>
      <c r="Q350" s="957"/>
      <c r="R350" s="980"/>
      <c r="S350" s="981"/>
      <c r="T350" s="710"/>
      <c r="U350" s="957"/>
      <c r="V350" s="980"/>
      <c r="W350" s="981"/>
    </row>
    <row r="351" spans="2:23" ht="11.25" customHeight="1">
      <c r="B351" s="722" t="s">
        <v>212</v>
      </c>
      <c r="C351" s="733" t="s">
        <v>1315</v>
      </c>
      <c r="D351" s="724"/>
      <c r="E351" s="730"/>
      <c r="F351" s="802"/>
      <c r="G351" s="726"/>
      <c r="H351" s="727"/>
      <c r="I351" s="726"/>
      <c r="J351" s="727"/>
      <c r="K351" s="729"/>
      <c r="L351" s="724"/>
      <c r="M351" s="725"/>
      <c r="N351" s="730"/>
      <c r="O351" s="728"/>
      <c r="Q351" s="960"/>
      <c r="R351" s="982"/>
      <c r="S351" s="981"/>
      <c r="T351" s="710"/>
      <c r="U351" s="960">
        <v>-88.71</v>
      </c>
      <c r="V351" s="982">
        <f>+U351</f>
        <v>-88.71</v>
      </c>
      <c r="W351" s="981">
        <v>698292.82</v>
      </c>
    </row>
    <row r="352" spans="2:23" ht="11.25" customHeight="1">
      <c r="B352" s="796" t="s">
        <v>742</v>
      </c>
      <c r="C352" s="1023" t="s">
        <v>1814</v>
      </c>
      <c r="D352" s="738" t="s">
        <v>431</v>
      </c>
      <c r="E352" s="739">
        <v>1</v>
      </c>
      <c r="F352" s="740">
        <v>1.05</v>
      </c>
      <c r="G352" s="797">
        <v>90</v>
      </c>
      <c r="H352" s="742">
        <f>+ROUND(E352*F352*G352,2)</f>
        <v>94.5</v>
      </c>
      <c r="I352" s="743">
        <f>LOOKUP(B352,valoriz!$A$13:$A$242,valoriz!I$13:I$242)</f>
        <v>0</v>
      </c>
      <c r="J352" s="744">
        <f>+ROUND(E352*F352*I352,2)</f>
        <v>0</v>
      </c>
      <c r="K352" s="745">
        <v>3.9</v>
      </c>
      <c r="L352" s="746">
        <f>D$15</f>
        <v>457.01</v>
      </c>
      <c r="M352" s="747">
        <f>D$14</f>
        <v>476.04</v>
      </c>
      <c r="N352" s="748">
        <f>+ROUND(J352*K352*M$16,2)</f>
        <v>0</v>
      </c>
      <c r="O352" s="744">
        <f>+ROUND(J352*K352*L352*M$16/M352,2)</f>
        <v>0</v>
      </c>
      <c r="Q352" s="960">
        <v>233495.61</v>
      </c>
      <c r="R352" s="983">
        <f>+J352+Q352</f>
        <v>233495.61</v>
      </c>
      <c r="S352" s="984">
        <f>+H352-R352</f>
        <v>-233401.11</v>
      </c>
      <c r="T352" s="710"/>
      <c r="U352" s="985">
        <f>+ROUND(Q352*$K352*$L352/$M352,2)</f>
        <v>874229.75</v>
      </c>
      <c r="V352" s="986">
        <f>+ROUND(R352*$K352*$L352/$M352,2)</f>
        <v>874229.75</v>
      </c>
      <c r="W352" s="987"/>
    </row>
    <row r="353" spans="2:23" ht="11.25" customHeight="1" thickBot="1">
      <c r="B353" s="762"/>
      <c r="C353" s="1024"/>
      <c r="D353" s="764"/>
      <c r="E353" s="765"/>
      <c r="F353" s="766"/>
      <c r="G353" s="799"/>
      <c r="H353" s="800"/>
      <c r="I353" s="767"/>
      <c r="J353" s="769"/>
      <c r="K353" s="770"/>
      <c r="L353" s="771"/>
      <c r="M353" s="772"/>
      <c r="N353" s="773"/>
      <c r="O353" s="769"/>
      <c r="Q353" s="968"/>
      <c r="R353" s="988"/>
      <c r="S353" s="989"/>
      <c r="T353" s="710"/>
      <c r="U353" s="968"/>
      <c r="V353" s="988"/>
      <c r="W353" s="989"/>
    </row>
    <row r="354" spans="2:23" ht="11.25" customHeight="1">
      <c r="B354" s="775"/>
      <c r="C354" s="776"/>
      <c r="D354" s="777"/>
      <c r="E354" s="777"/>
      <c r="F354" s="778"/>
      <c r="G354" s="779"/>
      <c r="H354" s="780">
        <f>SUM(H352:H353)</f>
        <v>94.5</v>
      </c>
      <c r="I354" s="779"/>
      <c r="J354" s="780">
        <f>SUM(J352:J353)</f>
        <v>0</v>
      </c>
      <c r="K354" s="781"/>
      <c r="L354" s="777"/>
      <c r="M354" s="946" t="s">
        <v>171</v>
      </c>
      <c r="N354" s="782">
        <f>SUM(N352:N353)</f>
        <v>0</v>
      </c>
      <c r="O354" s="783">
        <f>SUM(O352:O353)</f>
        <v>0</v>
      </c>
      <c r="Q354" s="1051">
        <f>SUM(Q352:Q353)</f>
        <v>233495.61</v>
      </c>
      <c r="R354" s="1051">
        <f>SUM(R352:R353)</f>
        <v>233495.61</v>
      </c>
      <c r="S354" s="1052">
        <f>SUM(S352:S353)</f>
        <v>-233401.11</v>
      </c>
      <c r="T354" s="964">
        <f>+U355-U354</f>
        <v>-512924.78</v>
      </c>
      <c r="U354" s="1076">
        <f>SUM(U351:U353)</f>
        <v>874141.04</v>
      </c>
      <c r="V354" s="1077">
        <f>SUM(V351:V353)</f>
        <v>874141.04</v>
      </c>
      <c r="W354" s="1078">
        <f>+W351-V355</f>
        <v>-175848.22000000009</v>
      </c>
    </row>
    <row r="355" spans="2:23" ht="11.25" customHeight="1">
      <c r="B355"/>
      <c r="C355"/>
      <c r="D355"/>
      <c r="E355"/>
      <c r="F355"/>
      <c r="G355" s="786"/>
      <c r="H355" s="787" t="s">
        <v>214</v>
      </c>
      <c r="I355" s="788"/>
      <c r="J355" s="789">
        <v>94.5</v>
      </c>
      <c r="K355" s="751"/>
      <c r="Q355" s="710"/>
      <c r="R355" s="710"/>
      <c r="S355" s="710"/>
      <c r="T355" s="710"/>
      <c r="U355" s="710">
        <v>361216.26</v>
      </c>
      <c r="V355" s="964">
        <f>+O354+U354</f>
        <v>874141.04</v>
      </c>
      <c r="W355" s="710"/>
    </row>
    <row r="356" spans="2:23" ht="11.25" customHeight="1">
      <c r="B356" s="784"/>
      <c r="C356" s="785"/>
      <c r="K356" s="751"/>
    </row>
    <row r="357" spans="2:23" ht="11.25" customHeight="1">
      <c r="B357" s="1714" t="s">
        <v>198</v>
      </c>
      <c r="C357" s="1714" t="s">
        <v>199</v>
      </c>
      <c r="D357" s="1716" t="s">
        <v>601</v>
      </c>
      <c r="E357" s="1712" t="s">
        <v>200</v>
      </c>
      <c r="F357" s="1713"/>
      <c r="G357" s="1712" t="s">
        <v>201</v>
      </c>
      <c r="H357" s="1713"/>
      <c r="I357" s="1678" t="s">
        <v>202</v>
      </c>
      <c r="J357" s="1680"/>
      <c r="K357" s="1685" t="s">
        <v>203</v>
      </c>
      <c r="L357" s="1678" t="s">
        <v>204</v>
      </c>
      <c r="M357" s="1680"/>
      <c r="N357" s="1678" t="s">
        <v>423</v>
      </c>
      <c r="O357" s="1680"/>
      <c r="P357" s="700"/>
      <c r="Q357" s="1695" t="s">
        <v>205</v>
      </c>
      <c r="R357" s="1696"/>
      <c r="S357" s="1697"/>
      <c r="T357" s="710"/>
      <c r="U357" s="1695" t="s">
        <v>331</v>
      </c>
      <c r="V357" s="1696"/>
      <c r="W357" s="1697"/>
    </row>
    <row r="358" spans="2:23" ht="23.25" customHeight="1">
      <c r="B358" s="1715"/>
      <c r="C358" s="1715"/>
      <c r="D358" s="1717"/>
      <c r="E358" s="1011" t="s">
        <v>206</v>
      </c>
      <c r="F358" s="1012" t="s">
        <v>207</v>
      </c>
      <c r="G358" s="1011" t="s">
        <v>452</v>
      </c>
      <c r="H358" s="1012" t="s">
        <v>208</v>
      </c>
      <c r="I358" s="717" t="s">
        <v>452</v>
      </c>
      <c r="J358" s="718" t="s">
        <v>208</v>
      </c>
      <c r="K358" s="1686"/>
      <c r="L358" s="717" t="s">
        <v>467</v>
      </c>
      <c r="M358" s="718" t="s">
        <v>468</v>
      </c>
      <c r="N358" s="717" t="s">
        <v>209</v>
      </c>
      <c r="O358" s="718" t="s">
        <v>210</v>
      </c>
      <c r="Q358" s="954" t="s">
        <v>211</v>
      </c>
      <c r="R358" s="978" t="s">
        <v>394</v>
      </c>
      <c r="S358" s="979" t="s">
        <v>451</v>
      </c>
      <c r="T358" s="710"/>
      <c r="U358" s="954" t="s">
        <v>211</v>
      </c>
      <c r="V358" s="978" t="s">
        <v>394</v>
      </c>
      <c r="W358" s="979" t="s">
        <v>451</v>
      </c>
    </row>
    <row r="359" spans="2:23" ht="11.25" customHeight="1">
      <c r="B359" s="722" t="s">
        <v>183</v>
      </c>
      <c r="C359" s="728"/>
      <c r="D359" s="724"/>
      <c r="E359" s="730"/>
      <c r="G359" s="726"/>
      <c r="H359" s="727"/>
      <c r="I359" s="726"/>
      <c r="J359" s="728"/>
      <c r="K359" s="729"/>
      <c r="L359" s="724"/>
      <c r="M359" s="725"/>
      <c r="N359" s="730"/>
      <c r="O359" s="728"/>
      <c r="Q359" s="957"/>
      <c r="R359" s="980"/>
      <c r="S359" s="981"/>
      <c r="T359" s="710"/>
      <c r="U359" s="957"/>
      <c r="V359" s="980"/>
      <c r="W359" s="981"/>
    </row>
    <row r="360" spans="2:23" ht="11.25" customHeight="1">
      <c r="B360" s="722" t="s">
        <v>212</v>
      </c>
      <c r="C360" s="733" t="s">
        <v>1316</v>
      </c>
      <c r="D360" s="724"/>
      <c r="E360" s="730"/>
      <c r="F360" s="802"/>
      <c r="G360" s="726"/>
      <c r="H360" s="727"/>
      <c r="I360" s="726"/>
      <c r="J360" s="727"/>
      <c r="K360" s="729"/>
      <c r="L360" s="724"/>
      <c r="M360" s="725"/>
      <c r="N360" s="794"/>
      <c r="O360" s="795"/>
      <c r="Q360" s="960"/>
      <c r="R360" s="982"/>
      <c r="S360" s="981"/>
      <c r="T360" s="710"/>
      <c r="U360" s="960">
        <v>-147.01</v>
      </c>
      <c r="V360" s="982">
        <f>+U360</f>
        <v>-147.01</v>
      </c>
      <c r="W360" s="981">
        <v>459886.96</v>
      </c>
    </row>
    <row r="361" spans="2:23" ht="11.25" customHeight="1">
      <c r="B361" s="796" t="s">
        <v>1245</v>
      </c>
      <c r="C361" s="1023" t="s">
        <v>1798</v>
      </c>
      <c r="D361" s="738" t="s">
        <v>433</v>
      </c>
      <c r="E361" s="739">
        <v>1</v>
      </c>
      <c r="F361" s="740">
        <v>1</v>
      </c>
      <c r="G361" s="797">
        <v>34</v>
      </c>
      <c r="H361" s="742">
        <f>+ROUND(E361*F361*G361,2)</f>
        <v>34</v>
      </c>
      <c r="I361" s="743">
        <f>LOOKUP(B361,valoriz!$A$13:$A$242,valoriz!I$13:I$242)</f>
        <v>0</v>
      </c>
      <c r="J361" s="744">
        <f>+ROUND(E361*F361*I361,2)</f>
        <v>0</v>
      </c>
      <c r="K361" s="745">
        <v>10</v>
      </c>
      <c r="L361" s="746">
        <f>D$15</f>
        <v>457.01</v>
      </c>
      <c r="M361" s="747">
        <f>D$14</f>
        <v>476.04</v>
      </c>
      <c r="N361" s="748">
        <f>+ROUND(J361*K361*M$16,2)</f>
        <v>0</v>
      </c>
      <c r="O361" s="744">
        <f>+ROUND(J361*K361*L361*M$16/M361,2)</f>
        <v>0</v>
      </c>
      <c r="Q361" s="960">
        <v>1104.1500000000001</v>
      </c>
      <c r="R361" s="983">
        <f>+J361+Q361</f>
        <v>1104.1500000000001</v>
      </c>
      <c r="S361" s="984">
        <f>+H361-R361</f>
        <v>-1070.1500000000001</v>
      </c>
      <c r="T361" s="964"/>
      <c r="U361" s="985">
        <f>+ROUND(Q361*$K361*$L361/$M361,2)</f>
        <v>10600.11</v>
      </c>
      <c r="V361" s="986">
        <f>+ROUND(R361*$K361*$L361/$M361,2)</f>
        <v>10600.11</v>
      </c>
      <c r="W361" s="987"/>
    </row>
    <row r="362" spans="2:23" ht="11.25" customHeight="1" thickBot="1">
      <c r="B362" s="762"/>
      <c r="C362" s="1024"/>
      <c r="D362" s="764"/>
      <c r="E362" s="765"/>
      <c r="F362" s="766"/>
      <c r="G362" s="799"/>
      <c r="H362" s="800"/>
      <c r="I362" s="799"/>
      <c r="J362" s="801"/>
      <c r="K362" s="770"/>
      <c r="L362" s="771"/>
      <c r="M362" s="772"/>
      <c r="N362" s="773"/>
      <c r="O362" s="769"/>
      <c r="Q362" s="968"/>
      <c r="R362" s="988"/>
      <c r="S362" s="989"/>
      <c r="T362" s="710"/>
      <c r="U362" s="968">
        <v>-1.45</v>
      </c>
      <c r="V362" s="988"/>
      <c r="W362" s="989"/>
    </row>
    <row r="363" spans="2:23" ht="11.25" customHeight="1">
      <c r="B363" s="775"/>
      <c r="C363" s="776"/>
      <c r="D363" s="777"/>
      <c r="E363" s="777"/>
      <c r="F363" s="778"/>
      <c r="G363" s="779"/>
      <c r="H363" s="780">
        <f>SUM(H361:H362)</f>
        <v>34</v>
      </c>
      <c r="I363" s="779"/>
      <c r="J363" s="780">
        <f>SUM(J361:J362)</f>
        <v>0</v>
      </c>
      <c r="K363" s="781"/>
      <c r="L363" s="777"/>
      <c r="M363" s="946" t="s">
        <v>171</v>
      </c>
      <c r="N363" s="782">
        <f>SUM(N361:N362)</f>
        <v>0</v>
      </c>
      <c r="O363" s="783">
        <f>SUM(O361:O362)</f>
        <v>0</v>
      </c>
      <c r="Q363" s="1051">
        <f>SUM(Q361:Q362)</f>
        <v>1104.1500000000001</v>
      </c>
      <c r="R363" s="1051">
        <f>SUM(R361:R362)</f>
        <v>1104.1500000000001</v>
      </c>
      <c r="S363" s="1052">
        <f>SUM(S361:S362)</f>
        <v>-1070.1500000000001</v>
      </c>
      <c r="T363" s="964"/>
      <c r="U363" s="990">
        <f>SUM(U360:U362)</f>
        <v>10451.65</v>
      </c>
      <c r="V363" s="991">
        <f>SUM(V360:V362)</f>
        <v>10453.1</v>
      </c>
      <c r="W363" s="992">
        <f>+W360-V364</f>
        <v>449435.31</v>
      </c>
    </row>
    <row r="364" spans="2:23" ht="11.25" customHeight="1">
      <c r="B364" s="790"/>
      <c r="C364" s="791"/>
      <c r="D364" s="121"/>
      <c r="E364" s="792"/>
      <c r="F364" s="792"/>
      <c r="G364" s="786"/>
      <c r="H364" s="787" t="s">
        <v>214</v>
      </c>
      <c r="I364" s="788"/>
      <c r="J364" s="789">
        <v>34</v>
      </c>
      <c r="K364" s="709"/>
      <c r="M364" s="709"/>
      <c r="N364" s="709"/>
      <c r="O364" s="751"/>
      <c r="P364" s="751"/>
      <c r="Q364" s="710"/>
      <c r="R364" s="710"/>
      <c r="S364" s="710"/>
      <c r="T364" s="710"/>
      <c r="U364" s="710">
        <v>193199.94</v>
      </c>
      <c r="V364" s="964">
        <f>+O363+U363</f>
        <v>10451.65</v>
      </c>
      <c r="W364" s="710"/>
    </row>
    <row r="365" spans="2:23" ht="11.25" customHeight="1">
      <c r="B365" s="784"/>
      <c r="C365" s="785"/>
      <c r="K365" s="751"/>
    </row>
    <row r="366" spans="2:23" ht="11.25" customHeight="1">
      <c r="B366" s="1714" t="s">
        <v>198</v>
      </c>
      <c r="C366" s="1714" t="s">
        <v>199</v>
      </c>
      <c r="D366" s="1716" t="s">
        <v>601</v>
      </c>
      <c r="E366" s="1712" t="s">
        <v>200</v>
      </c>
      <c r="F366" s="1713"/>
      <c r="G366" s="1712" t="s">
        <v>201</v>
      </c>
      <c r="H366" s="1713"/>
      <c r="I366" s="1678" t="s">
        <v>202</v>
      </c>
      <c r="J366" s="1680"/>
      <c r="K366" s="1685" t="s">
        <v>203</v>
      </c>
      <c r="L366" s="1678" t="s">
        <v>204</v>
      </c>
      <c r="M366" s="1680"/>
      <c r="N366" s="1678" t="s">
        <v>423</v>
      </c>
      <c r="O366" s="1680"/>
      <c r="P366" s="700"/>
      <c r="Q366" s="1695" t="s">
        <v>205</v>
      </c>
      <c r="R366" s="1696"/>
      <c r="S366" s="1697"/>
      <c r="T366" s="710"/>
      <c r="U366" s="1695" t="s">
        <v>331</v>
      </c>
      <c r="V366" s="1696"/>
      <c r="W366" s="1697"/>
    </row>
    <row r="367" spans="2:23" ht="22.5" customHeight="1">
      <c r="B367" s="1715"/>
      <c r="C367" s="1715"/>
      <c r="D367" s="1717"/>
      <c r="E367" s="1011" t="s">
        <v>206</v>
      </c>
      <c r="F367" s="1012" t="s">
        <v>207</v>
      </c>
      <c r="G367" s="1011" t="s">
        <v>452</v>
      </c>
      <c r="H367" s="1012" t="s">
        <v>208</v>
      </c>
      <c r="I367" s="717" t="s">
        <v>452</v>
      </c>
      <c r="J367" s="718" t="s">
        <v>208</v>
      </c>
      <c r="K367" s="1686"/>
      <c r="L367" s="717" t="s">
        <v>467</v>
      </c>
      <c r="M367" s="718" t="s">
        <v>468</v>
      </c>
      <c r="N367" s="717" t="s">
        <v>209</v>
      </c>
      <c r="O367" s="718" t="s">
        <v>210</v>
      </c>
      <c r="Q367" s="954" t="s">
        <v>211</v>
      </c>
      <c r="R367" s="978" t="s">
        <v>394</v>
      </c>
      <c r="S367" s="979" t="s">
        <v>451</v>
      </c>
      <c r="T367" s="710"/>
      <c r="U367" s="954" t="s">
        <v>211</v>
      </c>
      <c r="V367" s="978" t="s">
        <v>394</v>
      </c>
      <c r="W367" s="979" t="s">
        <v>451</v>
      </c>
    </row>
    <row r="368" spans="2:23" ht="11.25" customHeight="1">
      <c r="B368" s="722" t="s">
        <v>183</v>
      </c>
      <c r="C368" s="728"/>
      <c r="D368" s="724"/>
      <c r="E368" s="730"/>
      <c r="G368" s="726"/>
      <c r="H368" s="727"/>
      <c r="I368" s="726"/>
      <c r="J368" s="728"/>
      <c r="K368" s="729"/>
      <c r="L368" s="724"/>
      <c r="M368" s="725"/>
      <c r="N368" s="730"/>
      <c r="O368" s="728"/>
      <c r="Q368" s="957"/>
      <c r="R368" s="980"/>
      <c r="S368" s="981"/>
      <c r="T368" s="710"/>
      <c r="U368" s="957"/>
      <c r="V368" s="980"/>
      <c r="W368" s="981"/>
    </row>
    <row r="369" spans="2:23" ht="11.25" customHeight="1">
      <c r="B369" s="722" t="s">
        <v>212</v>
      </c>
      <c r="C369" s="733" t="s">
        <v>1317</v>
      </c>
      <c r="D369" s="724"/>
      <c r="E369" s="730"/>
      <c r="F369" s="802"/>
      <c r="G369" s="726"/>
      <c r="H369" s="727"/>
      <c r="I369" s="726"/>
      <c r="J369" s="727"/>
      <c r="K369" s="729"/>
      <c r="L369" s="724"/>
      <c r="M369" s="725"/>
      <c r="N369" s="794"/>
      <c r="O369" s="795"/>
      <c r="Q369" s="960"/>
      <c r="R369" s="982"/>
      <c r="S369" s="981"/>
      <c r="T369" s="710"/>
      <c r="U369" s="960"/>
      <c r="V369" s="982"/>
      <c r="W369" s="981">
        <v>54744.21</v>
      </c>
    </row>
    <row r="370" spans="2:23" ht="11.25" customHeight="1">
      <c r="B370" s="796" t="s">
        <v>1232</v>
      </c>
      <c r="C370" s="1023" t="s">
        <v>1789</v>
      </c>
      <c r="D370" s="738" t="s">
        <v>431</v>
      </c>
      <c r="E370" s="739">
        <v>0.1</v>
      </c>
      <c r="F370" s="740">
        <v>0.2</v>
      </c>
      <c r="G370" s="797">
        <v>4165</v>
      </c>
      <c r="H370" s="742">
        <f>+ROUND(E370*F370*G370,2)</f>
        <v>83.3</v>
      </c>
      <c r="I370" s="743">
        <f>LOOKUP(B370,valoriz!$A$13:$A$242,valoriz!I$13:I$242)</f>
        <v>0</v>
      </c>
      <c r="J370" s="744">
        <f>+ROUND(E370*F370*I370,2)</f>
        <v>0</v>
      </c>
      <c r="K370" s="745">
        <v>3.03</v>
      </c>
      <c r="L370" s="746">
        <f>D$15</f>
        <v>457.01</v>
      </c>
      <c r="M370" s="747">
        <f>D$14</f>
        <v>476.04</v>
      </c>
      <c r="N370" s="748">
        <f>+ROUND(J370*K370*M$16,2)</f>
        <v>0</v>
      </c>
      <c r="O370" s="744">
        <f>+ROUND(J370*K370*L370*M$16/M370,2)</f>
        <v>0</v>
      </c>
      <c r="Q370" s="960">
        <v>75.62</v>
      </c>
      <c r="R370" s="983">
        <f>+J370+Q370</f>
        <v>75.62</v>
      </c>
      <c r="S370" s="984">
        <f>+H370-R370</f>
        <v>7.6799999999999926</v>
      </c>
      <c r="T370" s="964"/>
      <c r="U370" s="985">
        <f>+ROUND(Q370*$K370*$L370/$M370,2)</f>
        <v>219.97</v>
      </c>
      <c r="V370" s="986">
        <f>+ROUND(R370*$K370*$L370/$M370,2)</f>
        <v>219.97</v>
      </c>
      <c r="W370" s="987"/>
    </row>
    <row r="371" spans="2:23" ht="11.25" customHeight="1" thickBot="1">
      <c r="B371" s="762"/>
      <c r="C371" s="1024"/>
      <c r="D371" s="764"/>
      <c r="E371" s="765"/>
      <c r="F371" s="766"/>
      <c r="G371" s="799"/>
      <c r="H371" s="800"/>
      <c r="I371" s="799"/>
      <c r="J371" s="801"/>
      <c r="K371" s="770"/>
      <c r="L371" s="771"/>
      <c r="M371" s="772"/>
      <c r="N371" s="773"/>
      <c r="O371" s="769"/>
      <c r="Q371" s="968"/>
      <c r="R371" s="988"/>
      <c r="S371" s="989"/>
      <c r="T371" s="710"/>
      <c r="U371" s="968"/>
      <c r="V371" s="988"/>
      <c r="W371" s="989"/>
    </row>
    <row r="372" spans="2:23" ht="11.25" customHeight="1">
      <c r="B372" s="775"/>
      <c r="C372" s="776"/>
      <c r="D372" s="777"/>
      <c r="E372" s="777"/>
      <c r="F372" s="778"/>
      <c r="G372" s="779"/>
      <c r="H372" s="780">
        <f>SUM(H370:H371)</f>
        <v>83.3</v>
      </c>
      <c r="I372" s="779"/>
      <c r="J372" s="780">
        <f>SUM(J370:J371)</f>
        <v>0</v>
      </c>
      <c r="K372" s="781"/>
      <c r="L372" s="777" t="s">
        <v>589</v>
      </c>
      <c r="M372" s="778"/>
      <c r="N372" s="782">
        <f>SUM(N370:N371)</f>
        <v>0</v>
      </c>
      <c r="O372" s="783">
        <f>SUM(O370:O371)</f>
        <v>0</v>
      </c>
      <c r="Q372" s="1051">
        <f>SUM(Q370:Q371)</f>
        <v>75.62</v>
      </c>
      <c r="R372" s="1051">
        <f>SUM(R370:R371)</f>
        <v>75.62</v>
      </c>
      <c r="S372" s="1052">
        <f>SUM(S370:S371)</f>
        <v>7.6799999999999926</v>
      </c>
      <c r="T372" s="710"/>
      <c r="U372" s="990">
        <f>SUM(U370:U371)</f>
        <v>219.97</v>
      </c>
      <c r="V372" s="991">
        <f>SUM(V370:V371)</f>
        <v>219.97</v>
      </c>
      <c r="W372" s="992">
        <f>+W369-V373</f>
        <v>54524.24</v>
      </c>
    </row>
    <row r="373" spans="2:23" ht="11.25" customHeight="1">
      <c r="B373" s="790"/>
      <c r="C373" s="791"/>
      <c r="D373" s="121"/>
      <c r="E373" s="792"/>
      <c r="F373" s="792"/>
      <c r="G373" s="786"/>
      <c r="H373" s="787" t="s">
        <v>214</v>
      </c>
      <c r="I373" s="788"/>
      <c r="J373" s="789">
        <v>83.3</v>
      </c>
      <c r="K373" s="709"/>
      <c r="M373" s="709"/>
      <c r="N373" s="709"/>
      <c r="O373" s="751"/>
      <c r="P373" s="751"/>
      <c r="Q373" s="710"/>
      <c r="R373" s="710"/>
      <c r="S373" s="710"/>
      <c r="T373" s="710"/>
      <c r="U373" s="710">
        <f>+ROUND(Q372*$K370*$L370/$M370,2)</f>
        <v>219.97</v>
      </c>
      <c r="V373" s="964">
        <f>+O372+U373</f>
        <v>219.97</v>
      </c>
      <c r="W373" s="710"/>
    </row>
    <row r="374" spans="2:23" ht="11.25" customHeight="1">
      <c r="B374" s="790"/>
      <c r="C374" s="791"/>
      <c r="D374" s="121"/>
      <c r="E374" s="792"/>
      <c r="F374" s="792"/>
      <c r="H374" s="699"/>
      <c r="J374" s="805"/>
      <c r="K374" s="709"/>
      <c r="M374" s="709"/>
      <c r="N374" s="709"/>
      <c r="O374" s="751"/>
      <c r="P374" s="751"/>
    </row>
    <row r="375" spans="2:23" ht="11.25" customHeight="1">
      <c r="B375" s="784"/>
      <c r="C375" s="785"/>
      <c r="J375" s="806" t="s">
        <v>243</v>
      </c>
      <c r="K375" s="807"/>
      <c r="L375" s="807"/>
      <c r="M375" s="807"/>
      <c r="N375" s="808">
        <f>+N25+N51+N64+N87+N103+N112+N123+N142+N151+N160+N169+N188+N197+N210+N219+N228+N237+N252+N261+N270+N279+N289+N298+N307+N317+N327++N336+N345+N354+N363+N372</f>
        <v>784432.35</v>
      </c>
      <c r="O375" s="809">
        <f>+O25+O51+O64+O87+O103+O112+O123+O142+O151+O160+O169+O188+O197+O210+O219+O228+O237+O252+O261+O270+O279+O289+O298+O307+O317+O327++O336+O345+O354+O363+O372</f>
        <v>753074.18</v>
      </c>
      <c r="P375" s="751"/>
      <c r="Q375" s="751"/>
      <c r="U375" s="751" t="e">
        <f>+U25+U51+U64+U188+U363+U372+#REF!+#REF!+#REF!</f>
        <v>#REF!</v>
      </c>
      <c r="V375" s="751" t="e">
        <f>+V25+V51+V64+V188+V363+V372+#REF!+#REF!+#REF!</f>
        <v>#REF!</v>
      </c>
    </row>
    <row r="376" spans="2:23" ht="11.25" customHeight="1">
      <c r="B376" s="784"/>
      <c r="C376" s="785"/>
      <c r="J376" s="810" t="s">
        <v>244</v>
      </c>
      <c r="K376" s="811"/>
      <c r="L376" s="811"/>
      <c r="M376" s="811"/>
      <c r="N376" s="808">
        <f>+N375</f>
        <v>784432.35</v>
      </c>
      <c r="O376" s="809">
        <f>+O375</f>
        <v>753074.18</v>
      </c>
      <c r="U376" s="1049" t="e">
        <f>+U26+U52+U65+U189+U364+U373+#REF!+#REF!+#REF!</f>
        <v>#REF!</v>
      </c>
      <c r="V376" s="1049" t="e">
        <f>+V26+V52+V65+V189+V364+V373+#REF!+#REF!+#REF!-0.01</f>
        <v>#REF!</v>
      </c>
      <c r="W376" s="698" t="s">
        <v>141</v>
      </c>
    </row>
    <row r="377" spans="2:23" ht="11.25" customHeight="1">
      <c r="B377" s="784"/>
      <c r="C377" s="785"/>
      <c r="K377" s="751"/>
      <c r="U377" s="751" t="e">
        <f>+U376-U375</f>
        <v>#REF!</v>
      </c>
      <c r="V377" s="751" t="e">
        <f>+V376-V375</f>
        <v>#REF!</v>
      </c>
    </row>
    <row r="378" spans="2:23" ht="18">
      <c r="B378" s="1687" t="s">
        <v>245</v>
      </c>
      <c r="C378" s="1687"/>
      <c r="D378" s="1687"/>
      <c r="E378" s="1687"/>
      <c r="F378" s="1687"/>
      <c r="G378" s="1687"/>
      <c r="H378" s="1687"/>
      <c r="I378" s="1687"/>
      <c r="J378" s="1687"/>
      <c r="K378" s="1687"/>
      <c r="L378" s="1687"/>
      <c r="M378" s="1687"/>
      <c r="N378" s="1687"/>
      <c r="O378" s="1687"/>
    </row>
    <row r="379" spans="2:23" ht="11.25" customHeight="1">
      <c r="W379" s="698" t="s">
        <v>5</v>
      </c>
    </row>
    <row r="380" spans="2:23" ht="11.25" customHeight="1">
      <c r="B380" s="699" t="str">
        <f>+B12</f>
        <v>Material:</v>
      </c>
      <c r="W380" s="751" t="e">
        <f>+W22+W31+W57+W175+W360+W369+#REF!+#REF!+#REF!</f>
        <v>#REF!</v>
      </c>
    </row>
    <row r="381" spans="2:23" ht="11.25" customHeight="1">
      <c r="B381" s="699" t="str">
        <f>+B13</f>
        <v>Indice Unificado:</v>
      </c>
      <c r="D381" s="705" t="s">
        <v>459</v>
      </c>
      <c r="E381" s="706"/>
      <c r="F381" s="1692" t="s">
        <v>451</v>
      </c>
      <c r="G381" s="1692"/>
    </row>
    <row r="382" spans="2:23" ht="11.25" customHeight="1">
      <c r="B382" s="698" t="str">
        <f>+B10</f>
        <v>Monto del Adelanto Especifico para CEMENTO ASFÁLTICO</v>
      </c>
      <c r="D382" s="702">
        <f>+D10</f>
        <v>11814622.49</v>
      </c>
      <c r="E382" s="706"/>
      <c r="F382" s="1691">
        <f>+D382-I416</f>
        <v>8120654.8700000001</v>
      </c>
      <c r="G382" s="1691"/>
    </row>
    <row r="383" spans="2:23" ht="11.25" customHeight="1">
      <c r="B383" s="698" t="s">
        <v>246</v>
      </c>
      <c r="C383" s="812"/>
      <c r="D383" s="702">
        <f>ROUND(D382/D386*D385,2)</f>
        <v>12306586.050000001</v>
      </c>
      <c r="E383" s="706"/>
      <c r="F383" s="1691">
        <f>+D383-F416</f>
        <v>7824278.870000002</v>
      </c>
      <c r="G383" s="1691"/>
    </row>
    <row r="384" spans="2:23" ht="11.25" customHeight="1">
      <c r="B384" s="698" t="str">
        <f>+B11</f>
        <v xml:space="preserve">Fecha de Pago del Adelanto: </v>
      </c>
      <c r="D384" s="703">
        <f>+D11</f>
        <v>44172</v>
      </c>
      <c r="E384" s="706"/>
    </row>
    <row r="385" spans="2:15" ht="11.25" customHeight="1">
      <c r="B385" s="698" t="str">
        <f>+B14</f>
        <v>Indice INEI a la Fecha del P. Base   (Abril 2,018)</v>
      </c>
      <c r="D385" s="709">
        <f>+D14</f>
        <v>476.04</v>
      </c>
      <c r="E385" s="121"/>
    </row>
    <row r="386" spans="2:15" ht="11.25" customHeight="1">
      <c r="B386" s="698" t="str">
        <f>+B15</f>
        <v>Indice INEI a la Fecha del Pago del Adelanto  (Diciembre 2,020) - Se tomara de Octubre</v>
      </c>
      <c r="D386" s="709">
        <f>+D15</f>
        <v>457.01</v>
      </c>
      <c r="E386" s="709"/>
    </row>
    <row r="387" spans="2:15" ht="11.25" customHeight="1">
      <c r="B387" s="698" t="s">
        <v>247</v>
      </c>
      <c r="D387" s="698">
        <v>0.114</v>
      </c>
    </row>
    <row r="388" spans="2:15" ht="11.25" customHeight="1">
      <c r="B388" s="698" t="s">
        <v>248</v>
      </c>
      <c r="D388" s="813">
        <v>1</v>
      </c>
    </row>
    <row r="390" spans="2:15" ht="11.25" customHeight="1">
      <c r="B390" s="814" t="s">
        <v>249</v>
      </c>
    </row>
    <row r="392" spans="2:15" ht="11.25" customHeight="1">
      <c r="B392" s="1681" t="s">
        <v>250</v>
      </c>
      <c r="C392" s="1682"/>
      <c r="D392" s="1678" t="s">
        <v>251</v>
      </c>
      <c r="E392" s="1679"/>
      <c r="F392" s="1679"/>
      <c r="G392" s="1679"/>
      <c r="H392" s="1679"/>
      <c r="I392" s="1680"/>
      <c r="L392" s="815"/>
      <c r="M392" s="815"/>
    </row>
    <row r="393" spans="2:15" ht="11.25" customHeight="1">
      <c r="B393" s="1689"/>
      <c r="C393" s="1690"/>
      <c r="D393" s="1678" t="s">
        <v>252</v>
      </c>
      <c r="E393" s="1679"/>
      <c r="F393" s="1680"/>
      <c r="G393" s="1678" t="s">
        <v>253</v>
      </c>
      <c r="H393" s="1679"/>
      <c r="I393" s="1680"/>
    </row>
    <row r="394" spans="2:15" ht="11.25" customHeight="1">
      <c r="B394" s="1683"/>
      <c r="C394" s="1684"/>
      <c r="D394" s="256" t="s">
        <v>254</v>
      </c>
      <c r="E394" s="816" t="s">
        <v>451</v>
      </c>
      <c r="F394" s="716" t="s">
        <v>255</v>
      </c>
      <c r="G394" s="256" t="s">
        <v>254</v>
      </c>
      <c r="H394" s="816" t="s">
        <v>451</v>
      </c>
      <c r="I394" s="716" t="s">
        <v>255</v>
      </c>
      <c r="O394" s="751"/>
    </row>
    <row r="395" spans="2:15" ht="11.25" customHeight="1">
      <c r="B395" s="817" t="s">
        <v>256</v>
      </c>
      <c r="C395" s="818">
        <f>+Retencion!B15</f>
        <v>44500</v>
      </c>
      <c r="D395" s="819"/>
      <c r="E395" s="820"/>
      <c r="F395" s="821"/>
      <c r="G395" s="819"/>
      <c r="H395" s="820"/>
      <c r="I395" s="821"/>
      <c r="L395" s="751"/>
      <c r="O395" s="751"/>
    </row>
    <row r="396" spans="2:15" ht="11.25" customHeight="1">
      <c r="B396" s="822" t="s">
        <v>257</v>
      </c>
      <c r="C396" s="823">
        <f>+Retencion!B16</f>
        <v>44530</v>
      </c>
      <c r="D396" s="824"/>
      <c r="E396" s="825"/>
      <c r="F396" s="744"/>
      <c r="G396" s="824"/>
      <c r="H396" s="825"/>
      <c r="I396" s="744"/>
      <c r="K396" s="751"/>
      <c r="L396" s="751"/>
      <c r="O396" s="751"/>
    </row>
    <row r="397" spans="2:15" ht="11.25" customHeight="1">
      <c r="B397" s="822" t="s">
        <v>258</v>
      </c>
      <c r="C397" s="823">
        <f>+Retencion!B17</f>
        <v>44561</v>
      </c>
      <c r="D397" s="824"/>
      <c r="E397" s="825"/>
      <c r="F397" s="744"/>
      <c r="G397" s="824"/>
      <c r="H397" s="825"/>
      <c r="I397" s="744"/>
      <c r="L397" s="751"/>
      <c r="O397" s="751"/>
    </row>
    <row r="398" spans="2:15" ht="11.25" customHeight="1">
      <c r="B398" s="822" t="s">
        <v>259</v>
      </c>
      <c r="C398" s="823">
        <f>+Retencion!B19</f>
        <v>44592</v>
      </c>
      <c r="D398" s="824"/>
      <c r="E398" s="825"/>
      <c r="F398" s="744"/>
      <c r="G398" s="824"/>
      <c r="H398" s="825"/>
      <c r="I398" s="744"/>
      <c r="L398" s="751"/>
      <c r="O398" s="751"/>
    </row>
    <row r="399" spans="2:15" ht="11.25" customHeight="1">
      <c r="B399" s="822" t="s">
        <v>260</v>
      </c>
      <c r="C399" s="823">
        <f>+Retencion!B20</f>
        <v>44620</v>
      </c>
      <c r="D399" s="824">
        <f>+D383</f>
        <v>12306586.050000001</v>
      </c>
      <c r="E399" s="825">
        <f t="shared" ref="E399:E409" si="79">+D399-F399</f>
        <v>11504928.83</v>
      </c>
      <c r="F399" s="744">
        <v>801657.21999999986</v>
      </c>
      <c r="G399" s="824">
        <f>+D382</f>
        <v>11814622.49</v>
      </c>
      <c r="H399" s="825">
        <f t="shared" ref="H399:H409" si="80">+G399-I399</f>
        <v>11049979.870000001</v>
      </c>
      <c r="I399" s="744">
        <v>764642.61999999988</v>
      </c>
      <c r="L399" s="751"/>
      <c r="O399" s="751"/>
    </row>
    <row r="400" spans="2:15" ht="11.25" customHeight="1">
      <c r="B400" s="822" t="s">
        <v>261</v>
      </c>
      <c r="C400" s="823">
        <f>+Retencion!B21</f>
        <v>0</v>
      </c>
      <c r="D400" s="824">
        <f t="shared" ref="D400:D409" si="81">+E399</f>
        <v>11504928.83</v>
      </c>
      <c r="E400" s="825">
        <f t="shared" si="79"/>
        <v>10694109.49</v>
      </c>
      <c r="F400" s="744">
        <v>810819.34</v>
      </c>
      <c r="G400" s="824">
        <f t="shared" ref="G400:G409" si="82">+H399</f>
        <v>11049979.870000001</v>
      </c>
      <c r="H400" s="825">
        <f t="shared" si="80"/>
        <v>10276598.170000002</v>
      </c>
      <c r="I400" s="744">
        <v>773381.69999999984</v>
      </c>
      <c r="L400" s="751"/>
      <c r="O400" s="751"/>
    </row>
    <row r="401" spans="2:15" ht="11.25" customHeight="1">
      <c r="B401" s="822" t="s">
        <v>262</v>
      </c>
      <c r="C401" s="823" t="e">
        <f>+Retencion!#REF!</f>
        <v>#REF!</v>
      </c>
      <c r="D401" s="824">
        <f t="shared" si="81"/>
        <v>10694109.49</v>
      </c>
      <c r="E401" s="825">
        <f t="shared" si="79"/>
        <v>10017256.859999999</v>
      </c>
      <c r="F401" s="744">
        <v>676852.63</v>
      </c>
      <c r="G401" s="824">
        <f t="shared" si="82"/>
        <v>10276598.170000002</v>
      </c>
      <c r="H401" s="825">
        <f t="shared" si="80"/>
        <v>9626803.2300000023</v>
      </c>
      <c r="I401" s="744">
        <v>649794.93999999994</v>
      </c>
      <c r="L401" s="751"/>
      <c r="O401" s="751"/>
    </row>
    <row r="402" spans="2:15" ht="11.25" customHeight="1">
      <c r="B402" s="822" t="s">
        <v>263</v>
      </c>
      <c r="C402" s="823" t="e">
        <f>+Retencion!#REF!</f>
        <v>#REF!</v>
      </c>
      <c r="D402" s="824">
        <f t="shared" si="81"/>
        <v>10017256.859999999</v>
      </c>
      <c r="E402" s="825">
        <f t="shared" si="79"/>
        <v>8608711.2200000007</v>
      </c>
      <c r="F402" s="744">
        <v>1408545.6399999994</v>
      </c>
      <c r="G402" s="824">
        <f t="shared" si="82"/>
        <v>9626803.2300000023</v>
      </c>
      <c r="H402" s="825">
        <f t="shared" si="80"/>
        <v>8873729.0500000026</v>
      </c>
      <c r="I402" s="744">
        <f>+O376</f>
        <v>753074.18</v>
      </c>
      <c r="L402" s="751"/>
      <c r="O402" s="751"/>
    </row>
    <row r="403" spans="2:15" ht="11.25" customHeight="1">
      <c r="B403" s="822" t="s">
        <v>264</v>
      </c>
      <c r="C403" s="823" t="e">
        <f>+Retencion!#REF!</f>
        <v>#REF!</v>
      </c>
      <c r="D403" s="824">
        <f t="shared" si="81"/>
        <v>8608711.2200000007</v>
      </c>
      <c r="E403" s="825">
        <f t="shared" si="79"/>
        <v>7824278.870000001</v>
      </c>
      <c r="F403" s="744">
        <f>+N376</f>
        <v>784432.35</v>
      </c>
      <c r="G403" s="824">
        <f t="shared" si="82"/>
        <v>8873729.0500000026</v>
      </c>
      <c r="H403" s="825">
        <f t="shared" si="80"/>
        <v>8120654.8700000029</v>
      </c>
      <c r="I403" s="744">
        <f>+O376</f>
        <v>753074.18</v>
      </c>
      <c r="J403" s="751"/>
      <c r="L403" s="751"/>
      <c r="O403" s="751"/>
    </row>
    <row r="404" spans="2:15" ht="11.25" customHeight="1">
      <c r="B404" s="822" t="s">
        <v>265</v>
      </c>
      <c r="C404" s="823" t="e">
        <f>+Retencion!#REF!</f>
        <v>#REF!</v>
      </c>
      <c r="D404" s="824">
        <f t="shared" si="81"/>
        <v>7824278.870000001</v>
      </c>
      <c r="E404" s="825">
        <f t="shared" si="79"/>
        <v>7824278.870000001</v>
      </c>
      <c r="F404" s="744"/>
      <c r="G404" s="824">
        <f t="shared" si="82"/>
        <v>8120654.8700000029</v>
      </c>
      <c r="H404" s="825">
        <f t="shared" si="80"/>
        <v>8120654.8700000029</v>
      </c>
      <c r="I404" s="744"/>
      <c r="O404" s="751"/>
    </row>
    <row r="405" spans="2:15" ht="11.25" customHeight="1">
      <c r="B405" s="822" t="s">
        <v>266</v>
      </c>
      <c r="C405" s="823" t="e">
        <f>+Retencion!#REF!</f>
        <v>#REF!</v>
      </c>
      <c r="D405" s="824">
        <f t="shared" si="81"/>
        <v>7824278.870000001</v>
      </c>
      <c r="E405" s="825">
        <f t="shared" si="79"/>
        <v>7824278.870000001</v>
      </c>
      <c r="F405" s="744"/>
      <c r="G405" s="824">
        <f t="shared" si="82"/>
        <v>8120654.8700000029</v>
      </c>
      <c r="H405" s="825">
        <f t="shared" si="80"/>
        <v>8120654.8700000029</v>
      </c>
      <c r="I405" s="744"/>
      <c r="O405" s="751"/>
    </row>
    <row r="406" spans="2:15" ht="11.25" customHeight="1">
      <c r="B406" s="822" t="s">
        <v>267</v>
      </c>
      <c r="C406" s="823" t="e">
        <f>+Retencion!#REF!</f>
        <v>#REF!</v>
      </c>
      <c r="D406" s="824">
        <f t="shared" si="81"/>
        <v>7824278.870000001</v>
      </c>
      <c r="E406" s="825">
        <f t="shared" si="79"/>
        <v>7824278.870000001</v>
      </c>
      <c r="F406" s="744"/>
      <c r="G406" s="824">
        <f t="shared" si="82"/>
        <v>8120654.8700000029</v>
      </c>
      <c r="H406" s="825">
        <f t="shared" si="80"/>
        <v>8120654.8700000029</v>
      </c>
      <c r="I406" s="744"/>
      <c r="O406" s="751"/>
    </row>
    <row r="407" spans="2:15" ht="11.25" customHeight="1">
      <c r="B407" s="822" t="s">
        <v>268</v>
      </c>
      <c r="C407" s="823" t="e">
        <f>+Retencion!#REF!</f>
        <v>#REF!</v>
      </c>
      <c r="D407" s="824">
        <f t="shared" si="81"/>
        <v>7824278.870000001</v>
      </c>
      <c r="E407" s="825">
        <f t="shared" si="79"/>
        <v>7824278.870000001</v>
      </c>
      <c r="F407" s="744"/>
      <c r="G407" s="824">
        <f t="shared" si="82"/>
        <v>8120654.8700000029</v>
      </c>
      <c r="H407" s="825">
        <f t="shared" si="80"/>
        <v>8120654.8700000029</v>
      </c>
      <c r="I407" s="744"/>
      <c r="O407" s="751"/>
    </row>
    <row r="408" spans="2:15" ht="11.25" customHeight="1">
      <c r="B408" s="822" t="s">
        <v>269</v>
      </c>
      <c r="C408" s="823" t="e">
        <f>+Retencion!#REF!</f>
        <v>#REF!</v>
      </c>
      <c r="D408" s="824">
        <f t="shared" si="81"/>
        <v>7824278.870000001</v>
      </c>
      <c r="E408" s="825">
        <f t="shared" si="79"/>
        <v>7824278.870000001</v>
      </c>
      <c r="F408" s="744"/>
      <c r="G408" s="824">
        <f t="shared" si="82"/>
        <v>8120654.8700000029</v>
      </c>
      <c r="H408" s="825">
        <f t="shared" si="80"/>
        <v>8120654.8700000029</v>
      </c>
      <c r="I408" s="744"/>
      <c r="O408" s="751"/>
    </row>
    <row r="409" spans="2:15" ht="11.25" customHeight="1">
      <c r="B409" s="822" t="s">
        <v>270</v>
      </c>
      <c r="C409" s="823" t="e">
        <f>+Retencion!#REF!</f>
        <v>#REF!</v>
      </c>
      <c r="D409" s="824">
        <f t="shared" si="81"/>
        <v>7824278.870000001</v>
      </c>
      <c r="E409" s="825">
        <f t="shared" si="79"/>
        <v>7824278.870000001</v>
      </c>
      <c r="F409" s="744"/>
      <c r="G409" s="824">
        <f t="shared" si="82"/>
        <v>8120654.8700000029</v>
      </c>
      <c r="H409" s="825">
        <f t="shared" si="80"/>
        <v>8120654.8700000029</v>
      </c>
      <c r="I409" s="744"/>
      <c r="O409" s="751"/>
    </row>
    <row r="410" spans="2:15" ht="11.25" customHeight="1">
      <c r="B410" s="822" t="s">
        <v>271</v>
      </c>
      <c r="C410" s="823" t="e">
        <f>+Retencion!#REF!</f>
        <v>#REF!</v>
      </c>
      <c r="D410" s="824">
        <f>+E409</f>
        <v>7824278.870000001</v>
      </c>
      <c r="E410" s="825">
        <f>+D410-F410</f>
        <v>7824278.870000001</v>
      </c>
      <c r="F410" s="744"/>
      <c r="G410" s="824">
        <f>+H409</f>
        <v>8120654.8700000029</v>
      </c>
      <c r="H410" s="825">
        <f>+G410-I410</f>
        <v>8120654.8700000029</v>
      </c>
      <c r="I410" s="744"/>
      <c r="O410" s="751"/>
    </row>
    <row r="411" spans="2:15" ht="11.25" customHeight="1">
      <c r="B411" s="822" t="s">
        <v>272</v>
      </c>
      <c r="C411" s="823" t="e">
        <f>+Retencion!#REF!</f>
        <v>#REF!</v>
      </c>
      <c r="D411" s="824">
        <f>+E410</f>
        <v>7824278.870000001</v>
      </c>
      <c r="E411" s="825">
        <f>+D411-F411</f>
        <v>7824278.870000001</v>
      </c>
      <c r="F411" s="744"/>
      <c r="G411" s="824">
        <f>+H410</f>
        <v>8120654.8700000029</v>
      </c>
      <c r="H411" s="825">
        <f>+G411-I411</f>
        <v>8120654.8700000029</v>
      </c>
      <c r="I411" s="744"/>
      <c r="O411" s="751"/>
    </row>
    <row r="412" spans="2:15" ht="11.25" customHeight="1">
      <c r="B412" s="822" t="s">
        <v>273</v>
      </c>
      <c r="C412" s="823" t="e">
        <f>+Retencion!#REF!</f>
        <v>#REF!</v>
      </c>
      <c r="D412" s="824">
        <f>+E411</f>
        <v>7824278.870000001</v>
      </c>
      <c r="E412" s="825">
        <f>+D412-F412</f>
        <v>7824278.870000001</v>
      </c>
      <c r="F412" s="744"/>
      <c r="G412" s="824">
        <f>+H411</f>
        <v>8120654.8700000029</v>
      </c>
      <c r="H412" s="825">
        <f>+G412-I412</f>
        <v>8120654.8700000029</v>
      </c>
      <c r="I412" s="744"/>
      <c r="J412" s="710"/>
      <c r="O412" s="751"/>
    </row>
    <row r="413" spans="2:15" ht="11.25" customHeight="1">
      <c r="B413" s="822"/>
      <c r="C413" s="823"/>
      <c r="D413" s="824"/>
      <c r="E413" s="825"/>
      <c r="F413" s="744"/>
      <c r="G413" s="824"/>
      <c r="H413" s="825"/>
      <c r="I413" s="744"/>
      <c r="J413" s="710"/>
      <c r="O413" s="751"/>
    </row>
    <row r="414" spans="2:15" ht="11.25" customHeight="1">
      <c r="B414" s="822"/>
      <c r="C414" s="823"/>
      <c r="D414" s="824"/>
      <c r="E414" s="825"/>
      <c r="F414" s="744"/>
      <c r="G414" s="824"/>
      <c r="H414" s="825"/>
      <c r="I414" s="744"/>
      <c r="J414" s="710"/>
      <c r="O414" s="751"/>
    </row>
    <row r="415" spans="2:15" ht="11.25" customHeight="1">
      <c r="B415" s="826"/>
      <c r="C415" s="827"/>
      <c r="D415" s="828"/>
      <c r="E415" s="829"/>
      <c r="F415" s="830"/>
      <c r="G415" s="828"/>
      <c r="H415" s="829"/>
      <c r="I415" s="830"/>
      <c r="O415" s="751"/>
    </row>
    <row r="416" spans="2:15" ht="11.25" customHeight="1">
      <c r="B416" s="700"/>
      <c r="C416" s="700"/>
      <c r="D416" s="831" t="s">
        <v>274</v>
      </c>
      <c r="E416" s="788"/>
      <c r="F416" s="832">
        <f>SUM(F395:F415)</f>
        <v>4482307.1799999988</v>
      </c>
      <c r="G416" s="786"/>
      <c r="H416" s="832"/>
      <c r="I416" s="833">
        <f>SUM(I395:I415)</f>
        <v>3693967.62</v>
      </c>
      <c r="O416" s="751"/>
    </row>
    <row r="418" spans="2:18" ht="11.25" customHeight="1">
      <c r="B418" s="814" t="s">
        <v>275</v>
      </c>
    </row>
    <row r="419" spans="2:18" ht="11.25" customHeight="1">
      <c r="B419" s="834" t="s">
        <v>276</v>
      </c>
    </row>
    <row r="420" spans="2:18" ht="11.25" customHeight="1">
      <c r="B420" s="835" t="s">
        <v>277</v>
      </c>
      <c r="C420" s="715"/>
      <c r="D420" s="715"/>
      <c r="E420" s="715"/>
      <c r="F420" s="715"/>
      <c r="G420" s="715"/>
      <c r="H420" s="715"/>
      <c r="I420" s="715"/>
      <c r="J420" s="715"/>
      <c r="K420" s="715"/>
      <c r="L420" s="715"/>
      <c r="M420" s="715"/>
    </row>
    <row r="421" spans="2:18" ht="11.25" customHeight="1">
      <c r="B421" s="1681" t="s">
        <v>250</v>
      </c>
      <c r="C421" s="1682"/>
      <c r="D421" s="1681" t="s">
        <v>278</v>
      </c>
      <c r="E421" s="1685" t="s">
        <v>279</v>
      </c>
      <c r="F421" s="1678" t="s">
        <v>135</v>
      </c>
      <c r="G421" s="1680"/>
      <c r="H421" s="1701" t="s">
        <v>280</v>
      </c>
      <c r="I421" s="1702"/>
      <c r="J421" s="1703"/>
      <c r="K421" s="1681" t="s">
        <v>281</v>
      </c>
      <c r="L421" s="1688"/>
      <c r="M421" s="1682"/>
      <c r="N421" s="1685" t="s">
        <v>282</v>
      </c>
      <c r="P421" s="1654" t="s">
        <v>136</v>
      </c>
      <c r="Q421" s="1655"/>
    </row>
    <row r="422" spans="2:18" ht="11.25" customHeight="1">
      <c r="B422" s="1683"/>
      <c r="C422" s="1684"/>
      <c r="D422" s="1683"/>
      <c r="E422" s="1686"/>
      <c r="F422" s="836" t="s">
        <v>283</v>
      </c>
      <c r="G422" s="836" t="s">
        <v>385</v>
      </c>
      <c r="H422" s="716" t="s">
        <v>254</v>
      </c>
      <c r="I422" s="716" t="s">
        <v>284</v>
      </c>
      <c r="J422" s="256" t="s">
        <v>451</v>
      </c>
      <c r="K422" s="836" t="s">
        <v>468</v>
      </c>
      <c r="L422" s="716" t="s">
        <v>467</v>
      </c>
      <c r="M422" s="716" t="s">
        <v>285</v>
      </c>
      <c r="N422" s="1704"/>
      <c r="P422" s="838" t="s">
        <v>456</v>
      </c>
      <c r="Q422" s="839" t="s">
        <v>286</v>
      </c>
      <c r="R422" s="838" t="s">
        <v>1330</v>
      </c>
    </row>
    <row r="423" spans="2:18" ht="11.25" customHeight="1">
      <c r="B423" s="817" t="str">
        <f t="shared" ref="B423:C440" si="83">+B395</f>
        <v>VAL. 01</v>
      </c>
      <c r="C423" s="818">
        <f t="shared" si="83"/>
        <v>44500</v>
      </c>
      <c r="D423" s="824">
        <f>+Retencion!E15</f>
        <v>78066.42</v>
      </c>
      <c r="E423" s="840">
        <f>+H395</f>
        <v>0</v>
      </c>
      <c r="F423" s="841">
        <f>+D387</f>
        <v>0.114</v>
      </c>
      <c r="G423" s="842">
        <f>+D388</f>
        <v>1</v>
      </c>
      <c r="H423" s="843"/>
      <c r="I423" s="744">
        <f>+IF(D$11&gt;C423,0,ROUND(D423*F423*G423,2))</f>
        <v>8899.57</v>
      </c>
      <c r="J423" s="824">
        <f>+H423-I423</f>
        <v>-8899.57</v>
      </c>
      <c r="K423" s="843">
        <f t="shared" ref="K423:K440" si="84">+D$385</f>
        <v>476.04</v>
      </c>
      <c r="L423" s="744">
        <f t="shared" ref="L423:L440" si="85">+D$386</f>
        <v>457.01</v>
      </c>
      <c r="M423" s="744"/>
      <c r="N423" s="844">
        <f t="shared" ref="N423:N440" si="86">+ROUND(I423*(M423-L423)/K423,2)</f>
        <v>-8543.7999999999993</v>
      </c>
      <c r="O423" s="751"/>
      <c r="P423" s="845"/>
      <c r="Q423" s="846"/>
      <c r="R423" s="1218"/>
    </row>
    <row r="424" spans="2:18" ht="11.25" customHeight="1">
      <c r="B424" s="822" t="str">
        <f t="shared" si="83"/>
        <v>VAL. 02</v>
      </c>
      <c r="C424" s="823">
        <f t="shared" si="83"/>
        <v>44530</v>
      </c>
      <c r="D424" s="824">
        <f>+Retencion!E16</f>
        <v>1302063.97</v>
      </c>
      <c r="E424" s="843">
        <f t="shared" ref="E424:E440" si="87">+H396</f>
        <v>0</v>
      </c>
      <c r="F424" s="841">
        <f>+D387</f>
        <v>0.114</v>
      </c>
      <c r="G424" s="842">
        <f>+D388</f>
        <v>1</v>
      </c>
      <c r="H424" s="843"/>
      <c r="I424" s="744">
        <f>+IF(D$11&gt;C424,0,IF(E424&gt;0,ROUND(D424*F424*G424,2),J423))</f>
        <v>-8899.57</v>
      </c>
      <c r="J424" s="847">
        <f t="shared" ref="J424:J435" si="88">+ROUND(J423-I424,2)</f>
        <v>0</v>
      </c>
      <c r="K424" s="843">
        <f t="shared" si="84"/>
        <v>476.04</v>
      </c>
      <c r="L424" s="744">
        <f t="shared" si="85"/>
        <v>457.01</v>
      </c>
      <c r="M424" s="744"/>
      <c r="N424" s="848">
        <f t="shared" si="86"/>
        <v>8543.7999999999993</v>
      </c>
      <c r="O424" s="751"/>
      <c r="P424" s="845"/>
      <c r="Q424" s="846"/>
      <c r="R424" s="1218"/>
    </row>
    <row r="425" spans="2:18" ht="11.25" customHeight="1">
      <c r="B425" s="822" t="str">
        <f t="shared" si="83"/>
        <v>VAL. 03</v>
      </c>
      <c r="C425" s="823">
        <f t="shared" si="83"/>
        <v>44561</v>
      </c>
      <c r="D425" s="824">
        <f>+Retencion!E17</f>
        <v>1388847.16</v>
      </c>
      <c r="E425" s="843">
        <f t="shared" si="87"/>
        <v>0</v>
      </c>
      <c r="F425" s="841">
        <f>+D387</f>
        <v>0.114</v>
      </c>
      <c r="G425" s="842">
        <f>+D388</f>
        <v>1</v>
      </c>
      <c r="H425" s="843"/>
      <c r="I425" s="744">
        <f>+IF(D$11&gt;C425,0,IF(E425&gt;0,ROUND(D425*F425*G425,2),J424))</f>
        <v>0</v>
      </c>
      <c r="J425" s="847">
        <f t="shared" si="88"/>
        <v>0</v>
      </c>
      <c r="K425" s="843">
        <f t="shared" si="84"/>
        <v>476.04</v>
      </c>
      <c r="L425" s="744">
        <f t="shared" si="85"/>
        <v>457.01</v>
      </c>
      <c r="M425" s="744"/>
      <c r="N425" s="848">
        <f t="shared" si="86"/>
        <v>0</v>
      </c>
      <c r="O425" s="751"/>
      <c r="P425" s="845"/>
      <c r="Q425" s="846"/>
      <c r="R425" s="1218"/>
    </row>
    <row r="426" spans="2:18" ht="11.25" customHeight="1">
      <c r="B426" s="822" t="str">
        <f t="shared" si="83"/>
        <v>VAL. 04</v>
      </c>
      <c r="C426" s="823">
        <f t="shared" si="83"/>
        <v>44592</v>
      </c>
      <c r="D426" s="824">
        <f>+Retencion!E19</f>
        <v>0</v>
      </c>
      <c r="E426" s="843">
        <f>+H398</f>
        <v>0</v>
      </c>
      <c r="F426" s="841">
        <f>+D387</f>
        <v>0.114</v>
      </c>
      <c r="G426" s="842">
        <f>+D388</f>
        <v>1</v>
      </c>
      <c r="H426" s="843">
        <f>+D399</f>
        <v>12306586.050000001</v>
      </c>
      <c r="I426" s="744">
        <f>+IF(D$11&gt;C426,0,IF(E426&gt;0,ROUND(D426*F426*G426,2),J425))</f>
        <v>0</v>
      </c>
      <c r="J426" s="847">
        <f>+H426-I426</f>
        <v>12306586.050000001</v>
      </c>
      <c r="K426" s="843">
        <f t="shared" si="84"/>
        <v>476.04</v>
      </c>
      <c r="L426" s="744">
        <f t="shared" si="85"/>
        <v>457.01</v>
      </c>
      <c r="M426" s="744"/>
      <c r="N426" s="848">
        <f t="shared" si="86"/>
        <v>0</v>
      </c>
      <c r="O426" s="751"/>
      <c r="P426" s="845"/>
      <c r="Q426" s="846"/>
      <c r="R426" s="1218"/>
    </row>
    <row r="427" spans="2:18" ht="11.25" customHeight="1">
      <c r="B427" s="822" t="str">
        <f t="shared" si="83"/>
        <v>VAL. 05</v>
      </c>
      <c r="C427" s="823">
        <f t="shared" si="83"/>
        <v>44620</v>
      </c>
      <c r="D427" s="824">
        <f>+Retencion!E20</f>
        <v>0</v>
      </c>
      <c r="E427" s="843">
        <f t="shared" si="87"/>
        <v>11049979.870000001</v>
      </c>
      <c r="F427" s="841">
        <f>+D387</f>
        <v>0.114</v>
      </c>
      <c r="G427" s="842">
        <f>+D388</f>
        <v>1</v>
      </c>
      <c r="H427" s="843">
        <f>+D383</f>
        <v>12306586.050000001</v>
      </c>
      <c r="I427" s="744">
        <f t="shared" ref="I427:I440" si="89">+IF(D$11&gt;C427,0,IF(ROUND(D427*F427*G427,2)&gt;J426,J426,ROUND(D427*F427*G427,2)))</f>
        <v>0</v>
      </c>
      <c r="J427" s="847">
        <f t="shared" si="88"/>
        <v>12306586.050000001</v>
      </c>
      <c r="K427" s="843">
        <f t="shared" si="84"/>
        <v>476.04</v>
      </c>
      <c r="L427" s="744">
        <f t="shared" si="85"/>
        <v>457.01</v>
      </c>
      <c r="M427" s="744">
        <v>457.01</v>
      </c>
      <c r="N427" s="848">
        <f t="shared" si="86"/>
        <v>0</v>
      </c>
      <c r="O427" s="751"/>
      <c r="P427" s="845">
        <v>44166</v>
      </c>
      <c r="Q427" s="846">
        <v>44166</v>
      </c>
      <c r="R427" s="1218" t="s">
        <v>996</v>
      </c>
    </row>
    <row r="428" spans="2:18" ht="11.25" customHeight="1">
      <c r="B428" s="822" t="str">
        <f t="shared" si="83"/>
        <v>VAL. 06</v>
      </c>
      <c r="C428" s="823">
        <f t="shared" si="83"/>
        <v>0</v>
      </c>
      <c r="D428" s="824">
        <f>+Retencion!E21</f>
        <v>0</v>
      </c>
      <c r="E428" s="843">
        <f t="shared" si="87"/>
        <v>10276598.170000002</v>
      </c>
      <c r="F428" s="841">
        <f>+D387</f>
        <v>0.114</v>
      </c>
      <c r="G428" s="842">
        <f>+D388</f>
        <v>1</v>
      </c>
      <c r="H428" s="843">
        <f t="shared" ref="H428:H440" si="90">+J427</f>
        <v>12306586.050000001</v>
      </c>
      <c r="I428" s="744">
        <f t="shared" si="89"/>
        <v>0</v>
      </c>
      <c r="J428" s="847">
        <f t="shared" si="88"/>
        <v>12306586.050000001</v>
      </c>
      <c r="K428" s="843">
        <f t="shared" si="84"/>
        <v>476.04</v>
      </c>
      <c r="L428" s="744">
        <f t="shared" si="85"/>
        <v>457.01</v>
      </c>
      <c r="M428" s="744">
        <v>461.89</v>
      </c>
      <c r="N428" s="848">
        <f>+ROUND(I428*(M428-L428)/K428,2)</f>
        <v>0</v>
      </c>
      <c r="O428" s="751"/>
      <c r="P428" s="845">
        <v>44197</v>
      </c>
      <c r="Q428" s="846">
        <v>44197</v>
      </c>
      <c r="R428" s="1218" t="s">
        <v>996</v>
      </c>
    </row>
    <row r="429" spans="2:18" ht="11.25" customHeight="1">
      <c r="B429" s="822" t="str">
        <f t="shared" si="83"/>
        <v>VAL. 07</v>
      </c>
      <c r="C429" s="823" t="e">
        <f t="shared" si="83"/>
        <v>#REF!</v>
      </c>
      <c r="D429" s="824" t="e">
        <f>+Retencion!#REF!</f>
        <v>#REF!</v>
      </c>
      <c r="E429" s="843">
        <f t="shared" si="87"/>
        <v>9626803.2300000023</v>
      </c>
      <c r="F429" s="841">
        <f>+D387</f>
        <v>0.114</v>
      </c>
      <c r="G429" s="842">
        <f>+D388</f>
        <v>1</v>
      </c>
      <c r="H429" s="843">
        <f t="shared" si="90"/>
        <v>12306586.050000001</v>
      </c>
      <c r="I429" s="744" t="e">
        <f t="shared" si="89"/>
        <v>#REF!</v>
      </c>
      <c r="J429" s="847" t="e">
        <f t="shared" si="88"/>
        <v>#REF!</v>
      </c>
      <c r="K429" s="843">
        <f t="shared" si="84"/>
        <v>476.04</v>
      </c>
      <c r="L429" s="744">
        <f t="shared" si="85"/>
        <v>457.01</v>
      </c>
      <c r="M429" s="744">
        <v>461.89</v>
      </c>
      <c r="N429" s="848" t="e">
        <f t="shared" si="86"/>
        <v>#REF!</v>
      </c>
      <c r="O429" s="751"/>
      <c r="P429" s="845">
        <v>44228</v>
      </c>
      <c r="Q429" s="846">
        <v>44228</v>
      </c>
      <c r="R429" s="1218" t="s">
        <v>996</v>
      </c>
    </row>
    <row r="430" spans="2:18" ht="11.25" customHeight="1">
      <c r="B430" s="822" t="str">
        <f t="shared" si="83"/>
        <v>VAL. 08</v>
      </c>
      <c r="C430" s="823" t="e">
        <f t="shared" si="83"/>
        <v>#REF!</v>
      </c>
      <c r="D430" s="824" t="e">
        <f>+Retencion!#REF!</f>
        <v>#REF!</v>
      </c>
      <c r="E430" s="849">
        <f t="shared" si="87"/>
        <v>8873729.0500000026</v>
      </c>
      <c r="F430" s="850">
        <f>+D387</f>
        <v>0.114</v>
      </c>
      <c r="G430" s="851">
        <f>+D388</f>
        <v>1</v>
      </c>
      <c r="H430" s="843" t="e">
        <f t="shared" si="90"/>
        <v>#REF!</v>
      </c>
      <c r="I430" s="744" t="e">
        <f t="shared" si="89"/>
        <v>#REF!</v>
      </c>
      <c r="J430" s="847" t="e">
        <f t="shared" si="88"/>
        <v>#REF!</v>
      </c>
      <c r="K430" s="849">
        <f t="shared" si="84"/>
        <v>476.04</v>
      </c>
      <c r="L430" s="852">
        <f t="shared" si="85"/>
        <v>457.01</v>
      </c>
      <c r="M430" s="744">
        <v>461.89</v>
      </c>
      <c r="N430" s="848" t="e">
        <f>+ROUND(I430*(M430-L430)/K430,2)</f>
        <v>#REF!</v>
      </c>
      <c r="P430" s="845">
        <v>44197</v>
      </c>
      <c r="Q430" s="846">
        <v>44256</v>
      </c>
      <c r="R430" s="846" t="s">
        <v>1339</v>
      </c>
    </row>
    <row r="431" spans="2:18" ht="11.25" customHeight="1">
      <c r="B431" s="822" t="str">
        <f t="shared" si="83"/>
        <v>VAL. 09</v>
      </c>
      <c r="C431" s="823" t="e">
        <f t="shared" si="83"/>
        <v>#REF!</v>
      </c>
      <c r="D431" s="824" t="e">
        <f>+Retencion!#REF!</f>
        <v>#REF!</v>
      </c>
      <c r="E431" s="849">
        <f t="shared" si="87"/>
        <v>8120654.8700000029</v>
      </c>
      <c r="F431" s="850">
        <f>+D387</f>
        <v>0.114</v>
      </c>
      <c r="G431" s="851">
        <f>+D388</f>
        <v>1</v>
      </c>
      <c r="H431" s="843" t="e">
        <f t="shared" si="90"/>
        <v>#REF!</v>
      </c>
      <c r="I431" s="744" t="e">
        <f t="shared" si="89"/>
        <v>#REF!</v>
      </c>
      <c r="J431" s="847" t="e">
        <f t="shared" si="88"/>
        <v>#REF!</v>
      </c>
      <c r="K431" s="849">
        <f t="shared" si="84"/>
        <v>476.04</v>
      </c>
      <c r="L431" s="852">
        <f t="shared" si="85"/>
        <v>457.01</v>
      </c>
      <c r="M431" s="744">
        <v>461.89</v>
      </c>
      <c r="N431" s="848" t="e">
        <f t="shared" si="86"/>
        <v>#REF!</v>
      </c>
      <c r="P431" s="845">
        <v>44228</v>
      </c>
      <c r="Q431" s="846">
        <v>44287</v>
      </c>
      <c r="R431" s="846" t="s">
        <v>1339</v>
      </c>
    </row>
    <row r="432" spans="2:18" ht="11.25" customHeight="1">
      <c r="B432" s="822" t="str">
        <f t="shared" si="83"/>
        <v>VAL. 10</v>
      </c>
      <c r="C432" s="823" t="e">
        <f t="shared" si="83"/>
        <v>#REF!</v>
      </c>
      <c r="D432" s="824" t="e">
        <f>+Retencion!#REF!</f>
        <v>#REF!</v>
      </c>
      <c r="E432" s="849">
        <f t="shared" si="87"/>
        <v>8120654.8700000029</v>
      </c>
      <c r="F432" s="850">
        <f>+D387</f>
        <v>0.114</v>
      </c>
      <c r="G432" s="851">
        <f>+D388</f>
        <v>1</v>
      </c>
      <c r="H432" s="843" t="e">
        <f t="shared" si="90"/>
        <v>#REF!</v>
      </c>
      <c r="I432" s="744" t="e">
        <f>+IF(D$11&gt;C432,0,IF(ROUND(D432*F432*G432,2)&gt;J431,J431,ROUND(D432*F432*G432,2)))</f>
        <v>#REF!</v>
      </c>
      <c r="J432" s="847" t="e">
        <f t="shared" si="88"/>
        <v>#REF!</v>
      </c>
      <c r="K432" s="849">
        <f t="shared" si="84"/>
        <v>476.04</v>
      </c>
      <c r="L432" s="852">
        <f t="shared" si="85"/>
        <v>457.01</v>
      </c>
      <c r="M432" s="744"/>
      <c r="N432" s="848" t="e">
        <f t="shared" si="86"/>
        <v>#REF!</v>
      </c>
      <c r="P432" s="845">
        <v>44256</v>
      </c>
      <c r="Q432" s="846">
        <v>44317</v>
      </c>
      <c r="R432" s="1218"/>
    </row>
    <row r="433" spans="2:18" ht="11.25" customHeight="1">
      <c r="B433" s="822" t="str">
        <f t="shared" si="83"/>
        <v>VAL. 11</v>
      </c>
      <c r="C433" s="823" t="e">
        <f t="shared" si="83"/>
        <v>#REF!</v>
      </c>
      <c r="D433" s="824" t="e">
        <f>+Retencion!#REF!</f>
        <v>#REF!</v>
      </c>
      <c r="E433" s="849">
        <f t="shared" si="87"/>
        <v>8120654.8700000029</v>
      </c>
      <c r="F433" s="850">
        <f>+D387</f>
        <v>0.114</v>
      </c>
      <c r="G433" s="851">
        <f>+D388</f>
        <v>1</v>
      </c>
      <c r="H433" s="843" t="e">
        <f t="shared" si="90"/>
        <v>#REF!</v>
      </c>
      <c r="I433" s="744" t="e">
        <f>+IF(D$11&gt;C433,0,IF(ROUND(D433*F433*G433,2)&gt;J432,J432,ROUND(D433*F433*G433,2)))</f>
        <v>#REF!</v>
      </c>
      <c r="J433" s="847" t="e">
        <f t="shared" si="88"/>
        <v>#REF!</v>
      </c>
      <c r="K433" s="849">
        <f t="shared" si="84"/>
        <v>476.04</v>
      </c>
      <c r="L433" s="852">
        <f t="shared" si="85"/>
        <v>457.01</v>
      </c>
      <c r="M433" s="744"/>
      <c r="N433" s="848" t="e">
        <f t="shared" si="86"/>
        <v>#REF!</v>
      </c>
      <c r="P433" s="845">
        <v>44287</v>
      </c>
      <c r="Q433" s="846">
        <v>44348</v>
      </c>
      <c r="R433" s="1218"/>
    </row>
    <row r="434" spans="2:18" ht="11.25" customHeight="1">
      <c r="B434" s="822" t="str">
        <f t="shared" si="83"/>
        <v>VAL. 12</v>
      </c>
      <c r="C434" s="823" t="e">
        <f t="shared" si="83"/>
        <v>#REF!</v>
      </c>
      <c r="D434" s="824" t="e">
        <f>+Retencion!#REF!</f>
        <v>#REF!</v>
      </c>
      <c r="E434" s="849">
        <f t="shared" si="87"/>
        <v>8120654.8700000029</v>
      </c>
      <c r="F434" s="850">
        <f>+D387</f>
        <v>0.114</v>
      </c>
      <c r="G434" s="851">
        <f>+D388</f>
        <v>1</v>
      </c>
      <c r="H434" s="849" t="e">
        <f t="shared" si="90"/>
        <v>#REF!</v>
      </c>
      <c r="I434" s="744" t="e">
        <f>+IF(D$11&gt;C434,0,IF(ROUND(D434*F434*G434,2)&gt;J433,J433,ROUND(D434*F434*G434,2)))</f>
        <v>#REF!</v>
      </c>
      <c r="J434" s="847" t="e">
        <f t="shared" si="88"/>
        <v>#REF!</v>
      </c>
      <c r="K434" s="849">
        <f t="shared" si="84"/>
        <v>476.04</v>
      </c>
      <c r="L434" s="852">
        <f t="shared" si="85"/>
        <v>457.01</v>
      </c>
      <c r="M434" s="744"/>
      <c r="N434" s="853" t="e">
        <f t="shared" si="86"/>
        <v>#REF!</v>
      </c>
      <c r="P434" s="845">
        <v>44317</v>
      </c>
      <c r="Q434" s="846">
        <v>44378</v>
      </c>
      <c r="R434" s="1218"/>
    </row>
    <row r="435" spans="2:18" ht="11.25" customHeight="1">
      <c r="B435" s="822" t="str">
        <f t="shared" si="83"/>
        <v>VAL. 13</v>
      </c>
      <c r="C435" s="823" t="e">
        <f t="shared" si="83"/>
        <v>#REF!</v>
      </c>
      <c r="D435" s="824" t="e">
        <f>+Retencion!#REF!</f>
        <v>#REF!</v>
      </c>
      <c r="E435" s="849">
        <f t="shared" si="87"/>
        <v>8120654.8700000029</v>
      </c>
      <c r="F435" s="850">
        <f>+D387</f>
        <v>0.114</v>
      </c>
      <c r="G435" s="851">
        <f>+D388</f>
        <v>1</v>
      </c>
      <c r="H435" s="849" t="e">
        <f t="shared" si="90"/>
        <v>#REF!</v>
      </c>
      <c r="I435" s="744" t="e">
        <f t="shared" si="89"/>
        <v>#REF!</v>
      </c>
      <c r="J435" s="847" t="e">
        <f t="shared" si="88"/>
        <v>#REF!</v>
      </c>
      <c r="K435" s="849">
        <f t="shared" si="84"/>
        <v>476.04</v>
      </c>
      <c r="L435" s="852">
        <f t="shared" si="85"/>
        <v>457.01</v>
      </c>
      <c r="M435" s="744"/>
      <c r="N435" s="853" t="e">
        <f>+ROUND(I435*(M435-L435)/K435,2)</f>
        <v>#REF!</v>
      </c>
      <c r="P435" s="845">
        <v>44348</v>
      </c>
      <c r="Q435" s="846">
        <v>44409</v>
      </c>
      <c r="R435" s="1218"/>
    </row>
    <row r="436" spans="2:18" ht="11.25" customHeight="1">
      <c r="B436" s="822" t="str">
        <f t="shared" si="83"/>
        <v>VAL. 14</v>
      </c>
      <c r="C436" s="823" t="e">
        <f t="shared" si="83"/>
        <v>#REF!</v>
      </c>
      <c r="D436" s="824" t="e">
        <f>+Retencion!#REF!</f>
        <v>#REF!</v>
      </c>
      <c r="E436" s="849">
        <f t="shared" si="87"/>
        <v>8120654.8700000029</v>
      </c>
      <c r="F436" s="850">
        <f>+D387</f>
        <v>0.114</v>
      </c>
      <c r="G436" s="851">
        <f>+D388</f>
        <v>1</v>
      </c>
      <c r="H436" s="849" t="e">
        <f t="shared" si="90"/>
        <v>#REF!</v>
      </c>
      <c r="I436" s="744" t="e">
        <f t="shared" si="89"/>
        <v>#REF!</v>
      </c>
      <c r="J436" s="847" t="e">
        <f>+J435-I436</f>
        <v>#REF!</v>
      </c>
      <c r="K436" s="849">
        <f t="shared" si="84"/>
        <v>476.04</v>
      </c>
      <c r="L436" s="852">
        <f t="shared" si="85"/>
        <v>457.01</v>
      </c>
      <c r="M436" s="993"/>
      <c r="N436" s="853" t="e">
        <f t="shared" si="86"/>
        <v>#REF!</v>
      </c>
      <c r="P436" s="845">
        <v>44378</v>
      </c>
      <c r="Q436" s="846">
        <v>44440</v>
      </c>
      <c r="R436" s="1218"/>
    </row>
    <row r="437" spans="2:18" ht="11.25" customHeight="1">
      <c r="B437" s="822" t="str">
        <f t="shared" si="83"/>
        <v>VAL. 15</v>
      </c>
      <c r="C437" s="823" t="e">
        <f t="shared" si="83"/>
        <v>#REF!</v>
      </c>
      <c r="D437" s="824" t="e">
        <f>+Retencion!#REF!</f>
        <v>#REF!</v>
      </c>
      <c r="E437" s="849">
        <f t="shared" si="87"/>
        <v>8120654.8700000029</v>
      </c>
      <c r="F437" s="850">
        <f>+D387</f>
        <v>0.114</v>
      </c>
      <c r="G437" s="851">
        <f>+D388</f>
        <v>1</v>
      </c>
      <c r="H437" s="849" t="e">
        <f t="shared" si="90"/>
        <v>#REF!</v>
      </c>
      <c r="I437" s="744" t="e">
        <f t="shared" si="89"/>
        <v>#REF!</v>
      </c>
      <c r="J437" s="847" t="e">
        <f>+J436-I437</f>
        <v>#REF!</v>
      </c>
      <c r="K437" s="849">
        <f t="shared" si="84"/>
        <v>476.04</v>
      </c>
      <c r="L437" s="852">
        <f t="shared" si="85"/>
        <v>457.01</v>
      </c>
      <c r="M437" s="849"/>
      <c r="N437" s="853" t="e">
        <f t="shared" si="86"/>
        <v>#REF!</v>
      </c>
      <c r="P437" s="845">
        <v>44409</v>
      </c>
      <c r="Q437" s="846">
        <v>44470</v>
      </c>
      <c r="R437" s="1218"/>
    </row>
    <row r="438" spans="2:18" ht="11.25" customHeight="1">
      <c r="B438" s="822" t="str">
        <f t="shared" si="83"/>
        <v>VAL. 16</v>
      </c>
      <c r="C438" s="823" t="e">
        <f t="shared" si="83"/>
        <v>#REF!</v>
      </c>
      <c r="D438" s="824" t="e">
        <f>+Retencion!#REF!</f>
        <v>#REF!</v>
      </c>
      <c r="E438" s="849">
        <f t="shared" si="87"/>
        <v>8120654.8700000029</v>
      </c>
      <c r="F438" s="850">
        <f>+D387</f>
        <v>0.114</v>
      </c>
      <c r="G438" s="851">
        <f>+D388</f>
        <v>1</v>
      </c>
      <c r="H438" s="849" t="e">
        <f t="shared" si="90"/>
        <v>#REF!</v>
      </c>
      <c r="I438" s="744" t="e">
        <f t="shared" si="89"/>
        <v>#REF!</v>
      </c>
      <c r="J438" s="847" t="e">
        <f>+J437-I438</f>
        <v>#REF!</v>
      </c>
      <c r="K438" s="849">
        <f t="shared" si="84"/>
        <v>476.04</v>
      </c>
      <c r="L438" s="852">
        <f t="shared" si="85"/>
        <v>457.01</v>
      </c>
      <c r="M438" s="849"/>
      <c r="N438" s="853" t="e">
        <f t="shared" si="86"/>
        <v>#REF!</v>
      </c>
      <c r="P438" s="845">
        <v>44440</v>
      </c>
      <c r="Q438" s="846">
        <v>44501</v>
      </c>
      <c r="R438" s="1218"/>
    </row>
    <row r="439" spans="2:18" ht="11.25" customHeight="1">
      <c r="B439" s="822" t="str">
        <f t="shared" si="83"/>
        <v>VAL. 17</v>
      </c>
      <c r="C439" s="823" t="e">
        <f t="shared" si="83"/>
        <v>#REF!</v>
      </c>
      <c r="D439" s="824" t="e">
        <f>+Retencion!#REF!</f>
        <v>#REF!</v>
      </c>
      <c r="E439" s="849">
        <f t="shared" si="87"/>
        <v>8120654.8700000029</v>
      </c>
      <c r="F439" s="850">
        <f>+D387</f>
        <v>0.114</v>
      </c>
      <c r="G439" s="851">
        <f>+D388</f>
        <v>1</v>
      </c>
      <c r="H439" s="849" t="e">
        <f t="shared" si="90"/>
        <v>#REF!</v>
      </c>
      <c r="I439" s="744" t="e">
        <f t="shared" si="89"/>
        <v>#REF!</v>
      </c>
      <c r="J439" s="847" t="e">
        <f>+J438-I439</f>
        <v>#REF!</v>
      </c>
      <c r="K439" s="849">
        <f t="shared" si="84"/>
        <v>476.04</v>
      </c>
      <c r="L439" s="852">
        <f t="shared" si="85"/>
        <v>457.01</v>
      </c>
      <c r="M439" s="849"/>
      <c r="N439" s="853" t="e">
        <f t="shared" si="86"/>
        <v>#REF!</v>
      </c>
      <c r="P439" s="845">
        <v>44470</v>
      </c>
      <c r="Q439" s="846">
        <v>44531</v>
      </c>
      <c r="R439" s="1218"/>
    </row>
    <row r="440" spans="2:18" ht="11.25" customHeight="1">
      <c r="B440" s="822" t="str">
        <f t="shared" si="83"/>
        <v>VAL. 18</v>
      </c>
      <c r="C440" s="823" t="e">
        <f t="shared" si="83"/>
        <v>#REF!</v>
      </c>
      <c r="D440" s="824" t="e">
        <f>+Retencion!#REF!</f>
        <v>#REF!</v>
      </c>
      <c r="E440" s="849">
        <f t="shared" si="87"/>
        <v>8120654.8700000029</v>
      </c>
      <c r="F440" s="850">
        <f>+D387</f>
        <v>0.114</v>
      </c>
      <c r="G440" s="851">
        <f>+D388</f>
        <v>1</v>
      </c>
      <c r="H440" s="849" t="e">
        <f t="shared" si="90"/>
        <v>#REF!</v>
      </c>
      <c r="I440" s="744" t="e">
        <f t="shared" si="89"/>
        <v>#REF!</v>
      </c>
      <c r="J440" s="847" t="e">
        <f>+J439-I440</f>
        <v>#REF!</v>
      </c>
      <c r="K440" s="849">
        <f t="shared" si="84"/>
        <v>476.04</v>
      </c>
      <c r="L440" s="852">
        <f t="shared" si="85"/>
        <v>457.01</v>
      </c>
      <c r="M440" s="849"/>
      <c r="N440" s="853" t="e">
        <f t="shared" si="86"/>
        <v>#REF!</v>
      </c>
      <c r="P440" s="845">
        <v>44501</v>
      </c>
      <c r="Q440" s="846">
        <v>44562</v>
      </c>
      <c r="R440" s="1218"/>
    </row>
    <row r="441" spans="2:18" ht="11.25" customHeight="1">
      <c r="B441" s="822"/>
      <c r="C441" s="854"/>
      <c r="D441" s="849"/>
      <c r="E441" s="849"/>
      <c r="F441" s="850"/>
      <c r="G441" s="855"/>
      <c r="H441" s="849"/>
      <c r="I441" s="744"/>
      <c r="J441" s="847"/>
      <c r="K441" s="849"/>
      <c r="L441" s="852"/>
      <c r="M441" s="849"/>
      <c r="N441" s="853"/>
      <c r="P441" s="856"/>
      <c r="Q441" s="857"/>
      <c r="R441" s="1218"/>
    </row>
    <row r="442" spans="2:18" ht="11.25" customHeight="1">
      <c r="B442" s="858"/>
      <c r="C442" s="859"/>
      <c r="D442" s="860"/>
      <c r="E442" s="860"/>
      <c r="F442" s="861"/>
      <c r="G442" s="862"/>
      <c r="H442" s="860"/>
      <c r="I442" s="860"/>
      <c r="J442" s="828"/>
      <c r="K442" s="860"/>
      <c r="L442" s="830"/>
      <c r="M442" s="860"/>
      <c r="N442" s="863"/>
      <c r="P442" s="864"/>
      <c r="Q442" s="865"/>
      <c r="R442" s="1219"/>
    </row>
    <row r="443" spans="2:18" ht="11.25" customHeight="1">
      <c r="B443" s="774"/>
      <c r="C443" s="715"/>
      <c r="D443" s="866"/>
      <c r="E443" s="867"/>
      <c r="F443" s="868"/>
      <c r="G443" s="869"/>
      <c r="H443" s="869"/>
      <c r="I443" s="870" t="e">
        <f>SUM(I423:I442)</f>
        <v>#REF!</v>
      </c>
      <c r="J443" s="871"/>
      <c r="K443" s="869"/>
      <c r="L443" s="727"/>
      <c r="M443" s="727"/>
      <c r="N443" s="872"/>
    </row>
    <row r="444" spans="2:18" ht="11.25" customHeight="1">
      <c r="L444" s="873" t="s">
        <v>274</v>
      </c>
      <c r="M444" s="874"/>
      <c r="N444" s="875" t="e">
        <f>SUM(N423:N442)</f>
        <v>#REF!</v>
      </c>
      <c r="O444" s="751"/>
    </row>
    <row r="445" spans="2:18" ht="11.25" customHeight="1">
      <c r="I445" s="751"/>
      <c r="L445" s="876" t="s">
        <v>287</v>
      </c>
      <c r="M445" s="877"/>
      <c r="N445" s="878">
        <v>18332.079999999998</v>
      </c>
    </row>
    <row r="446" spans="2:18" ht="11.25" customHeight="1">
      <c r="L446" s="879" t="s">
        <v>288</v>
      </c>
      <c r="M446" s="880"/>
      <c r="N446" s="881" t="e">
        <f>N444-N445</f>
        <v>#REF!</v>
      </c>
      <c r="O446" s="751"/>
    </row>
  </sheetData>
  <mergeCells count="370">
    <mergeCell ref="N339:O339"/>
    <mergeCell ref="Q339:S339"/>
    <mergeCell ref="U330:W330"/>
    <mergeCell ref="B339:B340"/>
    <mergeCell ref="C339:C340"/>
    <mergeCell ref="D339:D340"/>
    <mergeCell ref="E339:F339"/>
    <mergeCell ref="G339:H339"/>
    <mergeCell ref="I339:J339"/>
    <mergeCell ref="I330:J330"/>
    <mergeCell ref="K330:K331"/>
    <mergeCell ref="L330:M330"/>
    <mergeCell ref="K339:K340"/>
    <mergeCell ref="L339:M339"/>
    <mergeCell ref="K320:K321"/>
    <mergeCell ref="L320:M320"/>
    <mergeCell ref="N320:O320"/>
    <mergeCell ref="Q320:S320"/>
    <mergeCell ref="U320:W320"/>
    <mergeCell ref="B330:B331"/>
    <mergeCell ref="C330:C331"/>
    <mergeCell ref="D330:D331"/>
    <mergeCell ref="E330:F330"/>
    <mergeCell ref="G330:H330"/>
    <mergeCell ref="B320:B321"/>
    <mergeCell ref="C320:C321"/>
    <mergeCell ref="D320:D321"/>
    <mergeCell ref="E320:F320"/>
    <mergeCell ref="G320:H320"/>
    <mergeCell ref="I320:J320"/>
    <mergeCell ref="N330:O330"/>
    <mergeCell ref="Q330:S330"/>
    <mergeCell ref="I310:J310"/>
    <mergeCell ref="K310:K311"/>
    <mergeCell ref="L310:M310"/>
    <mergeCell ref="N310:O310"/>
    <mergeCell ref="Q310:S310"/>
    <mergeCell ref="U310:W310"/>
    <mergeCell ref="K301:K302"/>
    <mergeCell ref="L301:M301"/>
    <mergeCell ref="N301:O301"/>
    <mergeCell ref="Q301:S301"/>
    <mergeCell ref="U301:W301"/>
    <mergeCell ref="I301:J301"/>
    <mergeCell ref="B310:B311"/>
    <mergeCell ref="C310:C311"/>
    <mergeCell ref="D310:D311"/>
    <mergeCell ref="E310:F310"/>
    <mergeCell ref="G310:H310"/>
    <mergeCell ref="B301:B302"/>
    <mergeCell ref="C301:C302"/>
    <mergeCell ref="D301:D302"/>
    <mergeCell ref="E301:F301"/>
    <mergeCell ref="G301:H301"/>
    <mergeCell ref="I292:J292"/>
    <mergeCell ref="K292:K293"/>
    <mergeCell ref="L292:M292"/>
    <mergeCell ref="N292:O292"/>
    <mergeCell ref="Q292:S292"/>
    <mergeCell ref="U292:W292"/>
    <mergeCell ref="K282:K283"/>
    <mergeCell ref="L282:M282"/>
    <mergeCell ref="N282:O282"/>
    <mergeCell ref="Q282:S282"/>
    <mergeCell ref="U282:W282"/>
    <mergeCell ref="I282:J282"/>
    <mergeCell ref="B292:B293"/>
    <mergeCell ref="C292:C293"/>
    <mergeCell ref="D292:D293"/>
    <mergeCell ref="E292:F292"/>
    <mergeCell ref="G292:H292"/>
    <mergeCell ref="B282:B283"/>
    <mergeCell ref="C282:C283"/>
    <mergeCell ref="D282:D283"/>
    <mergeCell ref="E282:F282"/>
    <mergeCell ref="G282:H282"/>
    <mergeCell ref="I273:J273"/>
    <mergeCell ref="K273:K274"/>
    <mergeCell ref="L273:M273"/>
    <mergeCell ref="N273:O273"/>
    <mergeCell ref="Q273:S273"/>
    <mergeCell ref="U273:W273"/>
    <mergeCell ref="K264:K265"/>
    <mergeCell ref="L264:M264"/>
    <mergeCell ref="N264:O264"/>
    <mergeCell ref="Q264:S264"/>
    <mergeCell ref="U264:W264"/>
    <mergeCell ref="I264:J264"/>
    <mergeCell ref="B273:B274"/>
    <mergeCell ref="C273:C274"/>
    <mergeCell ref="D273:D274"/>
    <mergeCell ref="E273:F273"/>
    <mergeCell ref="G273:H273"/>
    <mergeCell ref="B264:B265"/>
    <mergeCell ref="C264:C265"/>
    <mergeCell ref="D264:D265"/>
    <mergeCell ref="E264:F264"/>
    <mergeCell ref="G264:H264"/>
    <mergeCell ref="K255:K256"/>
    <mergeCell ref="L255:M255"/>
    <mergeCell ref="N255:O255"/>
    <mergeCell ref="Q255:S255"/>
    <mergeCell ref="U255:W255"/>
    <mergeCell ref="K240:K241"/>
    <mergeCell ref="L240:M240"/>
    <mergeCell ref="N240:O240"/>
    <mergeCell ref="Q240:S240"/>
    <mergeCell ref="U240:W240"/>
    <mergeCell ref="I222:J222"/>
    <mergeCell ref="B255:B256"/>
    <mergeCell ref="C255:C256"/>
    <mergeCell ref="D255:D256"/>
    <mergeCell ref="E255:F255"/>
    <mergeCell ref="G255:H255"/>
    <mergeCell ref="B240:B241"/>
    <mergeCell ref="C240:C241"/>
    <mergeCell ref="D240:D241"/>
    <mergeCell ref="E240:F240"/>
    <mergeCell ref="G240:H240"/>
    <mergeCell ref="I255:J255"/>
    <mergeCell ref="I240:J240"/>
    <mergeCell ref="K200:K201"/>
    <mergeCell ref="L200:M200"/>
    <mergeCell ref="N200:O200"/>
    <mergeCell ref="Q200:S200"/>
    <mergeCell ref="U200:W200"/>
    <mergeCell ref="B231:B232"/>
    <mergeCell ref="C231:C232"/>
    <mergeCell ref="D231:D232"/>
    <mergeCell ref="E231:F231"/>
    <mergeCell ref="G231:H231"/>
    <mergeCell ref="B222:B223"/>
    <mergeCell ref="C222:C223"/>
    <mergeCell ref="D222:D223"/>
    <mergeCell ref="E222:F222"/>
    <mergeCell ref="G222:H222"/>
    <mergeCell ref="I231:J231"/>
    <mergeCell ref="K231:K232"/>
    <mergeCell ref="L231:M231"/>
    <mergeCell ref="N231:O231"/>
    <mergeCell ref="Q231:S231"/>
    <mergeCell ref="U231:W231"/>
    <mergeCell ref="K222:K223"/>
    <mergeCell ref="L222:M222"/>
    <mergeCell ref="N222:O222"/>
    <mergeCell ref="N348:O348"/>
    <mergeCell ref="Q348:S348"/>
    <mergeCell ref="U348:W348"/>
    <mergeCell ref="B191:B192"/>
    <mergeCell ref="C191:C192"/>
    <mergeCell ref="D191:D192"/>
    <mergeCell ref="E191:F191"/>
    <mergeCell ref="G191:H191"/>
    <mergeCell ref="I191:J191"/>
    <mergeCell ref="B213:B214"/>
    <mergeCell ref="C213:C214"/>
    <mergeCell ref="D213:D214"/>
    <mergeCell ref="E213:F213"/>
    <mergeCell ref="G213:H213"/>
    <mergeCell ref="L191:M191"/>
    <mergeCell ref="K191:K192"/>
    <mergeCell ref="N191:O191"/>
    <mergeCell ref="Q191:S191"/>
    <mergeCell ref="I213:J213"/>
    <mergeCell ref="K213:K214"/>
    <mergeCell ref="L213:M213"/>
    <mergeCell ref="N213:O213"/>
    <mergeCell ref="Q213:S213"/>
    <mergeCell ref="U213:W213"/>
    <mergeCell ref="K163:K164"/>
    <mergeCell ref="L163:M163"/>
    <mergeCell ref="N163:O163"/>
    <mergeCell ref="Q163:S163"/>
    <mergeCell ref="U163:W163"/>
    <mergeCell ref="B348:B349"/>
    <mergeCell ref="C348:C349"/>
    <mergeCell ref="D348:D349"/>
    <mergeCell ref="E348:F348"/>
    <mergeCell ref="G348:H348"/>
    <mergeCell ref="B163:B164"/>
    <mergeCell ref="C163:C164"/>
    <mergeCell ref="D163:D164"/>
    <mergeCell ref="E163:F163"/>
    <mergeCell ref="G163:H163"/>
    <mergeCell ref="I163:J163"/>
    <mergeCell ref="U191:W191"/>
    <mergeCell ref="B200:B201"/>
    <mergeCell ref="C200:C201"/>
    <mergeCell ref="D200:D201"/>
    <mergeCell ref="E200:F200"/>
    <mergeCell ref="G200:H200"/>
    <mergeCell ref="I200:J200"/>
    <mergeCell ref="I348:J348"/>
    <mergeCell ref="I154:J154"/>
    <mergeCell ref="K154:K155"/>
    <mergeCell ref="L154:M154"/>
    <mergeCell ref="N154:O154"/>
    <mergeCell ref="Q154:S154"/>
    <mergeCell ref="U154:W154"/>
    <mergeCell ref="K145:K146"/>
    <mergeCell ref="L145:M145"/>
    <mergeCell ref="N145:O145"/>
    <mergeCell ref="Q145:S145"/>
    <mergeCell ref="U145:W145"/>
    <mergeCell ref="I145:J145"/>
    <mergeCell ref="B154:B155"/>
    <mergeCell ref="C154:C155"/>
    <mergeCell ref="D154:D155"/>
    <mergeCell ref="E154:F154"/>
    <mergeCell ref="G154:H154"/>
    <mergeCell ref="B145:B146"/>
    <mergeCell ref="C145:C146"/>
    <mergeCell ref="D145:D146"/>
    <mergeCell ref="E145:F145"/>
    <mergeCell ref="G145:H145"/>
    <mergeCell ref="E115:F115"/>
    <mergeCell ref="G115:H115"/>
    <mergeCell ref="I126:J126"/>
    <mergeCell ref="K126:K127"/>
    <mergeCell ref="L126:M126"/>
    <mergeCell ref="N126:O126"/>
    <mergeCell ref="Q126:S126"/>
    <mergeCell ref="U126:W126"/>
    <mergeCell ref="K115:K116"/>
    <mergeCell ref="L115:M115"/>
    <mergeCell ref="N115:O115"/>
    <mergeCell ref="Q115:S115"/>
    <mergeCell ref="U115:W115"/>
    <mergeCell ref="I115:J115"/>
    <mergeCell ref="N67:O67"/>
    <mergeCell ref="N357:O357"/>
    <mergeCell ref="N172:O172"/>
    <mergeCell ref="G172:H172"/>
    <mergeCell ref="B106:B107"/>
    <mergeCell ref="C106:C107"/>
    <mergeCell ref="D106:D107"/>
    <mergeCell ref="E106:F106"/>
    <mergeCell ref="G106:H106"/>
    <mergeCell ref="B90:B91"/>
    <mergeCell ref="C90:C91"/>
    <mergeCell ref="D90:D91"/>
    <mergeCell ref="E90:F90"/>
    <mergeCell ref="G90:H90"/>
    <mergeCell ref="I106:J106"/>
    <mergeCell ref="K106:K107"/>
    <mergeCell ref="L106:M106"/>
    <mergeCell ref="N106:O106"/>
    <mergeCell ref="K90:K91"/>
    <mergeCell ref="L90:M90"/>
    <mergeCell ref="N90:O90"/>
    <mergeCell ref="I90:J90"/>
    <mergeCell ref="B126:B127"/>
    <mergeCell ref="C126:C127"/>
    <mergeCell ref="U357:W357"/>
    <mergeCell ref="Q19:S19"/>
    <mergeCell ref="Q28:S28"/>
    <mergeCell ref="Q366:S366"/>
    <mergeCell ref="Q172:S172"/>
    <mergeCell ref="U366:W366"/>
    <mergeCell ref="U19:W19"/>
    <mergeCell ref="U28:W28"/>
    <mergeCell ref="U172:W172"/>
    <mergeCell ref="Q67:S67"/>
    <mergeCell ref="U67:W67"/>
    <mergeCell ref="Q357:S357"/>
    <mergeCell ref="Q106:S106"/>
    <mergeCell ref="U106:W106"/>
    <mergeCell ref="Q90:S90"/>
    <mergeCell ref="U90:W90"/>
    <mergeCell ref="Q222:S222"/>
    <mergeCell ref="U222:W222"/>
    <mergeCell ref="U339:W339"/>
    <mergeCell ref="AK19:AL19"/>
    <mergeCell ref="AD19:AE19"/>
    <mergeCell ref="AF19:AG19"/>
    <mergeCell ref="AH19:AH20"/>
    <mergeCell ref="AI19:AJ19"/>
    <mergeCell ref="Y19:Y20"/>
    <mergeCell ref="Z19:Z20"/>
    <mergeCell ref="L54:M54"/>
    <mergeCell ref="L28:M28"/>
    <mergeCell ref="U54:W54"/>
    <mergeCell ref="Q54:S54"/>
    <mergeCell ref="N54:O54"/>
    <mergeCell ref="AA19:AA20"/>
    <mergeCell ref="AB19:AC19"/>
    <mergeCell ref="N28:O28"/>
    <mergeCell ref="B421:C422"/>
    <mergeCell ref="B54:B55"/>
    <mergeCell ref="C54:C55"/>
    <mergeCell ref="E54:F54"/>
    <mergeCell ref="B378:O378"/>
    <mergeCell ref="D421:D422"/>
    <mergeCell ref="N421:N422"/>
    <mergeCell ref="E421:E422"/>
    <mergeCell ref="B392:C394"/>
    <mergeCell ref="D393:F393"/>
    <mergeCell ref="D392:I392"/>
    <mergeCell ref="G366:H366"/>
    <mergeCell ref="I366:J366"/>
    <mergeCell ref="B357:B358"/>
    <mergeCell ref="E357:F357"/>
    <mergeCell ref="C357:C358"/>
    <mergeCell ref="D357:D358"/>
    <mergeCell ref="B366:B367"/>
    <mergeCell ref="E366:F366"/>
    <mergeCell ref="F383:G383"/>
    <mergeCell ref="I357:J357"/>
    <mergeCell ref="K357:K358"/>
    <mergeCell ref="L357:M357"/>
    <mergeCell ref="D366:D367"/>
    <mergeCell ref="B172:B173"/>
    <mergeCell ref="C172:C173"/>
    <mergeCell ref="L19:M19"/>
    <mergeCell ref="I54:J54"/>
    <mergeCell ref="K54:K55"/>
    <mergeCell ref="G19:H19"/>
    <mergeCell ref="G54:H54"/>
    <mergeCell ref="D54:D55"/>
    <mergeCell ref="D172:D173"/>
    <mergeCell ref="E172:F172"/>
    <mergeCell ref="B67:B68"/>
    <mergeCell ref="C67:C68"/>
    <mergeCell ref="D67:D68"/>
    <mergeCell ref="E67:F67"/>
    <mergeCell ref="G67:H67"/>
    <mergeCell ref="I67:J67"/>
    <mergeCell ref="K67:K68"/>
    <mergeCell ref="L67:M67"/>
    <mergeCell ref="D126:D127"/>
    <mergeCell ref="E126:F126"/>
    <mergeCell ref="G126:H126"/>
    <mergeCell ref="B115:B116"/>
    <mergeCell ref="C115:C116"/>
    <mergeCell ref="D115:D116"/>
    <mergeCell ref="B19:B20"/>
    <mergeCell ref="B28:B29"/>
    <mergeCell ref="K19:K20"/>
    <mergeCell ref="N19:O19"/>
    <mergeCell ref="D28:D29"/>
    <mergeCell ref="D19:D20"/>
    <mergeCell ref="E28:F28"/>
    <mergeCell ref="E19:F19"/>
    <mergeCell ref="I19:J19"/>
    <mergeCell ref="C28:C29"/>
    <mergeCell ref="C19:C20"/>
    <mergeCell ref="P421:Q421"/>
    <mergeCell ref="F421:G421"/>
    <mergeCell ref="H421:J421"/>
    <mergeCell ref="F381:G381"/>
    <mergeCell ref="K421:M421"/>
    <mergeCell ref="C2:M2"/>
    <mergeCell ref="B9:O9"/>
    <mergeCell ref="K366:K367"/>
    <mergeCell ref="C366:C367"/>
    <mergeCell ref="N366:O366"/>
    <mergeCell ref="G393:I393"/>
    <mergeCell ref="L366:M366"/>
    <mergeCell ref="F382:G382"/>
    <mergeCell ref="I172:J172"/>
    <mergeCell ref="K172:K173"/>
    <mergeCell ref="L172:M172"/>
    <mergeCell ref="K348:K349"/>
    <mergeCell ref="L348:M348"/>
    <mergeCell ref="G357:H357"/>
    <mergeCell ref="B7:O7"/>
    <mergeCell ref="B8:O8"/>
    <mergeCell ref="K28:K29"/>
    <mergeCell ref="I28:J28"/>
    <mergeCell ref="G28:H28"/>
  </mergeCells>
  <phoneticPr fontId="0" type="noConversion"/>
  <printOptions horizontalCentered="1"/>
  <pageMargins left="0.19685039370078741" right="0.19685039370078741" top="0.59055118110236227" bottom="0.44" header="0" footer="0"/>
  <pageSetup paperSize="9" scale="70" fitToHeight="2" orientation="landscape" r:id="rId1"/>
  <headerFooter alignWithMargins="0">
    <oddFooter>&amp;L&amp;8&amp;F: &amp;A&amp;R&amp;8&amp;P/&amp;N</oddFooter>
  </headerFooter>
  <rowBreaks count="9" manualBreakCount="9">
    <brk id="52" max="16383" man="1"/>
    <brk id="153" min="1" max="14" man="1"/>
    <brk id="199" min="1" max="14" man="1"/>
    <brk id="239" min="1" max="14" man="1"/>
    <brk id="281" min="1" max="14" man="1"/>
    <brk id="329" min="1" max="14" man="1"/>
    <brk id="355" min="1" max="14" man="1"/>
    <brk id="377" max="16383" man="1"/>
    <brk id="416" min="1" max="14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3">
    <tabColor indexed="24"/>
  </sheetPr>
  <dimension ref="B1:V35"/>
  <sheetViews>
    <sheetView showGridLines="0" view="pageBreakPreview" topLeftCell="A7" zoomScale="115" zoomScaleNormal="100" zoomScaleSheetLayoutView="115" workbookViewId="0">
      <selection activeCell="H18" sqref="H18"/>
    </sheetView>
  </sheetViews>
  <sheetFormatPr baseColWidth="10" defaultColWidth="11.42578125" defaultRowHeight="11.25"/>
  <cols>
    <col min="1" max="1" width="1.85546875" style="698" bestFit="1" customWidth="1"/>
    <col min="2" max="2" width="10.42578125" style="698" customWidth="1"/>
    <col min="3" max="3" width="26.5703125" style="698" customWidth="1"/>
    <col min="4" max="4" width="9.5703125" style="698" customWidth="1"/>
    <col min="5" max="5" width="10.85546875" style="698" bestFit="1" customWidth="1"/>
    <col min="6" max="6" width="12" style="698" customWidth="1"/>
    <col min="7" max="9" width="12.7109375" style="698" customWidth="1"/>
    <col min="10" max="10" width="20.85546875" style="698" bestFit="1" customWidth="1"/>
    <col min="11" max="11" width="15.7109375" style="698" customWidth="1"/>
    <col min="12" max="14" width="11.42578125" style="698"/>
    <col min="15" max="15" width="10.85546875" style="698" bestFit="1" customWidth="1"/>
    <col min="16" max="16" width="5.42578125" style="698" bestFit="1" customWidth="1"/>
    <col min="17" max="20" width="5.85546875" style="698" bestFit="1" customWidth="1"/>
    <col min="21" max="21" width="6.140625" style="698" bestFit="1" customWidth="1"/>
    <col min="22" max="22" width="5.7109375" style="698" bestFit="1" customWidth="1"/>
    <col min="23" max="16384" width="11.42578125" style="698"/>
  </cols>
  <sheetData>
    <row r="1" spans="2:22" ht="11.25" customHeight="1">
      <c r="C1" s="61"/>
      <c r="D1" s="604"/>
      <c r="E1" s="605"/>
      <c r="F1" s="602"/>
      <c r="G1" s="602"/>
      <c r="H1" s="602"/>
      <c r="I1" s="602"/>
      <c r="J1" s="602"/>
      <c r="K1" s="602"/>
      <c r="L1" s="602"/>
      <c r="M1" s="602"/>
    </row>
    <row r="2" spans="2:22" s="699" customFormat="1" ht="50.1" customHeight="1">
      <c r="B2" s="698"/>
      <c r="C2" s="1656" t="str">
        <f>+K!$B$2</f>
        <v>“RECONSTRUCCIÓN DE PISTAS Y VEREDAS EN LA AV. LAS TORRES TRAMO DESDE LA
  AV. CIRCUNVALACIÓN HASTA LA ALTURA DE LA QUINTA AV., L = 1.99 KM DISTRITO DE
LURIGANCHO CHOSICA, LIMA – LIMA”. Con código único de inversión (IRI): 2498581</v>
      </c>
      <c r="D2" s="1656"/>
      <c r="E2" s="1656"/>
      <c r="F2" s="1656"/>
      <c r="G2" s="1656"/>
      <c r="H2" s="1656"/>
      <c r="I2" s="1656"/>
      <c r="J2" s="1656"/>
      <c r="K2" s="1212"/>
      <c r="L2" s="1212"/>
      <c r="M2" s="1212"/>
    </row>
    <row r="3" spans="2:22" s="699" customFormat="1" ht="12.75">
      <c r="B3" s="61" t="str">
        <f>+K!$B$4</f>
        <v>CONTRATISTA : DITRANSERVA S.A.C.</v>
      </c>
      <c r="D3" s="604"/>
      <c r="E3" s="605"/>
      <c r="F3" s="602"/>
      <c r="G3" s="602"/>
      <c r="H3" s="602"/>
      <c r="I3" s="602"/>
      <c r="J3" s="602"/>
      <c r="K3" s="602"/>
      <c r="L3" s="602"/>
      <c r="M3" s="602"/>
    </row>
    <row r="4" spans="2:22" s="699" customFormat="1" ht="12.75">
      <c r="B4" s="61" t="str">
        <f>+K!$B$5</f>
        <v>SUPERVISOR : CONSORCIO SUPERVISOR LAS TORRES</v>
      </c>
      <c r="D4" s="604"/>
      <c r="E4" s="605"/>
      <c r="F4" s="602"/>
      <c r="G4" s="602"/>
      <c r="H4" s="602"/>
      <c r="I4" s="602"/>
      <c r="J4" s="602"/>
      <c r="K4" s="602"/>
      <c r="L4" s="602"/>
      <c r="M4" s="602"/>
    </row>
    <row r="7" spans="2:22" ht="18">
      <c r="B7" s="1687" t="s">
        <v>309</v>
      </c>
      <c r="C7" s="1687"/>
      <c r="D7" s="1687"/>
      <c r="E7" s="1687"/>
      <c r="F7" s="1687"/>
      <c r="G7" s="1687"/>
      <c r="H7" s="1687"/>
      <c r="I7" s="1687"/>
      <c r="J7" s="1687"/>
      <c r="K7" s="1687"/>
    </row>
    <row r="8" spans="2:22" ht="12.75">
      <c r="B8" s="1740" t="str">
        <f>+'Cemento Port I IU 21'!B8:O8</f>
        <v>VALORIZACION Nº 4 - MES DE DICIEMBRE 2021</v>
      </c>
      <c r="C8" s="1740"/>
      <c r="D8" s="1740"/>
      <c r="E8" s="1740"/>
      <c r="F8" s="1740"/>
      <c r="G8" s="1740"/>
      <c r="H8" s="1740"/>
      <c r="I8" s="1740"/>
      <c r="J8" s="1740"/>
      <c r="K8" s="1740"/>
    </row>
    <row r="9" spans="2:22" ht="12.75">
      <c r="B9" s="1740" t="s">
        <v>617</v>
      </c>
      <c r="C9" s="1740"/>
      <c r="D9" s="1740"/>
      <c r="E9" s="1740"/>
      <c r="F9" s="1740"/>
      <c r="G9" s="1740"/>
      <c r="H9" s="1740"/>
      <c r="I9" s="1740"/>
      <c r="J9" s="1740"/>
      <c r="K9" s="1740"/>
    </row>
    <row r="10" spans="2:22" ht="12.75">
      <c r="B10" s="92"/>
      <c r="C10" s="92"/>
      <c r="D10" s="92"/>
      <c r="E10" s="92"/>
      <c r="F10" s="92"/>
      <c r="G10" s="92"/>
      <c r="H10" s="92"/>
      <c r="I10" s="92"/>
      <c r="J10" s="92"/>
      <c r="K10" s="92"/>
    </row>
    <row r="11" spans="2:22" ht="15">
      <c r="B11" s="175" t="s">
        <v>310</v>
      </c>
    </row>
    <row r="12" spans="2:22" ht="12.75" customHeight="1">
      <c r="B12" s="1685" t="s">
        <v>311</v>
      </c>
      <c r="C12" s="1681" t="s">
        <v>312</v>
      </c>
      <c r="D12" s="1741"/>
      <c r="E12" s="924" t="s">
        <v>136</v>
      </c>
      <c r="F12" s="1685" t="s">
        <v>313</v>
      </c>
      <c r="G12" s="1678" t="s">
        <v>423</v>
      </c>
      <c r="H12" s="1679"/>
      <c r="I12" s="1679"/>
      <c r="J12" s="1680"/>
      <c r="K12" s="1682" t="s">
        <v>282</v>
      </c>
    </row>
    <row r="13" spans="2:22">
      <c r="B13" s="1686"/>
      <c r="C13" s="1742"/>
      <c r="D13" s="1743"/>
      <c r="E13" s="837" t="s">
        <v>314</v>
      </c>
      <c r="F13" s="1686"/>
      <c r="G13" s="721" t="s">
        <v>315</v>
      </c>
      <c r="H13" s="721" t="s">
        <v>211</v>
      </c>
      <c r="I13" s="721" t="s">
        <v>316</v>
      </c>
      <c r="J13" s="721" t="s">
        <v>451</v>
      </c>
      <c r="K13" s="1684"/>
      <c r="M13" s="1048"/>
    </row>
    <row r="14" spans="2:22">
      <c r="B14" s="925">
        <v>1</v>
      </c>
      <c r="C14" s="926" t="s">
        <v>1687</v>
      </c>
      <c r="D14" s="874"/>
      <c r="E14" s="927" t="s">
        <v>1681</v>
      </c>
      <c r="F14" s="928"/>
      <c r="G14" s="1534"/>
      <c r="H14" s="1534">
        <v>0</v>
      </c>
      <c r="I14" s="1535">
        <f t="shared" ref="I14:I19" si="0">+G14+H14</f>
        <v>0</v>
      </c>
      <c r="J14" s="1535">
        <f t="shared" ref="J14:J19" si="1">+F14-I14</f>
        <v>0</v>
      </c>
      <c r="K14" s="1557">
        <v>0</v>
      </c>
      <c r="L14" s="1049"/>
      <c r="M14" s="1049"/>
    </row>
    <row r="15" spans="2:22">
      <c r="B15" s="929">
        <v>1</v>
      </c>
      <c r="C15" s="822" t="s">
        <v>1680</v>
      </c>
      <c r="D15" s="877"/>
      <c r="E15" s="930" t="s">
        <v>1682</v>
      </c>
      <c r="F15" s="931">
        <v>1898664.05</v>
      </c>
      <c r="G15" s="1536">
        <f>+'Concreto Pre IU 80'!O75</f>
        <v>579821.29</v>
      </c>
      <c r="H15" s="1536">
        <v>418050.79706435942</v>
      </c>
      <c r="I15" s="1537">
        <f t="shared" si="0"/>
        <v>997872.08706435945</v>
      </c>
      <c r="J15" s="1537">
        <f t="shared" si="1"/>
        <v>900791.96293564059</v>
      </c>
      <c r="K15" s="1558">
        <f>+'Concreto Pre IU 80'!N117</f>
        <v>8077.91</v>
      </c>
      <c r="L15" s="1049"/>
      <c r="M15" s="751"/>
      <c r="O15" s="902"/>
      <c r="P15" s="902"/>
      <c r="Q15" s="902"/>
      <c r="R15" s="902"/>
      <c r="S15" s="902"/>
      <c r="T15" s="902"/>
      <c r="U15" s="902"/>
      <c r="V15" s="902"/>
    </row>
    <row r="16" spans="2:22">
      <c r="B16" s="929">
        <v>1</v>
      </c>
      <c r="C16" s="822" t="s">
        <v>807</v>
      </c>
      <c r="D16" s="877"/>
      <c r="E16" s="930" t="s">
        <v>478</v>
      </c>
      <c r="F16" s="931"/>
      <c r="G16" s="1536">
        <v>0</v>
      </c>
      <c r="H16" s="1536">
        <v>0</v>
      </c>
      <c r="I16" s="1537">
        <f t="shared" si="0"/>
        <v>0</v>
      </c>
      <c r="J16" s="1537">
        <f t="shared" si="1"/>
        <v>0</v>
      </c>
      <c r="K16" s="1559">
        <v>0</v>
      </c>
      <c r="L16" s="1049"/>
      <c r="M16" s="751"/>
      <c r="N16" s="751"/>
    </row>
    <row r="17" spans="2:13">
      <c r="B17" s="929">
        <v>1</v>
      </c>
      <c r="C17" s="822" t="s">
        <v>1143</v>
      </c>
      <c r="D17" s="877"/>
      <c r="E17" s="930" t="s">
        <v>305</v>
      </c>
      <c r="F17" s="931"/>
      <c r="G17" s="1536">
        <v>0</v>
      </c>
      <c r="H17" s="1536">
        <v>0</v>
      </c>
      <c r="I17" s="1537">
        <f t="shared" si="0"/>
        <v>0</v>
      </c>
      <c r="J17" s="1537">
        <f t="shared" si="1"/>
        <v>0</v>
      </c>
      <c r="K17" s="1558">
        <v>0</v>
      </c>
      <c r="L17" s="1049"/>
      <c r="M17" s="751"/>
    </row>
    <row r="18" spans="2:13">
      <c r="B18" s="929">
        <v>1</v>
      </c>
      <c r="C18" s="822" t="s">
        <v>1688</v>
      </c>
      <c r="D18" s="877"/>
      <c r="E18" s="930" t="s">
        <v>294</v>
      </c>
      <c r="F18" s="931"/>
      <c r="G18" s="1536">
        <v>0</v>
      </c>
      <c r="H18" s="1536">
        <v>0</v>
      </c>
      <c r="I18" s="1537">
        <f t="shared" si="0"/>
        <v>0</v>
      </c>
      <c r="J18" s="1537">
        <f t="shared" si="1"/>
        <v>0</v>
      </c>
      <c r="K18" s="1558">
        <v>0</v>
      </c>
      <c r="L18" s="1049"/>
      <c r="M18" s="751"/>
    </row>
    <row r="19" spans="2:13">
      <c r="B19" s="929">
        <v>1</v>
      </c>
      <c r="C19" s="822" t="s">
        <v>1689</v>
      </c>
      <c r="D19" s="877"/>
      <c r="E19" s="930" t="s">
        <v>1683</v>
      </c>
      <c r="F19" s="931"/>
      <c r="G19" s="1536">
        <v>0</v>
      </c>
      <c r="H19" s="1536">
        <v>0</v>
      </c>
      <c r="I19" s="1537">
        <f t="shared" si="0"/>
        <v>0</v>
      </c>
      <c r="J19" s="1537">
        <f t="shared" si="1"/>
        <v>0</v>
      </c>
      <c r="K19" s="1558">
        <v>0</v>
      </c>
      <c r="L19" s="1049"/>
      <c r="M19" s="751"/>
    </row>
    <row r="20" spans="2:13">
      <c r="B20" s="932"/>
      <c r="C20" s="933"/>
      <c r="E20" s="934"/>
      <c r="F20" s="935"/>
      <c r="G20" s="936"/>
      <c r="H20" s="936"/>
      <c r="I20" s="937"/>
      <c r="J20" s="937"/>
      <c r="K20" s="1560"/>
      <c r="L20" s="1049"/>
      <c r="M20" s="751"/>
    </row>
    <row r="21" spans="2:13" s="939" customFormat="1" ht="15" customHeight="1">
      <c r="B21" s="1737" t="s">
        <v>592</v>
      </c>
      <c r="C21" s="1738"/>
      <c r="D21" s="1738"/>
      <c r="E21" s="1739"/>
      <c r="F21" s="1554">
        <f>SUM(F14:F20)</f>
        <v>1898664.05</v>
      </c>
      <c r="G21" s="1555">
        <f>SUM(G14:G20)</f>
        <v>579821.29</v>
      </c>
      <c r="H21" s="1554">
        <f>SUM(H14:H20)</f>
        <v>418050.79706435942</v>
      </c>
      <c r="I21" s="1554">
        <f>SUM(I14:I20)</f>
        <v>997872.08706435945</v>
      </c>
      <c r="J21" s="1556">
        <f>SUM(J14:J20)</f>
        <v>900791.96293564059</v>
      </c>
      <c r="K21" s="1561"/>
      <c r="L21" s="1049"/>
      <c r="M21" s="751"/>
    </row>
    <row r="22" spans="2:13">
      <c r="F22" s="751"/>
      <c r="I22" s="751"/>
      <c r="J22" s="938" t="s">
        <v>288</v>
      </c>
      <c r="K22" s="1561">
        <f>SUM(K14:K20)</f>
        <v>8077.91</v>
      </c>
    </row>
    <row r="23" spans="2:13" s="700" customFormat="1" ht="12.75">
      <c r="G23" s="940"/>
      <c r="K23" s="1562"/>
    </row>
    <row r="24" spans="2:13" ht="12.75">
      <c r="B24" s="700"/>
      <c r="C24" s="700"/>
      <c r="D24" s="700"/>
      <c r="E24" s="700"/>
      <c r="F24" s="700"/>
      <c r="G24" s="940"/>
      <c r="H24" s="700"/>
      <c r="I24" s="700"/>
      <c r="J24" s="941" t="s">
        <v>317</v>
      </c>
      <c r="K24" s="1561">
        <f>+K22</f>
        <v>8077.91</v>
      </c>
    </row>
    <row r="25" spans="2:13">
      <c r="J25" s="942" t="s">
        <v>287</v>
      </c>
      <c r="K25" s="1563">
        <v>0</v>
      </c>
    </row>
    <row r="26" spans="2:13">
      <c r="J26" s="943" t="s">
        <v>274</v>
      </c>
      <c r="K26" s="1564">
        <f>SUM(K24:K25)</f>
        <v>8077.91</v>
      </c>
    </row>
    <row r="27" spans="2:13">
      <c r="J27" s="834"/>
      <c r="K27" s="1045"/>
    </row>
    <row r="28" spans="2:13">
      <c r="J28" s="834"/>
      <c r="K28" s="1045"/>
    </row>
    <row r="31" spans="2:13" ht="22.5" customHeight="1">
      <c r="B31" s="1735" t="s">
        <v>318</v>
      </c>
      <c r="C31" s="1736"/>
      <c r="D31" s="1736"/>
      <c r="E31" s="944" t="s">
        <v>1749</v>
      </c>
      <c r="F31" s="944" t="s">
        <v>1750</v>
      </c>
      <c r="G31" s="944" t="s">
        <v>319</v>
      </c>
      <c r="H31" s="944" t="s">
        <v>408</v>
      </c>
      <c r="I31" s="718" t="s">
        <v>320</v>
      </c>
    </row>
    <row r="32" spans="2:13">
      <c r="B32" s="933" t="s">
        <v>321</v>
      </c>
      <c r="E32" s="1565">
        <f>+Ae_De!F21</f>
        <v>949332.03</v>
      </c>
      <c r="F32" s="1565">
        <f>+Ae_De!F22</f>
        <v>0</v>
      </c>
      <c r="G32" s="1565">
        <f>+F21</f>
        <v>1898664.05</v>
      </c>
      <c r="H32" s="1565">
        <f>SUM(E32:G32)</f>
        <v>2847996.08</v>
      </c>
      <c r="I32" s="1566"/>
    </row>
    <row r="33" spans="2:9">
      <c r="B33" s="945" t="s">
        <v>322</v>
      </c>
      <c r="C33" s="715"/>
      <c r="D33" s="715"/>
      <c r="E33" s="1567">
        <f>+Ae_De!F40</f>
        <v>419928.69</v>
      </c>
      <c r="F33" s="1567">
        <f>+Ae_De!G40</f>
        <v>0</v>
      </c>
      <c r="G33" s="1567">
        <f>+I21</f>
        <v>997872.08706435945</v>
      </c>
      <c r="H33" s="1567">
        <f>SUM(E33:G33)</f>
        <v>1417800.7770643595</v>
      </c>
      <c r="I33" s="1568"/>
    </row>
    <row r="34" spans="2:9">
      <c r="B34" s="933" t="s">
        <v>323</v>
      </c>
      <c r="E34" s="1565">
        <f>+E32-E33</f>
        <v>529403.34000000008</v>
      </c>
      <c r="F34" s="1565">
        <f>+F32-F33</f>
        <v>0</v>
      </c>
      <c r="G34" s="1565">
        <f>+G32-G33</f>
        <v>900791.96293564059</v>
      </c>
      <c r="H34" s="1565">
        <f>SUM(E34:G34)</f>
        <v>1430195.3029356408</v>
      </c>
      <c r="I34" s="1566">
        <f>+valoriz!O248</f>
        <v>5294033.3699999992</v>
      </c>
    </row>
    <row r="35" spans="2:9">
      <c r="B35" s="774"/>
      <c r="C35" s="715"/>
      <c r="D35" s="715"/>
      <c r="E35" s="715"/>
      <c r="F35" s="715"/>
      <c r="G35" s="715"/>
      <c r="H35" s="715"/>
      <c r="I35" s="946"/>
    </row>
  </sheetData>
  <mergeCells count="11">
    <mergeCell ref="B12:B13"/>
    <mergeCell ref="F12:F13"/>
    <mergeCell ref="B31:D31"/>
    <mergeCell ref="B21:E21"/>
    <mergeCell ref="C2:J2"/>
    <mergeCell ref="B7:K7"/>
    <mergeCell ref="B8:K8"/>
    <mergeCell ref="C12:D13"/>
    <mergeCell ref="B9:K9"/>
    <mergeCell ref="K12:K13"/>
    <mergeCell ref="G12:J12"/>
  </mergeCells>
  <phoneticPr fontId="0" type="noConversion"/>
  <printOptions horizontalCentered="1"/>
  <pageMargins left="0.39370078740157483" right="0.39370078740157483" top="0.39370078740157483" bottom="0.98425196850393704" header="0.15748031496062992" footer="0"/>
  <pageSetup paperSize="9" scale="90" fitToHeight="2" orientation="landscape" r:id="rId1"/>
  <headerFooter alignWithMargins="0">
    <oddFooter>&amp;L&amp;8&amp;F : &amp;A&amp;R&amp;8&amp;P/&amp;N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"/>
  <dimension ref="A1:V55"/>
  <sheetViews>
    <sheetView showGridLines="0" showZeros="0" view="pageBreakPreview" zoomScale="80" zoomScaleNormal="70" zoomScaleSheetLayoutView="80" workbookViewId="0">
      <pane xSplit="1" ySplit="10" topLeftCell="B29" activePane="bottomRight" state="frozen"/>
      <selection activeCell="D28" sqref="D28"/>
      <selection pane="topRight" activeCell="D28" sqref="D28"/>
      <selection pane="bottomLeft" activeCell="D28" sqref="D28"/>
      <selection pane="bottomRight" activeCell="F27" sqref="F27"/>
    </sheetView>
  </sheetViews>
  <sheetFormatPr baseColWidth="10" defaultRowHeight="12.75"/>
  <cols>
    <col min="1" max="1" width="43.140625" customWidth="1"/>
    <col min="2" max="2" width="19.140625" customWidth="1"/>
    <col min="3" max="6" width="15.7109375" customWidth="1"/>
    <col min="7" max="18" width="15.7109375" hidden="1" customWidth="1"/>
    <col min="19" max="19" width="15.42578125" hidden="1" customWidth="1"/>
    <col min="20" max="20" width="13.5703125" bestFit="1" customWidth="1"/>
    <col min="22" max="22" width="12.42578125" bestFit="1" customWidth="1"/>
  </cols>
  <sheetData>
    <row r="1" spans="1:22" ht="15.75" customHeight="1">
      <c r="A1" s="61"/>
      <c r="B1" s="61">
        <f>++K!$C$1</f>
        <v>0</v>
      </c>
      <c r="C1" s="5"/>
      <c r="D1" s="5"/>
      <c r="E1" s="5"/>
      <c r="F1" s="5"/>
      <c r="G1" s="5"/>
      <c r="H1" s="5"/>
      <c r="I1" s="5"/>
    </row>
    <row r="2" spans="1:22" ht="93.75" customHeight="1">
      <c r="A2" s="1747" t="str">
        <f>+K!$B$2</f>
        <v>“RECONSTRUCCIÓN DE PISTAS Y VEREDAS EN LA AV. LAS TORRES TRAMO DESDE LA
  AV. CIRCUNVALACIÓN HASTA LA ALTURA DE LA QUINTA AV., L = 1.99 KM DISTRITO DE
LURIGANCHO CHOSICA, LIMA – LIMA”. Con código único de inversión (IRI): 2498581</v>
      </c>
      <c r="B2" s="1747"/>
      <c r="C2" s="1747"/>
      <c r="D2" s="1747"/>
      <c r="E2" s="1747"/>
      <c r="F2" s="1747"/>
      <c r="G2" s="1747"/>
      <c r="H2" s="1747"/>
      <c r="I2" s="1747"/>
      <c r="J2" s="1747"/>
      <c r="K2" s="1747"/>
    </row>
    <row r="3" spans="1:22" ht="15.75" customHeight="1">
      <c r="A3" s="1343" t="str">
        <f>+Val_reaj!$A$3</f>
        <v>CONTRATISTA : DITRANSERVA S.A.C.</v>
      </c>
      <c r="C3" s="5"/>
      <c r="D3" s="5"/>
      <c r="E3" s="5"/>
      <c r="F3" s="5"/>
      <c r="G3" s="5"/>
      <c r="H3" s="5"/>
      <c r="I3" s="5"/>
    </row>
    <row r="4" spans="1:22" ht="15.75" customHeight="1">
      <c r="A4" s="1343" t="str">
        <f>+K!$B$5</f>
        <v>SUPERVISOR : CONSORCIO SUPERVISOR LAS TORRES</v>
      </c>
      <c r="C4" s="5"/>
      <c r="D4" s="5"/>
      <c r="E4" s="5"/>
      <c r="F4" s="5"/>
      <c r="G4" s="5"/>
      <c r="H4" s="5"/>
      <c r="I4" s="5"/>
    </row>
    <row r="5" spans="1:22" ht="15.75" customHeight="1">
      <c r="A5" s="61"/>
      <c r="B5" s="5"/>
      <c r="C5" s="5"/>
      <c r="D5" s="5"/>
      <c r="E5" s="5"/>
      <c r="F5" s="5"/>
      <c r="G5" s="5"/>
      <c r="H5" s="5"/>
      <c r="I5" s="5"/>
    </row>
    <row r="6" spans="1:22" ht="18">
      <c r="A6" s="63" t="s">
        <v>576</v>
      </c>
      <c r="B6" s="64"/>
      <c r="C6" s="65"/>
      <c r="D6" s="65"/>
      <c r="E6" s="64"/>
      <c r="F6" s="64"/>
      <c r="G6" s="64"/>
      <c r="H6" s="64"/>
      <c r="I6" s="64"/>
      <c r="L6" s="1079"/>
    </row>
    <row r="7" spans="1:22" ht="16.5" thickBot="1">
      <c r="B7" s="41"/>
      <c r="C7" s="41"/>
      <c r="D7" s="7"/>
    </row>
    <row r="8" spans="1:22">
      <c r="A8" s="1744" t="s">
        <v>388</v>
      </c>
      <c r="B8" s="1425" t="s">
        <v>424</v>
      </c>
      <c r="C8" s="1426" t="s">
        <v>600</v>
      </c>
      <c r="D8" s="1427" t="s">
        <v>425</v>
      </c>
      <c r="E8" s="1427" t="s">
        <v>439</v>
      </c>
      <c r="F8" s="1491" t="s">
        <v>440</v>
      </c>
      <c r="G8" s="1426" t="s">
        <v>441</v>
      </c>
      <c r="H8" s="119" t="s">
        <v>577</v>
      </c>
      <c r="I8" s="113" t="s">
        <v>579</v>
      </c>
      <c r="J8" s="119" t="s">
        <v>23</v>
      </c>
      <c r="K8" s="119" t="s">
        <v>24</v>
      </c>
      <c r="L8" s="119" t="s">
        <v>1328</v>
      </c>
      <c r="M8" s="119" t="s">
        <v>847</v>
      </c>
      <c r="N8" s="119" t="s">
        <v>114</v>
      </c>
      <c r="O8" s="119" t="s">
        <v>219</v>
      </c>
      <c r="P8" s="119" t="s">
        <v>241</v>
      </c>
      <c r="Q8" s="119" t="s">
        <v>622</v>
      </c>
      <c r="R8" s="119"/>
      <c r="S8" s="119"/>
    </row>
    <row r="9" spans="1:22">
      <c r="A9" s="1745"/>
      <c r="B9" s="1428" t="s">
        <v>578</v>
      </c>
      <c r="C9" s="1429">
        <f>+Retencion!B15</f>
        <v>44500</v>
      </c>
      <c r="D9" s="1429">
        <f>+Retencion!B16</f>
        <v>44530</v>
      </c>
      <c r="E9" s="1600">
        <f>+Retencion!B17</f>
        <v>44561</v>
      </c>
      <c r="F9" s="1492">
        <f>+Retencion!B18</f>
        <v>44561</v>
      </c>
      <c r="G9" s="1429">
        <f>+Retencion!B20</f>
        <v>44620</v>
      </c>
      <c r="H9" s="120">
        <f>+Retencion!B21</f>
        <v>0</v>
      </c>
      <c r="I9" s="120"/>
      <c r="J9" s="120"/>
      <c r="K9" s="120"/>
      <c r="L9" s="120"/>
      <c r="M9" s="120" t="e">
        <f>+Retencion!#REF!</f>
        <v>#REF!</v>
      </c>
      <c r="N9" s="120" t="e">
        <f>+Retencion!#REF!</f>
        <v>#REF!</v>
      </c>
      <c r="O9" s="120" t="e">
        <f>+Retencion!#REF!</f>
        <v>#REF!</v>
      </c>
      <c r="P9" s="120" t="e">
        <f>+Retencion!#REF!</f>
        <v>#REF!</v>
      </c>
      <c r="Q9" s="120" t="e">
        <f>+Retencion!#REF!</f>
        <v>#REF!</v>
      </c>
      <c r="R9" s="120"/>
      <c r="S9" s="120"/>
    </row>
    <row r="10" spans="1:22" ht="13.5" thickBot="1">
      <c r="A10" s="1746"/>
      <c r="B10" s="1430" t="s">
        <v>381</v>
      </c>
      <c r="C10" s="1431" t="s">
        <v>381</v>
      </c>
      <c r="D10" s="1432" t="s">
        <v>381</v>
      </c>
      <c r="E10" s="1432" t="s">
        <v>381</v>
      </c>
      <c r="F10" s="1493" t="s">
        <v>381</v>
      </c>
      <c r="G10" s="1431" t="s">
        <v>381</v>
      </c>
      <c r="H10" s="108" t="s">
        <v>381</v>
      </c>
      <c r="I10" s="108" t="s">
        <v>381</v>
      </c>
      <c r="J10" s="108" t="s">
        <v>381</v>
      </c>
      <c r="K10" s="108" t="s">
        <v>381</v>
      </c>
      <c r="L10" s="108" t="s">
        <v>381</v>
      </c>
      <c r="M10" s="108" t="s">
        <v>381</v>
      </c>
      <c r="N10" s="108" t="s">
        <v>381</v>
      </c>
      <c r="O10" s="108" t="s">
        <v>381</v>
      </c>
      <c r="P10" s="108" t="s">
        <v>381</v>
      </c>
      <c r="Q10" s="108" t="s">
        <v>381</v>
      </c>
      <c r="R10" s="108"/>
      <c r="S10" s="108"/>
    </row>
    <row r="11" spans="1:22" ht="6.75" customHeight="1" thickBot="1">
      <c r="A11" s="121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</row>
    <row r="12" spans="1:22" ht="20.100000000000001" customHeight="1">
      <c r="A12" s="1424" t="s">
        <v>413</v>
      </c>
      <c r="B12" s="80">
        <f>SUM(C12:S12)</f>
        <v>4199286.84</v>
      </c>
      <c r="C12" s="76">
        <f t="shared" ref="C12:H12" si="0">SUM(C13:C15)</f>
        <v>78066.42</v>
      </c>
      <c r="D12" s="76">
        <f t="shared" si="0"/>
        <v>1302063.97</v>
      </c>
      <c r="E12" s="1589">
        <f t="shared" si="0"/>
        <v>1388847.16</v>
      </c>
      <c r="F12" s="1494">
        <f t="shared" ref="F12" si="1">SUM(F13:F15)</f>
        <v>1430309.29</v>
      </c>
      <c r="G12" s="76">
        <f t="shared" si="0"/>
        <v>0</v>
      </c>
      <c r="H12" s="76">
        <f t="shared" si="0"/>
        <v>0</v>
      </c>
      <c r="I12" s="76">
        <f t="shared" ref="I12:N12" si="2">SUM(I13:I15)</f>
        <v>0</v>
      </c>
      <c r="J12" s="76">
        <f t="shared" si="2"/>
        <v>0</v>
      </c>
      <c r="K12" s="76">
        <f t="shared" si="2"/>
        <v>0</v>
      </c>
      <c r="L12" s="76">
        <f t="shared" si="2"/>
        <v>0</v>
      </c>
      <c r="M12" s="76">
        <f t="shared" si="2"/>
        <v>0</v>
      </c>
      <c r="N12" s="76">
        <f t="shared" si="2"/>
        <v>0</v>
      </c>
      <c r="O12" s="76">
        <f>SUM(O13:O15)</f>
        <v>0</v>
      </c>
      <c r="P12" s="76">
        <f>SUM(P13:P15)</f>
        <v>0</v>
      </c>
      <c r="Q12" s="76">
        <f>SUM(Q13:Q15)</f>
        <v>0</v>
      </c>
      <c r="R12" s="76"/>
      <c r="S12" s="76"/>
    </row>
    <row r="13" spans="1:22" ht="20.100000000000001" customHeight="1">
      <c r="A13" s="1421" t="s">
        <v>1757</v>
      </c>
      <c r="B13" s="81">
        <f>SUM(C13:S13)</f>
        <v>4199286.84</v>
      </c>
      <c r="C13" s="77">
        <v>78066.42</v>
      </c>
      <c r="D13" s="77">
        <v>1302063.97</v>
      </c>
      <c r="E13" s="1590">
        <v>1388847.16</v>
      </c>
      <c r="F13" s="1495">
        <f>+valoriz!J248</f>
        <v>1430309.29</v>
      </c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6"/>
      <c r="V13" s="6"/>
    </row>
    <row r="14" spans="1:22" ht="20.100000000000001" customHeight="1">
      <c r="A14" s="1421" t="s">
        <v>1758</v>
      </c>
      <c r="B14" s="81">
        <f>SUM(C14:S14)</f>
        <v>0</v>
      </c>
      <c r="C14" s="77">
        <v>0</v>
      </c>
      <c r="D14" s="77">
        <v>0</v>
      </c>
      <c r="E14" s="1590">
        <v>0</v>
      </c>
      <c r="F14" s="1495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f>+Pago!$F25</f>
        <v>0</v>
      </c>
      <c r="P14" s="77">
        <v>0</v>
      </c>
      <c r="Q14" s="77">
        <v>0</v>
      </c>
      <c r="R14" s="77"/>
      <c r="S14" s="77"/>
    </row>
    <row r="15" spans="1:22" ht="11.25" customHeight="1">
      <c r="A15" s="67"/>
      <c r="B15" s="81"/>
      <c r="C15" s="77"/>
      <c r="D15" s="77"/>
      <c r="E15" s="1590"/>
      <c r="F15" s="1495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</row>
    <row r="16" spans="1:22" ht="20.100000000000001" customHeight="1">
      <c r="A16" s="1423" t="s">
        <v>414</v>
      </c>
      <c r="B16" s="82">
        <f>SUM(C16:S16)</f>
        <v>304834.54000000004</v>
      </c>
      <c r="C16" s="78">
        <f t="shared" ref="C16:I16" si="3">SUM(C17:C20)</f>
        <v>5698.85</v>
      </c>
      <c r="D16" s="78">
        <f t="shared" si="3"/>
        <v>89842.41</v>
      </c>
      <c r="E16" s="1591">
        <f t="shared" si="3"/>
        <v>95830.46</v>
      </c>
      <c r="F16" s="1496">
        <f t="shared" ref="F16" si="4">SUM(F17:F20)</f>
        <v>113462.81999999998</v>
      </c>
      <c r="G16" s="78">
        <f t="shared" si="3"/>
        <v>0</v>
      </c>
      <c r="H16" s="78">
        <f t="shared" si="3"/>
        <v>0</v>
      </c>
      <c r="I16" s="78">
        <f t="shared" si="3"/>
        <v>0</v>
      </c>
      <c r="J16" s="78">
        <f t="shared" ref="J16:O16" si="5">SUM(J17:J20)</f>
        <v>0</v>
      </c>
      <c r="K16" s="78">
        <f t="shared" si="5"/>
        <v>0</v>
      </c>
      <c r="L16" s="78">
        <f t="shared" si="5"/>
        <v>0</v>
      </c>
      <c r="M16" s="78">
        <f t="shared" si="5"/>
        <v>0</v>
      </c>
      <c r="N16" s="78">
        <f t="shared" si="5"/>
        <v>0</v>
      </c>
      <c r="O16" s="78">
        <f t="shared" si="5"/>
        <v>0</v>
      </c>
      <c r="P16" s="78">
        <f>SUM(P17:P20)</f>
        <v>0</v>
      </c>
      <c r="Q16" s="78">
        <f>SUM(Q17:Q20)</f>
        <v>0</v>
      </c>
      <c r="R16" s="78"/>
      <c r="S16" s="78"/>
    </row>
    <row r="17" spans="1:19" ht="20.100000000000001" customHeight="1">
      <c r="A17" s="1421" t="s">
        <v>1759</v>
      </c>
      <c r="B17" s="81">
        <f>SUM(C17:S17)</f>
        <v>304366.15000000002</v>
      </c>
      <c r="C17" s="77">
        <v>5698.85</v>
      </c>
      <c r="D17" s="77">
        <v>89842.41</v>
      </c>
      <c r="E17" s="1590">
        <v>95830.46</v>
      </c>
      <c r="F17" s="1495">
        <f>+Val_reaj!I25</f>
        <v>112994.43</v>
      </c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</row>
    <row r="18" spans="1:19" ht="20.100000000000001" customHeight="1">
      <c r="A18" s="1421" t="s">
        <v>1760</v>
      </c>
      <c r="B18" s="81">
        <f>SUM(C18:S18)</f>
        <v>468.38999999998487</v>
      </c>
      <c r="C18" s="77"/>
      <c r="D18" s="77">
        <v>0</v>
      </c>
      <c r="E18" s="1590">
        <v>0</v>
      </c>
      <c r="F18" s="1495">
        <f>+Val_reaj!J30</f>
        <v>468.38999999998487</v>
      </c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</row>
    <row r="19" spans="1:19" ht="20.100000000000001" customHeight="1">
      <c r="A19" s="1422" t="s">
        <v>415</v>
      </c>
      <c r="B19" s="81">
        <f>SUM(C19:S19)</f>
        <v>0</v>
      </c>
      <c r="C19" s="77">
        <v>0</v>
      </c>
      <c r="D19" s="77">
        <f>+Retencion!M16</f>
        <v>0</v>
      </c>
      <c r="E19" s="1590">
        <v>0</v>
      </c>
      <c r="F19" s="1495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/>
      <c r="N19" s="77"/>
      <c r="O19" s="77"/>
      <c r="P19" s="77"/>
      <c r="Q19" s="77"/>
      <c r="R19" s="77"/>
      <c r="S19" s="77"/>
    </row>
    <row r="20" spans="1:19" ht="9.75" customHeight="1">
      <c r="A20" s="72"/>
      <c r="B20" s="81">
        <f>SUM(C20:I20)</f>
        <v>0</v>
      </c>
      <c r="C20" s="77"/>
      <c r="D20" s="77"/>
      <c r="E20" s="1590"/>
      <c r="F20" s="1495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</row>
    <row r="21" spans="1:19" ht="20.100000000000001" customHeight="1">
      <c r="A21" s="1423" t="s">
        <v>416</v>
      </c>
      <c r="B21" s="82">
        <f>SUM(C21:S21)</f>
        <v>-6700.51</v>
      </c>
      <c r="C21" s="78">
        <f t="shared" ref="C21:H21" si="6">SUM(C22:C25)</f>
        <v>0</v>
      </c>
      <c r="D21" s="78">
        <f t="shared" si="6"/>
        <v>-4853.92</v>
      </c>
      <c r="E21" s="1591">
        <f t="shared" si="6"/>
        <v>-1003.14</v>
      </c>
      <c r="F21" s="1496">
        <f t="shared" ref="F21" si="7">SUM(F22:F25)</f>
        <v>-843.44999999999993</v>
      </c>
      <c r="G21" s="78">
        <f t="shared" si="6"/>
        <v>0</v>
      </c>
      <c r="H21" s="78">
        <f t="shared" si="6"/>
        <v>0</v>
      </c>
      <c r="I21" s="78">
        <f t="shared" ref="I21:N21" si="8">SUM(I22:I25)</f>
        <v>0</v>
      </c>
      <c r="J21" s="78">
        <f t="shared" si="8"/>
        <v>0</v>
      </c>
      <c r="K21" s="78">
        <f t="shared" si="8"/>
        <v>0</v>
      </c>
      <c r="L21" s="78">
        <f t="shared" si="8"/>
        <v>0</v>
      </c>
      <c r="M21" s="78">
        <f t="shared" si="8"/>
        <v>0</v>
      </c>
      <c r="N21" s="78">
        <f t="shared" si="8"/>
        <v>0</v>
      </c>
      <c r="O21" s="78">
        <f>SUM(O22:O25)</f>
        <v>0</v>
      </c>
      <c r="P21" s="78">
        <f>SUM(P22:P25)</f>
        <v>0</v>
      </c>
      <c r="Q21" s="78">
        <f>SUM(Q22:Q25)</f>
        <v>0</v>
      </c>
      <c r="R21" s="78"/>
      <c r="S21" s="78"/>
    </row>
    <row r="22" spans="1:19" ht="20.100000000000001" customHeight="1">
      <c r="A22" s="1422" t="s">
        <v>417</v>
      </c>
      <c r="B22" s="81">
        <f>SUM(C22:S22)</f>
        <v>-6656.8600000000006</v>
      </c>
      <c r="C22" s="77">
        <v>0</v>
      </c>
      <c r="D22" s="77">
        <v>-4853.92</v>
      </c>
      <c r="E22" s="1590">
        <v>-1003.14</v>
      </c>
      <c r="F22" s="1495">
        <f>+-Ae_De!M34</f>
        <v>-799.8</v>
      </c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</row>
    <row r="23" spans="1:19" ht="20.100000000000001" customHeight="1">
      <c r="A23" s="1422" t="s">
        <v>447</v>
      </c>
      <c r="B23" s="81">
        <f>SUM(C23:S23)</f>
        <v>-43.65</v>
      </c>
      <c r="C23" s="77">
        <v>0</v>
      </c>
      <c r="D23" s="77">
        <v>0</v>
      </c>
      <c r="E23" s="1590">
        <v>0</v>
      </c>
      <c r="F23" s="1495">
        <f>+-Ae_De!O40</f>
        <v>-43.65</v>
      </c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</row>
    <row r="24" spans="1:19" ht="20.100000000000001" customHeight="1">
      <c r="A24" s="1422" t="s">
        <v>418</v>
      </c>
      <c r="B24" s="81">
        <f>SUM(C24:S24)</f>
        <v>0</v>
      </c>
      <c r="C24" s="77">
        <v>0</v>
      </c>
      <c r="D24" s="77"/>
      <c r="E24" s="1590"/>
      <c r="F24" s="1495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</row>
    <row r="25" spans="1:19" ht="8.25" customHeight="1">
      <c r="A25" s="1420"/>
      <c r="B25" s="81"/>
      <c r="C25" s="77"/>
      <c r="D25" s="77"/>
      <c r="E25" s="1590"/>
      <c r="F25" s="1495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</row>
    <row r="26" spans="1:19" ht="20.100000000000001" customHeight="1">
      <c r="A26" s="1423" t="s">
        <v>419</v>
      </c>
      <c r="B26" s="82">
        <f>SUM(C26:S26)</f>
        <v>-419928.71</v>
      </c>
      <c r="C26" s="78">
        <f t="shared" ref="C26:H26" si="9">SUM(C27:C29)</f>
        <v>-7806.64</v>
      </c>
      <c r="D26" s="78">
        <f t="shared" si="9"/>
        <v>-130206.41</v>
      </c>
      <c r="E26" s="1591">
        <f t="shared" si="9"/>
        <v>-138884.73000000001</v>
      </c>
      <c r="F26" s="1496">
        <f t="shared" ref="F26" si="10">SUM(F27:F29)</f>
        <v>-143030.93</v>
      </c>
      <c r="G26" s="78">
        <f t="shared" si="9"/>
        <v>0</v>
      </c>
      <c r="H26" s="78">
        <f t="shared" si="9"/>
        <v>0</v>
      </c>
      <c r="I26" s="78">
        <f t="shared" ref="I26:N26" si="11">SUM(I27:I29)</f>
        <v>0</v>
      </c>
      <c r="J26" s="78">
        <f t="shared" si="11"/>
        <v>0</v>
      </c>
      <c r="K26" s="78">
        <f t="shared" si="11"/>
        <v>0</v>
      </c>
      <c r="L26" s="78">
        <f t="shared" si="11"/>
        <v>0</v>
      </c>
      <c r="M26" s="78">
        <f t="shared" si="11"/>
        <v>0</v>
      </c>
      <c r="N26" s="78">
        <f t="shared" si="11"/>
        <v>0</v>
      </c>
      <c r="O26" s="78">
        <f>SUM(O27:O29)</f>
        <v>0</v>
      </c>
      <c r="P26" s="78">
        <f>SUM(P27:P29)</f>
        <v>0</v>
      </c>
      <c r="Q26" s="78">
        <f>SUM(Q27:Q29)</f>
        <v>0</v>
      </c>
      <c r="R26" s="78"/>
      <c r="S26" s="78"/>
    </row>
    <row r="27" spans="1:19" ht="20.100000000000001" customHeight="1">
      <c r="A27" s="1421" t="s">
        <v>1761</v>
      </c>
      <c r="B27" s="81">
        <f>SUM(C27:S27)</f>
        <v>-419928.71</v>
      </c>
      <c r="C27" s="77">
        <v>-7806.64</v>
      </c>
      <c r="D27" s="77">
        <v>-130206.41</v>
      </c>
      <c r="E27" s="1590">
        <v>-138884.73000000001</v>
      </c>
      <c r="F27" s="1495">
        <f>+-Ae_De!F34</f>
        <v>-143030.93</v>
      </c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</row>
    <row r="28" spans="1:19" ht="20.100000000000001" customHeight="1">
      <c r="A28" s="1421" t="s">
        <v>1758</v>
      </c>
      <c r="B28" s="81">
        <f>SUM(C28:S28)</f>
        <v>0</v>
      </c>
      <c r="C28" s="77">
        <v>0</v>
      </c>
      <c r="D28" s="77"/>
      <c r="E28" s="1590"/>
      <c r="F28" s="1495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</row>
    <row r="29" spans="1:19" ht="10.5" customHeight="1">
      <c r="A29" s="1419"/>
      <c r="B29" s="81">
        <f>SUM(C29:I29)</f>
        <v>0</v>
      </c>
      <c r="C29" s="77"/>
      <c r="D29" s="77"/>
      <c r="E29" s="1590"/>
      <c r="F29" s="1495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</row>
    <row r="30" spans="1:19" ht="20.100000000000001" customHeight="1">
      <c r="A30" s="1423" t="s">
        <v>420</v>
      </c>
      <c r="B30" s="82">
        <f>SUM(C30:S30)</f>
        <v>-997872.09000000008</v>
      </c>
      <c r="C30" s="78">
        <f t="shared" ref="C30:H30" si="12">SUM(C31:C32)</f>
        <v>0</v>
      </c>
      <c r="D30" s="78">
        <f t="shared" si="12"/>
        <v>0</v>
      </c>
      <c r="E30" s="1591">
        <f t="shared" si="12"/>
        <v>-418050.8</v>
      </c>
      <c r="F30" s="1496">
        <f t="shared" ref="F30" si="13">SUM(F31:F32)</f>
        <v>-579821.29</v>
      </c>
      <c r="G30" s="78">
        <f t="shared" si="12"/>
        <v>0</v>
      </c>
      <c r="H30" s="78">
        <f t="shared" si="12"/>
        <v>0</v>
      </c>
      <c r="I30" s="78">
        <f t="shared" ref="I30:N30" si="14">SUM(I31:I32)</f>
        <v>0</v>
      </c>
      <c r="J30" s="78">
        <f t="shared" si="14"/>
        <v>0</v>
      </c>
      <c r="K30" s="78">
        <f t="shared" si="14"/>
        <v>0</v>
      </c>
      <c r="L30" s="78">
        <f t="shared" si="14"/>
        <v>0</v>
      </c>
      <c r="M30" s="78">
        <f t="shared" si="14"/>
        <v>0</v>
      </c>
      <c r="N30" s="78">
        <f t="shared" si="14"/>
        <v>0</v>
      </c>
      <c r="O30" s="78">
        <f>SUM(O31:O32)</f>
        <v>0</v>
      </c>
      <c r="P30" s="78">
        <f>SUM(P31:P32)</f>
        <v>0</v>
      </c>
      <c r="Q30" s="78">
        <f>SUM(Q31:Q32)</f>
        <v>0</v>
      </c>
      <c r="R30" s="78"/>
      <c r="S30" s="78"/>
    </row>
    <row r="31" spans="1:19" ht="20.100000000000001" customHeight="1">
      <c r="A31" s="1421" t="s">
        <v>1751</v>
      </c>
      <c r="B31" s="81">
        <f>SUM(C31:S31)</f>
        <v>-997872.09000000008</v>
      </c>
      <c r="C31" s="77"/>
      <c r="D31" s="77"/>
      <c r="E31" s="1590">
        <v>-418050.8</v>
      </c>
      <c r="F31" s="1495">
        <f>+-'Res.Adel.Mat.'!G21</f>
        <v>-579821.29</v>
      </c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</row>
    <row r="32" spans="1:19" ht="10.5" customHeight="1" thickBot="1">
      <c r="A32" s="67"/>
      <c r="B32" s="83"/>
      <c r="C32" s="79"/>
      <c r="D32" s="79"/>
      <c r="E32" s="1592"/>
      <c r="F32" s="1497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1:19" ht="20.100000000000001" customHeight="1">
      <c r="A33" s="73" t="s">
        <v>421</v>
      </c>
      <c r="B33" s="556">
        <f t="shared" ref="B33:I33" si="15">+B12+B16+B21+B26+B30</f>
        <v>3079620.0700000003</v>
      </c>
      <c r="C33" s="393">
        <f>+C12+C16+C21+C26+C30</f>
        <v>75958.63</v>
      </c>
      <c r="D33" s="393">
        <f t="shared" si="15"/>
        <v>1256846.05</v>
      </c>
      <c r="E33" s="1593">
        <f t="shared" si="15"/>
        <v>926738.95</v>
      </c>
      <c r="F33" s="1498">
        <f t="shared" ref="F33" si="16">+F12+F16+F21+F26+F30</f>
        <v>820076.44000000018</v>
      </c>
      <c r="G33" s="393">
        <f t="shared" si="15"/>
        <v>0</v>
      </c>
      <c r="H33" s="393">
        <f t="shared" si="15"/>
        <v>0</v>
      </c>
      <c r="I33" s="393">
        <f t="shared" si="15"/>
        <v>0</v>
      </c>
      <c r="J33" s="393">
        <f t="shared" ref="J33:O33" si="17">+J12+J16+J21+J26+J30</f>
        <v>0</v>
      </c>
      <c r="K33" s="393">
        <f t="shared" si="17"/>
        <v>0</v>
      </c>
      <c r="L33" s="393">
        <f t="shared" si="17"/>
        <v>0</v>
      </c>
      <c r="M33" s="393">
        <f t="shared" si="17"/>
        <v>0</v>
      </c>
      <c r="N33" s="393">
        <f t="shared" si="17"/>
        <v>0</v>
      </c>
      <c r="O33" s="393">
        <f t="shared" si="17"/>
        <v>0</v>
      </c>
      <c r="P33" s="393">
        <f>+P12+P16+P21+P26+P30</f>
        <v>0</v>
      </c>
      <c r="Q33" s="393">
        <f>+Q12+Q16+Q21+Q26+Q30</f>
        <v>0</v>
      </c>
      <c r="R33" s="393"/>
      <c r="S33" s="393"/>
    </row>
    <row r="34" spans="1:19" ht="8.25" customHeight="1">
      <c r="A34" s="267"/>
      <c r="B34" s="89"/>
      <c r="C34" s="394"/>
      <c r="D34" s="394"/>
      <c r="E34" s="1594"/>
      <c r="F34" s="1499"/>
      <c r="G34" s="394"/>
      <c r="H34" s="394"/>
      <c r="I34" s="394"/>
      <c r="J34" s="394"/>
      <c r="K34" s="394"/>
      <c r="L34" s="394"/>
      <c r="M34" s="394"/>
      <c r="N34" s="394"/>
      <c r="O34" s="394"/>
      <c r="P34" s="394"/>
      <c r="Q34" s="394"/>
      <c r="R34" s="394"/>
      <c r="S34" s="394"/>
    </row>
    <row r="35" spans="1:19" ht="20.100000000000001" customHeight="1">
      <c r="A35" s="75" t="s">
        <v>1259</v>
      </c>
      <c r="B35" s="84">
        <f>SUM(C35:S35)</f>
        <v>554331.61260000011</v>
      </c>
      <c r="C35" s="395">
        <f t="shared" ref="C35:Q35" si="18">+C33*0.18</f>
        <v>13672.553400000001</v>
      </c>
      <c r="D35" s="395">
        <f t="shared" si="18"/>
        <v>226232.28899999999</v>
      </c>
      <c r="E35" s="1595">
        <f t="shared" si="18"/>
        <v>166813.011</v>
      </c>
      <c r="F35" s="1500">
        <f t="shared" ref="F35" si="19">+F33*0.18</f>
        <v>147613.75920000003</v>
      </c>
      <c r="G35" s="395">
        <f t="shared" si="18"/>
        <v>0</v>
      </c>
      <c r="H35" s="395">
        <f t="shared" si="18"/>
        <v>0</v>
      </c>
      <c r="I35" s="395">
        <f t="shared" si="18"/>
        <v>0</v>
      </c>
      <c r="J35" s="395">
        <f t="shared" si="18"/>
        <v>0</v>
      </c>
      <c r="K35" s="395">
        <f t="shared" si="18"/>
        <v>0</v>
      </c>
      <c r="L35" s="395">
        <f t="shared" si="18"/>
        <v>0</v>
      </c>
      <c r="M35" s="1081">
        <f t="shared" si="18"/>
        <v>0</v>
      </c>
      <c r="N35" s="1081">
        <f t="shared" si="18"/>
        <v>0</v>
      </c>
      <c r="O35" s="1081">
        <f t="shared" si="18"/>
        <v>0</v>
      </c>
      <c r="P35" s="1081">
        <f t="shared" si="18"/>
        <v>0</v>
      </c>
      <c r="Q35" s="1081">
        <f t="shared" si="18"/>
        <v>0</v>
      </c>
      <c r="R35" s="395"/>
      <c r="S35" s="395"/>
    </row>
    <row r="36" spans="1:19" ht="8.25" customHeight="1">
      <c r="A36" s="74"/>
      <c r="B36" s="86"/>
      <c r="C36" s="396"/>
      <c r="D36" s="396"/>
      <c r="E36" s="1596"/>
      <c r="F36" s="1501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</row>
    <row r="37" spans="1:19" ht="20.100000000000001" customHeight="1">
      <c r="A37" s="75" t="s">
        <v>573</v>
      </c>
      <c r="B37" s="85">
        <f t="shared" ref="B37:I37" si="20">+B33+B35</f>
        <v>3633951.6826000004</v>
      </c>
      <c r="C37" s="397">
        <f t="shared" si="20"/>
        <v>89631.183400000009</v>
      </c>
      <c r="D37" s="397">
        <f t="shared" si="20"/>
        <v>1483078.3390000002</v>
      </c>
      <c r="E37" s="1597">
        <f t="shared" si="20"/>
        <v>1093551.9609999999</v>
      </c>
      <c r="F37" s="1502">
        <f t="shared" ref="F37" si="21">+F33+F35</f>
        <v>967690.19920000015</v>
      </c>
      <c r="G37" s="397">
        <f t="shared" si="20"/>
        <v>0</v>
      </c>
      <c r="H37" s="397">
        <f t="shared" si="20"/>
        <v>0</v>
      </c>
      <c r="I37" s="397">
        <f t="shared" si="20"/>
        <v>0</v>
      </c>
      <c r="J37" s="397">
        <f t="shared" ref="J37:O37" si="22">+J33+J35</f>
        <v>0</v>
      </c>
      <c r="K37" s="397">
        <f t="shared" si="22"/>
        <v>0</v>
      </c>
      <c r="L37" s="397">
        <f t="shared" si="22"/>
        <v>0</v>
      </c>
      <c r="M37" s="397">
        <f t="shared" si="22"/>
        <v>0</v>
      </c>
      <c r="N37" s="397">
        <f t="shared" si="22"/>
        <v>0</v>
      </c>
      <c r="O37" s="397">
        <f t="shared" si="22"/>
        <v>0</v>
      </c>
      <c r="P37" s="397">
        <f>+P33+P35</f>
        <v>0</v>
      </c>
      <c r="Q37" s="397">
        <f>+Q33+Q35</f>
        <v>0</v>
      </c>
      <c r="R37" s="397"/>
      <c r="S37" s="397"/>
    </row>
    <row r="38" spans="1:19" ht="9.75" customHeight="1">
      <c r="A38" s="75"/>
      <c r="B38" s="85"/>
      <c r="C38" s="397"/>
      <c r="D38" s="397"/>
      <c r="E38" s="1597"/>
      <c r="F38" s="1502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</row>
    <row r="39" spans="1:19" ht="20.100000000000001" customHeight="1">
      <c r="A39" s="75" t="s">
        <v>574</v>
      </c>
      <c r="B39" s="88">
        <f>SUM(C39:S39)</f>
        <v>0</v>
      </c>
      <c r="C39" s="398">
        <v>0</v>
      </c>
      <c r="D39" s="398">
        <v>0</v>
      </c>
      <c r="E39" s="1598">
        <v>0</v>
      </c>
      <c r="F39" s="1503">
        <v>0</v>
      </c>
      <c r="G39" s="398">
        <v>0</v>
      </c>
      <c r="H39" s="398">
        <v>0</v>
      </c>
      <c r="I39" s="398">
        <v>0</v>
      </c>
      <c r="J39" s="398">
        <v>0</v>
      </c>
      <c r="K39" s="398">
        <v>0</v>
      </c>
      <c r="L39" s="398">
        <v>0</v>
      </c>
      <c r="M39" s="398">
        <v>0</v>
      </c>
      <c r="N39" s="398">
        <v>0</v>
      </c>
      <c r="O39" s="398">
        <v>0</v>
      </c>
      <c r="P39" s="398">
        <v>0</v>
      </c>
      <c r="Q39" s="398">
        <v>0</v>
      </c>
      <c r="R39" s="398"/>
      <c r="S39" s="398"/>
    </row>
    <row r="40" spans="1:19" ht="9.75" customHeight="1">
      <c r="A40" s="75"/>
      <c r="B40" s="88"/>
      <c r="C40" s="398"/>
      <c r="D40" s="398"/>
      <c r="E40" s="1598"/>
      <c r="F40" s="1503"/>
      <c r="G40" s="398"/>
      <c r="H40" s="398"/>
      <c r="I40" s="398"/>
      <c r="J40" s="398"/>
      <c r="K40" s="398"/>
      <c r="L40" s="398"/>
      <c r="M40" s="398"/>
      <c r="N40" s="398"/>
      <c r="O40" s="398"/>
      <c r="P40" s="398"/>
      <c r="Q40" s="398"/>
      <c r="R40" s="398"/>
      <c r="S40" s="398"/>
    </row>
    <row r="41" spans="1:19" ht="20.100000000000001" customHeight="1" thickBot="1">
      <c r="A41" s="268" t="s">
        <v>1282</v>
      </c>
      <c r="B41" s="1433">
        <f>+B33+B39</f>
        <v>3079620.0700000003</v>
      </c>
      <c r="C41" s="1434">
        <f t="shared" ref="C41:G41" si="23">+C33+C39</f>
        <v>75958.63</v>
      </c>
      <c r="D41" s="1434">
        <f t="shared" si="23"/>
        <v>1256846.05</v>
      </c>
      <c r="E41" s="1599">
        <f t="shared" si="23"/>
        <v>926738.95</v>
      </c>
      <c r="F41" s="1504">
        <f t="shared" ref="F41" si="24">+F33+F39</f>
        <v>820076.44000000018</v>
      </c>
      <c r="G41" s="1434">
        <f t="shared" si="23"/>
        <v>0</v>
      </c>
      <c r="H41" s="399">
        <f t="shared" ref="H41:I41" si="25">+H33+H39</f>
        <v>0</v>
      </c>
      <c r="I41" s="399">
        <f t="shared" si="25"/>
        <v>0</v>
      </c>
      <c r="J41" s="399">
        <f t="shared" ref="J41:O41" si="26">+J33+J39</f>
        <v>0</v>
      </c>
      <c r="K41" s="399">
        <f t="shared" si="26"/>
        <v>0</v>
      </c>
      <c r="L41" s="399">
        <f t="shared" si="26"/>
        <v>0</v>
      </c>
      <c r="M41" s="399">
        <f t="shared" si="26"/>
        <v>0</v>
      </c>
      <c r="N41" s="399">
        <f t="shared" si="26"/>
        <v>0</v>
      </c>
      <c r="O41" s="399">
        <f t="shared" si="26"/>
        <v>0</v>
      </c>
      <c r="P41" s="399">
        <f>+P33+P39</f>
        <v>0</v>
      </c>
      <c r="Q41" s="399">
        <f>+Q33+Q39</f>
        <v>0</v>
      </c>
      <c r="R41" s="399"/>
      <c r="S41" s="399"/>
    </row>
    <row r="42" spans="1:19">
      <c r="A42" s="1082" t="s">
        <v>298</v>
      </c>
      <c r="B42" s="10"/>
      <c r="C42" s="10"/>
      <c r="D42" s="10"/>
      <c r="E42" s="10"/>
      <c r="F42" s="10"/>
      <c r="G42" s="10"/>
      <c r="H42" s="1"/>
      <c r="I42" s="1"/>
    </row>
    <row r="43" spans="1:19">
      <c r="B43" s="36"/>
      <c r="C43" s="37"/>
      <c r="D43" s="37"/>
      <c r="E43" s="37"/>
      <c r="F43" s="1"/>
      <c r="G43" s="1"/>
      <c r="H43" s="1"/>
    </row>
    <row r="44" spans="1:19">
      <c r="B44" s="37"/>
      <c r="C44" s="10"/>
      <c r="D44" s="10"/>
      <c r="E44" s="50"/>
      <c r="F44" s="1"/>
      <c r="G44" s="1"/>
      <c r="H44" s="1"/>
    </row>
    <row r="45" spans="1:19">
      <c r="B45" s="10"/>
      <c r="C45" s="10"/>
      <c r="D45" s="10"/>
      <c r="E45" s="17"/>
      <c r="F45" s="1"/>
      <c r="G45" s="1"/>
      <c r="H45" s="1"/>
    </row>
    <row r="46" spans="1:19">
      <c r="B46" s="36"/>
      <c r="C46" s="37"/>
      <c r="D46" s="37"/>
      <c r="E46" s="38"/>
      <c r="F46" s="1"/>
      <c r="G46" s="1"/>
      <c r="H46" s="1"/>
    </row>
    <row r="47" spans="1:19">
      <c r="B47" s="10"/>
      <c r="C47" s="10"/>
      <c r="D47" s="10"/>
      <c r="E47" s="17"/>
      <c r="F47" s="1"/>
      <c r="G47" s="1"/>
      <c r="H47" s="1"/>
    </row>
    <row r="48" spans="1:19">
      <c r="B48" s="10"/>
      <c r="C48" s="10"/>
      <c r="D48" s="10"/>
      <c r="E48" s="17"/>
      <c r="F48" s="1"/>
      <c r="G48" s="1"/>
      <c r="H48" s="1"/>
    </row>
    <row r="49" spans="2:8">
      <c r="B49" s="36"/>
      <c r="C49" s="37"/>
      <c r="D49" s="37"/>
      <c r="E49" s="38"/>
      <c r="F49" s="1"/>
      <c r="G49" s="1"/>
      <c r="H49" s="1"/>
    </row>
    <row r="50" spans="2:8">
      <c r="B50" s="10"/>
      <c r="C50" s="10"/>
      <c r="D50" s="10"/>
      <c r="E50" s="9"/>
      <c r="F50" s="1"/>
      <c r="G50" s="1"/>
      <c r="H50" s="1"/>
    </row>
    <row r="51" spans="2:8">
      <c r="B51" s="10"/>
      <c r="C51" s="10"/>
      <c r="D51" s="10"/>
      <c r="E51" s="9"/>
      <c r="F51" s="1"/>
      <c r="G51" s="1"/>
      <c r="H51" s="1"/>
    </row>
    <row r="52" spans="2:8">
      <c r="B52" s="36"/>
      <c r="C52" s="37"/>
      <c r="D52" s="37"/>
      <c r="E52" s="40"/>
      <c r="F52" s="1"/>
      <c r="G52" s="1"/>
      <c r="H52" s="1"/>
    </row>
    <row r="53" spans="2:8">
      <c r="B53" s="10"/>
      <c r="C53" s="9"/>
      <c r="D53" s="9"/>
      <c r="E53" s="10"/>
      <c r="F53" s="1"/>
      <c r="G53" s="1"/>
      <c r="H53" s="1"/>
    </row>
    <row r="54" spans="2:8">
      <c r="B54" s="1"/>
      <c r="C54" s="1"/>
      <c r="D54" s="1"/>
      <c r="E54" s="1"/>
    </row>
    <row r="55" spans="2:8">
      <c r="B55" s="2"/>
      <c r="E55" s="2"/>
    </row>
  </sheetData>
  <customSheetViews>
    <customSheetView guid="{CEA23600-97CC-11D9-BFD0-00E07DEB8876}" showPageBreaks="1" showGridLines="0" zeroValues="0" printArea="1" showRuler="0" topLeftCell="A7">
      <selection activeCell="B20" sqref="B20"/>
      <pageMargins left="0.39370078740157483" right="0.19685039370078741" top="0.78740157480314965" bottom="0.39370078740157483" header="0.19685039370078741" footer="0.19685039370078741"/>
      <printOptions horizontalCentered="1"/>
      <pageSetup paperSize="9" scale="70" orientation="portrait" horizontalDpi="300" verticalDpi="300" r:id="rId1"/>
      <headerFooter alignWithMargins="0">
        <oddFooter>&amp;L&amp;"Arial,Cursiva"&amp;8&amp;F/&amp;A</oddFooter>
      </headerFooter>
    </customSheetView>
    <customSheetView guid="{96ADFEC0-F4F1-11D7-8BBA-444553540000}" showPageBreaks="1" showGridLines="0" zeroValues="0" printArea="1" showRuler="0">
      <selection activeCell="B14" sqref="B14"/>
      <pageMargins left="0.39370078740157483" right="0.19685039370078741" top="0.78740157480314965" bottom="0.39370078740157483" header="0.19685039370078741" footer="0.19685039370078741"/>
      <printOptions horizontalCentered="1"/>
      <pageSetup paperSize="9" scale="70" orientation="portrait" horizontalDpi="300" verticalDpi="300" r:id="rId2"/>
      <headerFooter alignWithMargins="0">
        <oddFooter>&amp;L&amp;"Arial,Cursiva"&amp;8&amp;F/&amp;A</oddFooter>
      </headerFooter>
    </customSheetView>
    <customSheetView guid="{5DD7C280-E9C1-11D7-A877-00E07DA7DA85}" showPageBreaks="1" fitToPage="1" hiddenColumns="1" showRuler="0" topLeftCell="A7">
      <selection activeCell="E23" sqref="E23"/>
      <pageMargins left="0.61" right="0.75" top="0.89" bottom="1" header="0.511811024" footer="0.511811024"/>
      <pageSetup paperSize="9" scale="97" orientation="portrait" horizontalDpi="300" verticalDpi="300" r:id="rId3"/>
      <headerFooter alignWithMargins="0"/>
    </customSheetView>
    <customSheetView guid="{45F329CA-E9E7-11D7-A877-00E07DA7DA85}" showPageBreaks="1" showGridLines="0" zeroValues="0" printArea="1" showRuler="0" topLeftCell="B30">
      <selection activeCell="E40" sqref="E40"/>
      <pageMargins left="0.39370078740157483" right="0.19685039370078741" top="0.78740157480314965" bottom="0.39370078740157483" header="0.19685039370078741" footer="0.19685039370078741"/>
      <printOptions horizontalCentered="1"/>
      <pageSetup paperSize="9" scale="70" orientation="portrait" horizontalDpi="300" verticalDpi="300" r:id="rId4"/>
      <headerFooter alignWithMargins="0">
        <oddFooter>&amp;L&amp;"Arial,Cursiva"&amp;8&amp;F/&amp;A</oddFooter>
      </headerFooter>
    </customSheetView>
    <customSheetView guid="{6E522E40-ADAC-11D9-BF96-E1679183EC62}" showGridLines="0" zeroValues="0" showRuler="0" topLeftCell="A7">
      <selection activeCell="B20" sqref="B20"/>
      <pageMargins left="0.39370078740157483" right="0.19685039370078741" top="0.78740157480314965" bottom="0.39370078740157483" header="0.19685039370078741" footer="0.19685039370078741"/>
      <printOptions horizontalCentered="1"/>
      <pageSetup paperSize="9" scale="70" orientation="portrait" horizontalDpi="300" verticalDpi="300" r:id="rId5"/>
      <headerFooter alignWithMargins="0">
        <oddFooter>&amp;L&amp;"Arial,Cursiva"&amp;8&amp;F/&amp;A</oddFooter>
      </headerFooter>
    </customSheetView>
    <customSheetView guid="{E2D6C99B-B71A-11D9-AA94-00E07DBAFB56}" showPageBreaks="1" showGridLines="0" zeroValues="0" printArea="1" showRuler="0" topLeftCell="A7">
      <selection activeCell="B20" sqref="B20"/>
      <pageMargins left="0.39370078740157483" right="0.19685039370078741" top="0.78740157480314965" bottom="0.39370078740157483" header="0.19685039370078741" footer="0.19685039370078741"/>
      <printOptions horizontalCentered="1"/>
      <pageSetup paperSize="9" scale="70" orientation="portrait" horizontalDpi="300" verticalDpi="300" r:id="rId6"/>
      <headerFooter alignWithMargins="0">
        <oddFooter>&amp;L&amp;"Arial,Cursiva"&amp;8&amp;F/&amp;A</oddFooter>
      </headerFooter>
    </customSheetView>
  </customSheetViews>
  <mergeCells count="2">
    <mergeCell ref="A8:A10"/>
    <mergeCell ref="A2:K2"/>
  </mergeCells>
  <phoneticPr fontId="0" type="noConversion"/>
  <printOptions horizontalCentered="1"/>
  <pageMargins left="0.19685039370078741" right="0.15748031496062992" top="0.6692913385826772" bottom="0.39370078740157483" header="0.19685039370078741" footer="0.19685039370078741"/>
  <pageSetup paperSize="9" scale="75" orientation="portrait" r:id="rId7"/>
  <headerFooter alignWithMargins="0">
    <oddFooter>&amp;L&amp;"Arial,Cursiva"&amp;8&amp;F/&amp;A&amp;R&amp;8&amp;P/&amp;N</oddFooter>
  </headerFooter>
  <drawing r:id="rId8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0">
    <pageSetUpPr fitToPage="1"/>
  </sheetPr>
  <dimension ref="A1:AG60"/>
  <sheetViews>
    <sheetView showZeros="0" view="pageBreakPreview" topLeftCell="A19" zoomScale="70" zoomScaleNormal="75" zoomScaleSheetLayoutView="70" workbookViewId="0">
      <selection activeCell="U56" sqref="U56"/>
    </sheetView>
  </sheetViews>
  <sheetFormatPr baseColWidth="10" defaultColWidth="11.42578125" defaultRowHeight="12.75"/>
  <cols>
    <col min="1" max="1" width="0.5703125" style="354" customWidth="1"/>
    <col min="2" max="2" width="16" style="355" customWidth="1"/>
    <col min="3" max="3" width="13.5703125" style="355" customWidth="1"/>
    <col min="4" max="4" width="12.140625" style="355" customWidth="1"/>
    <col min="5" max="5" width="12.5703125" style="355" customWidth="1"/>
    <col min="6" max="6" width="11.85546875" style="355" customWidth="1"/>
    <col min="7" max="8" width="11.7109375" style="355" hidden="1" customWidth="1"/>
    <col min="9" max="9" width="15.5703125" style="355" bestFit="1" customWidth="1"/>
    <col min="10" max="10" width="13" style="355" customWidth="1"/>
    <col min="11" max="11" width="14.85546875" style="355" customWidth="1"/>
    <col min="12" max="12" width="10.7109375" style="355" customWidth="1"/>
    <col min="13" max="13" width="13.28515625" style="355" customWidth="1"/>
    <col min="14" max="14" width="11.7109375" style="355" customWidth="1"/>
    <col min="15" max="16" width="11.5703125" style="355" customWidth="1"/>
    <col min="17" max="18" width="11.5703125" style="355" hidden="1" customWidth="1"/>
    <col min="19" max="19" width="14.5703125" style="355" customWidth="1"/>
    <col min="20" max="20" width="12.5703125" style="355" customWidth="1"/>
    <col min="21" max="21" width="14.42578125" style="355" customWidth="1"/>
    <col min="22" max="22" width="11.7109375" style="355" bestFit="1" customWidth="1"/>
    <col min="23" max="23" width="13" style="355" customWidth="1"/>
    <col min="24" max="24" width="12.5703125" style="355" customWidth="1"/>
    <col min="25" max="25" width="11.5703125" style="354" bestFit="1" customWidth="1"/>
    <col min="26" max="26" width="12.42578125" style="354" customWidth="1"/>
    <col min="27" max="27" width="12.7109375" style="354" bestFit="1" customWidth="1"/>
    <col min="28" max="28" width="12.7109375" style="354" customWidth="1"/>
    <col min="29" max="29" width="12.7109375" style="354" bestFit="1" customWidth="1"/>
    <col min="30" max="30" width="15" style="354" customWidth="1"/>
    <col min="31" max="31" width="15.5703125" style="354" customWidth="1"/>
    <col min="32" max="16384" width="11.42578125" style="354"/>
  </cols>
  <sheetData>
    <row r="1" spans="1:32" s="353" customFormat="1" ht="11.25">
      <c r="A1" s="351"/>
      <c r="B1" s="351"/>
      <c r="C1" s="1188">
        <f>+K!C1</f>
        <v>0</v>
      </c>
      <c r="D1" s="351"/>
      <c r="E1" s="351"/>
      <c r="F1" s="351"/>
      <c r="G1" s="352"/>
      <c r="H1" s="352"/>
      <c r="I1" s="352"/>
    </row>
    <row r="2" spans="1:32" s="353" customFormat="1" ht="58.5" customHeight="1">
      <c r="A2" s="351"/>
      <c r="B2" s="351"/>
      <c r="C2" s="1759" t="str">
        <f>+K!B2</f>
        <v>“RECONSTRUCCIÓN DE PISTAS Y VEREDAS EN LA AV. LAS TORRES TRAMO DESDE LA
  AV. CIRCUNVALACIÓN HASTA LA ALTURA DE LA QUINTA AV., L = 1.99 KM DISTRITO DE
LURIGANCHO CHOSICA, LIMA – LIMA”. Con código único de inversión (IRI): 2498581</v>
      </c>
      <c r="D2" s="1759"/>
      <c r="E2" s="1759"/>
      <c r="F2" s="1759"/>
      <c r="G2" s="1759"/>
      <c r="H2" s="1759"/>
      <c r="I2" s="1759"/>
      <c r="J2" s="1759"/>
      <c r="K2" s="1759"/>
      <c r="L2" s="1759"/>
      <c r="M2" s="1759"/>
      <c r="N2" s="1759"/>
      <c r="O2" s="1759"/>
      <c r="P2" s="1759"/>
      <c r="Q2" s="1759"/>
      <c r="R2" s="1759"/>
      <c r="S2" s="1759"/>
      <c r="T2" s="1759"/>
      <c r="U2" s="1759"/>
      <c r="V2" s="1759"/>
      <c r="W2" s="1182"/>
    </row>
    <row r="3" spans="1:32" s="353" customFormat="1">
      <c r="A3" s="351"/>
      <c r="B3" s="1461" t="str">
        <f>+K!B4</f>
        <v>CONTRATISTA : DITRANSERVA S.A.C.</v>
      </c>
      <c r="D3" s="351"/>
      <c r="E3" s="351"/>
      <c r="F3" s="351"/>
      <c r="G3" s="352"/>
      <c r="H3" s="352"/>
      <c r="I3" s="352"/>
    </row>
    <row r="4" spans="1:32" s="353" customFormat="1">
      <c r="A4" s="351"/>
      <c r="B4" s="1461" t="str">
        <f>+K!B5</f>
        <v>SUPERVISOR : CONSORCIO SUPERVISOR LAS TORRES</v>
      </c>
      <c r="D4" s="351"/>
      <c r="E4" s="351"/>
      <c r="F4" s="351"/>
      <c r="G4" s="352"/>
      <c r="H4" s="352"/>
      <c r="I4" s="352"/>
    </row>
    <row r="5" spans="1:32" ht="6" customHeight="1"/>
    <row r="6" spans="1:32" ht="16.5">
      <c r="B6" s="356" t="s">
        <v>328</v>
      </c>
      <c r="C6" s="356"/>
      <c r="D6" s="356"/>
      <c r="E6" s="356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  <c r="X6" s="356"/>
    </row>
    <row r="7" spans="1:32" ht="13.5" thickBot="1"/>
    <row r="8" spans="1:32" ht="13.5" thickTop="1">
      <c r="B8" s="1748" t="s">
        <v>615</v>
      </c>
      <c r="C8" s="357" t="s">
        <v>629</v>
      </c>
      <c r="D8" s="357"/>
      <c r="E8" s="357"/>
      <c r="F8" s="357"/>
      <c r="G8" s="357"/>
      <c r="H8" s="357"/>
      <c r="I8" s="357"/>
      <c r="J8" s="357"/>
      <c r="K8" s="357"/>
      <c r="L8" s="358"/>
      <c r="M8" s="359" t="s">
        <v>630</v>
      </c>
      <c r="N8" s="357"/>
      <c r="O8" s="357"/>
      <c r="P8" s="357"/>
      <c r="Q8" s="357"/>
      <c r="R8" s="357"/>
      <c r="S8" s="357"/>
      <c r="T8" s="357"/>
      <c r="U8" s="357"/>
      <c r="V8" s="358"/>
      <c r="W8" s="1751" t="s">
        <v>616</v>
      </c>
      <c r="X8" s="1752"/>
    </row>
    <row r="9" spans="1:32">
      <c r="B9" s="1749"/>
      <c r="C9" s="1753" t="s">
        <v>617</v>
      </c>
      <c r="D9" s="360" t="s">
        <v>330</v>
      </c>
      <c r="E9" s="360" t="s">
        <v>330</v>
      </c>
      <c r="F9" s="360" t="s">
        <v>326</v>
      </c>
      <c r="G9" s="360" t="s">
        <v>326</v>
      </c>
      <c r="H9" s="360" t="s">
        <v>326</v>
      </c>
      <c r="I9" s="1755" t="s">
        <v>408</v>
      </c>
      <c r="J9" s="1755" t="s">
        <v>618</v>
      </c>
      <c r="K9" s="1755" t="s">
        <v>394</v>
      </c>
      <c r="L9" s="1757" t="s">
        <v>619</v>
      </c>
      <c r="M9" s="1753" t="s">
        <v>617</v>
      </c>
      <c r="N9" s="360" t="s">
        <v>326</v>
      </c>
      <c r="O9" s="360" t="s">
        <v>326</v>
      </c>
      <c r="P9" s="360" t="s">
        <v>326</v>
      </c>
      <c r="Q9" s="360" t="s">
        <v>326</v>
      </c>
      <c r="R9" s="360" t="s">
        <v>326</v>
      </c>
      <c r="S9" s="1755" t="s">
        <v>408</v>
      </c>
      <c r="T9" s="1755" t="s">
        <v>618</v>
      </c>
      <c r="U9" s="1755" t="s">
        <v>394</v>
      </c>
      <c r="V9" s="1757" t="s">
        <v>620</v>
      </c>
      <c r="W9" s="361" t="s">
        <v>621</v>
      </c>
      <c r="X9" s="362" t="s">
        <v>625</v>
      </c>
    </row>
    <row r="10" spans="1:32" ht="13.5" thickBot="1">
      <c r="B10" s="1750"/>
      <c r="C10" s="1754"/>
      <c r="D10" s="363" t="s">
        <v>327</v>
      </c>
      <c r="E10" s="363" t="s">
        <v>329</v>
      </c>
      <c r="F10" s="363" t="s">
        <v>327</v>
      </c>
      <c r="G10" s="363" t="s">
        <v>329</v>
      </c>
      <c r="H10" s="363" t="s">
        <v>628</v>
      </c>
      <c r="I10" s="1756"/>
      <c r="J10" s="1756"/>
      <c r="K10" s="1756"/>
      <c r="L10" s="1758"/>
      <c r="M10" s="1754"/>
      <c r="N10" s="363" t="s">
        <v>327</v>
      </c>
      <c r="O10" s="363" t="s">
        <v>329</v>
      </c>
      <c r="P10" s="363" t="s">
        <v>628</v>
      </c>
      <c r="Q10" s="363" t="s">
        <v>15</v>
      </c>
      <c r="R10" s="363" t="s">
        <v>922</v>
      </c>
      <c r="S10" s="1756"/>
      <c r="T10" s="1756"/>
      <c r="U10" s="1756"/>
      <c r="V10" s="1758"/>
      <c r="W10" s="364" t="s">
        <v>626</v>
      </c>
      <c r="X10" s="365" t="s">
        <v>626</v>
      </c>
      <c r="AA10" s="366"/>
      <c r="AB10" s="367"/>
      <c r="AC10" s="367"/>
      <c r="AD10" s="367"/>
      <c r="AE10" s="367"/>
    </row>
    <row r="11" spans="1:32" ht="13.5" thickTop="1">
      <c r="A11" s="368">
        <v>35582</v>
      </c>
      <c r="B11" s="369"/>
      <c r="C11" s="370"/>
      <c r="D11" s="370"/>
      <c r="E11" s="370"/>
      <c r="F11" s="370"/>
      <c r="G11" s="370"/>
      <c r="H11" s="370"/>
      <c r="I11" s="1186" t="s">
        <v>1261</v>
      </c>
      <c r="J11" s="948"/>
      <c r="K11" s="370"/>
      <c r="L11" s="1184" t="s">
        <v>1279</v>
      </c>
      <c r="M11" s="371"/>
      <c r="N11" s="948"/>
      <c r="O11" s="370"/>
      <c r="P11" s="370"/>
      <c r="Q11" s="370"/>
      <c r="R11" s="370"/>
      <c r="S11" s="1187" t="s">
        <v>1262</v>
      </c>
      <c r="T11" s="370"/>
      <c r="U11" s="370"/>
      <c r="V11" s="1184" t="s">
        <v>1262</v>
      </c>
      <c r="W11" s="1228"/>
      <c r="X11" s="1229"/>
      <c r="Y11" s="372"/>
      <c r="Z11" s="366"/>
      <c r="AA11" s="366"/>
      <c r="AB11" s="367"/>
      <c r="AC11" s="367"/>
      <c r="AD11" s="367"/>
      <c r="AE11" s="367"/>
    </row>
    <row r="12" spans="1:32">
      <c r="A12" s="368">
        <v>35612</v>
      </c>
      <c r="B12" s="1463">
        <v>44470</v>
      </c>
      <c r="C12" s="589">
        <v>136826.52999999997</v>
      </c>
      <c r="D12" s="589"/>
      <c r="E12" s="589"/>
      <c r="F12" s="589"/>
      <c r="G12" s="373"/>
      <c r="H12" s="373"/>
      <c r="I12" s="373">
        <f t="shared" ref="I12:I17" si="0">SUM(C12:H12)</f>
        <v>136826.52999999997</v>
      </c>
      <c r="J12" s="1185">
        <f t="shared" ref="J12:J17" si="1">ROUND(I12/$I$19,5)</f>
        <v>1.4409999999999999E-2</v>
      </c>
      <c r="K12" s="374">
        <f t="shared" ref="K12:K17" si="2">SUM(K11+I12)</f>
        <v>136826.52999999997</v>
      </c>
      <c r="L12" s="1183">
        <f t="shared" ref="L12:L17" si="3">ROUND(K12/$I$19,5)</f>
        <v>1.4409999999999999E-2</v>
      </c>
      <c r="M12" s="390">
        <v>78066.42</v>
      </c>
      <c r="N12" s="949"/>
      <c r="O12" s="373"/>
      <c r="P12" s="373"/>
      <c r="Q12" s="373"/>
      <c r="R12" s="373"/>
      <c r="S12" s="373">
        <f t="shared" ref="S12:S17" si="4">SUM(M12:R12)</f>
        <v>78066.42</v>
      </c>
      <c r="T12" s="1185">
        <f t="shared" ref="T12:T17" si="5">ROUND(S12/I$19,5)</f>
        <v>8.2199999999999999E-3</v>
      </c>
      <c r="U12" s="374">
        <f t="shared" ref="U12" si="6">U11+S12</f>
        <v>78066.42</v>
      </c>
      <c r="V12" s="1183">
        <f>ROUND(U12/I$19,5)</f>
        <v>8.2199999999999999E-3</v>
      </c>
      <c r="W12" s="1227">
        <f>ROUND(IF(V12&gt;L12, (V12-L12), 0),4)</f>
        <v>0</v>
      </c>
      <c r="X12" s="1230">
        <f>ROUND(IF(V12&lt;L12, (V12-L12),0),4)</f>
        <v>-6.1999999999999998E-3</v>
      </c>
      <c r="Y12" s="372"/>
      <c r="Z12" s="375"/>
      <c r="AA12" s="366"/>
      <c r="AB12" s="367"/>
      <c r="AC12" s="367"/>
      <c r="AD12" s="367"/>
      <c r="AE12" s="367"/>
    </row>
    <row r="13" spans="1:32">
      <c r="A13" s="368">
        <v>35643</v>
      </c>
      <c r="B13" s="1463">
        <v>44501</v>
      </c>
      <c r="C13" s="589">
        <v>488048.51000000007</v>
      </c>
      <c r="D13" s="589"/>
      <c r="E13" s="589"/>
      <c r="F13" s="589"/>
      <c r="G13" s="373"/>
      <c r="H13" s="373"/>
      <c r="I13" s="373">
        <f t="shared" si="0"/>
        <v>488048.51000000007</v>
      </c>
      <c r="J13" s="1185">
        <f t="shared" si="1"/>
        <v>5.1409999999999997E-2</v>
      </c>
      <c r="K13" s="373">
        <f t="shared" si="2"/>
        <v>624875.04</v>
      </c>
      <c r="L13" s="1183">
        <f t="shared" si="3"/>
        <v>6.5820000000000004E-2</v>
      </c>
      <c r="M13" s="390">
        <v>1302063.97</v>
      </c>
      <c r="N13" s="949"/>
      <c r="O13" s="373"/>
      <c r="P13" s="373"/>
      <c r="Q13" s="373"/>
      <c r="R13" s="373"/>
      <c r="S13" s="373">
        <f t="shared" si="4"/>
        <v>1302063.97</v>
      </c>
      <c r="T13" s="1185">
        <f t="shared" si="5"/>
        <v>0.13716</v>
      </c>
      <c r="U13" s="374">
        <f>U12+S13</f>
        <v>1380130.39</v>
      </c>
      <c r="V13" s="1183">
        <f>ROUND(U13/I$19,5)</f>
        <v>0.14538000000000001</v>
      </c>
      <c r="W13" s="1227">
        <f t="shared" ref="W13:W17" si="7">ROUND(IF(V13&gt;L13, (V13-L13), 0),4)</f>
        <v>7.9600000000000004E-2</v>
      </c>
      <c r="X13" s="1230">
        <f>ROUND(IF(V13&lt;L13, (V13-L13),0),4)</f>
        <v>0</v>
      </c>
      <c r="Y13" s="372"/>
      <c r="Z13" s="375"/>
      <c r="AA13" s="366"/>
      <c r="AB13" s="367"/>
      <c r="AC13" s="367"/>
      <c r="AD13" s="367"/>
      <c r="AE13" s="367"/>
    </row>
    <row r="14" spans="1:32">
      <c r="A14" s="376" t="s">
        <v>627</v>
      </c>
      <c r="B14" s="1463">
        <v>44531</v>
      </c>
      <c r="C14" s="589">
        <v>5059330.01</v>
      </c>
      <c r="D14" s="589"/>
      <c r="E14" s="589"/>
      <c r="F14" s="589"/>
      <c r="G14" s="373"/>
      <c r="H14" s="373"/>
      <c r="I14" s="373">
        <f t="shared" si="0"/>
        <v>5059330.01</v>
      </c>
      <c r="J14" s="1185">
        <f t="shared" si="1"/>
        <v>0.53293999999999997</v>
      </c>
      <c r="K14" s="373">
        <f t="shared" si="2"/>
        <v>5684205.0499999998</v>
      </c>
      <c r="L14" s="1183">
        <f t="shared" si="3"/>
        <v>0.59875999999999996</v>
      </c>
      <c r="M14" s="390">
        <v>1388847.1600000001</v>
      </c>
      <c r="N14" s="949"/>
      <c r="O14" s="373"/>
      <c r="P14" s="373"/>
      <c r="Q14" s="373"/>
      <c r="R14" s="373"/>
      <c r="S14" s="373">
        <f t="shared" si="4"/>
        <v>1388847.1600000001</v>
      </c>
      <c r="T14" s="1185">
        <f t="shared" si="5"/>
        <v>0.14630000000000001</v>
      </c>
      <c r="U14" s="374">
        <f>U13+S14</f>
        <v>2768977.55</v>
      </c>
      <c r="V14" s="1183">
        <f>ROUND(U14/I$19,5)</f>
        <v>0.29167999999999999</v>
      </c>
      <c r="W14" s="1227">
        <f t="shared" ref="W14:W15" si="8">ROUND(IF(V14&gt;L14, (V14-L14), 0),4)</f>
        <v>0</v>
      </c>
      <c r="X14" s="1230">
        <f t="shared" ref="X14:X15" si="9">ROUND(IF(V14&lt;L14, (V14-L14),0),4)</f>
        <v>-0.30709999999999998</v>
      </c>
      <c r="Y14" s="372"/>
      <c r="Z14" s="375">
        <f>+K14-U14</f>
        <v>2915227.5</v>
      </c>
      <c r="AA14" s="366"/>
      <c r="AB14" s="367"/>
      <c r="AC14" s="367"/>
      <c r="AD14" s="367"/>
      <c r="AE14" s="367"/>
    </row>
    <row r="15" spans="1:32">
      <c r="A15" s="376"/>
      <c r="B15" s="1463"/>
      <c r="C15" s="589"/>
      <c r="D15" s="589"/>
      <c r="E15" s="589"/>
      <c r="F15" s="589"/>
      <c r="G15" s="373"/>
      <c r="H15" s="373"/>
      <c r="I15" s="373">
        <f t="shared" ref="I15" si="10">SUM(C15:H15)</f>
        <v>0</v>
      </c>
      <c r="J15" s="1185">
        <f t="shared" si="1"/>
        <v>0</v>
      </c>
      <c r="K15" s="373">
        <f t="shared" ref="K15" si="11">SUM(K14+I15)</f>
        <v>5684205.0499999998</v>
      </c>
      <c r="L15" s="1183">
        <f t="shared" si="3"/>
        <v>0.59875999999999996</v>
      </c>
      <c r="M15" s="390">
        <f>+valoriz!J248</f>
        <v>1430309.29</v>
      </c>
      <c r="N15" s="949"/>
      <c r="O15" s="373"/>
      <c r="P15" s="373"/>
      <c r="Q15" s="373"/>
      <c r="R15" s="373"/>
      <c r="S15" s="373">
        <f t="shared" ref="S15" si="12">SUM(M15:R15)</f>
        <v>1430309.29</v>
      </c>
      <c r="T15" s="1185">
        <f t="shared" si="5"/>
        <v>0.15065999999999999</v>
      </c>
      <c r="U15" s="374">
        <f>U14+S15</f>
        <v>4199286.84</v>
      </c>
      <c r="V15" s="1183">
        <f>ROUND(U15/I$19,5)</f>
        <v>0.44234000000000001</v>
      </c>
      <c r="W15" s="1227">
        <f t="shared" si="8"/>
        <v>0</v>
      </c>
      <c r="X15" s="1230">
        <f t="shared" si="9"/>
        <v>-0.15640000000000001</v>
      </c>
      <c r="Y15" s="372"/>
      <c r="Z15" s="375"/>
      <c r="AA15" s="366"/>
      <c r="AB15" s="367"/>
      <c r="AC15" s="367"/>
      <c r="AD15" s="367"/>
      <c r="AE15" s="367"/>
    </row>
    <row r="16" spans="1:32">
      <c r="A16" s="368">
        <v>35704</v>
      </c>
      <c r="B16" s="1463">
        <v>44562</v>
      </c>
      <c r="C16" s="589">
        <v>3526245.23</v>
      </c>
      <c r="D16" s="589"/>
      <c r="E16" s="589"/>
      <c r="F16" s="373"/>
      <c r="G16" s="373"/>
      <c r="H16" s="373"/>
      <c r="I16" s="373">
        <f t="shared" si="0"/>
        <v>3526245.23</v>
      </c>
      <c r="J16" s="1185">
        <f t="shared" si="1"/>
        <v>0.37143999999999999</v>
      </c>
      <c r="K16" s="373">
        <f>SUM(K15+I16)</f>
        <v>9210450.2799999993</v>
      </c>
      <c r="L16" s="1183">
        <f t="shared" si="3"/>
        <v>0.97019999999999995</v>
      </c>
      <c r="M16" s="390"/>
      <c r="N16" s="373"/>
      <c r="O16" s="373"/>
      <c r="P16" s="373"/>
      <c r="Q16" s="373"/>
      <c r="R16" s="373"/>
      <c r="S16" s="373">
        <f t="shared" si="4"/>
        <v>0</v>
      </c>
      <c r="T16" s="1185">
        <f t="shared" si="5"/>
        <v>0</v>
      </c>
      <c r="U16" s="374"/>
      <c r="V16" s="1183"/>
      <c r="W16" s="1227">
        <f t="shared" si="7"/>
        <v>0</v>
      </c>
      <c r="X16" s="1230">
        <f>ROUND(IF(V16&lt;L16, (V16-L16),0),4)*0</f>
        <v>0</v>
      </c>
      <c r="Y16" s="372"/>
      <c r="Z16" s="375"/>
      <c r="AA16" s="366"/>
      <c r="AB16" s="367"/>
      <c r="AC16" s="367"/>
      <c r="AD16" s="367"/>
      <c r="AE16" s="367"/>
      <c r="AF16" s="372"/>
    </row>
    <row r="17" spans="1:33">
      <c r="A17" s="368">
        <v>35735</v>
      </c>
      <c r="B17" s="1463">
        <v>44593</v>
      </c>
      <c r="C17" s="589">
        <v>282869.96999999997</v>
      </c>
      <c r="D17" s="589"/>
      <c r="E17" s="589"/>
      <c r="F17" s="373"/>
      <c r="G17" s="373"/>
      <c r="H17" s="373"/>
      <c r="I17" s="373">
        <f t="shared" si="0"/>
        <v>282869.96999999997</v>
      </c>
      <c r="J17" s="1185">
        <f t="shared" si="1"/>
        <v>2.98E-2</v>
      </c>
      <c r="K17" s="373">
        <f t="shared" si="2"/>
        <v>9493320.25</v>
      </c>
      <c r="L17" s="1183">
        <f t="shared" si="3"/>
        <v>1</v>
      </c>
      <c r="M17" s="390"/>
      <c r="N17" s="373"/>
      <c r="O17" s="373"/>
      <c r="P17" s="373"/>
      <c r="Q17" s="373"/>
      <c r="R17" s="373"/>
      <c r="S17" s="373">
        <f t="shared" si="4"/>
        <v>0</v>
      </c>
      <c r="T17" s="1185">
        <f t="shared" si="5"/>
        <v>0</v>
      </c>
      <c r="U17" s="374"/>
      <c r="V17" s="1183"/>
      <c r="W17" s="1227">
        <f t="shared" si="7"/>
        <v>0</v>
      </c>
      <c r="X17" s="1230">
        <f>ROUND(IF(V17&lt;L17, (V17-L17),0),4)*0</f>
        <v>0</v>
      </c>
      <c r="Y17" s="1609"/>
      <c r="Z17" s="377"/>
      <c r="AA17" s="366"/>
      <c r="AB17" s="367"/>
      <c r="AC17" s="367"/>
      <c r="AD17" s="367"/>
      <c r="AE17" s="367"/>
      <c r="AF17" s="372"/>
      <c r="AG17" s="372"/>
    </row>
    <row r="18" spans="1:33" ht="13.5" thickBot="1">
      <c r="A18" s="368">
        <v>36281</v>
      </c>
      <c r="B18" s="378"/>
      <c r="C18" s="379"/>
      <c r="D18" s="379"/>
      <c r="E18" s="379"/>
      <c r="F18" s="379"/>
      <c r="G18" s="379"/>
      <c r="H18" s="379"/>
      <c r="I18" s="379"/>
      <c r="J18" s="379"/>
      <c r="K18" s="379"/>
      <c r="L18" s="380"/>
      <c r="M18" s="381"/>
      <c r="N18" s="950"/>
      <c r="O18" s="379"/>
      <c r="P18" s="379"/>
      <c r="Q18" s="379"/>
      <c r="R18" s="379"/>
      <c r="S18" s="379"/>
      <c r="T18" s="379"/>
      <c r="U18" s="379"/>
      <c r="V18" s="382"/>
      <c r="W18" s="1231"/>
      <c r="X18" s="1232"/>
      <c r="Y18" s="372"/>
      <c r="Z18" s="375"/>
      <c r="AA18" s="366"/>
      <c r="AB18" s="367"/>
      <c r="AC18" s="367"/>
      <c r="AD18" s="367"/>
      <c r="AE18" s="367"/>
    </row>
    <row r="19" spans="1:33" ht="14.25" thickTop="1" thickBot="1">
      <c r="B19" s="383"/>
      <c r="C19" s="384">
        <f t="shared" ref="C19:I19" si="13">SUM(C11:C18)</f>
        <v>9493320.25</v>
      </c>
      <c r="D19" s="384">
        <f t="shared" si="13"/>
        <v>0</v>
      </c>
      <c r="E19" s="384">
        <f t="shared" si="13"/>
        <v>0</v>
      </c>
      <c r="F19" s="384">
        <f t="shared" si="13"/>
        <v>0</v>
      </c>
      <c r="G19" s="384">
        <f t="shared" si="13"/>
        <v>0</v>
      </c>
      <c r="H19" s="384">
        <f t="shared" si="13"/>
        <v>0</v>
      </c>
      <c r="I19" s="384">
        <f t="shared" si="13"/>
        <v>9493320.25</v>
      </c>
      <c r="J19" s="384"/>
      <c r="K19" s="384"/>
      <c r="L19" s="385"/>
      <c r="M19" s="386">
        <f t="shared" ref="M19:S19" si="14">SUM(M11:M18)</f>
        <v>4199286.84</v>
      </c>
      <c r="N19" s="384">
        <f t="shared" si="14"/>
        <v>0</v>
      </c>
      <c r="O19" s="384">
        <f t="shared" si="14"/>
        <v>0</v>
      </c>
      <c r="P19" s="384">
        <f t="shared" si="14"/>
        <v>0</v>
      </c>
      <c r="Q19" s="384">
        <f t="shared" si="14"/>
        <v>0</v>
      </c>
      <c r="R19" s="384">
        <f t="shared" si="14"/>
        <v>0</v>
      </c>
      <c r="S19" s="384">
        <f t="shared" si="14"/>
        <v>4199286.84</v>
      </c>
      <c r="T19" s="384"/>
      <c r="U19" s="384"/>
      <c r="V19" s="385"/>
      <c r="W19" s="387"/>
      <c r="X19" s="385"/>
      <c r="Y19" s="372"/>
      <c r="Z19" s="372"/>
      <c r="AA19" s="372"/>
      <c r="AB19" s="372"/>
      <c r="AC19" s="372"/>
      <c r="AD19" s="372"/>
      <c r="AE19" s="372"/>
    </row>
    <row r="20" spans="1:33" ht="13.5" thickTop="1">
      <c r="B20" s="1142"/>
      <c r="O20" s="366"/>
      <c r="P20" s="366"/>
      <c r="Q20" s="366"/>
      <c r="R20" s="366"/>
      <c r="S20" s="366"/>
      <c r="T20" s="366"/>
      <c r="Y20" s="372"/>
      <c r="Z20" s="372"/>
    </row>
    <row r="21" spans="1:33" ht="5.25" customHeight="1">
      <c r="B21" s="388"/>
      <c r="O21" s="366"/>
      <c r="P21" s="366"/>
      <c r="Q21" s="366"/>
      <c r="R21" s="366"/>
      <c r="S21" s="366"/>
      <c r="T21" s="366"/>
      <c r="Y21" s="372"/>
      <c r="Z21" s="372"/>
    </row>
    <row r="22" spans="1:33">
      <c r="Y22" s="372"/>
      <c r="Z22" s="372"/>
    </row>
    <row r="23" spans="1:33">
      <c r="Y23" s="372"/>
      <c r="Z23" s="372"/>
    </row>
    <row r="52" spans="2:3">
      <c r="B52" s="389"/>
    </row>
    <row r="55" spans="2:3">
      <c r="C55" s="1462" t="s">
        <v>1718</v>
      </c>
    </row>
    <row r="56" spans="2:3">
      <c r="C56" s="1462" t="s">
        <v>1719</v>
      </c>
    </row>
    <row r="57" spans="2:3">
      <c r="C57" s="1462" t="s">
        <v>1727</v>
      </c>
    </row>
    <row r="58" spans="2:3">
      <c r="C58" s="1462" t="s">
        <v>1726</v>
      </c>
    </row>
    <row r="59" spans="2:3">
      <c r="C59" s="1462" t="s">
        <v>1720</v>
      </c>
    </row>
    <row r="60" spans="2:3">
      <c r="C60" s="1462" t="s">
        <v>1721</v>
      </c>
    </row>
  </sheetData>
  <mergeCells count="13">
    <mergeCell ref="C2:V2"/>
    <mergeCell ref="S9:S10"/>
    <mergeCell ref="T9:T10"/>
    <mergeCell ref="U9:U10"/>
    <mergeCell ref="V9:V10"/>
    <mergeCell ref="B8:B10"/>
    <mergeCell ref="W8:X8"/>
    <mergeCell ref="C9:C10"/>
    <mergeCell ref="I9:I10"/>
    <mergeCell ref="J9:J10"/>
    <mergeCell ref="K9:K10"/>
    <mergeCell ref="L9:L10"/>
    <mergeCell ref="M9:M10"/>
  </mergeCells>
  <phoneticPr fontId="92" type="noConversion"/>
  <printOptions horizontalCentered="1"/>
  <pageMargins left="0.59055118110236227" right="0.39370078740157483" top="0.59055118110236227" bottom="0.39370078740157483" header="0" footer="0"/>
  <pageSetup paperSize="8" scale="52" orientation="landscape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13">
    <pageSetUpPr fitToPage="1"/>
  </sheetPr>
  <dimension ref="B1:Q30"/>
  <sheetViews>
    <sheetView showGridLines="0" view="pageBreakPreview" topLeftCell="A7" zoomScale="75" zoomScaleNormal="75" zoomScaleSheetLayoutView="75" workbookViewId="0">
      <selection activeCell="D36" sqref="D36"/>
    </sheetView>
  </sheetViews>
  <sheetFormatPr baseColWidth="10" defaultColWidth="11.42578125" defaultRowHeight="12.75"/>
  <cols>
    <col min="1" max="1" width="2.28515625" style="577" customWidth="1"/>
    <col min="2" max="2" width="15.7109375" style="577" customWidth="1"/>
    <col min="3" max="3" width="24.28515625" style="577" customWidth="1"/>
    <col min="4" max="4" width="21" style="577" customWidth="1"/>
    <col min="5" max="5" width="26.85546875" style="577" customWidth="1"/>
    <col min="6" max="6" width="14.7109375" style="577" customWidth="1"/>
    <col min="7" max="7" width="11" style="577" bestFit="1" customWidth="1"/>
    <col min="8" max="8" width="11.7109375" style="577" customWidth="1"/>
    <col min="9" max="9" width="11.140625" style="577" customWidth="1"/>
    <col min="10" max="10" width="11.42578125" style="577" customWidth="1"/>
    <col min="11" max="11" width="11.42578125" style="577"/>
    <col min="12" max="12" width="13.140625" style="577" customWidth="1"/>
    <col min="13" max="13" width="14" style="577" customWidth="1"/>
    <col min="14" max="14" width="13.28515625" style="577" bestFit="1" customWidth="1"/>
    <col min="15" max="15" width="14.5703125" style="577" customWidth="1"/>
    <col min="16" max="16384" width="11.42578125" style="577"/>
  </cols>
  <sheetData>
    <row r="1" spans="2:17">
      <c r="B1" s="61"/>
      <c r="C1" s="61"/>
      <c r="D1" s="588"/>
    </row>
    <row r="2" spans="2:17" ht="54" customHeight="1">
      <c r="B2" s="61"/>
      <c r="C2" s="1622" t="str">
        <f>+K!$B$2</f>
        <v>“RECONSTRUCCIÓN DE PISTAS Y VEREDAS EN LA AV. LAS TORRES TRAMO DESDE LA
  AV. CIRCUNVALACIÓN HASTA LA ALTURA DE LA QUINTA AV., L = 1.99 KM DISTRITO DE
LURIGANCHO CHOSICA, LIMA – LIMA”. Con código único de inversión (IRI): 2498581</v>
      </c>
      <c r="D2" s="1622"/>
      <c r="E2" s="1622"/>
      <c r="F2" s="1622"/>
      <c r="G2" s="1622"/>
      <c r="H2" s="1622"/>
    </row>
    <row r="3" spans="2:17">
      <c r="B3" s="1329" t="str">
        <f>+K!$B$4</f>
        <v>CONTRATISTA : DITRANSERVA S.A.C.</v>
      </c>
      <c r="D3" s="1189"/>
      <c r="E3" s="1189"/>
      <c r="F3" s="1189"/>
      <c r="G3" s="1189"/>
      <c r="H3" s="1189"/>
    </row>
    <row r="4" spans="2:17">
      <c r="B4" s="1329" t="str">
        <f>+K!$B$5</f>
        <v>SUPERVISOR : CONSORCIO SUPERVISOR LAS TORRES</v>
      </c>
    </row>
    <row r="5" spans="2:17">
      <c r="B5" s="1329"/>
    </row>
    <row r="6" spans="2:17">
      <c r="B6" s="587"/>
      <c r="C6" s="586"/>
    </row>
    <row r="7" spans="2:17" s="578" customFormat="1" ht="18">
      <c r="B7" s="1766" t="s">
        <v>134</v>
      </c>
      <c r="C7" s="1766"/>
      <c r="D7" s="1766"/>
      <c r="E7" s="1766"/>
      <c r="F7" s="1766"/>
      <c r="G7" s="1766"/>
      <c r="H7" s="1766"/>
      <c r="I7" s="1766"/>
      <c r="J7" s="1766"/>
    </row>
    <row r="8" spans="2:17" s="578" customFormat="1" ht="18">
      <c r="B8" s="1448"/>
      <c r="C8" s="1448"/>
      <c r="D8" s="1448"/>
      <c r="E8" s="1448"/>
      <c r="F8" s="1448"/>
      <c r="G8" s="1448"/>
      <c r="H8" s="1448"/>
      <c r="I8" s="1448"/>
      <c r="J8" s="1448"/>
    </row>
    <row r="9" spans="2:17" s="578" customFormat="1"/>
    <row r="10" spans="2:17" s="578" customFormat="1" ht="19.5" customHeight="1">
      <c r="B10" s="1760" t="s">
        <v>406</v>
      </c>
      <c r="C10" s="1761"/>
      <c r="D10" s="1760" t="s">
        <v>429</v>
      </c>
      <c r="E10" s="1760" t="s">
        <v>426</v>
      </c>
      <c r="F10" s="585" t="s">
        <v>427</v>
      </c>
      <c r="G10" s="584"/>
      <c r="H10" s="583"/>
      <c r="I10" s="1764" t="s">
        <v>428</v>
      </c>
      <c r="J10" s="1765"/>
    </row>
    <row r="11" spans="2:17" s="578" customFormat="1" ht="30.75" customHeight="1">
      <c r="B11" s="1762"/>
      <c r="C11" s="1763"/>
      <c r="D11" s="1762"/>
      <c r="E11" s="1762"/>
      <c r="F11" s="581" t="s">
        <v>132</v>
      </c>
      <c r="G11" s="582" t="s">
        <v>133</v>
      </c>
      <c r="H11" s="582" t="s">
        <v>131</v>
      </c>
      <c r="I11" s="581" t="s">
        <v>132</v>
      </c>
      <c r="J11" s="1220" t="s">
        <v>131</v>
      </c>
      <c r="K11" s="577"/>
      <c r="L11" s="577"/>
      <c r="M11" s="577"/>
      <c r="N11" s="577"/>
      <c r="O11" s="577"/>
    </row>
    <row r="12" spans="2:17" s="578" customFormat="1">
      <c r="B12" s="1445"/>
      <c r="C12" s="1446"/>
      <c r="D12" s="1435"/>
      <c r="E12" s="1435"/>
      <c r="F12" s="1436"/>
      <c r="G12" s="1435"/>
      <c r="H12" s="1435"/>
      <c r="I12" s="1435"/>
      <c r="J12" s="1437"/>
      <c r="K12" s="577"/>
      <c r="L12" s="577"/>
      <c r="M12" s="1139"/>
      <c r="N12" s="1139"/>
      <c r="O12" s="1089"/>
      <c r="P12" s="577"/>
    </row>
    <row r="13" spans="2:17" s="578" customFormat="1" ht="15">
      <c r="B13" s="1450" t="s">
        <v>130</v>
      </c>
      <c r="C13" s="1451"/>
      <c r="D13" s="1438"/>
      <c r="E13" s="1438"/>
      <c r="F13" s="1439"/>
      <c r="G13" s="1438"/>
      <c r="H13" s="1438"/>
      <c r="I13" s="1438"/>
      <c r="J13" s="1440"/>
      <c r="K13" s="577"/>
      <c r="L13" s="1089"/>
      <c r="M13" s="1139"/>
      <c r="N13" s="1140"/>
      <c r="O13" s="1089"/>
      <c r="P13" s="1090"/>
      <c r="Q13" s="1088"/>
    </row>
    <row r="14" spans="2:17" s="578" customFormat="1">
      <c r="B14" s="1452" t="s">
        <v>1715</v>
      </c>
      <c r="C14" s="1451"/>
      <c r="D14" s="1453" t="s">
        <v>1327</v>
      </c>
      <c r="E14" s="1454" t="s">
        <v>129</v>
      </c>
      <c r="F14" s="1485">
        <v>1120211.79</v>
      </c>
      <c r="G14" s="1455">
        <v>44461</v>
      </c>
      <c r="H14" s="1455">
        <v>44581</v>
      </c>
      <c r="I14" s="1441"/>
      <c r="J14" s="1440"/>
      <c r="K14" s="577"/>
      <c r="L14" s="1091"/>
      <c r="M14" s="1139"/>
      <c r="N14" s="1141"/>
      <c r="O14" s="1090"/>
      <c r="P14" s="1090"/>
    </row>
    <row r="15" spans="2:17" s="578" customFormat="1">
      <c r="B15" s="1452" t="s">
        <v>1716</v>
      </c>
      <c r="C15" s="1451"/>
      <c r="D15" s="1453" t="s">
        <v>1327</v>
      </c>
      <c r="E15" s="1454" t="s">
        <v>225</v>
      </c>
      <c r="F15" s="1485">
        <v>1120211.79</v>
      </c>
      <c r="G15" s="1455">
        <v>44463</v>
      </c>
      <c r="H15" s="1455">
        <v>44582</v>
      </c>
      <c r="I15" s="1441"/>
      <c r="J15" s="1440"/>
    </row>
    <row r="16" spans="2:17" s="578" customFormat="1">
      <c r="B16" s="1452" t="s">
        <v>1753</v>
      </c>
      <c r="C16" s="1451"/>
      <c r="D16" s="1453" t="s">
        <v>1327</v>
      </c>
      <c r="E16" s="1454" t="s">
        <v>1326</v>
      </c>
      <c r="F16" s="1485">
        <v>2240423.58</v>
      </c>
      <c r="G16" s="1455">
        <v>44484</v>
      </c>
      <c r="H16" s="1455">
        <v>44603</v>
      </c>
      <c r="I16" s="1441"/>
      <c r="J16" s="1440"/>
    </row>
    <row r="17" spans="2:12" s="578" customFormat="1">
      <c r="B17" s="1452"/>
      <c r="C17" s="1451"/>
      <c r="D17" s="1453"/>
      <c r="E17" s="1454"/>
      <c r="F17" s="1485"/>
      <c r="G17" s="1455"/>
      <c r="H17" s="1455"/>
      <c r="I17" s="1441"/>
      <c r="J17" s="1440"/>
    </row>
    <row r="18" spans="2:12" s="578" customFormat="1" ht="16.5">
      <c r="B18" s="1456" t="s">
        <v>1717</v>
      </c>
      <c r="C18" s="1451"/>
      <c r="D18" s="1457"/>
      <c r="E18" s="1458"/>
      <c r="F18" s="1486"/>
      <c r="G18" s="1453"/>
      <c r="H18" s="1453"/>
      <c r="I18" s="1442"/>
      <c r="J18" s="1440"/>
    </row>
    <row r="19" spans="2:12" s="578" customFormat="1">
      <c r="B19" s="1452" t="s">
        <v>1714</v>
      </c>
      <c r="C19" s="1451"/>
      <c r="D19" s="1460" t="s">
        <v>1723</v>
      </c>
      <c r="E19" s="1454" t="s">
        <v>1724</v>
      </c>
      <c r="F19" s="1485">
        <v>11202117.9</v>
      </c>
      <c r="G19" s="1455">
        <v>44484</v>
      </c>
      <c r="H19" s="1455">
        <v>44604</v>
      </c>
      <c r="I19" s="1439"/>
      <c r="J19" s="1443"/>
    </row>
    <row r="20" spans="2:12" s="578" customFormat="1">
      <c r="B20" s="1452" t="s">
        <v>1722</v>
      </c>
      <c r="C20" s="1451"/>
      <c r="D20" s="1460" t="s">
        <v>1723</v>
      </c>
      <c r="E20" s="1458" t="s">
        <v>324</v>
      </c>
      <c r="F20" s="1459"/>
      <c r="G20" s="1455">
        <v>44531</v>
      </c>
      <c r="H20" s="1455">
        <v>44561</v>
      </c>
      <c r="I20" s="1439"/>
      <c r="J20" s="1443"/>
      <c r="L20" s="1138"/>
    </row>
    <row r="21" spans="2:12" s="578" customFormat="1">
      <c r="B21" s="1452" t="s">
        <v>1754</v>
      </c>
      <c r="C21" s="1451"/>
      <c r="D21" s="1460" t="s">
        <v>1723</v>
      </c>
      <c r="E21" s="1458" t="s">
        <v>325</v>
      </c>
      <c r="F21" s="1459"/>
      <c r="G21" s="1455">
        <v>44531</v>
      </c>
      <c r="H21" s="1455">
        <v>44561</v>
      </c>
      <c r="I21" s="1439"/>
      <c r="J21" s="1443"/>
      <c r="L21" s="1138"/>
    </row>
    <row r="22" spans="2:12" s="578" customFormat="1">
      <c r="B22" s="1452" t="s">
        <v>1755</v>
      </c>
      <c r="C22" s="1451"/>
      <c r="D22" s="1460" t="s">
        <v>1723</v>
      </c>
      <c r="E22" s="1458" t="s">
        <v>324</v>
      </c>
      <c r="F22" s="1459"/>
      <c r="G22" s="1455">
        <v>44531</v>
      </c>
      <c r="H22" s="1455">
        <v>44561</v>
      </c>
      <c r="I22" s="1439"/>
      <c r="J22" s="1443"/>
      <c r="L22" s="1138"/>
    </row>
    <row r="23" spans="2:12" s="578" customFormat="1">
      <c r="B23" s="1452" t="s">
        <v>1756</v>
      </c>
      <c r="C23" s="1451"/>
      <c r="D23" s="1460" t="s">
        <v>1723</v>
      </c>
      <c r="E23" s="1458" t="s">
        <v>325</v>
      </c>
      <c r="F23" s="1459"/>
      <c r="G23" s="1455">
        <v>44531</v>
      </c>
      <c r="H23" s="1455">
        <v>44561</v>
      </c>
      <c r="I23" s="1439"/>
      <c r="J23" s="1443"/>
      <c r="L23" s="1138"/>
    </row>
    <row r="24" spans="2:12" s="578" customFormat="1">
      <c r="B24" s="1221"/>
      <c r="C24" s="1447"/>
      <c r="D24" s="1444"/>
      <c r="E24" s="1444"/>
      <c r="F24" s="1444"/>
      <c r="G24" s="1444"/>
      <c r="H24" s="1444"/>
      <c r="I24" s="1444"/>
      <c r="J24" s="1444"/>
    </row>
    <row r="25" spans="2:12" s="578" customFormat="1"/>
    <row r="26" spans="2:12" s="578" customFormat="1"/>
    <row r="27" spans="2:12" s="578" customFormat="1">
      <c r="B27" s="580"/>
    </row>
    <row r="28" spans="2:12">
      <c r="B28" s="579"/>
    </row>
    <row r="29" spans="2:12">
      <c r="B29" s="579"/>
    </row>
    <row r="30" spans="2:12">
      <c r="B30" s="578"/>
    </row>
  </sheetData>
  <mergeCells count="6">
    <mergeCell ref="B10:C11"/>
    <mergeCell ref="D10:D11"/>
    <mergeCell ref="E10:E11"/>
    <mergeCell ref="I10:J10"/>
    <mergeCell ref="C2:H2"/>
    <mergeCell ref="B7:J7"/>
  </mergeCells>
  <phoneticPr fontId="92" type="noConversion"/>
  <printOptions horizontalCentered="1"/>
  <pageMargins left="0.59055118110236227" right="0.39370078740157483" top="0.59055118110236227" bottom="0.39370078740157483" header="0" footer="0"/>
  <pageSetup paperSize="9" scale="92" orientation="landscape" r:id="rId1"/>
  <headerFooter alignWithMargins="0">
    <oddFooter>&amp;L&amp;8&amp;F : &amp;A</oddFooter>
  </headerFooter>
  <rowBreaks count="1" manualBreakCount="1">
    <brk id="26" max="9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B6:K71"/>
  <sheetViews>
    <sheetView showGridLines="0" view="pageBreakPreview" topLeftCell="A19" zoomScaleNormal="100" zoomScaleSheetLayoutView="100" workbookViewId="0">
      <selection activeCell="I48" sqref="I48"/>
    </sheetView>
  </sheetViews>
  <sheetFormatPr baseColWidth="10" defaultColWidth="11.42578125" defaultRowHeight="12.75"/>
  <cols>
    <col min="1" max="1" width="2.140625" style="173" customWidth="1"/>
    <col min="2" max="2" width="15.140625" style="173" customWidth="1"/>
    <col min="3" max="3" width="8.5703125" style="173" customWidth="1"/>
    <col min="4" max="4" width="32.85546875" style="173" customWidth="1"/>
    <col min="5" max="5" width="24.7109375" style="173" customWidth="1"/>
    <col min="6" max="6" width="16.140625" style="173" customWidth="1"/>
    <col min="7" max="7" width="2.140625" style="173" customWidth="1"/>
    <col min="8" max="8" width="16.140625" style="173" customWidth="1"/>
    <col min="9" max="9" width="16.5703125" style="173" bestFit="1" customWidth="1"/>
    <col min="10" max="10" width="12.85546875" style="173" bestFit="1" customWidth="1"/>
    <col min="11" max="11" width="15.140625" style="173" bestFit="1" customWidth="1"/>
    <col min="12" max="12" width="15.28515625" style="173" bestFit="1" customWidth="1"/>
    <col min="13" max="16384" width="11.42578125" style="173"/>
  </cols>
  <sheetData>
    <row r="6" spans="2:11" ht="18">
      <c r="B6" s="1614" t="s">
        <v>410</v>
      </c>
      <c r="C6" s="1614"/>
      <c r="D6" s="1614"/>
      <c r="E6" s="1614"/>
      <c r="F6" s="1614"/>
      <c r="G6" s="296"/>
    </row>
    <row r="7" spans="2:11" ht="16.5">
      <c r="B7" s="1615" t="s">
        <v>1762</v>
      </c>
      <c r="C7" s="1615"/>
      <c r="D7" s="1615"/>
      <c r="E7" s="1615"/>
      <c r="F7" s="1615"/>
      <c r="G7" s="297"/>
    </row>
    <row r="8" spans="2:11">
      <c r="D8" s="328"/>
    </row>
    <row r="9" spans="2:11" ht="13.5">
      <c r="B9" s="298" t="s">
        <v>411</v>
      </c>
      <c r="C9" s="298"/>
      <c r="D9" s="1236" t="s">
        <v>1351</v>
      </c>
    </row>
    <row r="10" spans="2:11" ht="13.5">
      <c r="B10" s="298" t="s">
        <v>412</v>
      </c>
      <c r="C10" s="298"/>
      <c r="D10" s="1236" t="s">
        <v>1342</v>
      </c>
    </row>
    <row r="11" spans="2:11" ht="13.5">
      <c r="B11" s="298" t="s">
        <v>614</v>
      </c>
      <c r="C11" s="298"/>
      <c r="D11" s="1236" t="s">
        <v>1343</v>
      </c>
    </row>
    <row r="12" spans="2:11" ht="42" customHeight="1">
      <c r="B12" s="1235" t="s">
        <v>383</v>
      </c>
      <c r="C12" s="623"/>
      <c r="D12" s="1613" t="s">
        <v>1725</v>
      </c>
      <c r="E12" s="1613"/>
      <c r="F12" s="1613"/>
      <c r="G12" s="1158"/>
    </row>
    <row r="13" spans="2:11" ht="13.5">
      <c r="B13" s="298" t="s">
        <v>0</v>
      </c>
      <c r="C13" s="298"/>
      <c r="D13" s="1236" t="s">
        <v>1344</v>
      </c>
      <c r="I13" s="325"/>
    </row>
    <row r="14" spans="2:11" ht="13.5">
      <c r="B14" s="298" t="s">
        <v>1345</v>
      </c>
      <c r="C14" s="298"/>
      <c r="D14" s="554"/>
      <c r="E14" s="298"/>
      <c r="F14" s="298"/>
      <c r="I14" s="1172"/>
      <c r="K14" s="1159"/>
    </row>
    <row r="15" spans="2:11" ht="13.5">
      <c r="B15" s="1236" t="s">
        <v>1347</v>
      </c>
      <c r="C15" s="298"/>
      <c r="D15" s="1237" t="s">
        <v>1346</v>
      </c>
      <c r="E15" s="298" t="s">
        <v>1255</v>
      </c>
      <c r="F15" s="298"/>
      <c r="H15" s="1159"/>
      <c r="I15" s="1161"/>
      <c r="J15" s="1160"/>
      <c r="K15" s="1159"/>
    </row>
    <row r="16" spans="2:11" ht="13.5">
      <c r="B16" s="1236" t="s">
        <v>1348</v>
      </c>
      <c r="C16" s="298"/>
      <c r="D16" s="1237" t="s">
        <v>1346</v>
      </c>
      <c r="E16" s="298" t="s">
        <v>1255</v>
      </c>
      <c r="F16" s="298"/>
      <c r="H16" s="328"/>
    </row>
    <row r="17" spans="2:9" ht="13.5">
      <c r="B17" s="1236"/>
      <c r="C17" s="298"/>
      <c r="D17" s="1237"/>
      <c r="E17" s="298"/>
      <c r="F17" s="298"/>
      <c r="H17" s="328"/>
    </row>
    <row r="18" spans="2:9" ht="13.5">
      <c r="B18" s="1236"/>
      <c r="C18" s="298"/>
      <c r="D18" s="1237"/>
      <c r="E18" s="298"/>
      <c r="F18" s="298"/>
      <c r="H18" s="328"/>
    </row>
    <row r="19" spans="2:9" ht="15.75">
      <c r="B19" s="299" t="str">
        <f>+CONCATENATE("VALORIZACION DE OBRA Nº ",+Data!$E$4, " ")</f>
        <v xml:space="preserve">VALORIZACION DE OBRA Nº 4 </v>
      </c>
      <c r="C19" s="299"/>
      <c r="D19" s="299"/>
      <c r="E19" s="299"/>
      <c r="F19" s="299"/>
      <c r="G19" s="299"/>
      <c r="H19" s="328"/>
      <c r="I19" s="553"/>
    </row>
    <row r="20" spans="2:9" ht="13.5" thickBot="1"/>
    <row r="21" spans="2:9" ht="21" customHeight="1" thickBot="1">
      <c r="B21" s="300" t="s">
        <v>388</v>
      </c>
      <c r="C21" s="301"/>
      <c r="D21" s="301"/>
      <c r="E21" s="301"/>
      <c r="F21" s="302" t="s">
        <v>381</v>
      </c>
    </row>
    <row r="23" spans="2:9">
      <c r="B23" s="303" t="s">
        <v>413</v>
      </c>
      <c r="C23" s="303"/>
      <c r="F23" s="304">
        <f>SUM(F24:F26)</f>
        <v>1430309.29</v>
      </c>
    </row>
    <row r="24" spans="2:9">
      <c r="B24" s="305" t="str">
        <f>+CONCATENATE("Valorización Nº ",+Data!$E$4)</f>
        <v>Valorización Nº 4</v>
      </c>
      <c r="C24" s="305"/>
      <c r="F24" s="306">
        <f>+valoriz!J$248</f>
        <v>1430309.29</v>
      </c>
    </row>
    <row r="25" spans="2:9">
      <c r="B25" s="305" t="s">
        <v>1712</v>
      </c>
      <c r="C25" s="305"/>
      <c r="F25" s="310">
        <f>+SUM(Val_reaj!E22:E28)</f>
        <v>0</v>
      </c>
      <c r="G25" s="307"/>
    </row>
    <row r="26" spans="2:9">
      <c r="F26" s="306"/>
    </row>
    <row r="27" spans="2:9">
      <c r="B27" s="303" t="s">
        <v>414</v>
      </c>
      <c r="C27" s="303"/>
      <c r="F27" s="304">
        <f>SUM(F28:F31)</f>
        <v>113462.81999999998</v>
      </c>
    </row>
    <row r="28" spans="2:9">
      <c r="B28" s="305" t="str">
        <f>+CONCATENATE("Reajuste de Valorización Nº ",+Data!$E$4)</f>
        <v>Reajuste de Valorización Nº 4</v>
      </c>
      <c r="C28" s="305"/>
      <c r="F28" s="306">
        <f>+Val_reaj!H25</f>
        <v>112994.43</v>
      </c>
      <c r="I28" s="306"/>
    </row>
    <row r="29" spans="2:9">
      <c r="B29" s="305" t="s">
        <v>1713</v>
      </c>
      <c r="C29" s="305"/>
      <c r="F29" s="306">
        <f>+SUM(Val_reaj!J22:J28)</f>
        <v>468.38999999998487</v>
      </c>
    </row>
    <row r="30" spans="2:9">
      <c r="B30" s="305" t="s">
        <v>415</v>
      </c>
      <c r="C30" s="305"/>
      <c r="F30" s="310">
        <f>Retencion!M16</f>
        <v>0</v>
      </c>
    </row>
    <row r="31" spans="2:9">
      <c r="B31" s="305"/>
      <c r="C31" s="305"/>
      <c r="F31" s="306"/>
    </row>
    <row r="32" spans="2:9">
      <c r="B32" s="308" t="s">
        <v>416</v>
      </c>
      <c r="C32" s="308"/>
      <c r="F32" s="309">
        <f>SUM(F33:F36)</f>
        <v>-843.44999999999993</v>
      </c>
    </row>
    <row r="33" spans="2:9">
      <c r="B33" s="305" t="s">
        <v>417</v>
      </c>
      <c r="C33" s="305"/>
      <c r="F33" s="310">
        <f>-Ae_De!M34</f>
        <v>-799.8</v>
      </c>
    </row>
    <row r="34" spans="2:9">
      <c r="B34" s="305" t="s">
        <v>447</v>
      </c>
      <c r="C34" s="305"/>
      <c r="F34" s="310">
        <f>-SUM(Ae_De!O31:O37)</f>
        <v>-43.65</v>
      </c>
    </row>
    <row r="35" spans="2:9">
      <c r="B35" s="305" t="s">
        <v>418</v>
      </c>
      <c r="C35" s="305"/>
      <c r="F35" s="310">
        <v>0</v>
      </c>
    </row>
    <row r="36" spans="2:9">
      <c r="B36" s="305"/>
      <c r="C36" s="305"/>
      <c r="F36" s="306"/>
    </row>
    <row r="37" spans="2:9">
      <c r="B37" s="303" t="s">
        <v>419</v>
      </c>
      <c r="C37" s="303"/>
      <c r="F37" s="309">
        <f>SUM(F38:F40)</f>
        <v>-143030.93</v>
      </c>
    </row>
    <row r="38" spans="2:9">
      <c r="B38" s="305" t="str">
        <f>+CONCATENATE("En la Valorización Nº ",+Data!$E$4)</f>
        <v>En la Valorización Nº 4</v>
      </c>
      <c r="C38" s="305"/>
      <c r="F38" s="310">
        <f>-Ae_De!F34</f>
        <v>-143030.93</v>
      </c>
    </row>
    <row r="39" spans="2:9">
      <c r="B39" s="305" t="s">
        <v>1712</v>
      </c>
      <c r="C39" s="305"/>
      <c r="F39" s="310">
        <f>-SUM(Ae_De!I31:I37)</f>
        <v>0</v>
      </c>
    </row>
    <row r="40" spans="2:9">
      <c r="B40" s="311"/>
      <c r="C40" s="311"/>
      <c r="F40" s="306"/>
    </row>
    <row r="41" spans="2:9" hidden="1">
      <c r="F41" s="306"/>
    </row>
    <row r="42" spans="2:9">
      <c r="B42" s="303" t="s">
        <v>420</v>
      </c>
      <c r="C42" s="303"/>
      <c r="F42" s="309">
        <f>SUM(F43:F44)</f>
        <v>-579821.29</v>
      </c>
      <c r="I42" s="312"/>
    </row>
    <row r="43" spans="2:9">
      <c r="B43" s="305" t="str">
        <f>+CONCATENATE("En la Valorización Nº ",+Data!$E$4)</f>
        <v>En la Valorización Nº 4</v>
      </c>
      <c r="C43" s="305"/>
      <c r="F43" s="310">
        <f>-'Res.Adel.Mat.'!G21</f>
        <v>-579821.29</v>
      </c>
      <c r="I43" s="312"/>
    </row>
    <row r="44" spans="2:9" hidden="1">
      <c r="B44" s="305"/>
      <c r="C44" s="305"/>
      <c r="F44" s="306"/>
      <c r="I44" s="312"/>
    </row>
    <row r="45" spans="2:9">
      <c r="F45" s="306"/>
      <c r="I45" s="313"/>
    </row>
    <row r="46" spans="2:9" ht="21.75" customHeight="1">
      <c r="B46" s="1238" t="s">
        <v>575</v>
      </c>
      <c r="C46" s="314"/>
      <c r="D46" s="314"/>
      <c r="E46" s="314"/>
      <c r="F46" s="315">
        <f>+ROUND(F23+F27+F32+F37+F42,2)</f>
        <v>820076.44</v>
      </c>
      <c r="I46" s="316"/>
    </row>
    <row r="47" spans="2:9" ht="8.25" customHeight="1">
      <c r="B47" s="1239"/>
      <c r="C47" s="303"/>
      <c r="F47" s="306"/>
    </row>
    <row r="48" spans="2:9" ht="17.25" customHeight="1">
      <c r="B48" s="1238" t="s">
        <v>297</v>
      </c>
      <c r="C48" s="314"/>
      <c r="D48" s="317"/>
      <c r="E48" s="317"/>
      <c r="F48" s="318">
        <f>+ROUND(F46*0.18,2)</f>
        <v>147613.76000000001</v>
      </c>
    </row>
    <row r="49" spans="2:6" ht="9" customHeight="1">
      <c r="B49" s="1239"/>
      <c r="C49" s="303"/>
      <c r="F49" s="306"/>
    </row>
    <row r="50" spans="2:6" ht="16.5" customHeight="1">
      <c r="B50" s="1238" t="s">
        <v>446</v>
      </c>
      <c r="C50" s="314"/>
      <c r="D50" s="314"/>
      <c r="E50" s="314"/>
      <c r="F50" s="315">
        <f>+ROUND(F46+F48,2)</f>
        <v>967690.2</v>
      </c>
    </row>
    <row r="51" spans="2:6" ht="8.25" customHeight="1">
      <c r="B51" s="303"/>
      <c r="C51" s="303"/>
      <c r="F51" s="306"/>
    </row>
    <row r="52" spans="2:6">
      <c r="B52" s="305" t="s">
        <v>1157</v>
      </c>
      <c r="C52" s="305"/>
      <c r="D52" s="319"/>
      <c r="F52" s="310">
        <v>0</v>
      </c>
    </row>
    <row r="53" spans="2:6" ht="14.25" customHeight="1">
      <c r="B53" s="305"/>
      <c r="C53" s="305"/>
      <c r="F53" s="320">
        <v>0</v>
      </c>
    </row>
    <row r="54" spans="2:6" ht="17.25" customHeight="1">
      <c r="B54" s="1238" t="s">
        <v>572</v>
      </c>
      <c r="C54" s="314"/>
      <c r="D54" s="317"/>
      <c r="E54" s="317"/>
      <c r="F54" s="321">
        <f>+F52+F53</f>
        <v>0</v>
      </c>
    </row>
    <row r="55" spans="2:6" ht="9.75" customHeight="1">
      <c r="B55" s="1239"/>
      <c r="C55" s="303"/>
      <c r="F55" s="306"/>
    </row>
    <row r="56" spans="2:6" ht="8.25" customHeight="1">
      <c r="B56" s="1240"/>
      <c r="C56" s="322"/>
      <c r="D56" s="323"/>
      <c r="E56" s="323"/>
      <c r="F56" s="324"/>
    </row>
    <row r="57" spans="2:6" ht="19.5" customHeight="1">
      <c r="B57" s="1238" t="s">
        <v>1283</v>
      </c>
      <c r="C57" s="314"/>
      <c r="D57" s="314"/>
      <c r="E57" s="314"/>
      <c r="F57" s="315">
        <f>+F46+F54</f>
        <v>820076.44</v>
      </c>
    </row>
    <row r="58" spans="2:6">
      <c r="B58" s="322"/>
      <c r="C58" s="322"/>
      <c r="D58" s="323"/>
      <c r="E58" s="323"/>
      <c r="F58" s="324"/>
    </row>
    <row r="59" spans="2:6">
      <c r="B59" s="1084"/>
      <c r="C59" s="1084"/>
    </row>
    <row r="61" spans="2:6">
      <c r="B61" s="303"/>
      <c r="C61" s="303"/>
      <c r="F61" s="1160"/>
    </row>
    <row r="62" spans="2:6">
      <c r="F62" s="1160"/>
    </row>
    <row r="63" spans="2:6">
      <c r="F63" s="1160"/>
    </row>
    <row r="64" spans="2:6">
      <c r="F64" s="1160"/>
    </row>
    <row r="65" spans="6:6">
      <c r="F65" s="1160"/>
    </row>
    <row r="66" spans="6:6">
      <c r="F66" s="1160"/>
    </row>
    <row r="68" spans="6:6">
      <c r="F68" s="1160"/>
    </row>
    <row r="69" spans="6:6">
      <c r="F69" s="1160"/>
    </row>
    <row r="70" spans="6:6">
      <c r="F70" s="1160"/>
    </row>
    <row r="71" spans="6:6">
      <c r="F71" s="1160"/>
    </row>
  </sheetData>
  <customSheetViews>
    <customSheetView guid="{CEA23600-97CC-11D9-BFD0-00E07DEB8876}" showPageBreaks="1" showGridLines="0" showRuler="0" topLeftCell="A25">
      <selection activeCell="C34" sqref="C34"/>
      <pageMargins left="0.59055118110236227" right="0.19685039370078741" top="0.59055118110236227" bottom="0.39370078740157483" header="0.19685039370078741" footer="0.19685039370078741"/>
      <printOptions horizontalCentered="1"/>
      <pageSetup paperSize="9" orientation="portrait" horizontalDpi="4294967294" verticalDpi="300" r:id="rId1"/>
      <headerFooter alignWithMargins="0">
        <oddFooter>&amp;L&amp;"Arial,Cursiva"&amp;8&amp;F/&amp;A</oddFooter>
      </headerFooter>
    </customSheetView>
    <customSheetView guid="{96ADFEC0-F4F1-11D7-8BBA-444553540000}" showPageBreaks="1" showGridLines="0" showRuler="0" topLeftCell="A3">
      <selection activeCell="D22" sqref="D22"/>
      <pageMargins left="0.59055118110236227" right="0.19685039370078741" top="0.59055118110236227" bottom="0.39370078740157483" header="0.19685039370078741" footer="0.19685039370078741"/>
      <printOptions horizontalCentered="1"/>
      <pageSetup paperSize="9" orientation="portrait" horizontalDpi="300" verticalDpi="300" r:id="rId2"/>
      <headerFooter alignWithMargins="0">
        <oddFooter>&amp;L&amp;"Arial,Cursiva"&amp;8&amp;F/&amp;A</oddFooter>
      </headerFooter>
    </customSheetView>
    <customSheetView guid="{5DD7C280-E9C1-11D7-A877-00E07DA7DA85}" showPageBreaks="1" showRuler="0" topLeftCell="A21">
      <selection activeCell="D46" sqref="D46"/>
      <pageMargins left="0.59055118110236227" right="0.19685039370078741" top="0.59055118110236227" bottom="0.39370078740157483" header="0.19685039370078741" footer="0.19685039370078741"/>
      <printOptions horizontalCentered="1"/>
      <pageSetup paperSize="9" orientation="portrait" horizontalDpi="300" verticalDpi="300" copies="0" r:id="rId3"/>
      <headerFooter alignWithMargins="0">
        <oddFooter>&amp;L&amp;"Arial,Cursiva"&amp;8&amp;F/&amp;A</oddFooter>
      </headerFooter>
    </customSheetView>
    <customSheetView guid="{45F329CA-E9E7-11D7-A877-00E07DA7DA85}" showPageBreaks="1" showGridLines="0" showRuler="0" topLeftCell="A7">
      <selection activeCell="D34" sqref="D34"/>
      <pageMargins left="0.59055118110236227" right="0.19685039370078741" top="0.59055118110236227" bottom="0.39370078740157483" header="0.19685039370078741" footer="0.19685039370078741"/>
      <printOptions horizontalCentered="1"/>
      <pageSetup paperSize="9" orientation="portrait" horizontalDpi="300" verticalDpi="300" copies="0" r:id="rId4"/>
      <headerFooter alignWithMargins="0">
        <oddFooter>&amp;L&amp;"Arial,Cursiva"&amp;8&amp;F/&amp;A</oddFooter>
      </headerFooter>
    </customSheetView>
    <customSheetView guid="{6E522E40-ADAC-11D9-BF96-E1679183EC62}" showGridLines="0" showRuler="0">
      <pageMargins left="0.59055118110236227" right="0.19685039370078741" top="0.59055118110236227" bottom="0.39370078740157483" header="0.19685039370078741" footer="0.19685039370078741"/>
      <printOptions horizontalCentered="1"/>
      <pageSetup paperSize="9" orientation="portrait" horizontalDpi="4294967294" verticalDpi="300" r:id="rId5"/>
      <headerFooter alignWithMargins="0">
        <oddFooter>&amp;L&amp;"Arial,Cursiva"&amp;8&amp;F/&amp;A</oddFooter>
      </headerFooter>
    </customSheetView>
    <customSheetView guid="{E2D6C99B-B71A-11D9-AA94-00E07DBAFB56}" showPageBreaks="1" showGridLines="0" showRuler="0" topLeftCell="A8">
      <selection activeCell="D18" sqref="D18"/>
      <pageMargins left="0.59055118110236227" right="0.19685039370078741" top="0.59055118110236227" bottom="0.39370078740157483" header="0.19685039370078741" footer="0.19685039370078741"/>
      <printOptions horizontalCentered="1"/>
      <pageSetup paperSize="9" orientation="portrait" horizontalDpi="4294967294" verticalDpi="300" r:id="rId6"/>
      <headerFooter alignWithMargins="0">
        <oddFooter>&amp;L&amp;"Arial,Cursiva"&amp;8&amp;F/&amp;A</oddFooter>
      </headerFooter>
    </customSheetView>
  </customSheetViews>
  <mergeCells count="3">
    <mergeCell ref="D12:F12"/>
    <mergeCell ref="B6:F6"/>
    <mergeCell ref="B7:F7"/>
  </mergeCells>
  <phoneticPr fontId="0" type="noConversion"/>
  <printOptions horizontalCentered="1"/>
  <pageMargins left="0.78740157480314965" right="0.19685039370078741" top="0.59055118110236227" bottom="0.39370078740157483" header="0.19685039370078741" footer="0.19685039370078741"/>
  <pageSetup paperSize="9" scale="85" orientation="portrait" r:id="rId7"/>
  <headerFooter alignWithMargins="0">
    <oddFooter>&amp;L&amp;"Arial,Cursiva"&amp;8&amp;F/&amp;A</oddFooter>
  </headerFooter>
  <drawing r:id="rId8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/>
  <dimension ref="A1:AJ264"/>
  <sheetViews>
    <sheetView showGridLines="0" showZeros="0" tabSelected="1" view="pageBreakPreview" zoomScale="75" zoomScaleNormal="75" zoomScaleSheetLayoutView="75" workbookViewId="0">
      <pane xSplit="3" ySplit="11" topLeftCell="D12" activePane="bottomRight" state="frozen"/>
      <selection activeCell="E4" sqref="E4"/>
      <selection pane="topRight" activeCell="E4" sqref="E4"/>
      <selection pane="bottomLeft" activeCell="E4" sqref="E4"/>
      <selection pane="bottomRight" activeCell="E17" sqref="E17"/>
    </sheetView>
  </sheetViews>
  <sheetFormatPr baseColWidth="10" defaultColWidth="11.42578125" defaultRowHeight="12.75" outlineLevelRow="1"/>
  <cols>
    <col min="1" max="1" width="15.28515625" style="173" bestFit="1" customWidth="1"/>
    <col min="2" max="2" width="60.28515625" style="173" customWidth="1"/>
    <col min="3" max="3" width="8.42578125" style="173" customWidth="1"/>
    <col min="4" max="4" width="12.5703125" style="173" customWidth="1"/>
    <col min="5" max="5" width="13.140625" style="173" customWidth="1"/>
    <col min="6" max="6" width="19" style="173" customWidth="1"/>
    <col min="7" max="7" width="14.7109375" style="173" customWidth="1"/>
    <col min="8" max="8" width="16.85546875" style="173" customWidth="1"/>
    <col min="9" max="9" width="13.7109375" style="173" customWidth="1"/>
    <col min="10" max="10" width="19.28515625" style="173" bestFit="1" customWidth="1"/>
    <col min="11" max="11" width="14.140625" style="173" customWidth="1"/>
    <col min="12" max="12" width="18.7109375" style="173" customWidth="1"/>
    <col min="13" max="13" width="11.5703125" style="173" customWidth="1"/>
    <col min="14" max="14" width="15.7109375" style="173" customWidth="1"/>
    <col min="15" max="15" width="19.7109375" style="173" bestFit="1" customWidth="1"/>
    <col min="16" max="16" width="10.5703125" style="173" customWidth="1"/>
    <col min="17" max="17" width="0.140625" style="173" customWidth="1"/>
    <col min="18" max="19" width="11" style="1319" customWidth="1"/>
    <col min="20" max="20" width="11.42578125" style="1160"/>
    <col min="21" max="21" width="12" style="1160" customWidth="1"/>
    <col min="22" max="22" width="12.140625" style="1160" customWidth="1"/>
    <col min="23" max="23" width="11.42578125" style="1160"/>
    <col min="24" max="24" width="11.42578125" style="173"/>
    <col min="25" max="25" width="14.7109375" style="173" bestFit="1" customWidth="1"/>
    <col min="26" max="16384" width="11.42578125" style="173"/>
  </cols>
  <sheetData>
    <row r="1" spans="1:36" ht="13.5">
      <c r="A1" s="61"/>
      <c r="B1" s="1241"/>
      <c r="L1" s="298"/>
      <c r="M1" s="298"/>
      <c r="N1" s="311"/>
    </row>
    <row r="2" spans="1:36" ht="40.5" customHeight="1">
      <c r="A2" s="61"/>
      <c r="B2" s="1622" t="s">
        <v>1677</v>
      </c>
      <c r="C2" s="1622"/>
      <c r="D2" s="1622"/>
      <c r="E2" s="1622"/>
      <c r="F2" s="1622"/>
      <c r="G2" s="1622"/>
      <c r="H2" s="1622"/>
      <c r="I2" s="1622"/>
      <c r="J2" s="1622"/>
      <c r="K2" s="1622"/>
      <c r="L2" s="1622"/>
      <c r="M2" s="1622"/>
      <c r="N2" s="1622"/>
      <c r="O2" s="1622"/>
      <c r="P2" s="1622"/>
    </row>
    <row r="3" spans="1:36" ht="13.9" customHeight="1">
      <c r="A3" s="61"/>
      <c r="B3" s="1162"/>
      <c r="C3" s="296"/>
      <c r="D3" s="296"/>
      <c r="E3" s="296"/>
      <c r="F3" s="296"/>
      <c r="G3" s="296"/>
      <c r="H3" s="296"/>
      <c r="I3" s="296"/>
      <c r="J3" s="296"/>
    </row>
    <row r="4" spans="1:36">
      <c r="A4" s="1343" t="str">
        <f>+CONCATENATE("CONTRATISTA ",+Pago!D10)</f>
        <v>CONTRATISTA : DITRANSERVA S.A.C.</v>
      </c>
      <c r="M4" s="305"/>
      <c r="O4" s="326"/>
      <c r="P4" s="391"/>
    </row>
    <row r="5" spans="1:36" ht="14.25" customHeight="1">
      <c r="A5" s="1343" t="str">
        <f>+CONCATENATE("SUPERVISOR ",+Pago!D11)</f>
        <v>SUPERVISOR : CONSORCIO SUPERVISOR LAS TORRES</v>
      </c>
      <c r="C5" s="327"/>
      <c r="G5" s="328"/>
      <c r="I5" s="329"/>
      <c r="J5" s="311"/>
      <c r="M5" s="305"/>
      <c r="O5" s="326"/>
      <c r="P5" s="391"/>
      <c r="X5" s="334"/>
      <c r="Y5" s="330"/>
    </row>
    <row r="6" spans="1:36" ht="18">
      <c r="A6" s="298"/>
      <c r="B6" s="571"/>
      <c r="C6" s="327"/>
      <c r="G6" s="328"/>
      <c r="J6" s="311"/>
    </row>
    <row r="7" spans="1:36" ht="18">
      <c r="A7" s="311"/>
      <c r="B7" s="331" t="s">
        <v>491</v>
      </c>
      <c r="C7" s="332">
        <f>+Data!E4</f>
        <v>4</v>
      </c>
      <c r="D7" s="327" t="str">
        <f>+CONCATENATE("CORRESPONDIENTE AL MES DE",Data!F4)</f>
        <v>CORRESPONDIENTE AL MES DE DICIEMBRE 2021</v>
      </c>
      <c r="L7" s="311"/>
      <c r="M7" s="311"/>
      <c r="N7" s="333"/>
      <c r="U7" s="1320"/>
    </row>
    <row r="8" spans="1:36" ht="13.5" thickBot="1">
      <c r="L8" s="334"/>
      <c r="M8" s="334"/>
      <c r="T8" s="1321"/>
      <c r="U8" s="1321"/>
      <c r="V8" s="1321"/>
      <c r="W8" s="1321"/>
      <c r="X8" s="335"/>
      <c r="Y8" s="335"/>
      <c r="Z8" s="335"/>
      <c r="AA8" s="335"/>
      <c r="AB8" s="335"/>
      <c r="AC8" s="335"/>
      <c r="AD8" s="335"/>
      <c r="AE8" s="335"/>
      <c r="AF8" s="335"/>
    </row>
    <row r="9" spans="1:36" ht="19.5" customHeight="1">
      <c r="A9" s="1632" t="s">
        <v>374</v>
      </c>
      <c r="B9" s="1623" t="s">
        <v>375</v>
      </c>
      <c r="C9" s="1623" t="s">
        <v>376</v>
      </c>
      <c r="D9" s="1635" t="s">
        <v>1676</v>
      </c>
      <c r="E9" s="1267" t="s">
        <v>409</v>
      </c>
      <c r="F9" s="1267" t="s">
        <v>384</v>
      </c>
      <c r="G9" s="1268" t="s">
        <v>378</v>
      </c>
      <c r="H9" s="1268"/>
      <c r="I9" s="1268" t="s">
        <v>1268</v>
      </c>
      <c r="J9" s="1268"/>
      <c r="K9" s="1268" t="s">
        <v>379</v>
      </c>
      <c r="L9" s="1268"/>
      <c r="M9" s="1268"/>
      <c r="N9" s="1618" t="s">
        <v>380</v>
      </c>
      <c r="O9" s="1619"/>
      <c r="P9" s="1620"/>
      <c r="T9" s="1321"/>
      <c r="U9" s="1321"/>
      <c r="V9" s="1321"/>
      <c r="W9" s="1321"/>
      <c r="X9" s="335"/>
      <c r="Y9" s="335"/>
      <c r="Z9" s="335"/>
      <c r="AA9" s="335"/>
      <c r="AB9" s="335"/>
      <c r="AC9" s="335"/>
      <c r="AD9" s="335"/>
      <c r="AE9" s="335"/>
      <c r="AF9" s="335"/>
      <c r="AG9" s="335"/>
      <c r="AH9" s="335"/>
      <c r="AI9" s="335"/>
      <c r="AJ9" s="335"/>
    </row>
    <row r="10" spans="1:36">
      <c r="A10" s="1633"/>
      <c r="B10" s="1624"/>
      <c r="C10" s="1624"/>
      <c r="D10" s="1636"/>
      <c r="E10" s="1269" t="s">
        <v>613</v>
      </c>
      <c r="F10" s="1269" t="s">
        <v>613</v>
      </c>
      <c r="G10" s="1626" t="s">
        <v>377</v>
      </c>
      <c r="H10" s="1628" t="s">
        <v>381</v>
      </c>
      <c r="I10" s="1626" t="s">
        <v>377</v>
      </c>
      <c r="J10" s="1628" t="s">
        <v>381</v>
      </c>
      <c r="K10" s="1626" t="s">
        <v>377</v>
      </c>
      <c r="L10" s="1630" t="s">
        <v>381</v>
      </c>
      <c r="M10" s="1628" t="s">
        <v>490</v>
      </c>
      <c r="N10" s="1626" t="s">
        <v>377</v>
      </c>
      <c r="O10" s="1630" t="s">
        <v>381</v>
      </c>
      <c r="P10" s="1616" t="s">
        <v>490</v>
      </c>
      <c r="T10" s="1321"/>
      <c r="U10" s="1321"/>
      <c r="V10" s="1321"/>
      <c r="W10" s="1321"/>
      <c r="X10" s="336"/>
      <c r="Y10" s="336"/>
      <c r="Z10" s="336"/>
      <c r="AA10" s="336"/>
      <c r="AB10" s="336"/>
      <c r="AC10" s="336"/>
      <c r="AD10" s="336"/>
      <c r="AE10" s="336"/>
      <c r="AF10" s="336"/>
      <c r="AG10" s="336"/>
      <c r="AH10" s="336"/>
      <c r="AI10" s="336"/>
      <c r="AJ10" s="336"/>
    </row>
    <row r="11" spans="1:36" ht="13.5" thickBot="1">
      <c r="A11" s="1634"/>
      <c r="B11" s="1625"/>
      <c r="C11" s="1625"/>
      <c r="D11" s="1637"/>
      <c r="E11" s="1270" t="s">
        <v>381</v>
      </c>
      <c r="F11" s="1271" t="s">
        <v>381</v>
      </c>
      <c r="G11" s="1627"/>
      <c r="H11" s="1629"/>
      <c r="I11" s="1627"/>
      <c r="J11" s="1629"/>
      <c r="K11" s="1627"/>
      <c r="L11" s="1631"/>
      <c r="M11" s="1629"/>
      <c r="N11" s="1627"/>
      <c r="O11" s="1631"/>
      <c r="P11" s="1617"/>
    </row>
    <row r="12" spans="1:36" ht="13.15" customHeight="1">
      <c r="A12" s="1163"/>
      <c r="B12" s="337"/>
      <c r="C12" s="337"/>
      <c r="D12" s="337"/>
      <c r="E12" s="337"/>
      <c r="F12" s="1164"/>
      <c r="G12" s="1164"/>
      <c r="H12" s="1164"/>
      <c r="I12" s="1164"/>
      <c r="J12" s="1164"/>
      <c r="K12" s="1164"/>
      <c r="L12" s="1164"/>
      <c r="M12" s="1164"/>
      <c r="N12" s="1164"/>
      <c r="O12" s="1164"/>
      <c r="P12" s="1165"/>
    </row>
    <row r="13" spans="1:36" ht="12.75" customHeight="1">
      <c r="A13" s="1264" t="s">
        <v>527</v>
      </c>
      <c r="B13" s="1265" t="s">
        <v>1352</v>
      </c>
      <c r="C13" s="1266"/>
      <c r="D13" s="1272"/>
      <c r="E13" s="1272"/>
      <c r="F13" s="1273">
        <f>+ROUND(F14+F35,2)</f>
        <v>288245.59000000003</v>
      </c>
      <c r="G13" s="1274"/>
      <c r="H13" s="1273">
        <f>+ROUND(H14+H35,2)</f>
        <v>172622.43</v>
      </c>
      <c r="I13" s="1274"/>
      <c r="J13" s="1275">
        <f>+ROUND(J14+J35,2)</f>
        <v>33801.07</v>
      </c>
      <c r="K13" s="1274"/>
      <c r="L13" s="1275">
        <f>+ROUND(L14+L35,2)</f>
        <v>206423.51</v>
      </c>
      <c r="M13" s="1276">
        <f t="shared" ref="M13:M43" si="0">L13/$F13</f>
        <v>0.71613761723119507</v>
      </c>
      <c r="N13" s="1274"/>
      <c r="O13" s="1275">
        <f>+ROUND(O14+O35,2)</f>
        <v>81822.080000000002</v>
      </c>
      <c r="P13" s="1277">
        <f t="shared" ref="P13:P34" si="1">+O13/F13</f>
        <v>0.28386238276880488</v>
      </c>
    </row>
    <row r="14" spans="1:36" ht="12.75" customHeight="1" outlineLevel="1">
      <c r="A14" s="1249" t="s">
        <v>1159</v>
      </c>
      <c r="B14" s="1250" t="s">
        <v>1353</v>
      </c>
      <c r="C14" s="1166"/>
      <c r="D14" s="1278"/>
      <c r="E14" s="1278"/>
      <c r="F14" s="1279">
        <f>+ROUND(F15+F30,2)</f>
        <v>115345.87</v>
      </c>
      <c r="G14" s="1280"/>
      <c r="H14" s="1279">
        <f>+ROUND(H15+H30,2)</f>
        <v>79256.58</v>
      </c>
      <c r="I14" s="1280"/>
      <c r="J14" s="1281">
        <f>+ROUND(J15+J30,2)</f>
        <v>14782.1</v>
      </c>
      <c r="K14" s="1280"/>
      <c r="L14" s="1281">
        <f>+ROUND(L15+L30,2)</f>
        <v>94038.69</v>
      </c>
      <c r="M14" s="1282">
        <f t="shared" si="0"/>
        <v>0.81527574415971726</v>
      </c>
      <c r="N14" s="1280"/>
      <c r="O14" s="1281">
        <f>+ROUND(O15+O30,2)</f>
        <v>21307.18</v>
      </c>
      <c r="P14" s="1283">
        <f t="shared" si="1"/>
        <v>0.18472425584028279</v>
      </c>
    </row>
    <row r="15" spans="1:36" s="1172" customFormat="1" ht="12.75" customHeight="1" outlineLevel="1">
      <c r="A15" s="1244" t="s">
        <v>1160</v>
      </c>
      <c r="B15" s="1242" t="s">
        <v>1354</v>
      </c>
      <c r="C15" s="1170"/>
      <c r="D15" s="1284"/>
      <c r="E15" s="1284"/>
      <c r="F15" s="1285">
        <f>+ROUND(F16+F21,2)</f>
        <v>38105.019999999997</v>
      </c>
      <c r="G15" s="1286"/>
      <c r="H15" s="1285">
        <f>+ROUND(H16+H21,2)</f>
        <v>12222.3</v>
      </c>
      <c r="I15" s="1286"/>
      <c r="J15" s="1287">
        <f>+ROUND(J16+J21,2)</f>
        <v>14782.1</v>
      </c>
      <c r="K15" s="1286"/>
      <c r="L15" s="1287">
        <f>+ROUND(L16+L21,2)</f>
        <v>27004.41</v>
      </c>
      <c r="M15" s="1301">
        <f t="shared" si="0"/>
        <v>0.70868379021976635</v>
      </c>
      <c r="N15" s="1300"/>
      <c r="O15" s="1287">
        <f>+ROUND(O16+O21,2)</f>
        <v>11100.61</v>
      </c>
      <c r="P15" s="1302">
        <f t="shared" si="1"/>
        <v>0.2913162097802337</v>
      </c>
      <c r="R15" s="1322"/>
      <c r="S15" s="1322"/>
      <c r="T15" s="1323"/>
      <c r="U15" s="1323"/>
      <c r="V15" s="1323"/>
      <c r="W15" s="1323"/>
    </row>
    <row r="16" spans="1:36" s="1172" customFormat="1" ht="12.75" customHeight="1" outlineLevel="1">
      <c r="A16" s="1244" t="s">
        <v>1161</v>
      </c>
      <c r="B16" s="1242" t="s">
        <v>1355</v>
      </c>
      <c r="C16" s="1170"/>
      <c r="D16" s="1284"/>
      <c r="E16" s="1284"/>
      <c r="F16" s="1285">
        <f>+ROUND(F20+F19+F18+F17,2)</f>
        <v>33486.550000000003</v>
      </c>
      <c r="G16" s="1286"/>
      <c r="H16" s="1285">
        <f>+ROUND(H20+H19+H18+H17,2)</f>
        <v>10943.33</v>
      </c>
      <c r="I16" s="1286"/>
      <c r="J16" s="1287">
        <f>+ROUND(J20+J19+J18+J17,2)</f>
        <v>13059.07</v>
      </c>
      <c r="K16" s="1286"/>
      <c r="L16" s="1287">
        <f>+ROUND(L20+L19+L18+L17,2)</f>
        <v>24002.400000000001</v>
      </c>
      <c r="M16" s="1301">
        <f t="shared" ref="M16" si="2">L16/$F16</f>
        <v>0.71677733298891644</v>
      </c>
      <c r="N16" s="1300"/>
      <c r="O16" s="1287">
        <f>+ROUND(O20+O19+O18+O17,2)</f>
        <v>9484.15</v>
      </c>
      <c r="P16" s="1302">
        <f t="shared" ref="P16" si="3">+O16/F16</f>
        <v>0.28322266701108351</v>
      </c>
      <c r="R16" s="1322"/>
      <c r="S16" s="1322"/>
      <c r="T16" s="1323"/>
      <c r="U16" s="1323"/>
      <c r="V16" s="1323"/>
      <c r="W16" s="1323"/>
    </row>
    <row r="17" spans="1:35" ht="12.75" customHeight="1" outlineLevel="1">
      <c r="A17" s="1245" t="s">
        <v>1356</v>
      </c>
      <c r="B17" s="1243" t="s">
        <v>1357</v>
      </c>
      <c r="C17" s="1169" t="s">
        <v>433</v>
      </c>
      <c r="D17" s="1288">
        <v>1</v>
      </c>
      <c r="E17" s="1289">
        <v>2154.83</v>
      </c>
      <c r="F17" s="1290">
        <f>+ROUND(D17*E17,2)</f>
        <v>2154.83</v>
      </c>
      <c r="G17" s="1262">
        <v>1</v>
      </c>
      <c r="H17" s="1290">
        <f>+ROUND($E17*G17,2)</f>
        <v>2154.83</v>
      </c>
      <c r="I17" s="1602">
        <f>+K17-G17</f>
        <v>0</v>
      </c>
      <c r="J17" s="1291">
        <f>+ROUND($E17*I17,2)</f>
        <v>0</v>
      </c>
      <c r="K17" s="1262">
        <v>1</v>
      </c>
      <c r="L17" s="1291">
        <f>+ROUND($E17*K17,2)</f>
        <v>2154.83</v>
      </c>
      <c r="M17" s="1292">
        <f t="shared" si="0"/>
        <v>1</v>
      </c>
      <c r="N17" s="1291">
        <f t="shared" ref="N17:N79" si="4">D17-K17</f>
        <v>0</v>
      </c>
      <c r="O17" s="1291">
        <f>+ROUND($E17*N17,2)</f>
        <v>0</v>
      </c>
      <c r="P17" s="1293">
        <f t="shared" si="1"/>
        <v>0</v>
      </c>
      <c r="X17" s="695"/>
      <c r="Y17" s="695"/>
      <c r="Z17" s="695"/>
      <c r="AA17" s="695"/>
      <c r="AB17" s="1075"/>
      <c r="AC17" s="306"/>
      <c r="AD17" s="695"/>
      <c r="AE17" s="695"/>
      <c r="AF17" s="306"/>
      <c r="AG17" s="306"/>
      <c r="AH17" s="695"/>
      <c r="AI17" s="695"/>
    </row>
    <row r="18" spans="1:35" ht="12.75" customHeight="1" outlineLevel="1">
      <c r="A18" s="1245" t="s">
        <v>1358</v>
      </c>
      <c r="B18" s="1243" t="s">
        <v>1359</v>
      </c>
      <c r="C18" s="1169" t="s">
        <v>431</v>
      </c>
      <c r="D18" s="1288">
        <v>1800</v>
      </c>
      <c r="E18" s="1289">
        <v>7.07</v>
      </c>
      <c r="F18" s="1290">
        <f>+ROUND(D18*E18,2)</f>
        <v>12726</v>
      </c>
      <c r="G18" s="1262">
        <v>0</v>
      </c>
      <c r="H18" s="1290">
        <f t="shared" ref="H18:J20" si="5">+ROUND($E18*G18,2)</f>
        <v>0</v>
      </c>
      <c r="I18" s="1602">
        <f t="shared" ref="I18:I20" si="6">+K18-G18</f>
        <v>1490.2</v>
      </c>
      <c r="J18" s="1291">
        <f t="shared" si="5"/>
        <v>10535.71</v>
      </c>
      <c r="K18" s="1262">
        <v>1490.2</v>
      </c>
      <c r="L18" s="1291">
        <f t="shared" ref="L18" si="7">+ROUND($E18*K18,2)</f>
        <v>10535.71</v>
      </c>
      <c r="M18" s="1292">
        <f t="shared" si="0"/>
        <v>0.82788857457174281</v>
      </c>
      <c r="N18" s="1291">
        <f t="shared" si="4"/>
        <v>309.79999999999995</v>
      </c>
      <c r="O18" s="1291">
        <f t="shared" ref="O18" si="8">+ROUND($E18*N18,2)</f>
        <v>2190.29</v>
      </c>
      <c r="P18" s="1293">
        <f t="shared" si="1"/>
        <v>0.17211142542825711</v>
      </c>
      <c r="X18" s="306"/>
      <c r="Y18" s="306"/>
      <c r="Z18" s="306"/>
      <c r="AA18" s="306"/>
      <c r="AB18" s="306"/>
      <c r="AC18" s="306"/>
      <c r="AD18" s="306"/>
      <c r="AE18" s="306"/>
      <c r="AF18" s="306"/>
      <c r="AG18" s="306"/>
      <c r="AH18" s="306"/>
      <c r="AI18" s="306"/>
    </row>
    <row r="19" spans="1:35" ht="12.75" customHeight="1" outlineLevel="1">
      <c r="A19" s="1245" t="s">
        <v>1360</v>
      </c>
      <c r="B19" s="1243" t="s">
        <v>1361</v>
      </c>
      <c r="C19" s="1169" t="s">
        <v>1</v>
      </c>
      <c r="D19" s="1288">
        <v>4</v>
      </c>
      <c r="E19" s="1289">
        <v>4050</v>
      </c>
      <c r="F19" s="1290">
        <f>+ROUND(D19*E19,2)</f>
        <v>16200</v>
      </c>
      <c r="G19" s="1262">
        <v>2.17</v>
      </c>
      <c r="H19" s="1290">
        <f t="shared" si="5"/>
        <v>8788.5</v>
      </c>
      <c r="I19" s="1602">
        <f t="shared" si="6"/>
        <v>0.43000000000000016</v>
      </c>
      <c r="J19" s="1291">
        <f t="shared" si="5"/>
        <v>1741.5</v>
      </c>
      <c r="K19" s="1262">
        <v>2.6</v>
      </c>
      <c r="L19" s="1291">
        <f t="shared" ref="L19" si="9">+ROUND($E19*K19,2)</f>
        <v>10530</v>
      </c>
      <c r="M19" s="1292">
        <f t="shared" si="0"/>
        <v>0.65</v>
      </c>
      <c r="N19" s="1291">
        <f t="shared" si="4"/>
        <v>1.4</v>
      </c>
      <c r="O19" s="1291">
        <f t="shared" ref="O19" si="10">+ROUND($E19*N19,2)</f>
        <v>5670</v>
      </c>
      <c r="P19" s="1293">
        <f t="shared" si="1"/>
        <v>0.35</v>
      </c>
      <c r="X19" s="306"/>
      <c r="Y19" s="306"/>
      <c r="Z19" s="306"/>
      <c r="AA19" s="306"/>
      <c r="AB19" s="306"/>
      <c r="AC19" s="306"/>
      <c r="AD19" s="306"/>
      <c r="AE19" s="306"/>
      <c r="AF19" s="306"/>
      <c r="AG19" s="306"/>
      <c r="AH19" s="306"/>
      <c r="AI19" s="306"/>
    </row>
    <row r="20" spans="1:35" ht="12.75" customHeight="1" outlineLevel="1">
      <c r="A20" s="1245" t="s">
        <v>1362</v>
      </c>
      <c r="B20" s="1243" t="s">
        <v>1363</v>
      </c>
      <c r="C20" s="1169" t="s">
        <v>1</v>
      </c>
      <c r="D20" s="1288">
        <v>4</v>
      </c>
      <c r="E20" s="1289">
        <v>601.42999999999995</v>
      </c>
      <c r="F20" s="1290">
        <f>+ROUND(D20*E20,2)</f>
        <v>2405.7199999999998</v>
      </c>
      <c r="G20" s="1262">
        <v>0</v>
      </c>
      <c r="H20" s="1290">
        <f t="shared" si="5"/>
        <v>0</v>
      </c>
      <c r="I20" s="1602">
        <f t="shared" si="6"/>
        <v>1.3</v>
      </c>
      <c r="J20" s="1291">
        <f t="shared" si="5"/>
        <v>781.86</v>
      </c>
      <c r="K20" s="1262">
        <v>1.3</v>
      </c>
      <c r="L20" s="1291">
        <f t="shared" ref="L20" si="11">+ROUND($E20*K20,2)</f>
        <v>781.86</v>
      </c>
      <c r="M20" s="1292">
        <f t="shared" si="0"/>
        <v>0.32500041567597232</v>
      </c>
      <c r="N20" s="1291">
        <f t="shared" si="4"/>
        <v>2.7</v>
      </c>
      <c r="O20" s="1291">
        <f t="shared" ref="O20" si="12">+ROUND($E20*N20,2)</f>
        <v>1623.86</v>
      </c>
      <c r="P20" s="1293">
        <f t="shared" si="1"/>
        <v>0.67499958432402773</v>
      </c>
      <c r="X20" s="306"/>
      <c r="Y20" s="306"/>
      <c r="Z20" s="306"/>
      <c r="AA20" s="306"/>
      <c r="AB20" s="306"/>
      <c r="AC20" s="306"/>
      <c r="AD20" s="306"/>
      <c r="AE20" s="306"/>
      <c r="AF20" s="306"/>
      <c r="AG20" s="306"/>
      <c r="AH20" s="306"/>
      <c r="AI20" s="306"/>
    </row>
    <row r="21" spans="1:35" s="1172" customFormat="1" ht="12.75" customHeight="1" outlineLevel="1">
      <c r="A21" s="1247" t="s">
        <v>1162</v>
      </c>
      <c r="B21" s="1242" t="s">
        <v>1364</v>
      </c>
      <c r="C21" s="1171"/>
      <c r="D21" s="1294"/>
      <c r="E21" s="1295"/>
      <c r="F21" s="1285">
        <f>+ROUND(F22+F25+F27,2)</f>
        <v>4618.47</v>
      </c>
      <c r="G21" s="1296"/>
      <c r="H21" s="1285">
        <f>+ROUND(H22+H25+H27,2)</f>
        <v>1278.97</v>
      </c>
      <c r="I21" s="1606"/>
      <c r="J21" s="1285">
        <f>+ROUND(J22+J25+J27,2)</f>
        <v>1723.03</v>
      </c>
      <c r="K21" s="1262"/>
      <c r="L21" s="1285">
        <f>+ROUND(L22+L25+L27,2)</f>
        <v>3002.01</v>
      </c>
      <c r="M21" s="1301">
        <f t="shared" si="0"/>
        <v>0.6500009743486479</v>
      </c>
      <c r="N21" s="1291"/>
      <c r="O21" s="1285">
        <f>+ROUND(O22+O25+O27,2)</f>
        <v>1616.46</v>
      </c>
      <c r="P21" s="1302">
        <f t="shared" si="1"/>
        <v>0.34999902565135205</v>
      </c>
      <c r="R21" s="1322"/>
      <c r="S21" s="1322"/>
      <c r="T21" s="1323"/>
      <c r="U21" s="1323"/>
      <c r="V21" s="1323"/>
      <c r="W21" s="1323"/>
      <c r="X21" s="1173"/>
      <c r="Y21" s="1173"/>
      <c r="Z21" s="1173"/>
      <c r="AA21" s="1173"/>
      <c r="AB21" s="1173"/>
      <c r="AC21" s="1173"/>
      <c r="AD21" s="1173"/>
      <c r="AE21" s="1173"/>
      <c r="AF21" s="1173"/>
      <c r="AG21" s="1173"/>
      <c r="AH21" s="1173"/>
      <c r="AI21" s="1173"/>
    </row>
    <row r="22" spans="1:35" s="1172" customFormat="1" ht="12.75" customHeight="1" outlineLevel="1">
      <c r="A22" s="1247" t="s">
        <v>1365</v>
      </c>
      <c r="B22" s="1242" t="s">
        <v>1366</v>
      </c>
      <c r="C22" s="1171"/>
      <c r="D22" s="1294"/>
      <c r="E22" s="1295"/>
      <c r="F22" s="1285">
        <f>+ROUND(F24+F23,2)</f>
        <v>2565</v>
      </c>
      <c r="G22" s="1296"/>
      <c r="H22" s="1285">
        <f>+ROUND(H24+H23,2)</f>
        <v>170.1</v>
      </c>
      <c r="I22" s="1606"/>
      <c r="J22" s="1285">
        <f>+ROUND(J24+J23,2)</f>
        <v>1497.15</v>
      </c>
      <c r="K22" s="1262"/>
      <c r="L22" s="1285">
        <f>+ROUND(L24+L23,2)</f>
        <v>1667.25</v>
      </c>
      <c r="M22" s="1301">
        <f t="shared" ref="M22" si="13">L22/$F22</f>
        <v>0.65</v>
      </c>
      <c r="N22" s="1291"/>
      <c r="O22" s="1285">
        <f>+ROUND(O24+O23,2)</f>
        <v>897.75</v>
      </c>
      <c r="P22" s="1302">
        <f t="shared" ref="P22" si="14">+O22/F22</f>
        <v>0.35</v>
      </c>
      <c r="R22" s="1322"/>
      <c r="S22" s="1322"/>
      <c r="T22" s="1323"/>
      <c r="U22" s="1323"/>
      <c r="V22" s="1323"/>
      <c r="W22" s="1323"/>
      <c r="X22" s="1173"/>
      <c r="Y22" s="1173"/>
      <c r="Z22" s="1173"/>
      <c r="AA22" s="1173"/>
      <c r="AB22" s="1173"/>
      <c r="AC22" s="1173"/>
      <c r="AD22" s="1173"/>
      <c r="AE22" s="1173"/>
      <c r="AF22" s="1173"/>
      <c r="AG22" s="1173"/>
      <c r="AH22" s="1173"/>
      <c r="AI22" s="1173"/>
    </row>
    <row r="23" spans="1:35" ht="12.75" customHeight="1" outlineLevel="1">
      <c r="A23" s="1245" t="s">
        <v>1367</v>
      </c>
      <c r="B23" s="1243" t="s">
        <v>1368</v>
      </c>
      <c r="C23" s="1169" t="s">
        <v>934</v>
      </c>
      <c r="D23" s="1288">
        <v>1</v>
      </c>
      <c r="E23" s="1289">
        <v>315</v>
      </c>
      <c r="F23" s="1290">
        <f>+ROUND(D23*E23,2)</f>
        <v>315</v>
      </c>
      <c r="G23" s="1263">
        <v>0.54</v>
      </c>
      <c r="H23" s="1290">
        <f t="shared" ref="H23:J24" si="15">+ROUND($E23*G23,2)</f>
        <v>170.1</v>
      </c>
      <c r="I23" s="1602">
        <f t="shared" ref="I23:I24" si="16">+K23-G23</f>
        <v>0.10999999999999999</v>
      </c>
      <c r="J23" s="1291">
        <f t="shared" si="15"/>
        <v>34.65</v>
      </c>
      <c r="K23" s="1262">
        <v>0.65</v>
      </c>
      <c r="L23" s="1291">
        <f t="shared" ref="L23" si="17">+ROUND($E23*K23,2)</f>
        <v>204.75</v>
      </c>
      <c r="M23" s="1292">
        <f t="shared" si="0"/>
        <v>0.65</v>
      </c>
      <c r="N23" s="1291">
        <f t="shared" si="4"/>
        <v>0.35</v>
      </c>
      <c r="O23" s="1291">
        <f t="shared" ref="O23" si="18">+ROUND($E23*N23,2)</f>
        <v>110.25</v>
      </c>
      <c r="P23" s="1293">
        <f t="shared" si="1"/>
        <v>0.35</v>
      </c>
      <c r="R23" s="1319">
        <f>+(30*1)/120</f>
        <v>0.25</v>
      </c>
      <c r="X23" s="306"/>
      <c r="Y23" s="306"/>
      <c r="Z23" s="306"/>
      <c r="AA23" s="306"/>
      <c r="AB23" s="973"/>
      <c r="AC23" s="973"/>
      <c r="AD23" s="306"/>
      <c r="AE23" s="306"/>
      <c r="AF23" s="306"/>
      <c r="AG23" s="306"/>
      <c r="AH23" s="306"/>
      <c r="AI23" s="306"/>
    </row>
    <row r="24" spans="1:35" ht="12.75" customHeight="1" outlineLevel="1">
      <c r="A24" s="1245" t="s">
        <v>1369</v>
      </c>
      <c r="B24" s="1243" t="s">
        <v>1370</v>
      </c>
      <c r="C24" s="1169" t="s">
        <v>934</v>
      </c>
      <c r="D24" s="1288">
        <v>1</v>
      </c>
      <c r="E24" s="1289">
        <v>2250</v>
      </c>
      <c r="F24" s="1290">
        <f>+ROUND(D24*E24,2)</f>
        <v>2250</v>
      </c>
      <c r="G24" s="1262">
        <v>0</v>
      </c>
      <c r="H24" s="1290">
        <f t="shared" si="15"/>
        <v>0</v>
      </c>
      <c r="I24" s="1602">
        <f t="shared" si="16"/>
        <v>0.65</v>
      </c>
      <c r="J24" s="1291">
        <f t="shared" si="15"/>
        <v>1462.5</v>
      </c>
      <c r="K24" s="1262">
        <v>0.65</v>
      </c>
      <c r="L24" s="1291">
        <f t="shared" ref="L24" si="19">+ROUND($E24*K24,2)</f>
        <v>1462.5</v>
      </c>
      <c r="M24" s="1292">
        <f t="shared" si="0"/>
        <v>0.65</v>
      </c>
      <c r="N24" s="1291">
        <f t="shared" si="4"/>
        <v>0.35</v>
      </c>
      <c r="O24" s="1291">
        <f t="shared" ref="O24" si="20">+ROUND($E24*N24,2)</f>
        <v>787.5</v>
      </c>
      <c r="P24" s="1293">
        <f t="shared" si="1"/>
        <v>0.35</v>
      </c>
      <c r="X24" s="306"/>
      <c r="Y24" s="306"/>
      <c r="Z24" s="306"/>
      <c r="AA24" s="306"/>
      <c r="AB24" s="973"/>
      <c r="AC24" s="973"/>
      <c r="AD24" s="306"/>
      <c r="AE24" s="306"/>
      <c r="AF24" s="306"/>
      <c r="AG24" s="306"/>
      <c r="AH24" s="306"/>
      <c r="AI24" s="306"/>
    </row>
    <row r="25" spans="1:35" s="1172" customFormat="1" ht="12.75" customHeight="1" outlineLevel="1">
      <c r="A25" s="1247" t="s">
        <v>1371</v>
      </c>
      <c r="B25" s="1242" t="s">
        <v>1372</v>
      </c>
      <c r="C25" s="1171"/>
      <c r="D25" s="1294"/>
      <c r="E25" s="1295"/>
      <c r="F25" s="1285">
        <f>+ROUND(F26,2)</f>
        <v>315</v>
      </c>
      <c r="G25" s="1296"/>
      <c r="H25" s="1285">
        <f>+ROUND(H26,2)</f>
        <v>170.1</v>
      </c>
      <c r="I25" s="1606"/>
      <c r="J25" s="1285">
        <f>+ROUND(J26,2)</f>
        <v>34.65</v>
      </c>
      <c r="K25" s="1262"/>
      <c r="L25" s="1285">
        <f>+ROUND(L26,2)</f>
        <v>204.75</v>
      </c>
      <c r="M25" s="1301">
        <f t="shared" si="0"/>
        <v>0.65</v>
      </c>
      <c r="N25" s="1291"/>
      <c r="O25" s="1285">
        <f>+ROUND(O26,2)</f>
        <v>110.25</v>
      </c>
      <c r="P25" s="1302">
        <f t="shared" si="1"/>
        <v>0.35</v>
      </c>
      <c r="R25" s="1322"/>
      <c r="S25" s="1322"/>
      <c r="T25" s="1323"/>
      <c r="U25" s="1323"/>
      <c r="V25" s="1323"/>
      <c r="W25" s="1323"/>
      <c r="X25" s="1173"/>
      <c r="Y25" s="1173"/>
      <c r="Z25" s="1173"/>
      <c r="AA25" s="1173"/>
      <c r="AB25" s="1173"/>
      <c r="AC25" s="1173"/>
      <c r="AD25" s="1173"/>
      <c r="AE25" s="1173"/>
      <c r="AF25" s="1173"/>
      <c r="AG25" s="1173"/>
      <c r="AH25" s="1173"/>
      <c r="AI25" s="1173"/>
    </row>
    <row r="26" spans="1:35" ht="12.75" customHeight="1" outlineLevel="1">
      <c r="A26" s="1245" t="s">
        <v>1373</v>
      </c>
      <c r="B26" s="1243" t="s">
        <v>1374</v>
      </c>
      <c r="C26" s="1169" t="s">
        <v>934</v>
      </c>
      <c r="D26" s="1288">
        <v>1</v>
      </c>
      <c r="E26" s="1289">
        <v>315</v>
      </c>
      <c r="F26" s="1290">
        <f>+ROUND(D26*E26,2)</f>
        <v>315</v>
      </c>
      <c r="G26" s="1263">
        <v>0.54</v>
      </c>
      <c r="H26" s="1290">
        <f>+ROUND($E26*G26,2)</f>
        <v>170.1</v>
      </c>
      <c r="I26" s="1602">
        <f>+K26-G26</f>
        <v>0.10999999999999999</v>
      </c>
      <c r="J26" s="1291">
        <f>+ROUND($E26*I26,2)</f>
        <v>34.65</v>
      </c>
      <c r="K26" s="1262">
        <v>0.65</v>
      </c>
      <c r="L26" s="1291">
        <f>+ROUND($E26*K26,2)</f>
        <v>204.75</v>
      </c>
      <c r="M26" s="1292">
        <f t="shared" ref="M26" si="21">L26/$F26</f>
        <v>0.65</v>
      </c>
      <c r="N26" s="1291">
        <f t="shared" si="4"/>
        <v>0.35</v>
      </c>
      <c r="O26" s="1291">
        <f>+ROUND($E26*N26,2)</f>
        <v>110.25</v>
      </c>
      <c r="P26" s="1293">
        <f t="shared" ref="P26" si="22">+O26/F26</f>
        <v>0.35</v>
      </c>
      <c r="X26" s="306"/>
      <c r="Y26" s="306"/>
      <c r="Z26" s="306"/>
      <c r="AA26" s="306"/>
      <c r="AB26" s="973"/>
      <c r="AC26" s="973"/>
      <c r="AD26" s="306"/>
      <c r="AE26" s="306"/>
      <c r="AF26" s="306"/>
      <c r="AG26" s="306"/>
      <c r="AH26" s="306"/>
      <c r="AI26" s="306"/>
    </row>
    <row r="27" spans="1:35" s="1172" customFormat="1" outlineLevel="1">
      <c r="A27" s="1248" t="s">
        <v>1375</v>
      </c>
      <c r="B27" s="1242" t="s">
        <v>1376</v>
      </c>
      <c r="C27" s="1171"/>
      <c r="D27" s="1294"/>
      <c r="E27" s="1295"/>
      <c r="F27" s="1285">
        <f>+ROUND(F29+F28,2)</f>
        <v>1738.47</v>
      </c>
      <c r="G27" s="1297"/>
      <c r="H27" s="1285">
        <f>+ROUND(H29+H28,2)</f>
        <v>938.77</v>
      </c>
      <c r="I27" s="1607"/>
      <c r="J27" s="1285">
        <f>+ROUND(J29+J28,2)</f>
        <v>191.23</v>
      </c>
      <c r="K27" s="1262"/>
      <c r="L27" s="1285">
        <f>+ROUND(L29+L28,2)</f>
        <v>1130.01</v>
      </c>
      <c r="M27" s="1301">
        <f t="shared" si="0"/>
        <v>0.65000258848297643</v>
      </c>
      <c r="N27" s="1314"/>
      <c r="O27" s="1285">
        <f>+ROUND(O29+O28,2)</f>
        <v>608.46</v>
      </c>
      <c r="P27" s="1302">
        <f t="shared" si="1"/>
        <v>0.34999741151702363</v>
      </c>
      <c r="R27" s="1322"/>
      <c r="S27" s="1322"/>
      <c r="T27" s="1323"/>
      <c r="U27" s="1323"/>
      <c r="V27" s="1323"/>
      <c r="W27" s="1323"/>
      <c r="X27" s="1173"/>
      <c r="Y27" s="1173"/>
      <c r="Z27" s="1173"/>
      <c r="AA27" s="1173"/>
      <c r="AB27" s="1173"/>
      <c r="AC27" s="1173"/>
      <c r="AD27" s="1173"/>
      <c r="AE27" s="1173"/>
      <c r="AF27" s="1173"/>
      <c r="AG27" s="1173"/>
      <c r="AH27" s="1173"/>
      <c r="AI27" s="1173"/>
    </row>
    <row r="28" spans="1:35" outlineLevel="1">
      <c r="A28" s="1245" t="s">
        <v>1377</v>
      </c>
      <c r="B28" s="1243" t="s">
        <v>1378</v>
      </c>
      <c r="C28" s="1169" t="s">
        <v>934</v>
      </c>
      <c r="D28" s="1288">
        <v>1</v>
      </c>
      <c r="E28" s="1289">
        <v>658.47</v>
      </c>
      <c r="F28" s="1290">
        <f>+ROUND(D28*E28,2)</f>
        <v>658.47</v>
      </c>
      <c r="G28" s="1263">
        <v>0.54</v>
      </c>
      <c r="H28" s="1290">
        <f t="shared" ref="H28:J29" si="23">+ROUND($E28*G28,2)</f>
        <v>355.57</v>
      </c>
      <c r="I28" s="1602">
        <f t="shared" ref="I28:I29" si="24">+K28-G28</f>
        <v>0.10999999999999999</v>
      </c>
      <c r="J28" s="1291">
        <f t="shared" si="23"/>
        <v>72.430000000000007</v>
      </c>
      <c r="K28" s="1262">
        <v>0.65</v>
      </c>
      <c r="L28" s="1291">
        <f t="shared" ref="L28" si="25">+ROUND($E28*K28,2)</f>
        <v>428.01</v>
      </c>
      <c r="M28" s="1292">
        <f t="shared" si="0"/>
        <v>0.65000683402432913</v>
      </c>
      <c r="N28" s="1291">
        <f t="shared" si="4"/>
        <v>0.35</v>
      </c>
      <c r="O28" s="1291">
        <f t="shared" ref="O28" si="26">+ROUND($E28*N28,2)</f>
        <v>230.46</v>
      </c>
      <c r="P28" s="1293">
        <f t="shared" si="1"/>
        <v>0.34999316597567087</v>
      </c>
      <c r="X28" s="947"/>
      <c r="Y28" s="306"/>
      <c r="Z28" s="306"/>
      <c r="AA28" s="306"/>
      <c r="AB28" s="306"/>
      <c r="AC28" s="306"/>
      <c r="AD28" s="306"/>
      <c r="AE28" s="306"/>
      <c r="AF28" s="306"/>
      <c r="AG28" s="306"/>
      <c r="AH28" s="306"/>
      <c r="AI28" s="306"/>
    </row>
    <row r="29" spans="1:35" outlineLevel="1">
      <c r="A29" s="1245" t="s">
        <v>1379</v>
      </c>
      <c r="B29" s="1243" t="s">
        <v>1380</v>
      </c>
      <c r="C29" s="1169" t="s">
        <v>934</v>
      </c>
      <c r="D29" s="1288">
        <v>1</v>
      </c>
      <c r="E29" s="1289">
        <v>1080</v>
      </c>
      <c r="F29" s="1290">
        <f>+ROUND(D29*E29,2)</f>
        <v>1080</v>
      </c>
      <c r="G29" s="1263">
        <v>0.54</v>
      </c>
      <c r="H29" s="1290">
        <f t="shared" si="23"/>
        <v>583.20000000000005</v>
      </c>
      <c r="I29" s="1602">
        <f t="shared" si="24"/>
        <v>0.10999999999999999</v>
      </c>
      <c r="J29" s="1291">
        <f t="shared" si="23"/>
        <v>118.8</v>
      </c>
      <c r="K29" s="1262">
        <v>0.65</v>
      </c>
      <c r="L29" s="1291">
        <f t="shared" ref="L29" si="27">+ROUND($E29*K29,2)</f>
        <v>702</v>
      </c>
      <c r="M29" s="1292">
        <f t="shared" si="0"/>
        <v>0.65</v>
      </c>
      <c r="N29" s="1291">
        <f t="shared" si="4"/>
        <v>0.35</v>
      </c>
      <c r="O29" s="1291">
        <f t="shared" ref="O29" si="28">+ROUND($E29*N29,2)</f>
        <v>378</v>
      </c>
      <c r="P29" s="1293">
        <f t="shared" si="1"/>
        <v>0.35</v>
      </c>
      <c r="X29" s="306"/>
      <c r="Y29" s="306"/>
      <c r="Z29" s="306"/>
      <c r="AA29" s="306"/>
      <c r="AB29" s="306"/>
      <c r="AC29" s="306"/>
      <c r="AD29" s="306"/>
      <c r="AE29" s="306"/>
      <c r="AF29" s="306"/>
      <c r="AG29" s="306"/>
      <c r="AH29" s="306"/>
      <c r="AI29" s="306"/>
    </row>
    <row r="30" spans="1:35" s="1172" customFormat="1" outlineLevel="1">
      <c r="A30" s="1248" t="s">
        <v>1166</v>
      </c>
      <c r="B30" s="1242" t="s">
        <v>1381</v>
      </c>
      <c r="C30" s="1171"/>
      <c r="D30" s="1294"/>
      <c r="E30" s="1295"/>
      <c r="F30" s="1285">
        <f>+ROUND(F31+F33,2)</f>
        <v>77240.850000000006</v>
      </c>
      <c r="G30" s="1297"/>
      <c r="H30" s="1285">
        <f>+ROUND(H31+H33,2)</f>
        <v>67034.28</v>
      </c>
      <c r="I30" s="1607"/>
      <c r="J30" s="1285">
        <f>+ROUND(J31+J33,2)</f>
        <v>0</v>
      </c>
      <c r="K30" s="1262"/>
      <c r="L30" s="1285">
        <f>+ROUND(L31+L33,2)</f>
        <v>67034.28</v>
      </c>
      <c r="M30" s="1301">
        <f t="shared" ref="M30" si="29">L30/$F30</f>
        <v>0.86786046502595449</v>
      </c>
      <c r="N30" s="1314"/>
      <c r="O30" s="1285">
        <f>+ROUND(O31+O33,2)</f>
        <v>10206.57</v>
      </c>
      <c r="P30" s="1302">
        <f t="shared" ref="P30" si="30">+O30/F30</f>
        <v>0.13213953497404546</v>
      </c>
      <c r="R30" s="1322"/>
      <c r="S30" s="1322"/>
      <c r="T30" s="1323"/>
      <c r="U30" s="1323"/>
      <c r="V30" s="1323"/>
      <c r="W30" s="1323"/>
      <c r="X30" s="1173"/>
      <c r="Y30" s="1173"/>
      <c r="Z30" s="1173"/>
      <c r="AA30" s="1173"/>
      <c r="AB30" s="1173"/>
      <c r="AC30" s="1173"/>
      <c r="AD30" s="1173"/>
      <c r="AE30" s="1173"/>
      <c r="AF30" s="1173"/>
      <c r="AG30" s="1173"/>
      <c r="AH30" s="1173"/>
      <c r="AI30" s="1173"/>
    </row>
    <row r="31" spans="1:35" s="1172" customFormat="1" ht="12.75" customHeight="1" outlineLevel="1">
      <c r="A31" s="1248" t="s">
        <v>1167</v>
      </c>
      <c r="B31" s="1242" t="s">
        <v>1382</v>
      </c>
      <c r="C31" s="1171"/>
      <c r="D31" s="1294"/>
      <c r="E31" s="1295"/>
      <c r="F31" s="1285">
        <f>+ROUND(F32,2)</f>
        <v>20413.14</v>
      </c>
      <c r="G31" s="1297"/>
      <c r="H31" s="1285">
        <f>+ROUND(H32,2)</f>
        <v>10206.57</v>
      </c>
      <c r="I31" s="1607"/>
      <c r="J31" s="1285">
        <f>+ROUND(J32,2)</f>
        <v>0</v>
      </c>
      <c r="K31" s="1262"/>
      <c r="L31" s="1285">
        <f>+ROUND(L32,2)</f>
        <v>10206.57</v>
      </c>
      <c r="M31" s="1301">
        <f t="shared" si="0"/>
        <v>0.5</v>
      </c>
      <c r="N31" s="1314"/>
      <c r="O31" s="1285">
        <f>+ROUND(O32,2)</f>
        <v>10206.57</v>
      </c>
      <c r="P31" s="1302">
        <f t="shared" si="1"/>
        <v>0.5</v>
      </c>
      <c r="R31" s="1322"/>
      <c r="S31" s="1322"/>
      <c r="T31" s="1323"/>
      <c r="U31" s="1323"/>
      <c r="V31" s="1323"/>
      <c r="W31" s="1323"/>
      <c r="X31" s="1173"/>
      <c r="Y31" s="1173"/>
      <c r="Z31" s="1173"/>
      <c r="AA31" s="1173"/>
      <c r="AB31" s="1173"/>
      <c r="AC31" s="1173"/>
      <c r="AD31" s="1173"/>
      <c r="AE31" s="1173"/>
      <c r="AF31" s="1173"/>
      <c r="AG31" s="1173"/>
      <c r="AH31" s="1173"/>
      <c r="AI31" s="1173"/>
    </row>
    <row r="32" spans="1:35" ht="12.75" customHeight="1" outlineLevel="1">
      <c r="A32" s="1245" t="s">
        <v>1383</v>
      </c>
      <c r="B32" s="1243" t="s">
        <v>1384</v>
      </c>
      <c r="C32" s="1169" t="s">
        <v>934</v>
      </c>
      <c r="D32" s="1288">
        <v>1</v>
      </c>
      <c r="E32" s="1289">
        <v>20413.14</v>
      </c>
      <c r="F32" s="1290">
        <f>+ROUND(D32*E32,2)</f>
        <v>20413.14</v>
      </c>
      <c r="G32" s="1262">
        <v>0.5</v>
      </c>
      <c r="H32" s="1290">
        <f>+ROUND($E32*G32,2)</f>
        <v>10206.57</v>
      </c>
      <c r="I32" s="1602">
        <f>+K32-G32</f>
        <v>0</v>
      </c>
      <c r="J32" s="1291">
        <f>+ROUND($E32*I32,2)</f>
        <v>0</v>
      </c>
      <c r="K32" s="1262">
        <v>0.5</v>
      </c>
      <c r="L32" s="1291">
        <f>+ROUND($E32*K32,2)</f>
        <v>10206.57</v>
      </c>
      <c r="M32" s="1292">
        <f t="shared" si="0"/>
        <v>0.5</v>
      </c>
      <c r="N32" s="1291">
        <f t="shared" si="4"/>
        <v>0.5</v>
      </c>
      <c r="O32" s="1291">
        <f>+ROUND($E32*N32,2)</f>
        <v>10206.57</v>
      </c>
      <c r="P32" s="1293">
        <f t="shared" si="1"/>
        <v>0.5</v>
      </c>
      <c r="X32" s="306"/>
      <c r="Y32" s="306"/>
      <c r="Z32" s="306"/>
      <c r="AA32" s="306"/>
      <c r="AB32" s="306"/>
      <c r="AC32" s="306"/>
      <c r="AD32" s="306"/>
      <c r="AE32" s="306"/>
      <c r="AF32" s="306"/>
      <c r="AG32" s="306"/>
      <c r="AH32" s="306"/>
      <c r="AI32" s="306"/>
    </row>
    <row r="33" spans="1:35" s="1172" customFormat="1" ht="12.75" customHeight="1" outlineLevel="1">
      <c r="A33" s="1248" t="s">
        <v>1168</v>
      </c>
      <c r="B33" s="1242" t="s">
        <v>1385</v>
      </c>
      <c r="C33" s="1171"/>
      <c r="D33" s="1294"/>
      <c r="E33" s="1295"/>
      <c r="F33" s="1285">
        <f>+ROUND(F34,2)</f>
        <v>56827.71</v>
      </c>
      <c r="G33" s="1297"/>
      <c r="H33" s="1285">
        <f>+ROUND(H34,2)</f>
        <v>56827.71</v>
      </c>
      <c r="I33" s="1607"/>
      <c r="J33" s="1285">
        <f>+ROUND(J34,2)</f>
        <v>0</v>
      </c>
      <c r="K33" s="1262"/>
      <c r="L33" s="1285">
        <f>+ROUND(L34,2)</f>
        <v>56827.71</v>
      </c>
      <c r="M33" s="1301">
        <f t="shared" si="0"/>
        <v>1</v>
      </c>
      <c r="N33" s="1314"/>
      <c r="O33" s="1285">
        <f>+ROUND(O34,2)</f>
        <v>0</v>
      </c>
      <c r="P33" s="1302">
        <f t="shared" si="1"/>
        <v>0</v>
      </c>
      <c r="R33" s="1322"/>
      <c r="S33" s="1322"/>
      <c r="T33" s="1323"/>
      <c r="U33" s="1323"/>
      <c r="V33" s="1323"/>
      <c r="W33" s="1323"/>
      <c r="X33" s="1173"/>
      <c r="Y33" s="1173"/>
      <c r="Z33" s="1173"/>
      <c r="AA33" s="1173"/>
      <c r="AB33" s="1173"/>
      <c r="AC33" s="1173"/>
      <c r="AD33" s="1173"/>
      <c r="AE33" s="1173"/>
      <c r="AF33" s="1173"/>
      <c r="AG33" s="1173"/>
      <c r="AH33" s="1173"/>
      <c r="AI33" s="1173"/>
    </row>
    <row r="34" spans="1:35" ht="12.75" customHeight="1" outlineLevel="1">
      <c r="A34" s="1245" t="s">
        <v>1386</v>
      </c>
      <c r="B34" s="1243" t="s">
        <v>1387</v>
      </c>
      <c r="C34" s="1169" t="s">
        <v>434</v>
      </c>
      <c r="D34" s="1288">
        <v>36901.11</v>
      </c>
      <c r="E34" s="1289">
        <v>1.54</v>
      </c>
      <c r="F34" s="1290">
        <f>+ROUND(D34*E34,2)</f>
        <v>56827.71</v>
      </c>
      <c r="G34" s="1262">
        <v>36901.11</v>
      </c>
      <c r="H34" s="1290">
        <f>+ROUND($E34*G34,2)</f>
        <v>56827.71</v>
      </c>
      <c r="I34" s="1602">
        <f>+K34-G34</f>
        <v>0</v>
      </c>
      <c r="J34" s="1291">
        <f>+ROUND($E34*I34,2)</f>
        <v>0</v>
      </c>
      <c r="K34" s="1262">
        <v>36901.11</v>
      </c>
      <c r="L34" s="1291">
        <f>+ROUND($E34*K34,2)</f>
        <v>56827.71</v>
      </c>
      <c r="M34" s="1292">
        <f t="shared" si="0"/>
        <v>1</v>
      </c>
      <c r="N34" s="1291">
        <f t="shared" si="4"/>
        <v>0</v>
      </c>
      <c r="O34" s="1291">
        <f>+ROUND($E34*N34,2)</f>
        <v>0</v>
      </c>
      <c r="P34" s="1293">
        <f t="shared" si="1"/>
        <v>0</v>
      </c>
      <c r="X34" s="306"/>
      <c r="Y34" s="306"/>
      <c r="Z34" s="306"/>
      <c r="AA34" s="306"/>
      <c r="AB34" s="306"/>
      <c r="AC34" s="306"/>
      <c r="AD34" s="306"/>
      <c r="AE34" s="306"/>
      <c r="AF34" s="306"/>
      <c r="AG34" s="306"/>
      <c r="AH34" s="306"/>
      <c r="AI34" s="306"/>
    </row>
    <row r="35" spans="1:35" ht="12.75" customHeight="1" outlineLevel="1">
      <c r="A35" s="1249" t="s">
        <v>1170</v>
      </c>
      <c r="B35" s="1250" t="s">
        <v>1388</v>
      </c>
      <c r="C35" s="1166"/>
      <c r="D35" s="1278"/>
      <c r="E35" s="1278"/>
      <c r="F35" s="1279">
        <f>+ROUND(F39+F38+F37+F36+F40,2)</f>
        <v>172899.72</v>
      </c>
      <c r="G35" s="1280"/>
      <c r="H35" s="1279">
        <f>+ROUND(H39+H38+H37+H36+H40,2)</f>
        <v>93365.85</v>
      </c>
      <c r="I35" s="1280"/>
      <c r="J35" s="1281">
        <f>+ROUND(J39+J38+J37+J36+J40,2)</f>
        <v>19018.97</v>
      </c>
      <c r="K35" s="1262"/>
      <c r="L35" s="1281">
        <f>+ROUND(L39+L38+L37+L36+L40,2)</f>
        <v>112384.82</v>
      </c>
      <c r="M35" s="1282">
        <f t="shared" si="0"/>
        <v>0.65000001156739873</v>
      </c>
      <c r="N35" s="1280"/>
      <c r="O35" s="1281">
        <f>+ROUND(O39+O38+O37+O36+O40,2)</f>
        <v>60514.9</v>
      </c>
      <c r="P35" s="1283">
        <f t="shared" ref="P35:P51" si="31">+O35/F35</f>
        <v>0.34999998843260127</v>
      </c>
    </row>
    <row r="36" spans="1:35" ht="12.75" customHeight="1" outlineLevel="1">
      <c r="A36" s="1245" t="s">
        <v>1171</v>
      </c>
      <c r="B36" s="1243" t="s">
        <v>1389</v>
      </c>
      <c r="C36" s="1169" t="s">
        <v>934</v>
      </c>
      <c r="D36" s="1288">
        <v>1</v>
      </c>
      <c r="E36" s="1289">
        <v>145253.15</v>
      </c>
      <c r="F36" s="1290">
        <f>+ROUND(D36*E36,2)</f>
        <v>145253.15</v>
      </c>
      <c r="G36" s="1262">
        <v>0.54</v>
      </c>
      <c r="H36" s="1290">
        <f t="shared" ref="H36:J40" si="32">+ROUND($E36*G36,2)</f>
        <v>78436.7</v>
      </c>
      <c r="I36" s="1602">
        <f t="shared" ref="I36:I40" si="33">+K36-G36</f>
        <v>0.10999999999999999</v>
      </c>
      <c r="J36" s="1291">
        <f t="shared" si="32"/>
        <v>15977.85</v>
      </c>
      <c r="K36" s="1262">
        <v>0.65</v>
      </c>
      <c r="L36" s="1291">
        <f t="shared" ref="L36" si="34">+ROUND($E36*K36,2)</f>
        <v>94414.55</v>
      </c>
      <c r="M36" s="1292">
        <f t="shared" si="0"/>
        <v>0.65000001721133072</v>
      </c>
      <c r="N36" s="1291">
        <f t="shared" si="4"/>
        <v>0.35</v>
      </c>
      <c r="O36" s="1291">
        <f t="shared" ref="O36" si="35">+ROUND($E36*N36,2)</f>
        <v>50838.6</v>
      </c>
      <c r="P36" s="1293">
        <f t="shared" si="31"/>
        <v>0.34999998278866928</v>
      </c>
      <c r="X36" s="695"/>
      <c r="Y36" s="695"/>
      <c r="Z36" s="695"/>
      <c r="AA36" s="695"/>
      <c r="AB36" s="1075"/>
      <c r="AC36" s="306"/>
      <c r="AD36" s="695"/>
      <c r="AE36" s="695"/>
      <c r="AF36" s="306"/>
      <c r="AG36" s="306"/>
      <c r="AH36" s="695"/>
      <c r="AI36" s="695"/>
    </row>
    <row r="37" spans="1:35" ht="12.75" customHeight="1" outlineLevel="1">
      <c r="A37" s="1245" t="s">
        <v>1390</v>
      </c>
      <c r="B37" s="1243" t="s">
        <v>1391</v>
      </c>
      <c r="C37" s="1169" t="s">
        <v>934</v>
      </c>
      <c r="D37" s="1288">
        <v>1</v>
      </c>
      <c r="E37" s="1289">
        <v>20608.560000000001</v>
      </c>
      <c r="F37" s="1290">
        <f>+ROUND(D37*E37,2)</f>
        <v>20608.560000000001</v>
      </c>
      <c r="G37" s="1263">
        <v>0.54</v>
      </c>
      <c r="H37" s="1290">
        <f t="shared" si="32"/>
        <v>11128.62</v>
      </c>
      <c r="I37" s="1602">
        <f t="shared" si="33"/>
        <v>0.10999999999999999</v>
      </c>
      <c r="J37" s="1291">
        <f t="shared" si="32"/>
        <v>2266.94</v>
      </c>
      <c r="K37" s="1262">
        <v>0.65</v>
      </c>
      <c r="L37" s="1291">
        <f t="shared" ref="L37" si="36">+ROUND($E37*K37,2)</f>
        <v>13395.56</v>
      </c>
      <c r="M37" s="1292">
        <f t="shared" si="0"/>
        <v>0.64999980590589534</v>
      </c>
      <c r="N37" s="1291">
        <f t="shared" si="4"/>
        <v>0.35</v>
      </c>
      <c r="O37" s="1291">
        <f t="shared" ref="O37" si="37">+ROUND($E37*N37,2)</f>
        <v>7213</v>
      </c>
      <c r="P37" s="1293">
        <f t="shared" si="31"/>
        <v>0.35000019409410454</v>
      </c>
      <c r="X37" s="306"/>
      <c r="Y37" s="306"/>
      <c r="Z37" s="306"/>
      <c r="AA37" s="306"/>
      <c r="AB37" s="306"/>
      <c r="AC37" s="306"/>
      <c r="AD37" s="306"/>
      <c r="AE37" s="306"/>
      <c r="AF37" s="306"/>
      <c r="AG37" s="306"/>
      <c r="AH37" s="306"/>
      <c r="AI37" s="306"/>
    </row>
    <row r="38" spans="1:35" ht="12.75" customHeight="1" outlineLevel="1">
      <c r="A38" s="1245" t="s">
        <v>1392</v>
      </c>
      <c r="B38" s="1243" t="s">
        <v>1393</v>
      </c>
      <c r="C38" s="1169" t="s">
        <v>934</v>
      </c>
      <c r="D38" s="1288">
        <v>1</v>
      </c>
      <c r="E38" s="1289">
        <v>288.01</v>
      </c>
      <c r="F38" s="1290">
        <f>+ROUND(D38*E38,2)</f>
        <v>288.01</v>
      </c>
      <c r="G38" s="1263">
        <v>0.54</v>
      </c>
      <c r="H38" s="1290">
        <f t="shared" si="32"/>
        <v>155.53</v>
      </c>
      <c r="I38" s="1602">
        <f t="shared" si="33"/>
        <v>0.10999999999999999</v>
      </c>
      <c r="J38" s="1291">
        <f t="shared" si="32"/>
        <v>31.68</v>
      </c>
      <c r="K38" s="1262">
        <v>0.65</v>
      </c>
      <c r="L38" s="1291">
        <f t="shared" ref="L38" si="38">+ROUND($E38*K38,2)</f>
        <v>187.21</v>
      </c>
      <c r="M38" s="1292">
        <f t="shared" si="0"/>
        <v>0.65001215235582099</v>
      </c>
      <c r="N38" s="1291">
        <f t="shared" si="4"/>
        <v>0.35</v>
      </c>
      <c r="O38" s="1291">
        <f t="shared" ref="O38" si="39">+ROUND($E38*N38,2)</f>
        <v>100.8</v>
      </c>
      <c r="P38" s="1293">
        <f t="shared" si="31"/>
        <v>0.34998784764417901</v>
      </c>
      <c r="X38" s="306"/>
      <c r="Y38" s="306"/>
      <c r="Z38" s="306"/>
      <c r="AA38" s="306"/>
      <c r="AB38" s="306"/>
      <c r="AC38" s="306"/>
      <c r="AD38" s="306"/>
      <c r="AE38" s="306"/>
      <c r="AF38" s="306"/>
      <c r="AG38" s="306"/>
      <c r="AH38" s="306"/>
      <c r="AI38" s="306"/>
    </row>
    <row r="39" spans="1:35" ht="12.75" customHeight="1" outlineLevel="1">
      <c r="A39" s="1245" t="s">
        <v>1394</v>
      </c>
      <c r="B39" s="1243" t="s">
        <v>1395</v>
      </c>
      <c r="C39" s="1169" t="s">
        <v>934</v>
      </c>
      <c r="D39" s="1288">
        <v>1</v>
      </c>
      <c r="E39" s="1289">
        <v>3600</v>
      </c>
      <c r="F39" s="1290">
        <f>+ROUND(D39*E39,2)</f>
        <v>3600</v>
      </c>
      <c r="G39" s="1263">
        <v>0.54</v>
      </c>
      <c r="H39" s="1290">
        <f t="shared" si="32"/>
        <v>1944</v>
      </c>
      <c r="I39" s="1602">
        <f t="shared" si="33"/>
        <v>0.10999999999999999</v>
      </c>
      <c r="J39" s="1291">
        <f t="shared" si="32"/>
        <v>396</v>
      </c>
      <c r="K39" s="1262">
        <v>0.65</v>
      </c>
      <c r="L39" s="1291">
        <f t="shared" ref="L39" si="40">+ROUND($E39*K39,2)</f>
        <v>2340</v>
      </c>
      <c r="M39" s="1292">
        <f t="shared" si="0"/>
        <v>0.65</v>
      </c>
      <c r="N39" s="1291">
        <f t="shared" si="4"/>
        <v>0.35</v>
      </c>
      <c r="O39" s="1291">
        <f t="shared" ref="O39" si="41">+ROUND($E39*N39,2)</f>
        <v>1260</v>
      </c>
      <c r="P39" s="1293">
        <f t="shared" si="31"/>
        <v>0.35</v>
      </c>
      <c r="X39" s="306"/>
      <c r="Y39" s="306"/>
      <c r="Z39" s="306"/>
      <c r="AA39" s="306"/>
      <c r="AB39" s="306"/>
      <c r="AC39" s="306"/>
      <c r="AD39" s="306"/>
      <c r="AE39" s="306"/>
      <c r="AF39" s="306"/>
      <c r="AG39" s="306"/>
      <c r="AH39" s="306"/>
      <c r="AI39" s="306"/>
    </row>
    <row r="40" spans="1:35" ht="12.75" customHeight="1" outlineLevel="1">
      <c r="A40" s="1245" t="s">
        <v>1396</v>
      </c>
      <c r="B40" s="1243" t="s">
        <v>1397</v>
      </c>
      <c r="C40" s="1169" t="s">
        <v>934</v>
      </c>
      <c r="D40" s="1288">
        <v>1</v>
      </c>
      <c r="E40" s="1289">
        <v>3150</v>
      </c>
      <c r="F40" s="1290">
        <f>+ROUND(D40*E40,2)</f>
        <v>3150</v>
      </c>
      <c r="G40" s="1263">
        <v>0.54</v>
      </c>
      <c r="H40" s="1290">
        <f t="shared" si="32"/>
        <v>1701</v>
      </c>
      <c r="I40" s="1602">
        <f t="shared" si="33"/>
        <v>0.10999999999999999</v>
      </c>
      <c r="J40" s="1291">
        <f t="shared" si="32"/>
        <v>346.5</v>
      </c>
      <c r="K40" s="1262">
        <v>0.65</v>
      </c>
      <c r="L40" s="1291">
        <f t="shared" ref="L40" si="42">+ROUND($E40*K40,2)</f>
        <v>2047.5</v>
      </c>
      <c r="M40" s="1292">
        <f t="shared" si="0"/>
        <v>0.65</v>
      </c>
      <c r="N40" s="1291">
        <f t="shared" si="4"/>
        <v>0.35</v>
      </c>
      <c r="O40" s="1291">
        <f t="shared" ref="O40" si="43">+ROUND($E40*N40,2)</f>
        <v>1102.5</v>
      </c>
      <c r="P40" s="1293">
        <f t="shared" si="31"/>
        <v>0.35</v>
      </c>
      <c r="X40" s="306"/>
      <c r="Y40" s="306"/>
      <c r="Z40" s="306"/>
      <c r="AA40" s="306"/>
      <c r="AB40" s="306"/>
      <c r="AC40" s="306"/>
      <c r="AD40" s="306"/>
      <c r="AE40" s="306"/>
      <c r="AF40" s="306"/>
      <c r="AG40" s="306"/>
      <c r="AH40" s="306"/>
      <c r="AI40" s="306"/>
    </row>
    <row r="41" spans="1:35" ht="12.75" customHeight="1" outlineLevel="1">
      <c r="A41" s="1167"/>
      <c r="B41" s="1168"/>
      <c r="C41" s="1169"/>
      <c r="D41" s="1288"/>
      <c r="E41" s="1289"/>
      <c r="F41" s="1290"/>
      <c r="G41" s="1262"/>
      <c r="H41" s="1290"/>
      <c r="I41" s="1602"/>
      <c r="J41" s="1291"/>
      <c r="K41" s="1262"/>
      <c r="L41" s="1291"/>
      <c r="M41" s="1292"/>
      <c r="N41" s="1291"/>
      <c r="O41" s="1291"/>
      <c r="P41" s="1293"/>
      <c r="X41" s="306"/>
      <c r="Y41" s="306"/>
      <c r="Z41" s="306"/>
      <c r="AA41" s="306"/>
      <c r="AB41" s="306"/>
      <c r="AC41" s="306"/>
      <c r="AD41" s="306"/>
      <c r="AE41" s="306"/>
      <c r="AF41" s="306"/>
      <c r="AG41" s="306"/>
      <c r="AH41" s="306"/>
      <c r="AI41" s="306"/>
    </row>
    <row r="42" spans="1:35" ht="12.75" customHeight="1">
      <c r="A42" s="1264" t="s">
        <v>478</v>
      </c>
      <c r="B42" s="1265" t="s">
        <v>1398</v>
      </c>
      <c r="C42" s="1266"/>
      <c r="D42" s="1272"/>
      <c r="E42" s="1272"/>
      <c r="F42" s="1273">
        <f>+ROUND(F43+F71+F88,2)</f>
        <v>4130297.29</v>
      </c>
      <c r="G42" s="1274"/>
      <c r="H42" s="1273">
        <f>+ROUND(H43+H71+H88,2)</f>
        <v>1386546.04</v>
      </c>
      <c r="I42" s="1274"/>
      <c r="J42" s="1275">
        <f>+ROUND(J43+J71+J88,2)</f>
        <v>970526.58</v>
      </c>
      <c r="K42" s="1274"/>
      <c r="L42" s="1275">
        <f>+ROUND(L43+L71+L88,2)</f>
        <v>2357072.63</v>
      </c>
      <c r="M42" s="1276">
        <f t="shared" si="0"/>
        <v>0.57067868594030424</v>
      </c>
      <c r="N42" s="1274"/>
      <c r="O42" s="1275">
        <f>+ROUND(O43+O71+O88,2)</f>
        <v>1773224.67</v>
      </c>
      <c r="P42" s="1277">
        <f t="shared" si="31"/>
        <v>0.42932131648082889</v>
      </c>
    </row>
    <row r="43" spans="1:35" ht="12.75" customHeight="1" outlineLevel="1">
      <c r="A43" s="1249" t="s">
        <v>1172</v>
      </c>
      <c r="B43" s="1250" t="s">
        <v>1399</v>
      </c>
      <c r="C43" s="1166"/>
      <c r="D43" s="1278"/>
      <c r="E43" s="1278"/>
      <c r="F43" s="1279">
        <f>+ROUND(F44+F50+F52+F57+F59+F68,2)</f>
        <v>3718820.25</v>
      </c>
      <c r="G43" s="1280"/>
      <c r="H43" s="1279">
        <f>+ROUND(H44+H50+H52+H57+H59+H68,2)</f>
        <v>1386546.04</v>
      </c>
      <c r="I43" s="1280"/>
      <c r="J43" s="1281">
        <f>+ROUND(J44+J50+J52+J57+J59+J68,2)</f>
        <v>970526.58</v>
      </c>
      <c r="K43" s="1280"/>
      <c r="L43" s="1281">
        <f>+ROUND(L44+L50+L52+L57+L59+L68,2)</f>
        <v>2357072.63</v>
      </c>
      <c r="M43" s="1282">
        <f t="shared" si="0"/>
        <v>0.6338226834168712</v>
      </c>
      <c r="N43" s="1280"/>
      <c r="O43" s="1281">
        <f>+ROUND(O44+O50+O52+O57+O59+O68,2)</f>
        <v>1361747.63</v>
      </c>
      <c r="P43" s="1283">
        <f t="shared" si="31"/>
        <v>0.36617731927215358</v>
      </c>
    </row>
    <row r="44" spans="1:35" ht="12.75" customHeight="1" outlineLevel="1">
      <c r="A44" s="1244" t="s">
        <v>640</v>
      </c>
      <c r="B44" s="1242" t="s">
        <v>1400</v>
      </c>
      <c r="C44" s="1166"/>
      <c r="D44" s="1278"/>
      <c r="E44" s="1278"/>
      <c r="F44" s="1285">
        <f>+ROUND(F48+F47+F46+F45+F49,2)</f>
        <v>298322.98</v>
      </c>
      <c r="G44" s="1280"/>
      <c r="H44" s="1285">
        <f>+ROUND(H48+H47+H46+H45+H49,2)</f>
        <v>165714.06</v>
      </c>
      <c r="I44" s="1280"/>
      <c r="J44" s="1281">
        <f>+ROUND(J48+J47+J46+J45+J49,2)</f>
        <v>109513.72</v>
      </c>
      <c r="K44" s="1280"/>
      <c r="L44" s="1281">
        <f>+ROUND(L48+L47+L46+L45+L49,2)</f>
        <v>275227.78000000003</v>
      </c>
      <c r="M44" s="1282">
        <f t="shared" ref="M44" si="44">L44/$F44</f>
        <v>0.92258323512322127</v>
      </c>
      <c r="N44" s="1280"/>
      <c r="O44" s="1287">
        <f>+ROUND(O48+O47+O46+O45+O49,2)</f>
        <v>23095.19</v>
      </c>
      <c r="P44" s="1302">
        <f t="shared" ref="P44" si="45">+O44/F44</f>
        <v>7.7416731356062474E-2</v>
      </c>
    </row>
    <row r="45" spans="1:35" ht="12.75" customHeight="1" outlineLevel="1">
      <c r="A45" s="1245" t="s">
        <v>1401</v>
      </c>
      <c r="B45" s="1243" t="s">
        <v>1402</v>
      </c>
      <c r="C45" s="1169" t="s">
        <v>434</v>
      </c>
      <c r="D45" s="1288">
        <v>15662.29</v>
      </c>
      <c r="E45" s="1289">
        <v>6.72</v>
      </c>
      <c r="F45" s="1290">
        <f>+ROUND(D45*E45,2)</f>
        <v>105250.59</v>
      </c>
      <c r="G45" s="1262">
        <v>12284</v>
      </c>
      <c r="H45" s="1290">
        <f t="shared" ref="H45:J49" si="46">+ROUND($E45*G45,2)</f>
        <v>82548.479999999996</v>
      </c>
      <c r="I45" s="1602">
        <f t="shared" ref="I45:I49" si="47">+K45-G45</f>
        <v>2399.5300000000007</v>
      </c>
      <c r="J45" s="1291">
        <f t="shared" si="46"/>
        <v>16124.84</v>
      </c>
      <c r="K45" s="1262">
        <v>14683.53</v>
      </c>
      <c r="L45" s="1291">
        <f t="shared" ref="L45" si="48">+ROUND($E45*K45,2)</f>
        <v>98673.32</v>
      </c>
      <c r="M45" s="1292">
        <f t="shared" ref="M45:M49" si="49">L45/$F45</f>
        <v>0.9375084738242323</v>
      </c>
      <c r="N45" s="1291">
        <f t="shared" si="4"/>
        <v>978.76000000000022</v>
      </c>
      <c r="O45" s="1291">
        <f t="shared" ref="O45" si="50">+ROUND($E45*N45,2)</f>
        <v>6577.27</v>
      </c>
      <c r="P45" s="1293">
        <f t="shared" si="31"/>
        <v>6.249152617576776E-2</v>
      </c>
      <c r="X45" s="695"/>
      <c r="Y45" s="695"/>
      <c r="Z45" s="695"/>
      <c r="AA45" s="695"/>
      <c r="AB45" s="1075"/>
      <c r="AC45" s="306"/>
      <c r="AD45" s="695"/>
      <c r="AE45" s="695"/>
      <c r="AF45" s="306"/>
      <c r="AG45" s="306"/>
      <c r="AH45" s="695"/>
      <c r="AI45" s="695"/>
    </row>
    <row r="46" spans="1:35" ht="12.75" customHeight="1" outlineLevel="1">
      <c r="A46" s="1245" t="s">
        <v>1403</v>
      </c>
      <c r="B46" s="1243" t="s">
        <v>1404</v>
      </c>
      <c r="C46" s="1169" t="s">
        <v>434</v>
      </c>
      <c r="D46" s="1288">
        <v>3639.35</v>
      </c>
      <c r="E46" s="1289">
        <v>17.329999999999998</v>
      </c>
      <c r="F46" s="1290">
        <f>+ROUND(D46*E46,2)</f>
        <v>63069.94</v>
      </c>
      <c r="G46" s="1262">
        <v>0</v>
      </c>
      <c r="H46" s="1290">
        <f t="shared" si="46"/>
        <v>0</v>
      </c>
      <c r="I46" s="1602">
        <f t="shared" si="47"/>
        <v>3247.34</v>
      </c>
      <c r="J46" s="1291">
        <f t="shared" si="46"/>
        <v>56276.4</v>
      </c>
      <c r="K46" s="1262">
        <v>3247.34</v>
      </c>
      <c r="L46" s="1291">
        <f t="shared" ref="L46" si="51">+ROUND($E46*K46,2)</f>
        <v>56276.4</v>
      </c>
      <c r="M46" s="1292">
        <f t="shared" si="49"/>
        <v>0.89228561181443966</v>
      </c>
      <c r="N46" s="1291">
        <f t="shared" si="4"/>
        <v>392.00999999999976</v>
      </c>
      <c r="O46" s="1291">
        <f t="shared" ref="O46" si="52">+ROUND($E46*N46,2)</f>
        <v>6793.53</v>
      </c>
      <c r="P46" s="1293">
        <f t="shared" si="31"/>
        <v>0.10771422963142187</v>
      </c>
      <c r="X46" s="306"/>
      <c r="Y46" s="306"/>
      <c r="Z46" s="306"/>
      <c r="AA46" s="306"/>
      <c r="AB46" s="306"/>
      <c r="AC46" s="306"/>
      <c r="AD46" s="306"/>
      <c r="AE46" s="306"/>
      <c r="AF46" s="306"/>
      <c r="AG46" s="306"/>
      <c r="AH46" s="306"/>
      <c r="AI46" s="306"/>
    </row>
    <row r="47" spans="1:35" ht="12.75" customHeight="1" outlineLevel="1">
      <c r="A47" s="1245" t="s">
        <v>1405</v>
      </c>
      <c r="B47" s="1243" t="s">
        <v>1406</v>
      </c>
      <c r="C47" s="1169" t="s">
        <v>431</v>
      </c>
      <c r="D47" s="1288">
        <v>3356.48</v>
      </c>
      <c r="E47" s="1289">
        <v>20.81</v>
      </c>
      <c r="F47" s="1290">
        <f>+ROUND(D47*E47,2)</f>
        <v>69848.350000000006</v>
      </c>
      <c r="G47" s="1262">
        <v>3033.05</v>
      </c>
      <c r="H47" s="1290">
        <f t="shared" si="46"/>
        <v>63117.77</v>
      </c>
      <c r="I47" s="1602">
        <f t="shared" si="47"/>
        <v>242.04999999999973</v>
      </c>
      <c r="J47" s="1291">
        <f t="shared" si="46"/>
        <v>5037.0600000000004</v>
      </c>
      <c r="K47" s="1262">
        <v>3275.1</v>
      </c>
      <c r="L47" s="1291">
        <f t="shared" ref="L47" si="53">+ROUND($E47*K47,2)</f>
        <v>68154.83</v>
      </c>
      <c r="M47" s="1292">
        <f t="shared" si="49"/>
        <v>0.9757543306320049</v>
      </c>
      <c r="N47" s="1291">
        <f t="shared" si="4"/>
        <v>81.380000000000109</v>
      </c>
      <c r="O47" s="1291">
        <f t="shared" ref="O47" si="54">+ROUND($E47*N47,2)</f>
        <v>1693.52</v>
      </c>
      <c r="P47" s="1293">
        <f t="shared" si="31"/>
        <v>2.424566936799509E-2</v>
      </c>
      <c r="X47" s="306"/>
      <c r="Y47" s="306"/>
      <c r="Z47" s="306"/>
      <c r="AA47" s="306"/>
      <c r="AB47" s="306"/>
      <c r="AC47" s="306"/>
      <c r="AD47" s="306"/>
      <c r="AE47" s="306"/>
      <c r="AF47" s="306"/>
      <c r="AG47" s="306"/>
      <c r="AH47" s="306"/>
      <c r="AI47" s="306"/>
    </row>
    <row r="48" spans="1:35" ht="12.75" customHeight="1" outlineLevel="1">
      <c r="A48" s="1245" t="s">
        <v>1407</v>
      </c>
      <c r="B48" s="1243" t="s">
        <v>1408</v>
      </c>
      <c r="C48" s="1169" t="s">
        <v>431</v>
      </c>
      <c r="D48" s="1288">
        <v>197.79</v>
      </c>
      <c r="E48" s="1289">
        <v>20.81</v>
      </c>
      <c r="F48" s="1290">
        <f>+ROUND(D48*E48,2)</f>
        <v>4116.01</v>
      </c>
      <c r="G48" s="1262">
        <v>0</v>
      </c>
      <c r="H48" s="1290">
        <f t="shared" si="46"/>
        <v>0</v>
      </c>
      <c r="I48" s="1602">
        <f t="shared" si="47"/>
        <v>176.75</v>
      </c>
      <c r="J48" s="1291">
        <f t="shared" si="46"/>
        <v>3678.17</v>
      </c>
      <c r="K48" s="1262">
        <v>176.75</v>
      </c>
      <c r="L48" s="1291">
        <f t="shared" ref="L48" si="55">+ROUND($E48*K48,2)</f>
        <v>3678.17</v>
      </c>
      <c r="M48" s="1292">
        <f t="shared" si="49"/>
        <v>0.89362513696516765</v>
      </c>
      <c r="N48" s="1291">
        <f t="shared" si="4"/>
        <v>21.039999999999992</v>
      </c>
      <c r="O48" s="1291">
        <f t="shared" ref="O48" si="56">+ROUND($E48*N48,2)</f>
        <v>437.84</v>
      </c>
      <c r="P48" s="1293">
        <f t="shared" si="31"/>
        <v>0.10637486303483226</v>
      </c>
      <c r="X48" s="306"/>
      <c r="Y48" s="306"/>
      <c r="Z48" s="306"/>
      <c r="AA48" s="306"/>
      <c r="AB48" s="306"/>
      <c r="AC48" s="306"/>
      <c r="AD48" s="306"/>
      <c r="AE48" s="306"/>
      <c r="AF48" s="306"/>
      <c r="AG48" s="306"/>
      <c r="AH48" s="306"/>
      <c r="AI48" s="306"/>
    </row>
    <row r="49" spans="1:35" ht="12.75" customHeight="1" outlineLevel="1">
      <c r="A49" s="1245" t="s">
        <v>1409</v>
      </c>
      <c r="B49" s="1243" t="s">
        <v>1410</v>
      </c>
      <c r="C49" s="1169" t="s">
        <v>432</v>
      </c>
      <c r="D49" s="1288">
        <v>2225.5</v>
      </c>
      <c r="E49" s="1289">
        <v>25.18</v>
      </c>
      <c r="F49" s="1290">
        <f>+ROUND(D49*E49,2)</f>
        <v>56038.09</v>
      </c>
      <c r="G49" s="1262">
        <v>796.18</v>
      </c>
      <c r="H49" s="1290">
        <f t="shared" si="46"/>
        <v>20047.810000000001</v>
      </c>
      <c r="I49" s="1602">
        <f t="shared" si="47"/>
        <v>1127.77</v>
      </c>
      <c r="J49" s="1291">
        <f t="shared" si="46"/>
        <v>28397.25</v>
      </c>
      <c r="K49" s="1262">
        <v>1923.95</v>
      </c>
      <c r="L49" s="1291">
        <f t="shared" ref="L49" si="57">+ROUND($E49*K49,2)</f>
        <v>48445.06</v>
      </c>
      <c r="M49" s="1292">
        <f t="shared" si="49"/>
        <v>0.86450234117543978</v>
      </c>
      <c r="N49" s="1291">
        <f t="shared" si="4"/>
        <v>301.54999999999995</v>
      </c>
      <c r="O49" s="1291">
        <f t="shared" ref="O49" si="58">+ROUND($E49*N49,2)</f>
        <v>7593.03</v>
      </c>
      <c r="P49" s="1293">
        <f t="shared" si="31"/>
        <v>0.13549765882456022</v>
      </c>
      <c r="X49" s="306"/>
      <c r="Y49" s="306"/>
      <c r="Z49" s="306"/>
      <c r="AA49" s="306"/>
      <c r="AB49" s="306"/>
      <c r="AC49" s="306"/>
      <c r="AD49" s="306"/>
      <c r="AE49" s="306"/>
      <c r="AF49" s="306"/>
      <c r="AG49" s="306"/>
      <c r="AH49" s="306"/>
      <c r="AI49" s="306"/>
    </row>
    <row r="50" spans="1:35" ht="12.75" customHeight="1" outlineLevel="1">
      <c r="A50" s="1244" t="s">
        <v>642</v>
      </c>
      <c r="B50" s="1242" t="s">
        <v>1385</v>
      </c>
      <c r="C50" s="1166"/>
      <c r="D50" s="1278"/>
      <c r="E50" s="1278"/>
      <c r="F50" s="1285">
        <f>+ROUND(F51,2)</f>
        <v>32115.759999999998</v>
      </c>
      <c r="G50" s="1280"/>
      <c r="H50" s="1285">
        <f>+ROUND(H51,2)</f>
        <v>22730.400000000001</v>
      </c>
      <c r="I50" s="1280"/>
      <c r="J50" s="1281">
        <f>+ROUND(J51,2)</f>
        <v>4315.0600000000004</v>
      </c>
      <c r="K50" s="1280"/>
      <c r="L50" s="1281">
        <f>+ROUND(L51,2)</f>
        <v>27045.46</v>
      </c>
      <c r="M50" s="1282">
        <f t="shared" ref="M50:M108" si="59">L50/$F50</f>
        <v>0.84212424055977508</v>
      </c>
      <c r="N50" s="1280"/>
      <c r="O50" s="1287">
        <f>+ROUND(O51,2)</f>
        <v>5070.3</v>
      </c>
      <c r="P50" s="1302">
        <f t="shared" si="31"/>
        <v>0.157875759440225</v>
      </c>
    </row>
    <row r="51" spans="1:35" ht="12.75" customHeight="1" outlineLevel="1">
      <c r="A51" s="1245" t="s">
        <v>1411</v>
      </c>
      <c r="B51" s="1243" t="s">
        <v>1387</v>
      </c>
      <c r="C51" s="1169" t="s">
        <v>434</v>
      </c>
      <c r="D51" s="1288">
        <v>20854.39</v>
      </c>
      <c r="E51" s="1289">
        <v>1.54</v>
      </c>
      <c r="F51" s="1290">
        <f>+ROUND(D51*E51,2)</f>
        <v>32115.759999999998</v>
      </c>
      <c r="G51" s="1262">
        <v>14760</v>
      </c>
      <c r="H51" s="1290">
        <f>+ROUND($E51*G51,2)</f>
        <v>22730.400000000001</v>
      </c>
      <c r="I51" s="1602">
        <f>+K51-G51</f>
        <v>2801.9900000000016</v>
      </c>
      <c r="J51" s="1291">
        <f>+ROUND($E51*I51,2)</f>
        <v>4315.0600000000004</v>
      </c>
      <c r="K51" s="1262">
        <v>17561.990000000002</v>
      </c>
      <c r="L51" s="1291">
        <f>+ROUND($E51*K51,2)</f>
        <v>27045.46</v>
      </c>
      <c r="M51" s="1292">
        <f t="shared" si="59"/>
        <v>0.84212424055977508</v>
      </c>
      <c r="N51" s="1291">
        <f t="shared" si="4"/>
        <v>3292.3999999999978</v>
      </c>
      <c r="O51" s="1291">
        <f>+ROUND($E51*N51,2)</f>
        <v>5070.3</v>
      </c>
      <c r="P51" s="1293">
        <f t="shared" si="31"/>
        <v>0.157875759440225</v>
      </c>
      <c r="X51" s="306"/>
      <c r="Y51" s="306"/>
      <c r="Z51" s="306"/>
      <c r="AA51" s="306"/>
      <c r="AB51" s="973"/>
      <c r="AC51" s="973"/>
      <c r="AD51" s="306"/>
      <c r="AE51" s="306"/>
      <c r="AF51" s="306"/>
      <c r="AG51" s="306"/>
      <c r="AH51" s="306"/>
      <c r="AI51" s="306"/>
    </row>
    <row r="52" spans="1:35" ht="12.75" customHeight="1" outlineLevel="1">
      <c r="A52" s="1244" t="s">
        <v>643</v>
      </c>
      <c r="B52" s="1242" t="s">
        <v>1412</v>
      </c>
      <c r="C52" s="1166"/>
      <c r="D52" s="1278"/>
      <c r="E52" s="1278"/>
      <c r="F52" s="1285">
        <f>+ROUND(F53+F54+F55+F56,2)</f>
        <v>511791.72</v>
      </c>
      <c r="G52" s="1280"/>
      <c r="H52" s="1285">
        <f>+ROUND(H53+H54+H55+H56,2)</f>
        <v>357706.7</v>
      </c>
      <c r="I52" s="1280"/>
      <c r="J52" s="1281">
        <f>+ROUND(J53+J54+J55+J56,2)</f>
        <v>28575.19</v>
      </c>
      <c r="K52" s="1280"/>
      <c r="L52" s="1281">
        <f>+ROUND(L53+L54+L55+L56,2)</f>
        <v>386281.89</v>
      </c>
      <c r="M52" s="1282">
        <f t="shared" si="59"/>
        <v>0.75476385198259954</v>
      </c>
      <c r="N52" s="1280"/>
      <c r="O52" s="1287">
        <f>+ROUND(O53+O54+O55+O56,2)</f>
        <v>125509.84</v>
      </c>
      <c r="P52" s="1302">
        <f>+O52/F52</f>
        <v>0.24523616755659899</v>
      </c>
    </row>
    <row r="53" spans="1:35" outlineLevel="1">
      <c r="A53" s="1245" t="s">
        <v>1413</v>
      </c>
      <c r="B53" s="1243" t="s">
        <v>1414</v>
      </c>
      <c r="C53" s="1169" t="s">
        <v>432</v>
      </c>
      <c r="D53" s="1288">
        <v>13810.07</v>
      </c>
      <c r="E53" s="1289">
        <v>5.91</v>
      </c>
      <c r="F53" s="1290">
        <f>+ROUND(D53*E53,2)</f>
        <v>81617.509999999995</v>
      </c>
      <c r="G53" s="1262">
        <v>8813.48</v>
      </c>
      <c r="H53" s="1290">
        <f t="shared" ref="H53:J56" si="60">+ROUND($E53*G53,2)</f>
        <v>52087.67</v>
      </c>
      <c r="I53" s="1602">
        <f t="shared" ref="I53:I56" si="61">+K53-G53</f>
        <v>673.78000000000065</v>
      </c>
      <c r="J53" s="1291">
        <f t="shared" si="60"/>
        <v>3982.04</v>
      </c>
      <c r="K53" s="1262">
        <v>9487.26</v>
      </c>
      <c r="L53" s="1291">
        <f t="shared" ref="L53" si="62">+ROUND($E53*K53,2)</f>
        <v>56069.71</v>
      </c>
      <c r="M53" s="1292">
        <f t="shared" si="59"/>
        <v>0.6869813842642345</v>
      </c>
      <c r="N53" s="1291">
        <f t="shared" si="4"/>
        <v>4322.8099999999995</v>
      </c>
      <c r="O53" s="1291">
        <f t="shared" ref="O53" si="63">+ROUND($E53*N53,2)</f>
        <v>25547.81</v>
      </c>
      <c r="P53" s="1293">
        <f>+O53/F53</f>
        <v>0.31301873825849386</v>
      </c>
      <c r="X53" s="947"/>
      <c r="Y53" s="306"/>
      <c r="Z53" s="306"/>
      <c r="AA53" s="306"/>
      <c r="AB53" s="306"/>
      <c r="AC53" s="306"/>
      <c r="AD53" s="306"/>
      <c r="AE53" s="306"/>
      <c r="AF53" s="306"/>
      <c r="AG53" s="306"/>
      <c r="AH53" s="306"/>
      <c r="AI53" s="306"/>
    </row>
    <row r="54" spans="1:35" outlineLevel="1">
      <c r="A54" s="1245" t="s">
        <v>1415</v>
      </c>
      <c r="B54" s="1243" t="s">
        <v>1416</v>
      </c>
      <c r="C54" s="1169" t="s">
        <v>432</v>
      </c>
      <c r="D54" s="1288">
        <v>4.38</v>
      </c>
      <c r="E54" s="1289">
        <v>57.83</v>
      </c>
      <c r="F54" s="1290">
        <f>+ROUND(D54*E54,2)</f>
        <v>253.3</v>
      </c>
      <c r="G54" s="1262">
        <v>0</v>
      </c>
      <c r="H54" s="1290">
        <f t="shared" si="60"/>
        <v>0</v>
      </c>
      <c r="I54" s="1602">
        <f t="shared" si="61"/>
        <v>0</v>
      </c>
      <c r="J54" s="1291">
        <f t="shared" si="60"/>
        <v>0</v>
      </c>
      <c r="K54" s="1262">
        <v>0</v>
      </c>
      <c r="L54" s="1291">
        <f t="shared" ref="L54" si="64">+ROUND($E54*K54,2)</f>
        <v>0</v>
      </c>
      <c r="M54" s="1292">
        <f t="shared" si="59"/>
        <v>0</v>
      </c>
      <c r="N54" s="1291">
        <f t="shared" si="4"/>
        <v>4.38</v>
      </c>
      <c r="O54" s="1291">
        <f t="shared" ref="O54" si="65">+ROUND($E54*N54,2)</f>
        <v>253.3</v>
      </c>
      <c r="P54" s="1293">
        <f>+O54/F54</f>
        <v>1</v>
      </c>
      <c r="X54" s="306"/>
      <c r="Y54" s="306"/>
      <c r="Z54" s="306"/>
      <c r="AA54" s="306"/>
      <c r="AB54" s="306"/>
      <c r="AC54" s="306"/>
      <c r="AD54" s="306"/>
      <c r="AE54" s="306"/>
      <c r="AF54" s="306"/>
      <c r="AG54" s="306"/>
      <c r="AH54" s="306"/>
      <c r="AI54" s="306"/>
    </row>
    <row r="55" spans="1:35" outlineLevel="1">
      <c r="A55" s="1245" t="s">
        <v>1417</v>
      </c>
      <c r="B55" s="1243" t="s">
        <v>1418</v>
      </c>
      <c r="C55" s="1169" t="s">
        <v>434</v>
      </c>
      <c r="D55" s="1288">
        <v>20854.39</v>
      </c>
      <c r="E55" s="1289">
        <v>2.09</v>
      </c>
      <c r="F55" s="1290">
        <f>+ROUND(D55*E55,2)</f>
        <v>43585.68</v>
      </c>
      <c r="G55" s="1262">
        <v>13500</v>
      </c>
      <c r="H55" s="1290">
        <f t="shared" si="60"/>
        <v>28215</v>
      </c>
      <c r="I55" s="1602">
        <f t="shared" si="61"/>
        <v>1620</v>
      </c>
      <c r="J55" s="1291">
        <f t="shared" si="60"/>
        <v>3385.8</v>
      </c>
      <c r="K55" s="1262">
        <v>15120</v>
      </c>
      <c r="L55" s="1291">
        <f t="shared" ref="L55" si="66">+ROUND($E55*K55,2)</f>
        <v>31600.799999999999</v>
      </c>
      <c r="M55" s="1292">
        <f t="shared" si="59"/>
        <v>0.72502711899871697</v>
      </c>
      <c r="N55" s="1291">
        <f t="shared" si="4"/>
        <v>5734.3899999999994</v>
      </c>
      <c r="O55" s="1291">
        <f t="shared" ref="O55" si="67">+ROUND($E55*N55,2)</f>
        <v>11984.88</v>
      </c>
      <c r="P55" s="1293">
        <f>+O55/F55</f>
        <v>0.27497288100128298</v>
      </c>
      <c r="X55" s="306"/>
      <c r="Y55" s="306"/>
      <c r="Z55" s="306"/>
      <c r="AA55" s="306"/>
      <c r="AB55" s="306"/>
      <c r="AC55" s="306"/>
      <c r="AD55" s="306"/>
      <c r="AE55" s="306"/>
      <c r="AF55" s="306"/>
      <c r="AG55" s="306"/>
      <c r="AH55" s="306"/>
      <c r="AI55" s="306"/>
    </row>
    <row r="56" spans="1:35" outlineLevel="1">
      <c r="A56" s="1245" t="s">
        <v>1419</v>
      </c>
      <c r="B56" s="1243" t="s">
        <v>1410</v>
      </c>
      <c r="C56" s="1169" t="s">
        <v>432</v>
      </c>
      <c r="D56" s="1288">
        <v>15342.94</v>
      </c>
      <c r="E56" s="1289">
        <v>25.18</v>
      </c>
      <c r="F56" s="1290">
        <f>+ROUND(D56*E56,2)</f>
        <v>386335.23</v>
      </c>
      <c r="G56" s="1262">
        <v>11016.84</v>
      </c>
      <c r="H56" s="1290">
        <f t="shared" si="60"/>
        <v>277404.03000000003</v>
      </c>
      <c r="I56" s="1602">
        <f t="shared" si="61"/>
        <v>842.22999999999956</v>
      </c>
      <c r="J56" s="1291">
        <f t="shared" si="60"/>
        <v>21207.35</v>
      </c>
      <c r="K56" s="1262">
        <v>11859.07</v>
      </c>
      <c r="L56" s="1291">
        <f t="shared" ref="L56" si="68">+ROUND($E56*K56,2)</f>
        <v>298611.38</v>
      </c>
      <c r="M56" s="1292">
        <f t="shared" si="59"/>
        <v>0.77293334081906018</v>
      </c>
      <c r="N56" s="1291">
        <f t="shared" si="4"/>
        <v>3483.8700000000008</v>
      </c>
      <c r="O56" s="1291">
        <f t="shared" ref="O56" si="69">+ROUND($E56*N56,2)</f>
        <v>87723.85</v>
      </c>
      <c r="P56" s="1293">
        <f>+O56/F56</f>
        <v>0.22706665918093985</v>
      </c>
      <c r="X56" s="306"/>
      <c r="Y56" s="306"/>
      <c r="Z56" s="306"/>
      <c r="AA56" s="306"/>
      <c r="AB56" s="306"/>
      <c r="AC56" s="306"/>
      <c r="AD56" s="306"/>
      <c r="AE56" s="306"/>
      <c r="AF56" s="306"/>
      <c r="AG56" s="306"/>
      <c r="AH56" s="306"/>
      <c r="AI56" s="306"/>
    </row>
    <row r="57" spans="1:35" ht="12.75" customHeight="1" outlineLevel="1">
      <c r="A57" s="1244" t="s">
        <v>1173</v>
      </c>
      <c r="B57" s="1242" t="s">
        <v>28</v>
      </c>
      <c r="C57" s="1166"/>
      <c r="D57" s="1278"/>
      <c r="E57" s="1278"/>
      <c r="F57" s="1285">
        <f>+ROUND(F58,2)</f>
        <v>257134.63</v>
      </c>
      <c r="G57" s="1280"/>
      <c r="H57" s="1285">
        <f>+ROUND(H58,2)</f>
        <v>166455</v>
      </c>
      <c r="I57" s="1280"/>
      <c r="J57" s="1281">
        <f>+ROUND(J58,2)</f>
        <v>7767.9</v>
      </c>
      <c r="K57" s="1280"/>
      <c r="L57" s="1281">
        <f>+ROUND(L58,2)</f>
        <v>174222.9</v>
      </c>
      <c r="M57" s="1282">
        <f t="shared" ref="M57:M63" si="70">L57/$F57</f>
        <v>0.67755517800150056</v>
      </c>
      <c r="N57" s="1280"/>
      <c r="O57" s="1287">
        <f>+ROUND(O58,2)</f>
        <v>82911.73</v>
      </c>
      <c r="P57" s="1302">
        <f t="shared" ref="P57:P58" si="71">+O57/F57</f>
        <v>0.32244482199849939</v>
      </c>
    </row>
    <row r="58" spans="1:35" ht="12.75" customHeight="1" outlineLevel="1">
      <c r="A58" s="1245" t="s">
        <v>1420</v>
      </c>
      <c r="B58" s="1243" t="s">
        <v>1421</v>
      </c>
      <c r="C58" s="1169" t="s">
        <v>434</v>
      </c>
      <c r="D58" s="1288">
        <v>20854.39</v>
      </c>
      <c r="E58" s="1289">
        <v>12.33</v>
      </c>
      <c r="F58" s="1290">
        <f>+ROUND(D58*E58,2)</f>
        <v>257134.63</v>
      </c>
      <c r="G58" s="1262">
        <v>13500</v>
      </c>
      <c r="H58" s="1290">
        <f>+ROUND($E58*G58,2)</f>
        <v>166455</v>
      </c>
      <c r="I58" s="1602">
        <f>+K58-G58</f>
        <v>630</v>
      </c>
      <c r="J58" s="1291">
        <f>+ROUND($E58*I58,2)</f>
        <v>7767.9</v>
      </c>
      <c r="K58" s="1262">
        <v>14130</v>
      </c>
      <c r="L58" s="1291">
        <f>+ROUND($E58*K58,2)</f>
        <v>174222.9</v>
      </c>
      <c r="M58" s="1292">
        <f t="shared" si="70"/>
        <v>0.67755517800150056</v>
      </c>
      <c r="N58" s="1291">
        <f t="shared" si="4"/>
        <v>6724.3899999999994</v>
      </c>
      <c r="O58" s="1291">
        <f>+ROUND($E58*N58,2)</f>
        <v>82911.73</v>
      </c>
      <c r="P58" s="1293">
        <f t="shared" si="71"/>
        <v>0.32244482199849939</v>
      </c>
      <c r="X58" s="306"/>
      <c r="Y58" s="306"/>
      <c r="Z58" s="306"/>
      <c r="AA58" s="306"/>
      <c r="AB58" s="973"/>
      <c r="AC58" s="973"/>
      <c r="AD58" s="306"/>
      <c r="AE58" s="306"/>
      <c r="AF58" s="306"/>
      <c r="AG58" s="306"/>
      <c r="AH58" s="306"/>
      <c r="AI58" s="306"/>
    </row>
    <row r="59" spans="1:35" ht="12.75" customHeight="1" outlineLevel="1">
      <c r="A59" s="1244" t="s">
        <v>1174</v>
      </c>
      <c r="B59" s="1242" t="s">
        <v>1422</v>
      </c>
      <c r="C59" s="1166"/>
      <c r="D59" s="1278"/>
      <c r="E59" s="1278"/>
      <c r="F59" s="1285">
        <f>+ROUND(F63+F62+F61+F60+F64+F65+F66+F67,2)</f>
        <v>2551537.79</v>
      </c>
      <c r="G59" s="1280"/>
      <c r="H59" s="1285">
        <f>+ROUND(H63+H62+H61+H60+H64+H65+H66+H67,2)</f>
        <v>673939.88</v>
      </c>
      <c r="I59" s="1280"/>
      <c r="J59" s="1281">
        <f>+ROUND(J63+J62+J61+J60+J64+J65+J66+J67,2)</f>
        <v>820354.71</v>
      </c>
      <c r="K59" s="1280"/>
      <c r="L59" s="1281">
        <f>+ROUND(L63+L62+L61+L60+L64+L65+L66+L67,2)</f>
        <v>1494294.6</v>
      </c>
      <c r="M59" s="1282">
        <f t="shared" si="70"/>
        <v>0.58564470644191402</v>
      </c>
      <c r="N59" s="1280"/>
      <c r="O59" s="1287">
        <f>+ROUND(O63+O62+O61+O60+O64+O65+O66+O67,2)</f>
        <v>1057243.2</v>
      </c>
      <c r="P59" s="1302">
        <f>+O59/F59</f>
        <v>0.41435529747729111</v>
      </c>
    </row>
    <row r="60" spans="1:35" outlineLevel="1">
      <c r="A60" s="1245" t="s">
        <v>1423</v>
      </c>
      <c r="B60" s="1243" t="s">
        <v>1424</v>
      </c>
      <c r="C60" s="1169" t="s">
        <v>431</v>
      </c>
      <c r="D60" s="1288">
        <v>8299</v>
      </c>
      <c r="E60" s="1289">
        <v>1.89</v>
      </c>
      <c r="F60" s="1290">
        <f t="shared" ref="F60:F67" si="72">+ROUND(D60*E60,2)</f>
        <v>15685.11</v>
      </c>
      <c r="G60" s="1262">
        <v>2702</v>
      </c>
      <c r="H60" s="1290">
        <f t="shared" ref="H60:J67" si="73">+ROUND($E60*G60,2)</f>
        <v>5106.78</v>
      </c>
      <c r="I60" s="1602">
        <f t="shared" ref="I60:I67" si="74">+K60-G60</f>
        <v>2519.3999999999996</v>
      </c>
      <c r="J60" s="1291">
        <f t="shared" si="73"/>
        <v>4761.67</v>
      </c>
      <c r="K60" s="1262">
        <v>5221.3999999999996</v>
      </c>
      <c r="L60" s="1291">
        <f t="shared" ref="L60" si="75">+ROUND($E60*K60,2)</f>
        <v>9868.4500000000007</v>
      </c>
      <c r="M60" s="1292">
        <f t="shared" si="70"/>
        <v>0.62916039479480856</v>
      </c>
      <c r="N60" s="1291">
        <f t="shared" si="4"/>
        <v>3077.6000000000004</v>
      </c>
      <c r="O60" s="1291">
        <f t="shared" ref="O60" si="76">+ROUND($E60*N60,2)</f>
        <v>5816.66</v>
      </c>
      <c r="P60" s="1293">
        <f>+O60/F60</f>
        <v>0.37083960520519138</v>
      </c>
      <c r="X60" s="947"/>
      <c r="Y60" s="306"/>
      <c r="Z60" s="306"/>
      <c r="AA60" s="306"/>
      <c r="AB60" s="306"/>
      <c r="AC60" s="306"/>
      <c r="AD60" s="306"/>
      <c r="AE60" s="306"/>
      <c r="AF60" s="306"/>
      <c r="AG60" s="306"/>
      <c r="AH60" s="306"/>
      <c r="AI60" s="306"/>
    </row>
    <row r="61" spans="1:35" outlineLevel="1">
      <c r="A61" s="1245" t="s">
        <v>1425</v>
      </c>
      <c r="B61" s="1243" t="s">
        <v>1426</v>
      </c>
      <c r="C61" s="1169" t="s">
        <v>431</v>
      </c>
      <c r="D61" s="1288">
        <v>7215.16</v>
      </c>
      <c r="E61" s="1289">
        <v>54.85</v>
      </c>
      <c r="F61" s="1290">
        <f t="shared" si="72"/>
        <v>395751.53</v>
      </c>
      <c r="G61" s="1262">
        <v>2025</v>
      </c>
      <c r="H61" s="1290">
        <f t="shared" si="73"/>
        <v>111071.25</v>
      </c>
      <c r="I61" s="1602">
        <f t="shared" si="74"/>
        <v>1894.5</v>
      </c>
      <c r="J61" s="1291">
        <f t="shared" si="73"/>
        <v>103913.33</v>
      </c>
      <c r="K61" s="1262">
        <v>3919.5</v>
      </c>
      <c r="L61" s="1291">
        <f t="shared" ref="L61" si="77">+ROUND($E61*K61,2)</f>
        <v>214984.58</v>
      </c>
      <c r="M61" s="1292">
        <f t="shared" si="70"/>
        <v>0.54323120367974309</v>
      </c>
      <c r="N61" s="1291">
        <f t="shared" si="4"/>
        <v>3295.66</v>
      </c>
      <c r="O61" s="1291">
        <f t="shared" ref="O61" si="78">+ROUND($E61*N61,2)</f>
        <v>180766.95</v>
      </c>
      <c r="P61" s="1293">
        <f>+O61/F61</f>
        <v>0.4567687963202568</v>
      </c>
      <c r="X61" s="306"/>
      <c r="Y61" s="306"/>
      <c r="Z61" s="306"/>
      <c r="AA61" s="306"/>
      <c r="AB61" s="306"/>
      <c r="AC61" s="306"/>
      <c r="AD61" s="306"/>
      <c r="AE61" s="306"/>
      <c r="AF61" s="306"/>
      <c r="AG61" s="306"/>
      <c r="AH61" s="306"/>
      <c r="AI61" s="306"/>
    </row>
    <row r="62" spans="1:35" outlineLevel="1">
      <c r="A62" s="1245" t="s">
        <v>1427</v>
      </c>
      <c r="B62" s="1243" t="s">
        <v>1428</v>
      </c>
      <c r="C62" s="1169" t="s">
        <v>436</v>
      </c>
      <c r="D62" s="1288">
        <v>6619.4400000000005</v>
      </c>
      <c r="E62" s="1289">
        <v>3.82</v>
      </c>
      <c r="F62" s="1290">
        <f t="shared" si="72"/>
        <v>25286.26</v>
      </c>
      <c r="G62" s="1262">
        <v>1731.2</v>
      </c>
      <c r="H62" s="1290">
        <f t="shared" si="73"/>
        <v>6613.18</v>
      </c>
      <c r="I62" s="1602">
        <f t="shared" si="74"/>
        <v>2321.1000000000004</v>
      </c>
      <c r="J62" s="1291">
        <f t="shared" si="73"/>
        <v>8866.6</v>
      </c>
      <c r="K62" s="1262">
        <v>4052.3</v>
      </c>
      <c r="L62" s="1291">
        <f t="shared" ref="L62" si="79">+ROUND($E62*K62,2)</f>
        <v>15479.79</v>
      </c>
      <c r="M62" s="1292">
        <f t="shared" si="70"/>
        <v>0.61218187268500768</v>
      </c>
      <c r="N62" s="1291">
        <f t="shared" si="4"/>
        <v>2567.1400000000003</v>
      </c>
      <c r="O62" s="1291">
        <f t="shared" ref="O62" si="80">+ROUND($E62*N62,2)</f>
        <v>9806.4699999999993</v>
      </c>
      <c r="P62" s="1293">
        <f>+O62/F62</f>
        <v>0.38781812731499243</v>
      </c>
      <c r="X62" s="306"/>
      <c r="Y62" s="306"/>
      <c r="Z62" s="306"/>
      <c r="AA62" s="306"/>
      <c r="AB62" s="306"/>
      <c r="AC62" s="306"/>
      <c r="AD62" s="306"/>
      <c r="AE62" s="306"/>
      <c r="AF62" s="306"/>
      <c r="AG62" s="306"/>
      <c r="AH62" s="306"/>
      <c r="AI62" s="306"/>
    </row>
    <row r="63" spans="1:35" outlineLevel="1">
      <c r="A63" s="1245" t="s">
        <v>1429</v>
      </c>
      <c r="B63" s="1243" t="s">
        <v>1430</v>
      </c>
      <c r="C63" s="1169" t="s">
        <v>434</v>
      </c>
      <c r="D63" s="1288">
        <v>20854.39</v>
      </c>
      <c r="E63" s="1289">
        <v>92.12</v>
      </c>
      <c r="F63" s="1290">
        <f t="shared" si="72"/>
        <v>1921106.41</v>
      </c>
      <c r="G63" s="1262">
        <v>5661</v>
      </c>
      <c r="H63" s="1290">
        <f t="shared" si="73"/>
        <v>521491.32</v>
      </c>
      <c r="I63" s="1602">
        <f t="shared" si="74"/>
        <v>7221.17</v>
      </c>
      <c r="J63" s="1291">
        <f t="shared" si="73"/>
        <v>665214.18000000005</v>
      </c>
      <c r="K63" s="1262">
        <v>12882.17</v>
      </c>
      <c r="L63" s="1291">
        <f t="shared" ref="L63" si="81">+ROUND($E63*K63,2)</f>
        <v>1186705.5</v>
      </c>
      <c r="M63" s="1292">
        <f t="shared" si="70"/>
        <v>0.61771981698816991</v>
      </c>
      <c r="N63" s="1291">
        <f t="shared" si="4"/>
        <v>7972.2199999999993</v>
      </c>
      <c r="O63" s="1291">
        <f t="shared" ref="O63" si="82">+ROUND($E63*N63,2)</f>
        <v>734400.91</v>
      </c>
      <c r="P63" s="1293">
        <f>+O63/F63</f>
        <v>0.3822801830118302</v>
      </c>
      <c r="X63" s="306"/>
      <c r="Y63" s="306"/>
      <c r="Z63" s="306"/>
      <c r="AA63" s="306"/>
      <c r="AB63" s="306"/>
      <c r="AC63" s="306"/>
      <c r="AD63" s="306"/>
      <c r="AE63" s="306"/>
      <c r="AF63" s="306"/>
      <c r="AG63" s="306"/>
      <c r="AH63" s="306"/>
      <c r="AI63" s="306"/>
    </row>
    <row r="64" spans="1:35" outlineLevel="1">
      <c r="A64" s="1245" t="s">
        <v>1431</v>
      </c>
      <c r="B64" s="1243" t="s">
        <v>1432</v>
      </c>
      <c r="C64" s="1169" t="s">
        <v>434</v>
      </c>
      <c r="D64" s="1288">
        <v>20854.39</v>
      </c>
      <c r="E64" s="1289">
        <v>1.87</v>
      </c>
      <c r="F64" s="1290">
        <f t="shared" si="72"/>
        <v>38997.71</v>
      </c>
      <c r="G64" s="1262">
        <v>5661</v>
      </c>
      <c r="H64" s="1290">
        <f t="shared" si="73"/>
        <v>10586.07</v>
      </c>
      <c r="I64" s="1602">
        <f t="shared" si="74"/>
        <v>7221.17</v>
      </c>
      <c r="J64" s="1291">
        <f t="shared" si="73"/>
        <v>13503.59</v>
      </c>
      <c r="K64" s="1262">
        <v>12882.17</v>
      </c>
      <c r="L64" s="1291">
        <f t="shared" ref="L64" si="83">+ROUND($E64*K64,2)</f>
        <v>24089.66</v>
      </c>
      <c r="M64" s="1292">
        <f t="shared" ref="M64:M67" si="84">L64/$F64</f>
        <v>0.61771986098670928</v>
      </c>
      <c r="N64" s="1291">
        <f t="shared" si="4"/>
        <v>7972.2199999999993</v>
      </c>
      <c r="O64" s="1291">
        <f t="shared" ref="O64" si="85">+ROUND($E64*N64,2)</f>
        <v>14908.05</v>
      </c>
      <c r="P64" s="1293">
        <f t="shared" ref="P64:P67" si="86">+O64/F64</f>
        <v>0.38228013901329078</v>
      </c>
      <c r="X64" s="306"/>
      <c r="Y64" s="306"/>
      <c r="Z64" s="306"/>
      <c r="AA64" s="306"/>
      <c r="AB64" s="306"/>
      <c r="AC64" s="306"/>
      <c r="AD64" s="306"/>
      <c r="AE64" s="306"/>
      <c r="AF64" s="306"/>
      <c r="AG64" s="306"/>
      <c r="AH64" s="306"/>
      <c r="AI64" s="306"/>
    </row>
    <row r="65" spans="1:35" outlineLevel="1">
      <c r="A65" s="1245" t="s">
        <v>1433</v>
      </c>
      <c r="B65" s="1243" t="s">
        <v>1434</v>
      </c>
      <c r="C65" s="1169" t="s">
        <v>431</v>
      </c>
      <c r="D65" s="1288">
        <v>11956.99</v>
      </c>
      <c r="E65" s="1289">
        <v>2.68</v>
      </c>
      <c r="F65" s="1290">
        <f t="shared" si="72"/>
        <v>32044.73</v>
      </c>
      <c r="G65" s="1262">
        <v>3145</v>
      </c>
      <c r="H65" s="1290">
        <f t="shared" si="73"/>
        <v>8428.6</v>
      </c>
      <c r="I65" s="1602">
        <f t="shared" si="74"/>
        <v>3925.1999999999989</v>
      </c>
      <c r="J65" s="1291">
        <f t="shared" si="73"/>
        <v>10519.54</v>
      </c>
      <c r="K65" s="1262">
        <v>7070.1999999999989</v>
      </c>
      <c r="L65" s="1291">
        <f t="shared" ref="L65" si="87">+ROUND($E65*K65,2)</f>
        <v>18948.14</v>
      </c>
      <c r="M65" s="1292">
        <f t="shared" si="84"/>
        <v>0.59130284449268256</v>
      </c>
      <c r="N65" s="1291">
        <f t="shared" si="4"/>
        <v>4886.7900000000009</v>
      </c>
      <c r="O65" s="1291">
        <f t="shared" ref="O65" si="88">+ROUND($E65*N65,2)</f>
        <v>13096.6</v>
      </c>
      <c r="P65" s="1293">
        <f t="shared" si="86"/>
        <v>0.40869746757111075</v>
      </c>
      <c r="X65" s="306"/>
      <c r="Y65" s="306"/>
      <c r="Z65" s="306"/>
      <c r="AA65" s="306"/>
      <c r="AB65" s="306"/>
      <c r="AC65" s="306"/>
      <c r="AD65" s="306"/>
      <c r="AE65" s="306"/>
      <c r="AF65" s="306"/>
      <c r="AG65" s="306"/>
      <c r="AH65" s="306"/>
      <c r="AI65" s="306"/>
    </row>
    <row r="66" spans="1:35" outlineLevel="1">
      <c r="A66" s="1245" t="s">
        <v>1435</v>
      </c>
      <c r="B66" s="1243" t="s">
        <v>1436</v>
      </c>
      <c r="C66" s="1169" t="s">
        <v>431</v>
      </c>
      <c r="D66" s="1288">
        <v>11956.99</v>
      </c>
      <c r="E66" s="1289">
        <v>6.98</v>
      </c>
      <c r="F66" s="1290">
        <f t="shared" si="72"/>
        <v>83459.789999999994</v>
      </c>
      <c r="G66" s="1262">
        <v>0</v>
      </c>
      <c r="H66" s="1290">
        <f t="shared" si="73"/>
        <v>0</v>
      </c>
      <c r="I66" s="1602">
        <f t="shared" si="74"/>
        <v>0</v>
      </c>
      <c r="J66" s="1291">
        <f t="shared" si="73"/>
        <v>0</v>
      </c>
      <c r="K66" s="1262">
        <v>0</v>
      </c>
      <c r="L66" s="1291">
        <f t="shared" ref="L66" si="89">+ROUND($E66*K66,2)</f>
        <v>0</v>
      </c>
      <c r="M66" s="1292">
        <f t="shared" si="84"/>
        <v>0</v>
      </c>
      <c r="N66" s="1291">
        <f t="shared" si="4"/>
        <v>11956.99</v>
      </c>
      <c r="O66" s="1291">
        <f t="shared" ref="O66" si="90">+ROUND($E66*N66,2)</f>
        <v>83459.789999999994</v>
      </c>
      <c r="P66" s="1293">
        <f t="shared" si="86"/>
        <v>1</v>
      </c>
      <c r="X66" s="306"/>
      <c r="Y66" s="306"/>
      <c r="Z66" s="306"/>
      <c r="AA66" s="306"/>
      <c r="AB66" s="306"/>
      <c r="AC66" s="306"/>
      <c r="AD66" s="306"/>
      <c r="AE66" s="306"/>
      <c r="AF66" s="306"/>
      <c r="AG66" s="306"/>
      <c r="AH66" s="306"/>
      <c r="AI66" s="306"/>
    </row>
    <row r="67" spans="1:35" outlineLevel="1">
      <c r="A67" s="1245" t="s">
        <v>1437</v>
      </c>
      <c r="B67" s="1243" t="s">
        <v>1438</v>
      </c>
      <c r="C67" s="1169" t="s">
        <v>434</v>
      </c>
      <c r="D67" s="1288">
        <v>20854.39</v>
      </c>
      <c r="E67" s="1289">
        <v>1.88</v>
      </c>
      <c r="F67" s="1290">
        <f t="shared" si="72"/>
        <v>39206.25</v>
      </c>
      <c r="G67" s="1262">
        <v>5661</v>
      </c>
      <c r="H67" s="1290">
        <f t="shared" si="73"/>
        <v>10642.68</v>
      </c>
      <c r="I67" s="1602">
        <f t="shared" si="74"/>
        <v>7221.17</v>
      </c>
      <c r="J67" s="1291">
        <f t="shared" si="73"/>
        <v>13575.8</v>
      </c>
      <c r="K67" s="1262">
        <v>12882.17</v>
      </c>
      <c r="L67" s="1291">
        <f t="shared" ref="L67" si="91">+ROUND($E67*K67,2)</f>
        <v>24218.48</v>
      </c>
      <c r="M67" s="1292">
        <f t="shared" si="84"/>
        <v>0.61771987884584723</v>
      </c>
      <c r="N67" s="1291">
        <f t="shared" si="4"/>
        <v>7972.2199999999993</v>
      </c>
      <c r="O67" s="1291">
        <f t="shared" ref="O67" si="92">+ROUND($E67*N67,2)</f>
        <v>14987.77</v>
      </c>
      <c r="P67" s="1293">
        <f t="shared" si="86"/>
        <v>0.38228012115415272</v>
      </c>
      <c r="X67" s="306"/>
      <c r="Y67" s="306"/>
      <c r="Z67" s="306"/>
      <c r="AA67" s="306"/>
      <c r="AB67" s="306"/>
      <c r="AC67" s="306"/>
      <c r="AD67" s="306"/>
      <c r="AE67" s="306"/>
      <c r="AF67" s="306"/>
      <c r="AG67" s="306"/>
      <c r="AH67" s="306"/>
      <c r="AI67" s="306"/>
    </row>
    <row r="68" spans="1:35" ht="12.75" customHeight="1" outlineLevel="1">
      <c r="A68" s="1244" t="s">
        <v>1175</v>
      </c>
      <c r="B68" s="1242" t="s">
        <v>1439</v>
      </c>
      <c r="C68" s="1166"/>
      <c r="D68" s="1278"/>
      <c r="E68" s="1278"/>
      <c r="F68" s="1285">
        <f>+ROUND(F70+F69,2)</f>
        <v>67917.37</v>
      </c>
      <c r="G68" s="1280"/>
      <c r="H68" s="1285">
        <f>+ROUND(H70+H69,2)</f>
        <v>0</v>
      </c>
      <c r="I68" s="1280"/>
      <c r="J68" s="1281">
        <f>+ROUND(J70+J69,2)</f>
        <v>0</v>
      </c>
      <c r="K68" s="1280"/>
      <c r="L68" s="1281">
        <f>+ROUND(L70+L69,2)</f>
        <v>0</v>
      </c>
      <c r="M68" s="1282">
        <f t="shared" ref="M68:M69" si="93">L68/$F68</f>
        <v>0</v>
      </c>
      <c r="N68" s="1280"/>
      <c r="O68" s="1287">
        <f>+ROUND(O70+O69,2)</f>
        <v>67917.37</v>
      </c>
      <c r="P68" s="1302">
        <f t="shared" ref="P68:P69" si="94">+O68/F68</f>
        <v>1</v>
      </c>
    </row>
    <row r="69" spans="1:35" ht="12.75" customHeight="1" outlineLevel="1">
      <c r="A69" s="1245" t="s">
        <v>1440</v>
      </c>
      <c r="B69" s="1243" t="s">
        <v>1441</v>
      </c>
      <c r="C69" s="1169" t="s">
        <v>434</v>
      </c>
      <c r="D69" s="1288">
        <v>35196.47</v>
      </c>
      <c r="E69" s="1289">
        <v>0.83</v>
      </c>
      <c r="F69" s="1290">
        <f>+ROUND(D69*E69,2)</f>
        <v>29213.07</v>
      </c>
      <c r="G69" s="1262">
        <v>0</v>
      </c>
      <c r="H69" s="1290">
        <f t="shared" ref="H69:J70" si="95">+ROUND($E69*G69,2)</f>
        <v>0</v>
      </c>
      <c r="I69" s="1602">
        <f t="shared" ref="I69:I70" si="96">+K69-G69</f>
        <v>0</v>
      </c>
      <c r="J69" s="1291">
        <f t="shared" si="95"/>
        <v>0</v>
      </c>
      <c r="K69" s="1262">
        <v>0</v>
      </c>
      <c r="L69" s="1291">
        <f t="shared" ref="L69" si="97">+ROUND($E69*K69,2)</f>
        <v>0</v>
      </c>
      <c r="M69" s="1292">
        <f t="shared" si="93"/>
        <v>0</v>
      </c>
      <c r="N69" s="1291">
        <f t="shared" si="4"/>
        <v>35196.47</v>
      </c>
      <c r="O69" s="1291">
        <f t="shared" ref="O69" si="98">+ROUND($E69*N69,2)</f>
        <v>29213.07</v>
      </c>
      <c r="P69" s="1293">
        <f t="shared" si="94"/>
        <v>1</v>
      </c>
      <c r="X69" s="306"/>
      <c r="Y69" s="306"/>
      <c r="Z69" s="306"/>
      <c r="AA69" s="306"/>
      <c r="AB69" s="973"/>
      <c r="AC69" s="973"/>
      <c r="AD69" s="306"/>
      <c r="AE69" s="306"/>
      <c r="AF69" s="306"/>
      <c r="AG69" s="306"/>
      <c r="AH69" s="306"/>
      <c r="AI69" s="306"/>
    </row>
    <row r="70" spans="1:35" ht="12.75" customHeight="1" outlineLevel="1">
      <c r="A70" s="1245" t="s">
        <v>1442</v>
      </c>
      <c r="B70" s="1243" t="s">
        <v>1443</v>
      </c>
      <c r="C70" s="1169" t="s">
        <v>433</v>
      </c>
      <c r="D70" s="1288">
        <v>43</v>
      </c>
      <c r="E70" s="1289">
        <v>900.1</v>
      </c>
      <c r="F70" s="1290">
        <f>+ROUND(D70*E70,2)</f>
        <v>38704.300000000003</v>
      </c>
      <c r="G70" s="1262">
        <v>0</v>
      </c>
      <c r="H70" s="1290">
        <f t="shared" si="95"/>
        <v>0</v>
      </c>
      <c r="I70" s="1602">
        <f t="shared" si="96"/>
        <v>0</v>
      </c>
      <c r="J70" s="1291">
        <f t="shared" si="95"/>
        <v>0</v>
      </c>
      <c r="K70" s="1262">
        <v>0</v>
      </c>
      <c r="L70" s="1291">
        <f t="shared" ref="L70" si="99">+ROUND($E70*K70,2)</f>
        <v>0</v>
      </c>
      <c r="M70" s="1292">
        <f t="shared" ref="M70:M76" si="100">L70/$F70</f>
        <v>0</v>
      </c>
      <c r="N70" s="1291">
        <f t="shared" si="4"/>
        <v>43</v>
      </c>
      <c r="O70" s="1291">
        <f t="shared" ref="O70" si="101">+ROUND($E70*N70,2)</f>
        <v>38704.300000000003</v>
      </c>
      <c r="P70" s="1293">
        <f t="shared" ref="P70:P72" si="102">+O70/F70</f>
        <v>1</v>
      </c>
      <c r="X70" s="306"/>
      <c r="Y70" s="306"/>
      <c r="Z70" s="306"/>
      <c r="AA70" s="306"/>
      <c r="AB70" s="973"/>
      <c r="AC70" s="973"/>
      <c r="AD70" s="306"/>
      <c r="AE70" s="306"/>
      <c r="AF70" s="306"/>
      <c r="AG70" s="306"/>
      <c r="AH70" s="306"/>
      <c r="AI70" s="306"/>
    </row>
    <row r="71" spans="1:35" ht="12.75" customHeight="1" outlineLevel="1">
      <c r="A71" s="1249" t="s">
        <v>1176</v>
      </c>
      <c r="B71" s="1250" t="s">
        <v>1233</v>
      </c>
      <c r="C71" s="1166"/>
      <c r="D71" s="1278"/>
      <c r="E71" s="1278"/>
      <c r="F71" s="1279">
        <f>+ROUND(F72+F77+F86,2)</f>
        <v>153426</v>
      </c>
      <c r="G71" s="1280"/>
      <c r="H71" s="1279">
        <f>+ROUND(H72+H77+H86,2)</f>
        <v>0</v>
      </c>
      <c r="I71" s="1280"/>
      <c r="J71" s="1281">
        <f>+ROUND(J72+J77+J86,2)</f>
        <v>0</v>
      </c>
      <c r="K71" s="1280"/>
      <c r="L71" s="1281">
        <f>+ROUND(L72+L77+L86,2)</f>
        <v>0</v>
      </c>
      <c r="M71" s="1282">
        <f t="shared" si="100"/>
        <v>0</v>
      </c>
      <c r="N71" s="1280"/>
      <c r="O71" s="1281">
        <f>+ROUND(O72+O77+O86,2)</f>
        <v>153426</v>
      </c>
      <c r="P71" s="1283">
        <f t="shared" si="102"/>
        <v>1</v>
      </c>
    </row>
    <row r="72" spans="1:35" ht="12.75" customHeight="1" outlineLevel="1">
      <c r="A72" s="1244" t="s">
        <v>1177</v>
      </c>
      <c r="B72" s="1242" t="s">
        <v>1444</v>
      </c>
      <c r="C72" s="1166"/>
      <c r="D72" s="1278"/>
      <c r="E72" s="1278"/>
      <c r="F72" s="1285">
        <f>+ROUND(F73+F74+F75+F76,2)</f>
        <v>107975.76</v>
      </c>
      <c r="G72" s="1280"/>
      <c r="H72" s="1285">
        <f>+ROUND(H73+H74+H75+H76,2)</f>
        <v>0</v>
      </c>
      <c r="I72" s="1280"/>
      <c r="J72" s="1281">
        <f>+ROUND(J73+J74+J75+J76,2)</f>
        <v>0</v>
      </c>
      <c r="K72" s="1280"/>
      <c r="L72" s="1281">
        <f>+ROUND(L73+L74+L75+L76,2)</f>
        <v>0</v>
      </c>
      <c r="M72" s="1282">
        <f t="shared" si="100"/>
        <v>0</v>
      </c>
      <c r="N72" s="1280"/>
      <c r="O72" s="1287">
        <f>+ROUND(O73+O74+O75+O76,2)</f>
        <v>107975.76</v>
      </c>
      <c r="P72" s="1302">
        <f t="shared" si="102"/>
        <v>1</v>
      </c>
    </row>
    <row r="73" spans="1:35" outlineLevel="1">
      <c r="A73" s="1245" t="s">
        <v>1445</v>
      </c>
      <c r="B73" s="1243" t="s">
        <v>1446</v>
      </c>
      <c r="C73" s="1169" t="s">
        <v>431</v>
      </c>
      <c r="D73" s="1288">
        <v>4436.16</v>
      </c>
      <c r="E73" s="1289">
        <v>11.4</v>
      </c>
      <c r="F73" s="1290">
        <f>+ROUND(D73*E73,2)</f>
        <v>50572.22</v>
      </c>
      <c r="G73" s="1262">
        <v>0</v>
      </c>
      <c r="H73" s="1290">
        <f t="shared" ref="H73:J76" si="103">+ROUND($E73*G73,2)</f>
        <v>0</v>
      </c>
      <c r="I73" s="1602">
        <f t="shared" ref="I73:I76" si="104">+K73-G73</f>
        <v>0</v>
      </c>
      <c r="J73" s="1291">
        <f t="shared" si="103"/>
        <v>0</v>
      </c>
      <c r="K73" s="1262">
        <v>0</v>
      </c>
      <c r="L73" s="1291">
        <f t="shared" ref="L73" si="105">+ROUND($E73*K73,2)</f>
        <v>0</v>
      </c>
      <c r="M73" s="1292">
        <f t="shared" si="100"/>
        <v>0</v>
      </c>
      <c r="N73" s="1291">
        <f t="shared" si="4"/>
        <v>4436.16</v>
      </c>
      <c r="O73" s="1291">
        <f t="shared" ref="O73" si="106">+ROUND($E73*N73,2)</f>
        <v>50572.22</v>
      </c>
      <c r="P73" s="1293">
        <f>+O73/F73</f>
        <v>1</v>
      </c>
      <c r="X73" s="947"/>
      <c r="Y73" s="306"/>
      <c r="Z73" s="306"/>
      <c r="AA73" s="306"/>
      <c r="AB73" s="306"/>
      <c r="AC73" s="306"/>
      <c r="AD73" s="306"/>
      <c r="AE73" s="306"/>
      <c r="AF73" s="306"/>
      <c r="AG73" s="306"/>
      <c r="AH73" s="306"/>
      <c r="AI73" s="306"/>
    </row>
    <row r="74" spans="1:35" outlineLevel="1">
      <c r="A74" s="1245" t="s">
        <v>1447</v>
      </c>
      <c r="B74" s="1243" t="s">
        <v>1448</v>
      </c>
      <c r="C74" s="1169" t="s">
        <v>434</v>
      </c>
      <c r="D74" s="1288">
        <v>1111.75</v>
      </c>
      <c r="E74" s="1289">
        <v>33.35</v>
      </c>
      <c r="F74" s="1290">
        <f>+ROUND(D74*E74,2)</f>
        <v>37076.86</v>
      </c>
      <c r="G74" s="1262">
        <v>0</v>
      </c>
      <c r="H74" s="1290">
        <f t="shared" si="103"/>
        <v>0</v>
      </c>
      <c r="I74" s="1602">
        <f t="shared" si="104"/>
        <v>0</v>
      </c>
      <c r="J74" s="1291">
        <f t="shared" si="103"/>
        <v>0</v>
      </c>
      <c r="K74" s="1262">
        <v>0</v>
      </c>
      <c r="L74" s="1291">
        <f t="shared" ref="L74" si="107">+ROUND($E74*K74,2)</f>
        <v>0</v>
      </c>
      <c r="M74" s="1292">
        <f t="shared" si="100"/>
        <v>0</v>
      </c>
      <c r="N74" s="1291">
        <f t="shared" si="4"/>
        <v>1111.75</v>
      </c>
      <c r="O74" s="1291">
        <f t="shared" ref="O74" si="108">+ROUND($E74*N74,2)</f>
        <v>37076.86</v>
      </c>
      <c r="P74" s="1293">
        <f>+O74/F74</f>
        <v>1</v>
      </c>
      <c r="X74" s="306"/>
      <c r="Y74" s="306"/>
      <c r="Z74" s="306"/>
      <c r="AA74" s="306"/>
      <c r="AB74" s="306"/>
      <c r="AC74" s="306"/>
      <c r="AD74" s="306"/>
      <c r="AE74" s="306"/>
      <c r="AF74" s="306"/>
      <c r="AG74" s="306"/>
      <c r="AH74" s="306"/>
      <c r="AI74" s="306"/>
    </row>
    <row r="75" spans="1:35" outlineLevel="1">
      <c r="A75" s="1245" t="s">
        <v>1449</v>
      </c>
      <c r="B75" s="1243" t="s">
        <v>1450</v>
      </c>
      <c r="C75" s="1169" t="s">
        <v>433</v>
      </c>
      <c r="D75" s="1288">
        <v>9</v>
      </c>
      <c r="E75" s="1289">
        <v>975.63</v>
      </c>
      <c r="F75" s="1290">
        <f>+ROUND(D75*E75,2)</f>
        <v>8780.67</v>
      </c>
      <c r="G75" s="1262">
        <v>0</v>
      </c>
      <c r="H75" s="1290">
        <f t="shared" si="103"/>
        <v>0</v>
      </c>
      <c r="I75" s="1602">
        <f t="shared" si="104"/>
        <v>0</v>
      </c>
      <c r="J75" s="1291">
        <f t="shared" si="103"/>
        <v>0</v>
      </c>
      <c r="K75" s="1262">
        <v>0</v>
      </c>
      <c r="L75" s="1291">
        <f t="shared" ref="L75" si="109">+ROUND($E75*K75,2)</f>
        <v>0</v>
      </c>
      <c r="M75" s="1292">
        <f t="shared" si="100"/>
        <v>0</v>
      </c>
      <c r="N75" s="1291">
        <f t="shared" si="4"/>
        <v>9</v>
      </c>
      <c r="O75" s="1291">
        <f t="shared" ref="O75" si="110">+ROUND($E75*N75,2)</f>
        <v>8780.67</v>
      </c>
      <c r="P75" s="1293">
        <f>+O75/F75</f>
        <v>1</v>
      </c>
      <c r="X75" s="306"/>
      <c r="Y75" s="306"/>
      <c r="Z75" s="306"/>
      <c r="AA75" s="306"/>
      <c r="AB75" s="306"/>
      <c r="AC75" s="306"/>
      <c r="AD75" s="306"/>
      <c r="AE75" s="306"/>
      <c r="AF75" s="306"/>
      <c r="AG75" s="306"/>
      <c r="AH75" s="306"/>
      <c r="AI75" s="306"/>
    </row>
    <row r="76" spans="1:35" outlineLevel="1">
      <c r="A76" s="1245" t="s">
        <v>1451</v>
      </c>
      <c r="B76" s="1243" t="s">
        <v>1452</v>
      </c>
      <c r="C76" s="1169" t="s">
        <v>433</v>
      </c>
      <c r="D76" s="1288">
        <v>1107</v>
      </c>
      <c r="E76" s="1289">
        <v>10.43</v>
      </c>
      <c r="F76" s="1290">
        <f>+ROUND(D76*E76,2)</f>
        <v>11546.01</v>
      </c>
      <c r="G76" s="1262">
        <v>0</v>
      </c>
      <c r="H76" s="1290">
        <f t="shared" si="103"/>
        <v>0</v>
      </c>
      <c r="I76" s="1602">
        <f t="shared" si="104"/>
        <v>0</v>
      </c>
      <c r="J76" s="1291">
        <f t="shared" si="103"/>
        <v>0</v>
      </c>
      <c r="K76" s="1262">
        <v>0</v>
      </c>
      <c r="L76" s="1291">
        <f t="shared" ref="L76" si="111">+ROUND($E76*K76,2)</f>
        <v>0</v>
      </c>
      <c r="M76" s="1292">
        <f t="shared" si="100"/>
        <v>0</v>
      </c>
      <c r="N76" s="1291">
        <f t="shared" si="4"/>
        <v>1107</v>
      </c>
      <c r="O76" s="1291">
        <f t="shared" ref="O76" si="112">+ROUND($E76*N76,2)</f>
        <v>11546.01</v>
      </c>
      <c r="P76" s="1293">
        <f>+O76/F76</f>
        <v>1</v>
      </c>
      <c r="X76" s="306"/>
      <c r="Y76" s="306"/>
      <c r="Z76" s="306"/>
      <c r="AA76" s="306"/>
      <c r="AB76" s="306"/>
      <c r="AC76" s="306"/>
      <c r="AD76" s="306"/>
      <c r="AE76" s="306"/>
      <c r="AF76" s="306"/>
      <c r="AG76" s="306"/>
      <c r="AH76" s="306"/>
      <c r="AI76" s="306"/>
    </row>
    <row r="77" spans="1:35" ht="12.75" customHeight="1" outlineLevel="1">
      <c r="A77" s="1244" t="s">
        <v>1178</v>
      </c>
      <c r="B77" s="1242" t="s">
        <v>1453</v>
      </c>
      <c r="C77" s="1166"/>
      <c r="D77" s="1278"/>
      <c r="E77" s="1278"/>
      <c r="F77" s="1285">
        <f>+ROUND(F78+F80+F82,2)</f>
        <v>32659.63</v>
      </c>
      <c r="G77" s="1280"/>
      <c r="H77" s="1285">
        <f>+ROUND(H78+H80+H82,2)</f>
        <v>0</v>
      </c>
      <c r="I77" s="1280"/>
      <c r="J77" s="1281">
        <f>+ROUND(J78+J80+J82,2)</f>
        <v>0</v>
      </c>
      <c r="K77" s="1280"/>
      <c r="L77" s="1281">
        <f>+ROUND(L78+L80+L82,2)</f>
        <v>0</v>
      </c>
      <c r="M77" s="1282">
        <f t="shared" ref="M77:M79" si="113">L77/$F77</f>
        <v>0</v>
      </c>
      <c r="N77" s="1280"/>
      <c r="O77" s="1287">
        <f>+ROUND(O78+O80+O82,2)</f>
        <v>32659.63</v>
      </c>
      <c r="P77" s="1302">
        <f t="shared" ref="P77:P78" si="114">+O77/F77</f>
        <v>1</v>
      </c>
    </row>
    <row r="78" spans="1:35" ht="12.75" customHeight="1" outlineLevel="1">
      <c r="A78" s="1244" t="s">
        <v>1454</v>
      </c>
      <c r="B78" s="1242" t="s">
        <v>946</v>
      </c>
      <c r="C78" s="1166"/>
      <c r="D78" s="1278"/>
      <c r="E78" s="1278"/>
      <c r="F78" s="1285">
        <f>+ROUND(F79,2)</f>
        <v>16603.080000000002</v>
      </c>
      <c r="G78" s="1280"/>
      <c r="H78" s="1285">
        <f>+ROUND(H79,2)</f>
        <v>0</v>
      </c>
      <c r="I78" s="1280"/>
      <c r="J78" s="1281">
        <f>+ROUND(J79,2)</f>
        <v>0</v>
      </c>
      <c r="K78" s="1280"/>
      <c r="L78" s="1281">
        <f>+ROUND(L79,2)</f>
        <v>0</v>
      </c>
      <c r="M78" s="1282">
        <f t="shared" si="113"/>
        <v>0</v>
      </c>
      <c r="N78" s="1280"/>
      <c r="O78" s="1287">
        <f>+ROUND(O79,2)</f>
        <v>16603.080000000002</v>
      </c>
      <c r="P78" s="1302">
        <f t="shared" si="114"/>
        <v>1</v>
      </c>
    </row>
    <row r="79" spans="1:35" outlineLevel="1">
      <c r="A79" s="1245" t="s">
        <v>1455</v>
      </c>
      <c r="B79" s="1243" t="s">
        <v>1301</v>
      </c>
      <c r="C79" s="1169" t="s">
        <v>433</v>
      </c>
      <c r="D79" s="1288">
        <v>39</v>
      </c>
      <c r="E79" s="1289">
        <v>425.72</v>
      </c>
      <c r="F79" s="1290">
        <f>+ROUND(D79*E79,2)</f>
        <v>16603.080000000002</v>
      </c>
      <c r="G79" s="1262">
        <v>0</v>
      </c>
      <c r="H79" s="1290">
        <f>+ROUND($E79*G79,2)</f>
        <v>0</v>
      </c>
      <c r="I79" s="1602">
        <f>+K79-G79</f>
        <v>0</v>
      </c>
      <c r="J79" s="1291">
        <f>+ROUND($E79*I79,2)</f>
        <v>0</v>
      </c>
      <c r="K79" s="1262">
        <v>0</v>
      </c>
      <c r="L79" s="1291">
        <f>+ROUND($E79*K79,2)</f>
        <v>0</v>
      </c>
      <c r="M79" s="1292">
        <f t="shared" si="113"/>
        <v>0</v>
      </c>
      <c r="N79" s="1291">
        <f t="shared" si="4"/>
        <v>39</v>
      </c>
      <c r="O79" s="1291">
        <f>+ROUND($E79*N79,2)</f>
        <v>16603.080000000002</v>
      </c>
      <c r="P79" s="1293">
        <f>+O79/F79</f>
        <v>1</v>
      </c>
      <c r="X79" s="947"/>
      <c r="Y79" s="306"/>
      <c r="Z79" s="306"/>
      <c r="AA79" s="306"/>
      <c r="AB79" s="306"/>
      <c r="AC79" s="306"/>
      <c r="AD79" s="306"/>
      <c r="AE79" s="306"/>
      <c r="AF79" s="306"/>
      <c r="AG79" s="306"/>
      <c r="AH79" s="306"/>
      <c r="AI79" s="306"/>
    </row>
    <row r="80" spans="1:35" ht="12.75" customHeight="1" outlineLevel="1">
      <c r="A80" s="1244" t="s">
        <v>1456</v>
      </c>
      <c r="B80" s="1242" t="s">
        <v>1457</v>
      </c>
      <c r="C80" s="1166"/>
      <c r="D80" s="1278"/>
      <c r="E80" s="1278"/>
      <c r="F80" s="1285">
        <f>+ROUND(F81,2)</f>
        <v>5931.52</v>
      </c>
      <c r="G80" s="1280"/>
      <c r="H80" s="1285">
        <f>+ROUND(H81,2)</f>
        <v>0</v>
      </c>
      <c r="I80" s="1280"/>
      <c r="J80" s="1281">
        <f>+ROUND(J81,2)</f>
        <v>0</v>
      </c>
      <c r="K80" s="1280"/>
      <c r="L80" s="1281">
        <f>+ROUND(L81,2)</f>
        <v>0</v>
      </c>
      <c r="M80" s="1282">
        <f t="shared" ref="M80:M81" si="115">L80/$F80</f>
        <v>0</v>
      </c>
      <c r="N80" s="1280"/>
      <c r="O80" s="1287">
        <f>+ROUND(O81,2)</f>
        <v>5931.52</v>
      </c>
      <c r="P80" s="1302">
        <f t="shared" ref="P80" si="116">+O80/F80</f>
        <v>1</v>
      </c>
    </row>
    <row r="81" spans="1:35" outlineLevel="1">
      <c r="A81" s="1245" t="s">
        <v>1458</v>
      </c>
      <c r="B81" s="1243" t="s">
        <v>1459</v>
      </c>
      <c r="C81" s="1169" t="s">
        <v>433</v>
      </c>
      <c r="D81" s="1288">
        <v>14</v>
      </c>
      <c r="E81" s="1289">
        <v>423.68</v>
      </c>
      <c r="F81" s="1290">
        <f>+ROUND(D81*E81,2)</f>
        <v>5931.52</v>
      </c>
      <c r="G81" s="1262">
        <v>0</v>
      </c>
      <c r="H81" s="1290">
        <f>+ROUND($E81*G81,2)</f>
        <v>0</v>
      </c>
      <c r="I81" s="1602">
        <f>+K81-G81</f>
        <v>0</v>
      </c>
      <c r="J81" s="1291">
        <f>+ROUND($E81*I81,2)</f>
        <v>0</v>
      </c>
      <c r="K81" s="1262">
        <v>0</v>
      </c>
      <c r="L81" s="1291">
        <f>+ROUND($E81*K81,2)</f>
        <v>0</v>
      </c>
      <c r="M81" s="1292">
        <f t="shared" si="115"/>
        <v>0</v>
      </c>
      <c r="N81" s="1291">
        <f t="shared" ref="N81:N144" si="117">D81-K81</f>
        <v>14</v>
      </c>
      <c r="O81" s="1291">
        <f>+ROUND($E81*N81,2)</f>
        <v>5931.52</v>
      </c>
      <c r="P81" s="1293">
        <f>+O81/F81</f>
        <v>1</v>
      </c>
      <c r="X81" s="947"/>
      <c r="Y81" s="306"/>
      <c r="Z81" s="306"/>
      <c r="AA81" s="306"/>
      <c r="AB81" s="306"/>
      <c r="AC81" s="306"/>
      <c r="AD81" s="306"/>
      <c r="AE81" s="306"/>
      <c r="AF81" s="306"/>
      <c r="AG81" s="306"/>
      <c r="AH81" s="306"/>
      <c r="AI81" s="306"/>
    </row>
    <row r="82" spans="1:35" ht="12.75" customHeight="1" outlineLevel="1">
      <c r="A82" s="1244" t="s">
        <v>1460</v>
      </c>
      <c r="B82" s="1242" t="s">
        <v>954</v>
      </c>
      <c r="C82" s="1166"/>
      <c r="D82" s="1278"/>
      <c r="E82" s="1278"/>
      <c r="F82" s="1285">
        <f>+ROUND(F83+F84+F85,2)</f>
        <v>10125.030000000001</v>
      </c>
      <c r="G82" s="1280"/>
      <c r="H82" s="1285">
        <f>+ROUND(H83+H84+H85,2)</f>
        <v>0</v>
      </c>
      <c r="I82" s="1280"/>
      <c r="J82" s="1281">
        <f>+ROUND(J83+J84+J85,2)</f>
        <v>0</v>
      </c>
      <c r="K82" s="1280"/>
      <c r="L82" s="1281">
        <f>+ROUND(L83+L84+L85,2)</f>
        <v>0</v>
      </c>
      <c r="M82" s="1282">
        <f t="shared" ref="M82:M85" si="118">L82/$F82</f>
        <v>0</v>
      </c>
      <c r="N82" s="1280"/>
      <c r="O82" s="1287">
        <f>+ROUND(O83+O84+O85,2)</f>
        <v>10125.030000000001</v>
      </c>
      <c r="P82" s="1302">
        <f t="shared" ref="P82" si="119">+O82/F82</f>
        <v>1</v>
      </c>
    </row>
    <row r="83" spans="1:35" outlineLevel="1">
      <c r="A83" s="1245" t="s">
        <v>1461</v>
      </c>
      <c r="B83" s="1243" t="s">
        <v>1462</v>
      </c>
      <c r="C83" s="1169" t="s">
        <v>433</v>
      </c>
      <c r="D83" s="1288">
        <v>6</v>
      </c>
      <c r="E83" s="1289">
        <v>431.33</v>
      </c>
      <c r="F83" s="1290">
        <f>+ROUND(D83*E83,2)</f>
        <v>2587.98</v>
      </c>
      <c r="G83" s="1262">
        <v>0</v>
      </c>
      <c r="H83" s="1290">
        <f t="shared" ref="H83:J85" si="120">+ROUND($E83*G83,2)</f>
        <v>0</v>
      </c>
      <c r="I83" s="1602">
        <f t="shared" ref="I83:I85" si="121">+K83-G83</f>
        <v>0</v>
      </c>
      <c r="J83" s="1291">
        <f t="shared" si="120"/>
        <v>0</v>
      </c>
      <c r="K83" s="1262">
        <v>0</v>
      </c>
      <c r="L83" s="1291">
        <f t="shared" ref="L83" si="122">+ROUND($E83*K83,2)</f>
        <v>0</v>
      </c>
      <c r="M83" s="1292">
        <f t="shared" si="118"/>
        <v>0</v>
      </c>
      <c r="N83" s="1291">
        <f t="shared" si="117"/>
        <v>6</v>
      </c>
      <c r="O83" s="1291">
        <f t="shared" ref="O83" si="123">+ROUND($E83*N83,2)</f>
        <v>2587.98</v>
      </c>
      <c r="P83" s="1293">
        <f>+O83/F83</f>
        <v>1</v>
      </c>
      <c r="X83" s="947"/>
      <c r="Y83" s="306"/>
      <c r="Z83" s="306"/>
      <c r="AA83" s="306"/>
      <c r="AB83" s="306"/>
      <c r="AC83" s="306"/>
      <c r="AD83" s="306"/>
      <c r="AE83" s="306"/>
      <c r="AF83" s="306"/>
      <c r="AG83" s="306"/>
      <c r="AH83" s="306"/>
      <c r="AI83" s="306"/>
    </row>
    <row r="84" spans="1:35" outlineLevel="1">
      <c r="A84" s="1245" t="s">
        <v>1463</v>
      </c>
      <c r="B84" s="1243" t="s">
        <v>1464</v>
      </c>
      <c r="C84" s="1169" t="s">
        <v>433</v>
      </c>
      <c r="D84" s="1288">
        <v>9</v>
      </c>
      <c r="E84" s="1289">
        <v>387.45</v>
      </c>
      <c r="F84" s="1290">
        <f>+ROUND(D84*E84,2)</f>
        <v>3487.05</v>
      </c>
      <c r="G84" s="1262">
        <v>0</v>
      </c>
      <c r="H84" s="1290">
        <f t="shared" si="120"/>
        <v>0</v>
      </c>
      <c r="I84" s="1602">
        <f t="shared" si="121"/>
        <v>0</v>
      </c>
      <c r="J84" s="1291">
        <f t="shared" si="120"/>
        <v>0</v>
      </c>
      <c r="K84" s="1262">
        <v>0</v>
      </c>
      <c r="L84" s="1291">
        <f t="shared" ref="L84" si="124">+ROUND($E84*K84,2)</f>
        <v>0</v>
      </c>
      <c r="M84" s="1292">
        <f t="shared" si="118"/>
        <v>0</v>
      </c>
      <c r="N84" s="1291">
        <f t="shared" si="117"/>
        <v>9</v>
      </c>
      <c r="O84" s="1291">
        <f t="shared" ref="O84" si="125">+ROUND($E84*N84,2)</f>
        <v>3487.05</v>
      </c>
      <c r="P84" s="1293">
        <f>+O84/F84</f>
        <v>1</v>
      </c>
      <c r="X84" s="306"/>
      <c r="Y84" s="306"/>
      <c r="Z84" s="306"/>
      <c r="AA84" s="306"/>
      <c r="AB84" s="306"/>
      <c r="AC84" s="306"/>
      <c r="AD84" s="306"/>
      <c r="AE84" s="306"/>
      <c r="AF84" s="306"/>
      <c r="AG84" s="306"/>
      <c r="AH84" s="306"/>
      <c r="AI84" s="306"/>
    </row>
    <row r="85" spans="1:35" outlineLevel="1">
      <c r="A85" s="1245" t="s">
        <v>1465</v>
      </c>
      <c r="B85" s="1243" t="s">
        <v>1466</v>
      </c>
      <c r="C85" s="1169" t="s">
        <v>433</v>
      </c>
      <c r="D85" s="1288">
        <v>1</v>
      </c>
      <c r="E85" s="1289">
        <v>4050</v>
      </c>
      <c r="F85" s="1290">
        <f>+ROUND(D85*E85,2)</f>
        <v>4050</v>
      </c>
      <c r="G85" s="1262">
        <v>0</v>
      </c>
      <c r="H85" s="1290">
        <f t="shared" si="120"/>
        <v>0</v>
      </c>
      <c r="I85" s="1602">
        <f t="shared" si="121"/>
        <v>0</v>
      </c>
      <c r="J85" s="1291">
        <f t="shared" si="120"/>
        <v>0</v>
      </c>
      <c r="K85" s="1262">
        <v>0</v>
      </c>
      <c r="L85" s="1291">
        <f t="shared" ref="L85" si="126">+ROUND($E85*K85,2)</f>
        <v>0</v>
      </c>
      <c r="M85" s="1292">
        <f t="shared" si="118"/>
        <v>0</v>
      </c>
      <c r="N85" s="1291">
        <f t="shared" si="117"/>
        <v>1</v>
      </c>
      <c r="O85" s="1291">
        <f t="shared" ref="O85" si="127">+ROUND($E85*N85,2)</f>
        <v>4050</v>
      </c>
      <c r="P85" s="1293">
        <f>+O85/F85</f>
        <v>1</v>
      </c>
      <c r="X85" s="306"/>
      <c r="Y85" s="306"/>
      <c r="Z85" s="306"/>
      <c r="AA85" s="306"/>
      <c r="AB85" s="306"/>
      <c r="AC85" s="306"/>
      <c r="AD85" s="306"/>
      <c r="AE85" s="306"/>
      <c r="AF85" s="306"/>
      <c r="AG85" s="306"/>
      <c r="AH85" s="306"/>
      <c r="AI85" s="306"/>
    </row>
    <row r="86" spans="1:35" ht="12.75" customHeight="1" outlineLevel="1">
      <c r="A86" s="1244" t="s">
        <v>1179</v>
      </c>
      <c r="B86" s="1242" t="s">
        <v>1467</v>
      </c>
      <c r="C86" s="1166"/>
      <c r="D86" s="1278"/>
      <c r="E86" s="1278"/>
      <c r="F86" s="1285">
        <f>+ROUND(F87,2)</f>
        <v>12790.61</v>
      </c>
      <c r="G86" s="1280"/>
      <c r="H86" s="1285">
        <f>+ROUND(H87,2)</f>
        <v>0</v>
      </c>
      <c r="I86" s="1280"/>
      <c r="J86" s="1281">
        <f>+ROUND(J87,2)</f>
        <v>0</v>
      </c>
      <c r="K86" s="1280"/>
      <c r="L86" s="1281">
        <f>+ROUND(L87,2)</f>
        <v>0</v>
      </c>
      <c r="M86" s="1282">
        <f t="shared" ref="M86:M94" si="128">L86/$F86</f>
        <v>0</v>
      </c>
      <c r="N86" s="1280"/>
      <c r="O86" s="1287">
        <f>+ROUND(O87,2)</f>
        <v>12790.61</v>
      </c>
      <c r="P86" s="1302">
        <f t="shared" ref="P86" si="129">+O86/F86</f>
        <v>1</v>
      </c>
    </row>
    <row r="87" spans="1:35" outlineLevel="1">
      <c r="A87" s="1245" t="s">
        <v>1468</v>
      </c>
      <c r="B87" s="1243" t="s">
        <v>1469</v>
      </c>
      <c r="C87" s="1169" t="s">
        <v>433</v>
      </c>
      <c r="D87" s="1288">
        <v>59</v>
      </c>
      <c r="E87" s="1289">
        <v>216.79</v>
      </c>
      <c r="F87" s="1290">
        <f>+ROUND(D87*E87,2)</f>
        <v>12790.61</v>
      </c>
      <c r="G87" s="1262">
        <v>0</v>
      </c>
      <c r="H87" s="1290">
        <f>+ROUND($E87*G87,2)</f>
        <v>0</v>
      </c>
      <c r="I87" s="1602">
        <f>+K87-G87</f>
        <v>0</v>
      </c>
      <c r="J87" s="1291">
        <f>+ROUND($E87*I87,2)</f>
        <v>0</v>
      </c>
      <c r="K87" s="1262">
        <v>0</v>
      </c>
      <c r="L87" s="1291">
        <f>+ROUND($E87*K87,2)</f>
        <v>0</v>
      </c>
      <c r="M87" s="1292">
        <f t="shared" si="128"/>
        <v>0</v>
      </c>
      <c r="N87" s="1291">
        <f t="shared" si="117"/>
        <v>59</v>
      </c>
      <c r="O87" s="1291">
        <f>+ROUND($E87*N87,2)</f>
        <v>12790.61</v>
      </c>
      <c r="P87" s="1293">
        <f>+O87/F87</f>
        <v>1</v>
      </c>
      <c r="X87" s="947"/>
      <c r="Y87" s="306"/>
      <c r="Z87" s="306"/>
      <c r="AA87" s="306"/>
      <c r="AB87" s="306"/>
      <c r="AC87" s="306"/>
      <c r="AD87" s="306"/>
      <c r="AE87" s="306"/>
      <c r="AF87" s="306"/>
      <c r="AG87" s="306"/>
      <c r="AH87" s="306"/>
      <c r="AI87" s="306"/>
    </row>
    <row r="88" spans="1:35" ht="12.75" customHeight="1" outlineLevel="1">
      <c r="A88" s="1249" t="s">
        <v>1180</v>
      </c>
      <c r="B88" s="1250" t="s">
        <v>1470</v>
      </c>
      <c r="C88" s="1166"/>
      <c r="D88" s="1278"/>
      <c r="E88" s="1278"/>
      <c r="F88" s="1279">
        <f>+ROUND(F89+F91+F95+F97,2)</f>
        <v>258051.04</v>
      </c>
      <c r="G88" s="1280"/>
      <c r="H88" s="1279">
        <f>+ROUND(H89+H91+H95+H97,2)</f>
        <v>0</v>
      </c>
      <c r="I88" s="1280"/>
      <c r="J88" s="1281">
        <f>+ROUND(J89+J91+J95+J97,2)</f>
        <v>0</v>
      </c>
      <c r="K88" s="1280"/>
      <c r="L88" s="1281">
        <f>+ROUND(L89+L91+L95+L97,2)</f>
        <v>0</v>
      </c>
      <c r="M88" s="1282">
        <f t="shared" si="128"/>
        <v>0</v>
      </c>
      <c r="N88" s="1280"/>
      <c r="O88" s="1281">
        <f>+ROUND(O89+O91+O95+O97,2)</f>
        <v>258051.04</v>
      </c>
      <c r="P88" s="1283">
        <f t="shared" ref="P88:P89" si="130">+O88/F88</f>
        <v>1</v>
      </c>
    </row>
    <row r="89" spans="1:35" ht="12.75" customHeight="1" outlineLevel="1">
      <c r="A89" s="1244" t="s">
        <v>715</v>
      </c>
      <c r="B89" s="1242" t="s">
        <v>1471</v>
      </c>
      <c r="C89" s="1166"/>
      <c r="D89" s="1278"/>
      <c r="E89" s="1278"/>
      <c r="F89" s="1285">
        <f>+ROUND(F90,2)</f>
        <v>2848.4</v>
      </c>
      <c r="G89" s="1280"/>
      <c r="H89" s="1285">
        <f>+ROUND(H90,2)</f>
        <v>0</v>
      </c>
      <c r="I89" s="1280"/>
      <c r="J89" s="1281">
        <f>+ROUND(J90,2)</f>
        <v>0</v>
      </c>
      <c r="K89" s="1280"/>
      <c r="L89" s="1281">
        <f>+ROUND(L90,2)</f>
        <v>0</v>
      </c>
      <c r="M89" s="1282">
        <f t="shared" si="128"/>
        <v>0</v>
      </c>
      <c r="N89" s="1280"/>
      <c r="O89" s="1287">
        <f>+ROUND(O90,2)</f>
        <v>2848.4</v>
      </c>
      <c r="P89" s="1302">
        <f t="shared" si="130"/>
        <v>1</v>
      </c>
    </row>
    <row r="90" spans="1:35" outlineLevel="1">
      <c r="A90" s="1245" t="s">
        <v>1472</v>
      </c>
      <c r="B90" s="1243" t="s">
        <v>1387</v>
      </c>
      <c r="C90" s="1169" t="s">
        <v>434</v>
      </c>
      <c r="D90" s="1288">
        <v>1849.6100000000001</v>
      </c>
      <c r="E90" s="1289">
        <v>1.54</v>
      </c>
      <c r="F90" s="1290">
        <f>+ROUND(D90*E90,2)</f>
        <v>2848.4</v>
      </c>
      <c r="G90" s="1262">
        <v>0</v>
      </c>
      <c r="H90" s="1290">
        <f>+ROUND($E90*G90,2)</f>
        <v>0</v>
      </c>
      <c r="I90" s="1602">
        <f>+K90-G90</f>
        <v>0</v>
      </c>
      <c r="J90" s="1291">
        <f>+ROUND($E90*I90,2)</f>
        <v>0</v>
      </c>
      <c r="K90" s="1262">
        <v>0</v>
      </c>
      <c r="L90" s="1291">
        <f>+ROUND($E90*K90,2)</f>
        <v>0</v>
      </c>
      <c r="M90" s="1292">
        <f t="shared" si="128"/>
        <v>0</v>
      </c>
      <c r="N90" s="1291">
        <f t="shared" si="117"/>
        <v>1849.6100000000001</v>
      </c>
      <c r="O90" s="1291">
        <f>+ROUND($E90*N90,2)</f>
        <v>2848.4</v>
      </c>
      <c r="P90" s="1293">
        <f>+O90/F90</f>
        <v>1</v>
      </c>
      <c r="X90" s="947"/>
      <c r="Y90" s="306"/>
      <c r="Z90" s="306"/>
      <c r="AA90" s="306"/>
      <c r="AB90" s="306"/>
      <c r="AC90" s="306"/>
      <c r="AD90" s="306"/>
      <c r="AE90" s="306"/>
      <c r="AF90" s="306"/>
      <c r="AG90" s="306"/>
      <c r="AH90" s="306"/>
      <c r="AI90" s="306"/>
    </row>
    <row r="91" spans="1:35" ht="12.75" customHeight="1" outlineLevel="1">
      <c r="A91" s="1244" t="s">
        <v>716</v>
      </c>
      <c r="B91" s="1242" t="s">
        <v>1412</v>
      </c>
      <c r="C91" s="1166"/>
      <c r="D91" s="1278"/>
      <c r="E91" s="1278"/>
      <c r="F91" s="1285">
        <f>+ROUND(F92+F93+F94,2)</f>
        <v>36710.9</v>
      </c>
      <c r="G91" s="1280"/>
      <c r="H91" s="1285">
        <f>+ROUND(H92+H93+H94,2)</f>
        <v>0</v>
      </c>
      <c r="I91" s="1280"/>
      <c r="J91" s="1281">
        <f>+ROUND(J92+J93+J94,2)</f>
        <v>0</v>
      </c>
      <c r="K91" s="1280"/>
      <c r="L91" s="1281">
        <f>+ROUND(L92+L93+L94,2)</f>
        <v>0</v>
      </c>
      <c r="M91" s="1282">
        <f t="shared" si="128"/>
        <v>0</v>
      </c>
      <c r="N91" s="1280"/>
      <c r="O91" s="1287">
        <f>+ROUND(O92+O93+O94,2)</f>
        <v>36710.9</v>
      </c>
      <c r="P91" s="1302">
        <f t="shared" ref="P91" si="131">+O91/F91</f>
        <v>1</v>
      </c>
    </row>
    <row r="92" spans="1:35" outlineLevel="1">
      <c r="A92" s="1245" t="s">
        <v>1473</v>
      </c>
      <c r="B92" s="1243" t="s">
        <v>1414</v>
      </c>
      <c r="C92" s="1169" t="s">
        <v>432</v>
      </c>
      <c r="D92" s="1288">
        <v>878.56000000000006</v>
      </c>
      <c r="E92" s="1289">
        <v>5.91</v>
      </c>
      <c r="F92" s="1290">
        <f>+ROUND(D92*E92,2)</f>
        <v>5192.29</v>
      </c>
      <c r="G92" s="1262">
        <v>0</v>
      </c>
      <c r="H92" s="1290">
        <f t="shared" ref="H92:J94" si="132">+ROUND($E92*G92,2)</f>
        <v>0</v>
      </c>
      <c r="I92" s="1602">
        <f t="shared" ref="I92:I94" si="133">+K92-G92</f>
        <v>0</v>
      </c>
      <c r="J92" s="1291">
        <f t="shared" si="132"/>
        <v>0</v>
      </c>
      <c r="K92" s="1262">
        <v>0</v>
      </c>
      <c r="L92" s="1291">
        <f t="shared" ref="L92" si="134">+ROUND($E92*K92,2)</f>
        <v>0</v>
      </c>
      <c r="M92" s="1292">
        <f t="shared" si="128"/>
        <v>0</v>
      </c>
      <c r="N92" s="1291">
        <f t="shared" si="117"/>
        <v>878.56000000000006</v>
      </c>
      <c r="O92" s="1291">
        <f t="shared" ref="O92" si="135">+ROUND($E92*N92,2)</f>
        <v>5192.29</v>
      </c>
      <c r="P92" s="1293">
        <f>+O92/F92</f>
        <v>1</v>
      </c>
      <c r="X92" s="947"/>
      <c r="Y92" s="306"/>
      <c r="Z92" s="306"/>
      <c r="AA92" s="306"/>
      <c r="AB92" s="306"/>
      <c r="AC92" s="306"/>
      <c r="AD92" s="306"/>
      <c r="AE92" s="306"/>
      <c r="AF92" s="306"/>
      <c r="AG92" s="306"/>
      <c r="AH92" s="306"/>
      <c r="AI92" s="306"/>
    </row>
    <row r="93" spans="1:35" outlineLevel="1">
      <c r="A93" s="1245" t="s">
        <v>1474</v>
      </c>
      <c r="B93" s="1243" t="s">
        <v>1418</v>
      </c>
      <c r="C93" s="1169" t="s">
        <v>434</v>
      </c>
      <c r="D93" s="1288">
        <v>1849.6100000000001</v>
      </c>
      <c r="E93" s="1289">
        <v>2.09</v>
      </c>
      <c r="F93" s="1290">
        <f>+ROUND(D93*E93,2)</f>
        <v>3865.68</v>
      </c>
      <c r="G93" s="1262">
        <v>0</v>
      </c>
      <c r="H93" s="1290">
        <f t="shared" si="132"/>
        <v>0</v>
      </c>
      <c r="I93" s="1602">
        <f t="shared" si="133"/>
        <v>0</v>
      </c>
      <c r="J93" s="1291">
        <f t="shared" si="132"/>
        <v>0</v>
      </c>
      <c r="K93" s="1262">
        <v>0</v>
      </c>
      <c r="L93" s="1291">
        <f t="shared" ref="L93" si="136">+ROUND($E93*K93,2)</f>
        <v>0</v>
      </c>
      <c r="M93" s="1292">
        <f t="shared" si="128"/>
        <v>0</v>
      </c>
      <c r="N93" s="1291">
        <f t="shared" si="117"/>
        <v>1849.6100000000001</v>
      </c>
      <c r="O93" s="1291">
        <f t="shared" ref="O93" si="137">+ROUND($E93*N93,2)</f>
        <v>3865.68</v>
      </c>
      <c r="P93" s="1293">
        <f>+O93/F93</f>
        <v>1</v>
      </c>
      <c r="X93" s="306"/>
      <c r="Y93" s="306"/>
      <c r="Z93" s="306"/>
      <c r="AA93" s="306"/>
      <c r="AB93" s="306"/>
      <c r="AC93" s="306"/>
      <c r="AD93" s="306"/>
      <c r="AE93" s="306"/>
      <c r="AF93" s="306"/>
      <c r="AG93" s="306"/>
      <c r="AH93" s="306"/>
      <c r="AI93" s="306"/>
    </row>
    <row r="94" spans="1:35" outlineLevel="1">
      <c r="A94" s="1245" t="s">
        <v>1475</v>
      </c>
      <c r="B94" s="1243" t="s">
        <v>1410</v>
      </c>
      <c r="C94" s="1169" t="s">
        <v>432</v>
      </c>
      <c r="D94" s="1288">
        <v>1098.21</v>
      </c>
      <c r="E94" s="1289">
        <v>25.18</v>
      </c>
      <c r="F94" s="1290">
        <f>+ROUND(D94*E94,2)</f>
        <v>27652.93</v>
      </c>
      <c r="G94" s="1262">
        <v>0</v>
      </c>
      <c r="H94" s="1290">
        <f t="shared" si="132"/>
        <v>0</v>
      </c>
      <c r="I94" s="1602">
        <f t="shared" si="133"/>
        <v>0</v>
      </c>
      <c r="J94" s="1291">
        <f t="shared" si="132"/>
        <v>0</v>
      </c>
      <c r="K94" s="1262">
        <v>0</v>
      </c>
      <c r="L94" s="1291">
        <f t="shared" ref="L94" si="138">+ROUND($E94*K94,2)</f>
        <v>0</v>
      </c>
      <c r="M94" s="1292">
        <f t="shared" si="128"/>
        <v>0</v>
      </c>
      <c r="N94" s="1291">
        <f t="shared" si="117"/>
        <v>1098.21</v>
      </c>
      <c r="O94" s="1291">
        <f t="shared" ref="O94" si="139">+ROUND($E94*N94,2)</f>
        <v>27652.93</v>
      </c>
      <c r="P94" s="1293">
        <f>+O94/F94</f>
        <v>1</v>
      </c>
      <c r="X94" s="306"/>
      <c r="Y94" s="306"/>
      <c r="Z94" s="306"/>
      <c r="AA94" s="306"/>
      <c r="AB94" s="306"/>
      <c r="AC94" s="306"/>
      <c r="AD94" s="306"/>
      <c r="AE94" s="306"/>
      <c r="AF94" s="306"/>
      <c r="AG94" s="306"/>
      <c r="AH94" s="306"/>
      <c r="AI94" s="306"/>
    </row>
    <row r="95" spans="1:35" ht="12.75" customHeight="1" outlineLevel="1">
      <c r="A95" s="1244" t="s">
        <v>1181</v>
      </c>
      <c r="B95" s="1242" t="s">
        <v>28</v>
      </c>
      <c r="C95" s="1166"/>
      <c r="D95" s="1278"/>
      <c r="E95" s="1278"/>
      <c r="F95" s="1285">
        <f>+ROUND(F96,2)</f>
        <v>22805.69</v>
      </c>
      <c r="G95" s="1280"/>
      <c r="H95" s="1285">
        <f>+ROUND(H96,2)</f>
        <v>0</v>
      </c>
      <c r="I95" s="1280"/>
      <c r="J95" s="1281">
        <f>+ROUND(J96,2)</f>
        <v>0</v>
      </c>
      <c r="K95" s="1280"/>
      <c r="L95" s="1281">
        <f>+ROUND(L96,2)</f>
        <v>0</v>
      </c>
      <c r="M95" s="1282">
        <f t="shared" ref="M95:M100" si="140">L95/$F95</f>
        <v>0</v>
      </c>
      <c r="N95" s="1280"/>
      <c r="O95" s="1287">
        <f>+ROUND(O96,2)</f>
        <v>22805.69</v>
      </c>
      <c r="P95" s="1302">
        <f t="shared" ref="P95" si="141">+O95/F95</f>
        <v>1</v>
      </c>
    </row>
    <row r="96" spans="1:35" outlineLevel="1">
      <c r="A96" s="1245" t="s">
        <v>1476</v>
      </c>
      <c r="B96" s="1243" t="s">
        <v>1421</v>
      </c>
      <c r="C96" s="1169" t="s">
        <v>434</v>
      </c>
      <c r="D96" s="1288">
        <v>1849.6100000000001</v>
      </c>
      <c r="E96" s="1289">
        <v>12.33</v>
      </c>
      <c r="F96" s="1290">
        <f>+ROUND(D96*E96,2)</f>
        <v>22805.69</v>
      </c>
      <c r="G96" s="1262">
        <v>0</v>
      </c>
      <c r="H96" s="1290">
        <f>+ROUND($E96*G96,2)</f>
        <v>0</v>
      </c>
      <c r="I96" s="1602">
        <f>+K96-G96</f>
        <v>0</v>
      </c>
      <c r="J96" s="1291">
        <f>+ROUND($E96*I96,2)</f>
        <v>0</v>
      </c>
      <c r="K96" s="1262">
        <v>0</v>
      </c>
      <c r="L96" s="1291">
        <f>+ROUND($E96*K96,2)</f>
        <v>0</v>
      </c>
      <c r="M96" s="1292">
        <f t="shared" si="140"/>
        <v>0</v>
      </c>
      <c r="N96" s="1291">
        <f t="shared" si="117"/>
        <v>1849.6100000000001</v>
      </c>
      <c r="O96" s="1291">
        <f>+ROUND($E96*N96,2)</f>
        <v>22805.69</v>
      </c>
      <c r="P96" s="1293">
        <f>+O96/F96</f>
        <v>1</v>
      </c>
      <c r="X96" s="947"/>
      <c r="Y96" s="306"/>
      <c r="Z96" s="306"/>
      <c r="AA96" s="306"/>
      <c r="AB96" s="306"/>
      <c r="AC96" s="306"/>
      <c r="AD96" s="306"/>
      <c r="AE96" s="306"/>
      <c r="AF96" s="306"/>
      <c r="AG96" s="306"/>
      <c r="AH96" s="306"/>
      <c r="AI96" s="306"/>
    </row>
    <row r="97" spans="1:35" ht="12.75" customHeight="1" outlineLevel="1">
      <c r="A97" s="1244" t="s">
        <v>1182</v>
      </c>
      <c r="B97" s="1242" t="s">
        <v>1422</v>
      </c>
      <c r="C97" s="1166"/>
      <c r="D97" s="1278"/>
      <c r="E97" s="1278"/>
      <c r="F97" s="1285">
        <f>+ROUND(F98+F99+F100+F101+F102+F103+F104+F105,2)</f>
        <v>195686.05</v>
      </c>
      <c r="G97" s="1280"/>
      <c r="H97" s="1285">
        <f>+ROUND(H98+H99+H100+H101+H102+H103+H104+H105,2)</f>
        <v>0</v>
      </c>
      <c r="I97" s="1280"/>
      <c r="J97" s="1281">
        <f>+ROUND(J98+J99+J100+J101+J102+J103+J104+J105,2)</f>
        <v>0</v>
      </c>
      <c r="K97" s="1280"/>
      <c r="L97" s="1281">
        <f>+ROUND(L98+L99+L100+L101+L102+L103+L104+L105,2)</f>
        <v>0</v>
      </c>
      <c r="M97" s="1282">
        <f t="shared" si="140"/>
        <v>0</v>
      </c>
      <c r="N97" s="1280"/>
      <c r="O97" s="1287">
        <f>+ROUND(O98+O99+O100+O101+O102+O103+O104+O105,2)</f>
        <v>195686.05</v>
      </c>
      <c r="P97" s="1302">
        <f t="shared" ref="P97" si="142">+O97/F97</f>
        <v>1</v>
      </c>
    </row>
    <row r="98" spans="1:35" outlineLevel="1">
      <c r="A98" s="1245" t="s">
        <v>1477</v>
      </c>
      <c r="B98" s="1243" t="s">
        <v>1478</v>
      </c>
      <c r="C98" s="1169" t="s">
        <v>431</v>
      </c>
      <c r="D98" s="1288">
        <v>460.82</v>
      </c>
      <c r="E98" s="1289">
        <v>54.85</v>
      </c>
      <c r="F98" s="1290">
        <f t="shared" ref="F98:F105" si="143">+ROUND(D98*E98,2)</f>
        <v>25275.98</v>
      </c>
      <c r="G98" s="1262">
        <v>0</v>
      </c>
      <c r="H98" s="1290">
        <f t="shared" ref="H98:J105" si="144">+ROUND($E98*G98,2)</f>
        <v>0</v>
      </c>
      <c r="I98" s="1602">
        <f t="shared" ref="I98:I105" si="145">+K98-G98</f>
        <v>0</v>
      </c>
      <c r="J98" s="1291">
        <f t="shared" si="144"/>
        <v>0</v>
      </c>
      <c r="K98" s="1262">
        <v>0</v>
      </c>
      <c r="L98" s="1291">
        <f t="shared" ref="L98" si="146">+ROUND($E98*K98,2)</f>
        <v>0</v>
      </c>
      <c r="M98" s="1292">
        <f t="shared" si="140"/>
        <v>0</v>
      </c>
      <c r="N98" s="1291">
        <f t="shared" si="117"/>
        <v>460.82</v>
      </c>
      <c r="O98" s="1291">
        <f t="shared" ref="O98" si="147">+ROUND($E98*N98,2)</f>
        <v>25275.98</v>
      </c>
      <c r="P98" s="1293">
        <f>+O98/F98</f>
        <v>1</v>
      </c>
      <c r="X98" s="947"/>
      <c r="Y98" s="306"/>
      <c r="Z98" s="306"/>
      <c r="AA98" s="306"/>
      <c r="AB98" s="306"/>
      <c r="AC98" s="306"/>
      <c r="AD98" s="306"/>
      <c r="AE98" s="306"/>
      <c r="AF98" s="306"/>
      <c r="AG98" s="306"/>
      <c r="AH98" s="306"/>
      <c r="AI98" s="306"/>
    </row>
    <row r="99" spans="1:35" outlineLevel="1">
      <c r="A99" s="1245" t="s">
        <v>1479</v>
      </c>
      <c r="B99" s="1243" t="s">
        <v>1428</v>
      </c>
      <c r="C99" s="1169" t="s">
        <v>436</v>
      </c>
      <c r="D99" s="1288">
        <v>875.79</v>
      </c>
      <c r="E99" s="1289">
        <v>3.82</v>
      </c>
      <c r="F99" s="1290">
        <f t="shared" si="143"/>
        <v>3345.52</v>
      </c>
      <c r="G99" s="1262">
        <v>0</v>
      </c>
      <c r="H99" s="1290">
        <f t="shared" si="144"/>
        <v>0</v>
      </c>
      <c r="I99" s="1602">
        <f t="shared" si="145"/>
        <v>0</v>
      </c>
      <c r="J99" s="1291">
        <f t="shared" si="144"/>
        <v>0</v>
      </c>
      <c r="K99" s="1262">
        <v>0</v>
      </c>
      <c r="L99" s="1291">
        <f t="shared" ref="L99" si="148">+ROUND($E99*K99,2)</f>
        <v>0</v>
      </c>
      <c r="M99" s="1292">
        <f t="shared" si="140"/>
        <v>0</v>
      </c>
      <c r="N99" s="1291">
        <f t="shared" si="117"/>
        <v>875.79</v>
      </c>
      <c r="O99" s="1291">
        <f t="shared" ref="O99" si="149">+ROUND($E99*N99,2)</f>
        <v>3345.52</v>
      </c>
      <c r="P99" s="1293">
        <f>+O99/F99</f>
        <v>1</v>
      </c>
      <c r="X99" s="306"/>
      <c r="Y99" s="306"/>
      <c r="Z99" s="306"/>
      <c r="AA99" s="306"/>
      <c r="AB99" s="306"/>
      <c r="AC99" s="306"/>
      <c r="AD99" s="306"/>
      <c r="AE99" s="306"/>
      <c r="AF99" s="306"/>
      <c r="AG99" s="306"/>
      <c r="AH99" s="306"/>
      <c r="AI99" s="306"/>
    </row>
    <row r="100" spans="1:35" outlineLevel="1">
      <c r="A100" s="1245" t="s">
        <v>1480</v>
      </c>
      <c r="B100" s="1243" t="s">
        <v>1481</v>
      </c>
      <c r="C100" s="1169" t="s">
        <v>434</v>
      </c>
      <c r="D100" s="1288">
        <v>1849.6100000000001</v>
      </c>
      <c r="E100" s="1289">
        <v>78.08</v>
      </c>
      <c r="F100" s="1290">
        <f t="shared" si="143"/>
        <v>144417.54999999999</v>
      </c>
      <c r="G100" s="1262">
        <v>0</v>
      </c>
      <c r="H100" s="1290">
        <f t="shared" si="144"/>
        <v>0</v>
      </c>
      <c r="I100" s="1602">
        <f t="shared" si="145"/>
        <v>0</v>
      </c>
      <c r="J100" s="1291">
        <f t="shared" si="144"/>
        <v>0</v>
      </c>
      <c r="K100" s="1262">
        <v>0</v>
      </c>
      <c r="L100" s="1291">
        <f t="shared" ref="L100" si="150">+ROUND($E100*K100,2)</f>
        <v>0</v>
      </c>
      <c r="M100" s="1292">
        <f t="shared" si="140"/>
        <v>0</v>
      </c>
      <c r="N100" s="1291">
        <f t="shared" si="117"/>
        <v>1849.6100000000001</v>
      </c>
      <c r="O100" s="1291">
        <f t="shared" ref="O100" si="151">+ROUND($E100*N100,2)</f>
        <v>144417.54999999999</v>
      </c>
      <c r="P100" s="1293">
        <f>+O100/F100</f>
        <v>1</v>
      </c>
      <c r="X100" s="306"/>
      <c r="Y100" s="306"/>
      <c r="Z100" s="306"/>
      <c r="AA100" s="306"/>
      <c r="AB100" s="306"/>
      <c r="AC100" s="306"/>
      <c r="AD100" s="306"/>
      <c r="AE100" s="306"/>
      <c r="AF100" s="306"/>
      <c r="AG100" s="306"/>
      <c r="AH100" s="306"/>
      <c r="AI100" s="306"/>
    </row>
    <row r="101" spans="1:35" outlineLevel="1">
      <c r="A101" s="1245" t="s">
        <v>1482</v>
      </c>
      <c r="B101" s="1243" t="s">
        <v>1483</v>
      </c>
      <c r="C101" s="1169" t="s">
        <v>434</v>
      </c>
      <c r="D101" s="1288">
        <v>171.34</v>
      </c>
      <c r="E101" s="1289">
        <v>30.34</v>
      </c>
      <c r="F101" s="1290">
        <f t="shared" si="143"/>
        <v>5198.46</v>
      </c>
      <c r="G101" s="1262">
        <v>0</v>
      </c>
      <c r="H101" s="1290">
        <f t="shared" si="144"/>
        <v>0</v>
      </c>
      <c r="I101" s="1602">
        <f t="shared" si="145"/>
        <v>0</v>
      </c>
      <c r="J101" s="1291">
        <f t="shared" si="144"/>
        <v>0</v>
      </c>
      <c r="K101" s="1262">
        <v>0</v>
      </c>
      <c r="L101" s="1291">
        <f t="shared" ref="L101" si="152">+ROUND($E101*K101,2)</f>
        <v>0</v>
      </c>
      <c r="M101" s="1292">
        <f t="shared" ref="M101:M105" si="153">L101/$F101</f>
        <v>0</v>
      </c>
      <c r="N101" s="1291">
        <f t="shared" si="117"/>
        <v>171.34</v>
      </c>
      <c r="O101" s="1291">
        <f t="shared" ref="O101" si="154">+ROUND($E101*N101,2)</f>
        <v>5198.46</v>
      </c>
      <c r="P101" s="1293">
        <f t="shared" ref="P101:P105" si="155">+O101/F101</f>
        <v>1</v>
      </c>
      <c r="X101" s="306"/>
      <c r="Y101" s="306"/>
      <c r="Z101" s="306"/>
      <c r="AA101" s="306"/>
      <c r="AB101" s="306"/>
      <c r="AC101" s="306"/>
      <c r="AD101" s="306"/>
      <c r="AE101" s="306"/>
      <c r="AF101" s="306"/>
      <c r="AG101" s="306"/>
      <c r="AH101" s="306"/>
      <c r="AI101" s="306"/>
    </row>
    <row r="102" spans="1:35" outlineLevel="1">
      <c r="A102" s="1245" t="s">
        <v>1484</v>
      </c>
      <c r="B102" s="1243" t="s">
        <v>1432</v>
      </c>
      <c r="C102" s="1169" t="s">
        <v>434</v>
      </c>
      <c r="D102" s="1288">
        <v>1849.6100000000001</v>
      </c>
      <c r="E102" s="1289">
        <v>1.87</v>
      </c>
      <c r="F102" s="1290">
        <f t="shared" si="143"/>
        <v>3458.77</v>
      </c>
      <c r="G102" s="1262">
        <v>0</v>
      </c>
      <c r="H102" s="1290">
        <f t="shared" si="144"/>
        <v>0</v>
      </c>
      <c r="I102" s="1602">
        <f t="shared" si="145"/>
        <v>0</v>
      </c>
      <c r="J102" s="1291">
        <f t="shared" si="144"/>
        <v>0</v>
      </c>
      <c r="K102" s="1262">
        <v>0</v>
      </c>
      <c r="L102" s="1291">
        <f t="shared" ref="L102" si="156">+ROUND($E102*K102,2)</f>
        <v>0</v>
      </c>
      <c r="M102" s="1292">
        <f t="shared" si="153"/>
        <v>0</v>
      </c>
      <c r="N102" s="1291">
        <f t="shared" si="117"/>
        <v>1849.6100000000001</v>
      </c>
      <c r="O102" s="1291">
        <f t="shared" ref="O102" si="157">+ROUND($E102*N102,2)</f>
        <v>3458.77</v>
      </c>
      <c r="P102" s="1293">
        <f t="shared" si="155"/>
        <v>1</v>
      </c>
      <c r="X102" s="306"/>
      <c r="Y102" s="306"/>
      <c r="Z102" s="306"/>
      <c r="AA102" s="306"/>
      <c r="AB102" s="306"/>
      <c r="AC102" s="306"/>
      <c r="AD102" s="306"/>
      <c r="AE102" s="306"/>
      <c r="AF102" s="306"/>
      <c r="AG102" s="306"/>
      <c r="AH102" s="306"/>
      <c r="AI102" s="306"/>
    </row>
    <row r="103" spans="1:35" outlineLevel="1">
      <c r="A103" s="1245" t="s">
        <v>1485</v>
      </c>
      <c r="B103" s="1243" t="s">
        <v>1434</v>
      </c>
      <c r="C103" s="1169" t="s">
        <v>431</v>
      </c>
      <c r="D103" s="1288">
        <v>1088.25</v>
      </c>
      <c r="E103" s="1289">
        <v>2.68</v>
      </c>
      <c r="F103" s="1290">
        <f t="shared" si="143"/>
        <v>2916.51</v>
      </c>
      <c r="G103" s="1262">
        <v>0</v>
      </c>
      <c r="H103" s="1290">
        <f t="shared" si="144"/>
        <v>0</v>
      </c>
      <c r="I103" s="1602">
        <f t="shared" si="145"/>
        <v>0</v>
      </c>
      <c r="J103" s="1291">
        <f t="shared" si="144"/>
        <v>0</v>
      </c>
      <c r="K103" s="1262">
        <v>0</v>
      </c>
      <c r="L103" s="1291">
        <f t="shared" ref="L103" si="158">+ROUND($E103*K103,2)</f>
        <v>0</v>
      </c>
      <c r="M103" s="1292">
        <f t="shared" si="153"/>
        <v>0</v>
      </c>
      <c r="N103" s="1291">
        <f t="shared" si="117"/>
        <v>1088.25</v>
      </c>
      <c r="O103" s="1291">
        <f t="shared" ref="O103" si="159">+ROUND($E103*N103,2)</f>
        <v>2916.51</v>
      </c>
      <c r="P103" s="1293">
        <f t="shared" si="155"/>
        <v>1</v>
      </c>
      <c r="X103" s="306"/>
      <c r="Y103" s="306"/>
      <c r="Z103" s="306"/>
      <c r="AA103" s="306"/>
      <c r="AB103" s="306"/>
      <c r="AC103" s="306"/>
      <c r="AD103" s="306"/>
      <c r="AE103" s="306"/>
      <c r="AF103" s="306"/>
      <c r="AG103" s="306"/>
      <c r="AH103" s="306"/>
      <c r="AI103" s="306"/>
    </row>
    <row r="104" spans="1:35" outlineLevel="1">
      <c r="A104" s="1245" t="s">
        <v>1486</v>
      </c>
      <c r="B104" s="1243" t="s">
        <v>1436</v>
      </c>
      <c r="C104" s="1169" t="s">
        <v>431</v>
      </c>
      <c r="D104" s="1288">
        <v>1088.25</v>
      </c>
      <c r="E104" s="1289">
        <v>6.98</v>
      </c>
      <c r="F104" s="1290">
        <f t="shared" si="143"/>
        <v>7595.99</v>
      </c>
      <c r="G104" s="1262">
        <v>0</v>
      </c>
      <c r="H104" s="1290">
        <f t="shared" si="144"/>
        <v>0</v>
      </c>
      <c r="I104" s="1602">
        <f t="shared" si="145"/>
        <v>0</v>
      </c>
      <c r="J104" s="1291">
        <f t="shared" si="144"/>
        <v>0</v>
      </c>
      <c r="K104" s="1262">
        <v>0</v>
      </c>
      <c r="L104" s="1291">
        <f t="shared" ref="L104" si="160">+ROUND($E104*K104,2)</f>
        <v>0</v>
      </c>
      <c r="M104" s="1292">
        <f t="shared" si="153"/>
        <v>0</v>
      </c>
      <c r="N104" s="1291">
        <f t="shared" si="117"/>
        <v>1088.25</v>
      </c>
      <c r="O104" s="1291">
        <f t="shared" ref="O104" si="161">+ROUND($E104*N104,2)</f>
        <v>7595.99</v>
      </c>
      <c r="P104" s="1293">
        <f t="shared" si="155"/>
        <v>1</v>
      </c>
      <c r="X104" s="306"/>
      <c r="Y104" s="306"/>
      <c r="Z104" s="306"/>
      <c r="AA104" s="306"/>
      <c r="AB104" s="306"/>
      <c r="AC104" s="306"/>
      <c r="AD104" s="306"/>
      <c r="AE104" s="306"/>
      <c r="AF104" s="306"/>
      <c r="AG104" s="306"/>
      <c r="AH104" s="306"/>
      <c r="AI104" s="306"/>
    </row>
    <row r="105" spans="1:35" outlineLevel="1">
      <c r="A105" s="1245" t="s">
        <v>1487</v>
      </c>
      <c r="B105" s="1243" t="s">
        <v>1438</v>
      </c>
      <c r="C105" s="1169" t="s">
        <v>434</v>
      </c>
      <c r="D105" s="1288">
        <v>1849.6100000000001</v>
      </c>
      <c r="E105" s="1289">
        <v>1.88</v>
      </c>
      <c r="F105" s="1290">
        <f t="shared" si="143"/>
        <v>3477.27</v>
      </c>
      <c r="G105" s="1262">
        <v>0</v>
      </c>
      <c r="H105" s="1290">
        <f t="shared" si="144"/>
        <v>0</v>
      </c>
      <c r="I105" s="1602">
        <f t="shared" si="145"/>
        <v>0</v>
      </c>
      <c r="J105" s="1291">
        <f t="shared" si="144"/>
        <v>0</v>
      </c>
      <c r="K105" s="1262">
        <v>0</v>
      </c>
      <c r="L105" s="1291">
        <f t="shared" ref="L105" si="162">+ROUND($E105*K105,2)</f>
        <v>0</v>
      </c>
      <c r="M105" s="1292">
        <f t="shared" si="153"/>
        <v>0</v>
      </c>
      <c r="N105" s="1291">
        <f t="shared" si="117"/>
        <v>1849.6100000000001</v>
      </c>
      <c r="O105" s="1291">
        <f t="shared" ref="O105" si="163">+ROUND($E105*N105,2)</f>
        <v>3477.27</v>
      </c>
      <c r="P105" s="1293">
        <f t="shared" si="155"/>
        <v>1</v>
      </c>
      <c r="X105" s="306"/>
      <c r="Y105" s="306"/>
      <c r="Z105" s="306"/>
      <c r="AA105" s="306"/>
      <c r="AB105" s="306"/>
      <c r="AC105" s="306"/>
      <c r="AD105" s="306"/>
      <c r="AE105" s="306"/>
      <c r="AF105" s="306"/>
      <c r="AG105" s="306"/>
      <c r="AH105" s="306"/>
      <c r="AI105" s="306"/>
    </row>
    <row r="106" spans="1:35" outlineLevel="1">
      <c r="A106" s="1167"/>
      <c r="B106" s="1168"/>
      <c r="C106" s="1169"/>
      <c r="D106" s="1288"/>
      <c r="E106" s="1289"/>
      <c r="F106" s="1290"/>
      <c r="G106" s="1262"/>
      <c r="H106" s="1290"/>
      <c r="I106" s="1602"/>
      <c r="J106" s="1291"/>
      <c r="K106" s="1262"/>
      <c r="L106" s="1291"/>
      <c r="M106" s="1292"/>
      <c r="N106" s="1291"/>
      <c r="O106" s="1291"/>
      <c r="P106" s="1293"/>
      <c r="X106" s="306"/>
      <c r="Y106" s="306"/>
      <c r="Z106" s="306"/>
      <c r="AA106" s="306"/>
      <c r="AB106" s="306"/>
      <c r="AC106" s="306"/>
      <c r="AD106" s="306"/>
      <c r="AE106" s="306"/>
      <c r="AF106" s="306"/>
      <c r="AG106" s="306"/>
      <c r="AH106" s="306"/>
      <c r="AI106" s="306"/>
    </row>
    <row r="107" spans="1:35" ht="12.75" customHeight="1">
      <c r="A107" s="1264" t="s">
        <v>479</v>
      </c>
      <c r="B107" s="1265" t="s">
        <v>1240</v>
      </c>
      <c r="C107" s="1266"/>
      <c r="D107" s="1272"/>
      <c r="E107" s="1272"/>
      <c r="F107" s="1273">
        <f>+ROUND(F108+F110+F115+F121+F127+F131+F138+F141+F148+F154+F156+F158,2)</f>
        <v>244451.1</v>
      </c>
      <c r="G107" s="1274"/>
      <c r="H107" s="1273">
        <f>+ROUND(H108+H110+H115+H121+H127+H131+H138+H141+H148+H154+H156+H158,2)</f>
        <v>0</v>
      </c>
      <c r="I107" s="1300"/>
      <c r="J107" s="1275">
        <f>+ROUND(J108+J110+J115+J121+J127+J131+J138+J141+J148+J154+J156+J158,2)</f>
        <v>0</v>
      </c>
      <c r="K107" s="1274"/>
      <c r="L107" s="1275">
        <f>+ROUND(L108+L110+L115+L121+L127+L131+L138+L141+L148+L154+L156+L158,2)</f>
        <v>0</v>
      </c>
      <c r="M107" s="1276">
        <f t="shared" si="59"/>
        <v>0</v>
      </c>
      <c r="N107" s="1274"/>
      <c r="O107" s="1275">
        <f>+ROUND(O108+O110+O115+O121+O127+O131+O138+O141+O148+O154+O156+O158,2)</f>
        <v>244451.1</v>
      </c>
      <c r="P107" s="1277">
        <f t="shared" ref="P107:P118" si="164">+O107/F107</f>
        <v>1</v>
      </c>
    </row>
    <row r="108" spans="1:35" ht="12.75" customHeight="1" outlineLevel="1">
      <c r="A108" s="1249" t="s">
        <v>1183</v>
      </c>
      <c r="B108" s="1250" t="s">
        <v>1385</v>
      </c>
      <c r="C108" s="1166"/>
      <c r="D108" s="1278"/>
      <c r="E108" s="1278"/>
      <c r="F108" s="1298">
        <f>+ROUND(F109,2)</f>
        <v>550.17999999999995</v>
      </c>
      <c r="G108" s="1280"/>
      <c r="H108" s="1298">
        <f>+ROUND(H109,2)</f>
        <v>0</v>
      </c>
      <c r="I108" s="1280"/>
      <c r="J108" s="1281">
        <f>+ROUND(J109,2)</f>
        <v>0</v>
      </c>
      <c r="K108" s="1280"/>
      <c r="L108" s="1281">
        <f>+ROUND(L109,2)</f>
        <v>0</v>
      </c>
      <c r="M108" s="1282">
        <f t="shared" si="59"/>
        <v>0</v>
      </c>
      <c r="N108" s="1280"/>
      <c r="O108" s="1281">
        <f>+ROUND(O109,2)</f>
        <v>550.17999999999995</v>
      </c>
      <c r="P108" s="1283">
        <f t="shared" si="164"/>
        <v>1</v>
      </c>
    </row>
    <row r="109" spans="1:35" ht="12.75" customHeight="1" outlineLevel="1">
      <c r="A109" s="1245" t="s">
        <v>1184</v>
      </c>
      <c r="B109" s="1243" t="s">
        <v>1387</v>
      </c>
      <c r="C109" s="1169" t="s">
        <v>434</v>
      </c>
      <c r="D109" s="1288">
        <v>357.26</v>
      </c>
      <c r="E109" s="1289">
        <v>1.54</v>
      </c>
      <c r="F109" s="1290">
        <f>+ROUND(D109*E109,2)</f>
        <v>550.17999999999995</v>
      </c>
      <c r="G109" s="1262">
        <v>0</v>
      </c>
      <c r="H109" s="1290">
        <f>+ROUND($E109*G109,2)</f>
        <v>0</v>
      </c>
      <c r="I109" s="1602">
        <f>+K109-G109</f>
        <v>0</v>
      </c>
      <c r="J109" s="1291">
        <f>+ROUND($E109*I109,2)</f>
        <v>0</v>
      </c>
      <c r="K109" s="1262">
        <v>0</v>
      </c>
      <c r="L109" s="1291">
        <f>+ROUND($E109*K109,2)</f>
        <v>0</v>
      </c>
      <c r="M109" s="1292">
        <f t="shared" ref="M109:M118" si="165">L109/$F109</f>
        <v>0</v>
      </c>
      <c r="N109" s="1291">
        <f t="shared" si="117"/>
        <v>357.26</v>
      </c>
      <c r="O109" s="1291">
        <f>+ROUND($E109*N109,2)</f>
        <v>550.17999999999995</v>
      </c>
      <c r="P109" s="1293">
        <f t="shared" si="164"/>
        <v>1</v>
      </c>
      <c r="X109" s="695"/>
      <c r="Y109" s="695"/>
      <c r="Z109" s="695"/>
      <c r="AA109" s="695"/>
      <c r="AB109" s="1075"/>
      <c r="AC109" s="306"/>
      <c r="AD109" s="695"/>
      <c r="AE109" s="695"/>
      <c r="AF109" s="306"/>
      <c r="AG109" s="306"/>
      <c r="AH109" s="695"/>
      <c r="AI109" s="695"/>
    </row>
    <row r="110" spans="1:35" ht="12.75" customHeight="1" outlineLevel="1">
      <c r="A110" s="1249" t="s">
        <v>1192</v>
      </c>
      <c r="B110" s="1250" t="s">
        <v>1488</v>
      </c>
      <c r="C110" s="1166"/>
      <c r="D110" s="1278"/>
      <c r="E110" s="1278"/>
      <c r="F110" s="1298">
        <f>+ROUND(F111+F112+F113+F114,2)</f>
        <v>1049.43</v>
      </c>
      <c r="G110" s="1280"/>
      <c r="H110" s="1298">
        <f>+ROUND(H111+H112+H113+H114,2)</f>
        <v>0</v>
      </c>
      <c r="I110" s="1280"/>
      <c r="J110" s="1281">
        <f>+ROUND(J111+J112+J113+J114,2)</f>
        <v>0</v>
      </c>
      <c r="K110" s="1280"/>
      <c r="L110" s="1281">
        <f>+ROUND(L111+L112+L113+L114,2)</f>
        <v>0</v>
      </c>
      <c r="M110" s="1282">
        <f t="shared" si="165"/>
        <v>0</v>
      </c>
      <c r="N110" s="1280"/>
      <c r="O110" s="1281">
        <f>+ROUND(O111+O112+O113+O114,2)</f>
        <v>1049.43</v>
      </c>
      <c r="P110" s="1283">
        <f t="shared" si="164"/>
        <v>1</v>
      </c>
    </row>
    <row r="111" spans="1:35" ht="12.75" customHeight="1" outlineLevel="1">
      <c r="A111" s="1245" t="s">
        <v>1193</v>
      </c>
      <c r="B111" s="1243" t="s">
        <v>1489</v>
      </c>
      <c r="C111" s="1169" t="s">
        <v>431</v>
      </c>
      <c r="D111" s="1288">
        <v>48.800000000000004</v>
      </c>
      <c r="E111" s="1289">
        <v>5.75</v>
      </c>
      <c r="F111" s="1290">
        <f>+ROUND(D111*E111,2)</f>
        <v>280.60000000000002</v>
      </c>
      <c r="G111" s="1262">
        <v>0</v>
      </c>
      <c r="H111" s="1290">
        <f t="shared" ref="H111:J114" si="166">+ROUND($E111*G111,2)</f>
        <v>0</v>
      </c>
      <c r="I111" s="1602">
        <f t="shared" ref="I111:I114" si="167">+K111-G111</f>
        <v>0</v>
      </c>
      <c r="J111" s="1291">
        <f t="shared" si="166"/>
        <v>0</v>
      </c>
      <c r="K111" s="1262">
        <v>0</v>
      </c>
      <c r="L111" s="1291">
        <f t="shared" ref="L111" si="168">+ROUND($E111*K111,2)</f>
        <v>0</v>
      </c>
      <c r="M111" s="1292">
        <f t="shared" si="165"/>
        <v>0</v>
      </c>
      <c r="N111" s="1291">
        <f t="shared" si="117"/>
        <v>48.800000000000004</v>
      </c>
      <c r="O111" s="1291">
        <f t="shared" ref="O111" si="169">+ROUND($E111*N111,2)</f>
        <v>280.60000000000002</v>
      </c>
      <c r="P111" s="1293">
        <f t="shared" si="164"/>
        <v>1</v>
      </c>
      <c r="X111" s="306"/>
      <c r="Y111" s="306"/>
      <c r="Z111" s="306"/>
      <c r="AA111" s="306"/>
      <c r="AB111" s="306"/>
      <c r="AC111" s="306"/>
      <c r="AD111" s="306"/>
      <c r="AE111" s="306"/>
      <c r="AF111" s="306"/>
      <c r="AG111" s="306"/>
      <c r="AH111" s="306"/>
      <c r="AI111" s="306"/>
    </row>
    <row r="112" spans="1:35" ht="12.75" customHeight="1" outlineLevel="1">
      <c r="A112" s="1245" t="s">
        <v>1218</v>
      </c>
      <c r="B112" s="1243" t="s">
        <v>1490</v>
      </c>
      <c r="C112" s="1169" t="s">
        <v>434</v>
      </c>
      <c r="D112" s="1288">
        <v>10.76</v>
      </c>
      <c r="E112" s="1289">
        <v>8.24</v>
      </c>
      <c r="F112" s="1290">
        <f>+ROUND(D112*E112,2)</f>
        <v>88.66</v>
      </c>
      <c r="G112" s="1262">
        <v>0</v>
      </c>
      <c r="H112" s="1290">
        <f t="shared" si="166"/>
        <v>0</v>
      </c>
      <c r="I112" s="1602">
        <f t="shared" si="167"/>
        <v>0</v>
      </c>
      <c r="J112" s="1291">
        <f t="shared" si="166"/>
        <v>0</v>
      </c>
      <c r="K112" s="1262">
        <v>0</v>
      </c>
      <c r="L112" s="1291">
        <f t="shared" ref="L112" si="170">+ROUND($E112*K112,2)</f>
        <v>0</v>
      </c>
      <c r="M112" s="1292">
        <f t="shared" si="165"/>
        <v>0</v>
      </c>
      <c r="N112" s="1291">
        <f t="shared" si="117"/>
        <v>10.76</v>
      </c>
      <c r="O112" s="1291">
        <f t="shared" ref="O112" si="171">+ROUND($E112*N112,2)</f>
        <v>88.66</v>
      </c>
      <c r="P112" s="1293">
        <f t="shared" si="164"/>
        <v>1</v>
      </c>
      <c r="X112" s="306"/>
      <c r="Y112" s="306"/>
      <c r="Z112" s="306"/>
      <c r="AA112" s="306"/>
      <c r="AB112" s="306"/>
      <c r="AC112" s="306"/>
      <c r="AD112" s="306"/>
      <c r="AE112" s="306"/>
      <c r="AF112" s="306"/>
      <c r="AG112" s="306"/>
      <c r="AH112" s="306"/>
      <c r="AI112" s="306"/>
    </row>
    <row r="113" spans="1:35" ht="12.75" customHeight="1" outlineLevel="1">
      <c r="A113" s="1245" t="s">
        <v>1226</v>
      </c>
      <c r="B113" s="1243" t="s">
        <v>1491</v>
      </c>
      <c r="C113" s="1169" t="s">
        <v>432</v>
      </c>
      <c r="D113" s="1288">
        <v>9.61</v>
      </c>
      <c r="E113" s="1289">
        <v>31.58</v>
      </c>
      <c r="F113" s="1290">
        <f>+ROUND(D113*E113,2)</f>
        <v>303.48</v>
      </c>
      <c r="G113" s="1262">
        <v>0</v>
      </c>
      <c r="H113" s="1290">
        <f t="shared" si="166"/>
        <v>0</v>
      </c>
      <c r="I113" s="1602">
        <f t="shared" si="167"/>
        <v>0</v>
      </c>
      <c r="J113" s="1291">
        <f t="shared" si="166"/>
        <v>0</v>
      </c>
      <c r="K113" s="1262">
        <v>0</v>
      </c>
      <c r="L113" s="1291">
        <f t="shared" ref="L113" si="172">+ROUND($E113*K113,2)</f>
        <v>0</v>
      </c>
      <c r="M113" s="1292">
        <f t="shared" si="165"/>
        <v>0</v>
      </c>
      <c r="N113" s="1291">
        <f t="shared" si="117"/>
        <v>9.61</v>
      </c>
      <c r="O113" s="1291">
        <f t="shared" ref="O113" si="173">+ROUND($E113*N113,2)</f>
        <v>303.48</v>
      </c>
      <c r="P113" s="1293">
        <f t="shared" si="164"/>
        <v>1</v>
      </c>
      <c r="X113" s="306"/>
      <c r="Y113" s="306"/>
      <c r="Z113" s="306"/>
      <c r="AA113" s="306"/>
      <c r="AB113" s="306"/>
      <c r="AC113" s="306"/>
      <c r="AD113" s="306"/>
      <c r="AE113" s="306"/>
      <c r="AF113" s="306"/>
      <c r="AG113" s="306"/>
      <c r="AH113" s="306"/>
      <c r="AI113" s="306"/>
    </row>
    <row r="114" spans="1:35" ht="12.75" customHeight="1" outlineLevel="1">
      <c r="A114" s="1245" t="s">
        <v>1231</v>
      </c>
      <c r="B114" s="1243" t="s">
        <v>1410</v>
      </c>
      <c r="C114" s="1169" t="s">
        <v>432</v>
      </c>
      <c r="D114" s="1288">
        <v>14.96</v>
      </c>
      <c r="E114" s="1289">
        <v>25.18</v>
      </c>
      <c r="F114" s="1290">
        <f>+ROUND(D114*E114,2)</f>
        <v>376.69</v>
      </c>
      <c r="G114" s="1262">
        <v>0</v>
      </c>
      <c r="H114" s="1290">
        <f t="shared" si="166"/>
        <v>0</v>
      </c>
      <c r="I114" s="1602">
        <f t="shared" si="167"/>
        <v>0</v>
      </c>
      <c r="J114" s="1291">
        <f t="shared" si="166"/>
        <v>0</v>
      </c>
      <c r="K114" s="1262">
        <v>0</v>
      </c>
      <c r="L114" s="1291">
        <f t="shared" ref="L114" si="174">+ROUND($E114*K114,2)</f>
        <v>0</v>
      </c>
      <c r="M114" s="1292">
        <f t="shared" si="165"/>
        <v>0</v>
      </c>
      <c r="N114" s="1291">
        <f t="shared" si="117"/>
        <v>14.96</v>
      </c>
      <c r="O114" s="1291">
        <f t="shared" ref="O114" si="175">+ROUND($E114*N114,2)</f>
        <v>376.69</v>
      </c>
      <c r="P114" s="1293">
        <f t="shared" si="164"/>
        <v>1</v>
      </c>
      <c r="X114" s="306"/>
      <c r="Y114" s="306"/>
      <c r="Z114" s="306"/>
      <c r="AA114" s="306"/>
      <c r="AB114" s="306"/>
      <c r="AC114" s="306"/>
      <c r="AD114" s="306"/>
      <c r="AE114" s="306"/>
      <c r="AF114" s="306"/>
      <c r="AG114" s="306"/>
      <c r="AH114" s="306"/>
      <c r="AI114" s="306"/>
    </row>
    <row r="115" spans="1:35" ht="12.75" customHeight="1" outlineLevel="1">
      <c r="A115" s="1249" t="s">
        <v>1492</v>
      </c>
      <c r="B115" s="1250" t="s">
        <v>1493</v>
      </c>
      <c r="C115" s="1166"/>
      <c r="D115" s="1278"/>
      <c r="E115" s="1278"/>
      <c r="F115" s="1298">
        <f>+ROUND(F116+F117+F118+F119+F120,2)</f>
        <v>9361.91</v>
      </c>
      <c r="G115" s="1280"/>
      <c r="H115" s="1298">
        <f>+ROUND(H116+H117+H118+H119+H120,2)</f>
        <v>0</v>
      </c>
      <c r="I115" s="1280"/>
      <c r="J115" s="1281">
        <f>+ROUND(J116+J117+J118+J119+J120,2)</f>
        <v>0</v>
      </c>
      <c r="K115" s="1280"/>
      <c r="L115" s="1281">
        <f>+ROUND(L116+L117+L118+L119+L120,2)</f>
        <v>0</v>
      </c>
      <c r="M115" s="1282">
        <f t="shared" ref="M115" si="176">L115/$F115</f>
        <v>0</v>
      </c>
      <c r="N115" s="1280"/>
      <c r="O115" s="1281">
        <f>+ROUND(O116+O117+O118+O119+O120,2)</f>
        <v>9361.91</v>
      </c>
      <c r="P115" s="1283">
        <f t="shared" ref="P115" si="177">+O115/F115</f>
        <v>1</v>
      </c>
    </row>
    <row r="116" spans="1:35" ht="12.75" customHeight="1" outlineLevel="1">
      <c r="A116" s="1245" t="s">
        <v>1494</v>
      </c>
      <c r="B116" s="1243" t="s">
        <v>1495</v>
      </c>
      <c r="C116" s="1169" t="s">
        <v>433</v>
      </c>
      <c r="D116" s="1288">
        <v>5</v>
      </c>
      <c r="E116" s="1289">
        <v>763.01</v>
      </c>
      <c r="F116" s="1290">
        <f>+ROUND(D116*E116,2)</f>
        <v>3815.05</v>
      </c>
      <c r="G116" s="1262">
        <v>0</v>
      </c>
      <c r="H116" s="1290">
        <f t="shared" ref="H116:J120" si="178">+ROUND($E116*G116,2)</f>
        <v>0</v>
      </c>
      <c r="I116" s="1602">
        <f t="shared" ref="I116:I120" si="179">+K116-G116</f>
        <v>0</v>
      </c>
      <c r="J116" s="1291">
        <f t="shared" si="178"/>
        <v>0</v>
      </c>
      <c r="K116" s="1262">
        <v>0</v>
      </c>
      <c r="L116" s="1291">
        <f t="shared" ref="L116" si="180">+ROUND($E116*K116,2)</f>
        <v>0</v>
      </c>
      <c r="M116" s="1292">
        <f t="shared" si="165"/>
        <v>0</v>
      </c>
      <c r="N116" s="1291">
        <f t="shared" si="117"/>
        <v>5</v>
      </c>
      <c r="O116" s="1291">
        <f t="shared" ref="O116" si="181">+ROUND($E116*N116,2)</f>
        <v>3815.05</v>
      </c>
      <c r="P116" s="1293">
        <f t="shared" si="164"/>
        <v>1</v>
      </c>
      <c r="X116" s="306"/>
      <c r="Y116" s="306"/>
      <c r="Z116" s="306"/>
      <c r="AA116" s="306"/>
      <c r="AB116" s="306"/>
      <c r="AC116" s="306"/>
      <c r="AD116" s="306"/>
      <c r="AE116" s="306"/>
      <c r="AF116" s="306"/>
      <c r="AG116" s="306"/>
      <c r="AH116" s="306"/>
      <c r="AI116" s="306"/>
    </row>
    <row r="117" spans="1:35" ht="12.75" customHeight="1" outlineLevel="1">
      <c r="A117" s="1245" t="s">
        <v>1496</v>
      </c>
      <c r="B117" s="1243" t="s">
        <v>1497</v>
      </c>
      <c r="C117" s="1169" t="s">
        <v>433</v>
      </c>
      <c r="D117" s="1288">
        <v>9</v>
      </c>
      <c r="E117" s="1289">
        <v>275.48</v>
      </c>
      <c r="F117" s="1290">
        <f>+ROUND(D117*E117,2)</f>
        <v>2479.3200000000002</v>
      </c>
      <c r="G117" s="1262">
        <v>0</v>
      </c>
      <c r="H117" s="1290">
        <f t="shared" si="178"/>
        <v>0</v>
      </c>
      <c r="I117" s="1602">
        <f t="shared" si="179"/>
        <v>0</v>
      </c>
      <c r="J117" s="1291">
        <f t="shared" si="178"/>
        <v>0</v>
      </c>
      <c r="K117" s="1262">
        <v>0</v>
      </c>
      <c r="L117" s="1291">
        <f t="shared" ref="L117" si="182">+ROUND($E117*K117,2)</f>
        <v>0</v>
      </c>
      <c r="M117" s="1292">
        <f t="shared" si="165"/>
        <v>0</v>
      </c>
      <c r="N117" s="1291">
        <f t="shared" si="117"/>
        <v>9</v>
      </c>
      <c r="O117" s="1291">
        <f t="shared" ref="O117" si="183">+ROUND($E117*N117,2)</f>
        <v>2479.3200000000002</v>
      </c>
      <c r="P117" s="1293">
        <f t="shared" si="164"/>
        <v>1</v>
      </c>
      <c r="X117" s="306"/>
      <c r="Y117" s="306"/>
      <c r="Z117" s="306"/>
      <c r="AA117" s="306"/>
      <c r="AB117" s="306"/>
      <c r="AC117" s="306"/>
      <c r="AD117" s="306"/>
      <c r="AE117" s="306"/>
      <c r="AF117" s="306"/>
      <c r="AG117" s="306"/>
      <c r="AH117" s="306"/>
      <c r="AI117" s="306"/>
    </row>
    <row r="118" spans="1:35" ht="12.75" customHeight="1" outlineLevel="1">
      <c r="A118" s="1245" t="s">
        <v>1498</v>
      </c>
      <c r="B118" s="1243" t="s">
        <v>1499</v>
      </c>
      <c r="C118" s="1169" t="s">
        <v>432</v>
      </c>
      <c r="D118" s="1288">
        <v>4.6100000000000003</v>
      </c>
      <c r="E118" s="1289">
        <v>262.14</v>
      </c>
      <c r="F118" s="1290">
        <f>+ROUND(D118*E118,2)</f>
        <v>1208.47</v>
      </c>
      <c r="G118" s="1262">
        <v>0</v>
      </c>
      <c r="H118" s="1290">
        <f t="shared" si="178"/>
        <v>0</v>
      </c>
      <c r="I118" s="1602">
        <f t="shared" si="179"/>
        <v>0</v>
      </c>
      <c r="J118" s="1291">
        <f t="shared" si="178"/>
        <v>0</v>
      </c>
      <c r="K118" s="1262">
        <v>0</v>
      </c>
      <c r="L118" s="1291">
        <f t="shared" ref="L118" si="184">+ROUND($E118*K118,2)</f>
        <v>0</v>
      </c>
      <c r="M118" s="1292">
        <f t="shared" si="165"/>
        <v>0</v>
      </c>
      <c r="N118" s="1291">
        <f t="shared" si="117"/>
        <v>4.6100000000000003</v>
      </c>
      <c r="O118" s="1291">
        <f t="shared" ref="O118" si="185">+ROUND($E118*N118,2)</f>
        <v>1208.47</v>
      </c>
      <c r="P118" s="1293">
        <f t="shared" si="164"/>
        <v>1</v>
      </c>
      <c r="X118" s="306"/>
      <c r="Y118" s="306"/>
      <c r="Z118" s="306"/>
      <c r="AA118" s="306"/>
      <c r="AB118" s="306"/>
      <c r="AC118" s="306"/>
      <c r="AD118" s="306"/>
      <c r="AE118" s="306"/>
      <c r="AF118" s="306"/>
      <c r="AG118" s="306"/>
      <c r="AH118" s="306"/>
      <c r="AI118" s="306"/>
    </row>
    <row r="119" spans="1:35" ht="12.75" customHeight="1" outlineLevel="1">
      <c r="A119" s="1245" t="s">
        <v>1500</v>
      </c>
      <c r="B119" s="1243" t="s">
        <v>1501</v>
      </c>
      <c r="C119" s="1169" t="s">
        <v>432</v>
      </c>
      <c r="D119" s="1288">
        <v>5</v>
      </c>
      <c r="E119" s="1289">
        <v>255.53</v>
      </c>
      <c r="F119" s="1290">
        <f>+ROUND(D119*E119,2)</f>
        <v>1277.6500000000001</v>
      </c>
      <c r="G119" s="1262">
        <v>0</v>
      </c>
      <c r="H119" s="1290">
        <f t="shared" si="178"/>
        <v>0</v>
      </c>
      <c r="I119" s="1602">
        <f t="shared" si="179"/>
        <v>0</v>
      </c>
      <c r="J119" s="1291">
        <f t="shared" si="178"/>
        <v>0</v>
      </c>
      <c r="K119" s="1262">
        <v>0</v>
      </c>
      <c r="L119" s="1291">
        <f t="shared" ref="L119" si="186">+ROUND($E119*K119,2)</f>
        <v>0</v>
      </c>
      <c r="M119" s="1292">
        <f t="shared" ref="M119:M124" si="187">L119/$F119</f>
        <v>0</v>
      </c>
      <c r="N119" s="1291">
        <f t="shared" si="117"/>
        <v>5</v>
      </c>
      <c r="O119" s="1291">
        <f t="shared" ref="O119" si="188">+ROUND($E119*N119,2)</f>
        <v>1277.6500000000001</v>
      </c>
      <c r="P119" s="1293">
        <f t="shared" ref="P119:P124" si="189">+O119/F119</f>
        <v>1</v>
      </c>
      <c r="X119" s="306"/>
      <c r="Y119" s="306"/>
      <c r="Z119" s="306"/>
      <c r="AA119" s="306"/>
      <c r="AB119" s="306"/>
      <c r="AC119" s="306"/>
      <c r="AD119" s="306"/>
      <c r="AE119" s="306"/>
      <c r="AF119" s="306"/>
      <c r="AG119" s="306"/>
      <c r="AH119" s="306"/>
      <c r="AI119" s="306"/>
    </row>
    <row r="120" spans="1:35" ht="12.75" customHeight="1" outlineLevel="1">
      <c r="A120" s="1245" t="s">
        <v>1502</v>
      </c>
      <c r="B120" s="1243" t="s">
        <v>1503</v>
      </c>
      <c r="C120" s="1169" t="s">
        <v>433</v>
      </c>
      <c r="D120" s="1288">
        <v>14</v>
      </c>
      <c r="E120" s="1289">
        <v>41.53</v>
      </c>
      <c r="F120" s="1290">
        <f>+ROUND(D120*E120,2)</f>
        <v>581.41999999999996</v>
      </c>
      <c r="G120" s="1262">
        <v>0</v>
      </c>
      <c r="H120" s="1290">
        <f t="shared" si="178"/>
        <v>0</v>
      </c>
      <c r="I120" s="1602">
        <f t="shared" si="179"/>
        <v>0</v>
      </c>
      <c r="J120" s="1291">
        <f t="shared" si="178"/>
        <v>0</v>
      </c>
      <c r="K120" s="1262">
        <v>0</v>
      </c>
      <c r="L120" s="1291">
        <f t="shared" ref="L120" si="190">+ROUND($E120*K120,2)</f>
        <v>0</v>
      </c>
      <c r="M120" s="1292">
        <f t="shared" si="187"/>
        <v>0</v>
      </c>
      <c r="N120" s="1291">
        <f t="shared" si="117"/>
        <v>14</v>
      </c>
      <c r="O120" s="1291">
        <f t="shared" ref="O120" si="191">+ROUND($E120*N120,2)</f>
        <v>581.41999999999996</v>
      </c>
      <c r="P120" s="1293">
        <f t="shared" si="189"/>
        <v>1</v>
      </c>
      <c r="X120" s="306"/>
      <c r="Y120" s="306"/>
      <c r="Z120" s="306"/>
      <c r="AA120" s="306"/>
      <c r="AB120" s="306"/>
      <c r="AC120" s="306"/>
      <c r="AD120" s="306"/>
      <c r="AE120" s="306"/>
      <c r="AF120" s="306"/>
      <c r="AG120" s="306"/>
      <c r="AH120" s="306"/>
      <c r="AI120" s="306"/>
    </row>
    <row r="121" spans="1:35" ht="12.75" customHeight="1" outlineLevel="1">
      <c r="A121" s="1249" t="s">
        <v>1504</v>
      </c>
      <c r="B121" s="1250" t="s">
        <v>1505</v>
      </c>
      <c r="C121" s="1166"/>
      <c r="D121" s="1278"/>
      <c r="E121" s="1278"/>
      <c r="F121" s="1298">
        <f>+ROUND(F122+F123+F124+F125+F126,2)</f>
        <v>66402.13</v>
      </c>
      <c r="G121" s="1280"/>
      <c r="H121" s="1298">
        <f>+ROUND(H122+H123+H124+H125+H126,2)</f>
        <v>0</v>
      </c>
      <c r="I121" s="1280"/>
      <c r="J121" s="1281">
        <f>+ROUND(J122+J123+J124+J125+J126,2)</f>
        <v>0</v>
      </c>
      <c r="K121" s="1280"/>
      <c r="L121" s="1281">
        <f>+ROUND(L122+L123+L124+L125+L126,2)</f>
        <v>0</v>
      </c>
      <c r="M121" s="1282">
        <f t="shared" si="187"/>
        <v>0</v>
      </c>
      <c r="N121" s="1280"/>
      <c r="O121" s="1281">
        <f>+ROUND(O122+O123+O124+O125+O126,2)</f>
        <v>66402.13</v>
      </c>
      <c r="P121" s="1283">
        <f t="shared" si="189"/>
        <v>1</v>
      </c>
    </row>
    <row r="122" spans="1:35" ht="12.75" customHeight="1" outlineLevel="1">
      <c r="A122" s="1245" t="s">
        <v>1506</v>
      </c>
      <c r="B122" s="1243" t="s">
        <v>1507</v>
      </c>
      <c r="C122" s="1169" t="s">
        <v>431</v>
      </c>
      <c r="D122" s="1288">
        <v>55.24</v>
      </c>
      <c r="E122" s="1289">
        <v>203.26</v>
      </c>
      <c r="F122" s="1290">
        <f>+ROUND(D122*E122,2)</f>
        <v>11228.08</v>
      </c>
      <c r="G122" s="1262">
        <v>0</v>
      </c>
      <c r="H122" s="1290">
        <f t="shared" ref="H122:J126" si="192">+ROUND($E122*G122,2)</f>
        <v>0</v>
      </c>
      <c r="I122" s="1602">
        <f t="shared" ref="I122:I126" si="193">+K122-G122</f>
        <v>0</v>
      </c>
      <c r="J122" s="1291">
        <f t="shared" si="192"/>
        <v>0</v>
      </c>
      <c r="K122" s="1262">
        <v>0</v>
      </c>
      <c r="L122" s="1291">
        <f t="shared" ref="L122" si="194">+ROUND($E122*K122,2)</f>
        <v>0</v>
      </c>
      <c r="M122" s="1292">
        <f t="shared" si="187"/>
        <v>0</v>
      </c>
      <c r="N122" s="1291">
        <f t="shared" si="117"/>
        <v>55.24</v>
      </c>
      <c r="O122" s="1291">
        <f t="shared" ref="O122" si="195">+ROUND($E122*N122,2)</f>
        <v>11228.08</v>
      </c>
      <c r="P122" s="1293">
        <f t="shared" si="189"/>
        <v>1</v>
      </c>
      <c r="X122" s="306"/>
      <c r="Y122" s="306"/>
      <c r="Z122" s="306"/>
      <c r="AA122" s="306"/>
      <c r="AB122" s="306"/>
      <c r="AC122" s="306"/>
      <c r="AD122" s="306"/>
      <c r="AE122" s="306"/>
      <c r="AF122" s="306"/>
      <c r="AG122" s="306"/>
      <c r="AH122" s="306"/>
      <c r="AI122" s="306"/>
    </row>
    <row r="123" spans="1:35" ht="12.75" customHeight="1" outlineLevel="1">
      <c r="A123" s="1245" t="s">
        <v>1508</v>
      </c>
      <c r="B123" s="1243" t="s">
        <v>1509</v>
      </c>
      <c r="C123" s="1169" t="s">
        <v>431</v>
      </c>
      <c r="D123" s="1288">
        <v>440.17</v>
      </c>
      <c r="E123" s="1289">
        <v>110.84</v>
      </c>
      <c r="F123" s="1290">
        <f>+ROUND(D123*E123,2)</f>
        <v>48788.44</v>
      </c>
      <c r="G123" s="1262">
        <v>0</v>
      </c>
      <c r="H123" s="1290">
        <f t="shared" si="192"/>
        <v>0</v>
      </c>
      <c r="I123" s="1602">
        <f t="shared" si="193"/>
        <v>0</v>
      </c>
      <c r="J123" s="1291">
        <f t="shared" si="192"/>
        <v>0</v>
      </c>
      <c r="K123" s="1262">
        <v>0</v>
      </c>
      <c r="L123" s="1291">
        <f t="shared" ref="L123" si="196">+ROUND($E123*K123,2)</f>
        <v>0</v>
      </c>
      <c r="M123" s="1292">
        <f t="shared" si="187"/>
        <v>0</v>
      </c>
      <c r="N123" s="1291">
        <f t="shared" si="117"/>
        <v>440.17</v>
      </c>
      <c r="O123" s="1291">
        <f t="shared" ref="O123" si="197">+ROUND($E123*N123,2)</f>
        <v>48788.44</v>
      </c>
      <c r="P123" s="1293">
        <f t="shared" si="189"/>
        <v>1</v>
      </c>
      <c r="X123" s="306"/>
      <c r="Y123" s="306"/>
      <c r="Z123" s="306"/>
      <c r="AA123" s="306"/>
      <c r="AB123" s="306"/>
      <c r="AC123" s="306"/>
      <c r="AD123" s="306"/>
      <c r="AE123" s="306"/>
      <c r="AF123" s="306"/>
      <c r="AG123" s="306"/>
      <c r="AH123" s="306"/>
      <c r="AI123" s="306"/>
    </row>
    <row r="124" spans="1:35" ht="12.75" customHeight="1" outlineLevel="1">
      <c r="A124" s="1245" t="s">
        <v>1510</v>
      </c>
      <c r="B124" s="1243" t="s">
        <v>1511</v>
      </c>
      <c r="C124" s="1169" t="s">
        <v>431</v>
      </c>
      <c r="D124" s="1288">
        <v>41.18</v>
      </c>
      <c r="E124" s="1289">
        <v>88.88</v>
      </c>
      <c r="F124" s="1290">
        <f>+ROUND(D124*E124,2)</f>
        <v>3660.08</v>
      </c>
      <c r="G124" s="1262">
        <v>0</v>
      </c>
      <c r="H124" s="1290">
        <f t="shared" si="192"/>
        <v>0</v>
      </c>
      <c r="I124" s="1602">
        <f t="shared" si="193"/>
        <v>0</v>
      </c>
      <c r="J124" s="1291">
        <f t="shared" si="192"/>
        <v>0</v>
      </c>
      <c r="K124" s="1262">
        <v>0</v>
      </c>
      <c r="L124" s="1291">
        <f t="shared" ref="L124" si="198">+ROUND($E124*K124,2)</f>
        <v>0</v>
      </c>
      <c r="M124" s="1292">
        <f t="shared" si="187"/>
        <v>0</v>
      </c>
      <c r="N124" s="1291">
        <f t="shared" si="117"/>
        <v>41.18</v>
      </c>
      <c r="O124" s="1291">
        <f t="shared" ref="O124" si="199">+ROUND($E124*N124,2)</f>
        <v>3660.08</v>
      </c>
      <c r="P124" s="1293">
        <f t="shared" si="189"/>
        <v>1</v>
      </c>
      <c r="X124" s="306"/>
      <c r="Y124" s="306"/>
      <c r="Z124" s="306"/>
      <c r="AA124" s="306"/>
      <c r="AB124" s="306"/>
      <c r="AC124" s="306"/>
      <c r="AD124" s="306"/>
      <c r="AE124" s="306"/>
      <c r="AF124" s="306"/>
      <c r="AG124" s="306"/>
      <c r="AH124" s="306"/>
      <c r="AI124" s="306"/>
    </row>
    <row r="125" spans="1:35" ht="12.75" customHeight="1" outlineLevel="1">
      <c r="A125" s="1245" t="s">
        <v>1512</v>
      </c>
      <c r="B125" s="1243" t="s">
        <v>1513</v>
      </c>
      <c r="C125" s="1169" t="s">
        <v>431</v>
      </c>
      <c r="D125" s="1288">
        <v>35.550000000000004</v>
      </c>
      <c r="E125" s="1289">
        <v>65.09</v>
      </c>
      <c r="F125" s="1290">
        <f>+ROUND(D125*E125,2)</f>
        <v>2313.9499999999998</v>
      </c>
      <c r="G125" s="1262">
        <v>0</v>
      </c>
      <c r="H125" s="1290">
        <f t="shared" si="192"/>
        <v>0</v>
      </c>
      <c r="I125" s="1602">
        <f t="shared" si="193"/>
        <v>0</v>
      </c>
      <c r="J125" s="1291">
        <f t="shared" si="192"/>
        <v>0</v>
      </c>
      <c r="K125" s="1262">
        <v>0</v>
      </c>
      <c r="L125" s="1291">
        <f t="shared" ref="L125" si="200">+ROUND($E125*K125,2)</f>
        <v>0</v>
      </c>
      <c r="M125" s="1292">
        <f t="shared" ref="M125:M134" si="201">L125/$F125</f>
        <v>0</v>
      </c>
      <c r="N125" s="1291">
        <f t="shared" si="117"/>
        <v>35.550000000000004</v>
      </c>
      <c r="O125" s="1291">
        <f t="shared" ref="O125" si="202">+ROUND($E125*N125,2)</f>
        <v>2313.9499999999998</v>
      </c>
      <c r="P125" s="1293">
        <f t="shared" ref="P125:P134" si="203">+O125/F125</f>
        <v>1</v>
      </c>
      <c r="X125" s="306"/>
      <c r="Y125" s="306"/>
      <c r="Z125" s="306"/>
      <c r="AA125" s="306"/>
      <c r="AB125" s="306"/>
      <c r="AC125" s="306"/>
      <c r="AD125" s="306"/>
      <c r="AE125" s="306"/>
      <c r="AF125" s="306"/>
      <c r="AG125" s="306"/>
      <c r="AH125" s="306"/>
      <c r="AI125" s="306"/>
    </row>
    <row r="126" spans="1:35" ht="12.75" customHeight="1" outlineLevel="1">
      <c r="A126" s="1245" t="s">
        <v>1514</v>
      </c>
      <c r="B126" s="1243" t="s">
        <v>1515</v>
      </c>
      <c r="C126" s="1169" t="s">
        <v>431</v>
      </c>
      <c r="D126" s="1288">
        <v>5.33</v>
      </c>
      <c r="E126" s="1289">
        <v>77.22</v>
      </c>
      <c r="F126" s="1290">
        <f>+ROUND(D126*E126,2)</f>
        <v>411.58</v>
      </c>
      <c r="G126" s="1262">
        <v>0</v>
      </c>
      <c r="H126" s="1290">
        <f t="shared" si="192"/>
        <v>0</v>
      </c>
      <c r="I126" s="1602">
        <f t="shared" si="193"/>
        <v>0</v>
      </c>
      <c r="J126" s="1291">
        <f t="shared" si="192"/>
        <v>0</v>
      </c>
      <c r="K126" s="1262">
        <v>0</v>
      </c>
      <c r="L126" s="1291">
        <f t="shared" ref="L126" si="204">+ROUND($E126*K126,2)</f>
        <v>0</v>
      </c>
      <c r="M126" s="1292">
        <f t="shared" si="201"/>
        <v>0</v>
      </c>
      <c r="N126" s="1291">
        <f t="shared" si="117"/>
        <v>5.33</v>
      </c>
      <c r="O126" s="1291">
        <f t="shared" ref="O126" si="205">+ROUND($E126*N126,2)</f>
        <v>411.58</v>
      </c>
      <c r="P126" s="1293">
        <f t="shared" si="203"/>
        <v>1</v>
      </c>
      <c r="X126" s="306"/>
      <c r="Y126" s="306"/>
      <c r="Z126" s="306"/>
      <c r="AA126" s="306"/>
      <c r="AB126" s="306"/>
      <c r="AC126" s="306"/>
      <c r="AD126" s="306"/>
      <c r="AE126" s="306"/>
      <c r="AF126" s="306"/>
      <c r="AG126" s="306"/>
      <c r="AH126" s="306"/>
      <c r="AI126" s="306"/>
    </row>
    <row r="127" spans="1:35" ht="12.75" customHeight="1" outlineLevel="1">
      <c r="A127" s="1249" t="s">
        <v>1516</v>
      </c>
      <c r="B127" s="1250" t="s">
        <v>1517</v>
      </c>
      <c r="C127" s="1166"/>
      <c r="D127" s="1278"/>
      <c r="E127" s="1278"/>
      <c r="F127" s="1298">
        <f>+ROUND(F128+F129+F130,2)</f>
        <v>9407.0300000000007</v>
      </c>
      <c r="G127" s="1280"/>
      <c r="H127" s="1298">
        <f>+ROUND(H128+H129+H130,2)</f>
        <v>0</v>
      </c>
      <c r="I127" s="1280"/>
      <c r="J127" s="1281">
        <f>+ROUND(J128+J129+J130,2)</f>
        <v>0</v>
      </c>
      <c r="K127" s="1280"/>
      <c r="L127" s="1281">
        <f>+ROUND(L128+L129+L130,2)</f>
        <v>0</v>
      </c>
      <c r="M127" s="1282">
        <f t="shared" si="201"/>
        <v>0</v>
      </c>
      <c r="N127" s="1280"/>
      <c r="O127" s="1281">
        <f>+ROUND(O128+O129+O130,2)</f>
        <v>9407.0300000000007</v>
      </c>
      <c r="P127" s="1283">
        <f t="shared" si="203"/>
        <v>1</v>
      </c>
    </row>
    <row r="128" spans="1:35" ht="12.75" customHeight="1" outlineLevel="1">
      <c r="A128" s="1245" t="s">
        <v>1518</v>
      </c>
      <c r="B128" s="1243" t="s">
        <v>1519</v>
      </c>
      <c r="C128" s="1169" t="s">
        <v>433</v>
      </c>
      <c r="D128" s="1288">
        <v>10</v>
      </c>
      <c r="E128" s="1289">
        <v>678.64</v>
      </c>
      <c r="F128" s="1290">
        <f>+ROUND(D128*E128,2)</f>
        <v>6786.4</v>
      </c>
      <c r="G128" s="1262">
        <v>0</v>
      </c>
      <c r="H128" s="1290">
        <f t="shared" ref="H128:J130" si="206">+ROUND($E128*G128,2)</f>
        <v>0</v>
      </c>
      <c r="I128" s="1602">
        <f t="shared" ref="I128:I130" si="207">+K128-G128</f>
        <v>0</v>
      </c>
      <c r="J128" s="1291">
        <f t="shared" si="206"/>
        <v>0</v>
      </c>
      <c r="K128" s="1262">
        <v>0</v>
      </c>
      <c r="L128" s="1291">
        <f t="shared" ref="L128" si="208">+ROUND($E128*K128,2)</f>
        <v>0</v>
      </c>
      <c r="M128" s="1292">
        <f t="shared" si="201"/>
        <v>0</v>
      </c>
      <c r="N128" s="1291">
        <f t="shared" si="117"/>
        <v>10</v>
      </c>
      <c r="O128" s="1291">
        <f t="shared" ref="O128" si="209">+ROUND($E128*N128,2)</f>
        <v>6786.4</v>
      </c>
      <c r="P128" s="1293">
        <f t="shared" si="203"/>
        <v>1</v>
      </c>
      <c r="X128" s="306"/>
      <c r="Y128" s="306"/>
      <c r="Z128" s="306"/>
      <c r="AA128" s="306"/>
      <c r="AB128" s="306"/>
      <c r="AC128" s="306"/>
      <c r="AD128" s="306"/>
      <c r="AE128" s="306"/>
      <c r="AF128" s="306"/>
      <c r="AG128" s="306"/>
      <c r="AH128" s="306"/>
      <c r="AI128" s="306"/>
    </row>
    <row r="129" spans="1:35" ht="12.75" customHeight="1" outlineLevel="1">
      <c r="A129" s="1245" t="s">
        <v>1520</v>
      </c>
      <c r="B129" s="1243" t="s">
        <v>1521</v>
      </c>
      <c r="C129" s="1169" t="s">
        <v>433</v>
      </c>
      <c r="D129" s="1288">
        <v>1</v>
      </c>
      <c r="E129" s="1289">
        <v>885.79</v>
      </c>
      <c r="F129" s="1290">
        <f>+ROUND(D129*E129,2)</f>
        <v>885.79</v>
      </c>
      <c r="G129" s="1262">
        <v>0</v>
      </c>
      <c r="H129" s="1290">
        <f t="shared" si="206"/>
        <v>0</v>
      </c>
      <c r="I129" s="1602">
        <f t="shared" si="207"/>
        <v>0</v>
      </c>
      <c r="J129" s="1291">
        <f t="shared" si="206"/>
        <v>0</v>
      </c>
      <c r="K129" s="1262">
        <v>0</v>
      </c>
      <c r="L129" s="1291">
        <f t="shared" ref="L129" si="210">+ROUND($E129*K129,2)</f>
        <v>0</v>
      </c>
      <c r="M129" s="1292">
        <f t="shared" si="201"/>
        <v>0</v>
      </c>
      <c r="N129" s="1291">
        <f t="shared" si="117"/>
        <v>1</v>
      </c>
      <c r="O129" s="1291">
        <f t="shared" ref="O129" si="211">+ROUND($E129*N129,2)</f>
        <v>885.79</v>
      </c>
      <c r="P129" s="1293">
        <f t="shared" si="203"/>
        <v>1</v>
      </c>
      <c r="X129" s="306"/>
      <c r="Y129" s="306"/>
      <c r="Z129" s="306"/>
      <c r="AA129" s="306"/>
      <c r="AB129" s="306"/>
      <c r="AC129" s="306"/>
      <c r="AD129" s="306"/>
      <c r="AE129" s="306"/>
      <c r="AF129" s="306"/>
      <c r="AG129" s="306"/>
      <c r="AH129" s="306"/>
      <c r="AI129" s="306"/>
    </row>
    <row r="130" spans="1:35" ht="12.75" customHeight="1" outlineLevel="1">
      <c r="A130" s="1245" t="s">
        <v>1522</v>
      </c>
      <c r="B130" s="1243" t="s">
        <v>1523</v>
      </c>
      <c r="C130" s="1169" t="s">
        <v>433</v>
      </c>
      <c r="D130" s="1288">
        <v>3</v>
      </c>
      <c r="E130" s="1289">
        <v>578.28</v>
      </c>
      <c r="F130" s="1290">
        <f>+ROUND(D130*E130,2)</f>
        <v>1734.84</v>
      </c>
      <c r="G130" s="1262">
        <v>0</v>
      </c>
      <c r="H130" s="1290">
        <f t="shared" si="206"/>
        <v>0</v>
      </c>
      <c r="I130" s="1602">
        <f t="shared" si="207"/>
        <v>0</v>
      </c>
      <c r="J130" s="1291">
        <f t="shared" si="206"/>
        <v>0</v>
      </c>
      <c r="K130" s="1262">
        <v>0</v>
      </c>
      <c r="L130" s="1291">
        <f t="shared" ref="L130" si="212">+ROUND($E130*K130,2)</f>
        <v>0</v>
      </c>
      <c r="M130" s="1292">
        <f t="shared" si="201"/>
        <v>0</v>
      </c>
      <c r="N130" s="1291">
        <f t="shared" si="117"/>
        <v>3</v>
      </c>
      <c r="O130" s="1291">
        <f t="shared" ref="O130" si="213">+ROUND($E130*N130,2)</f>
        <v>1734.84</v>
      </c>
      <c r="P130" s="1293">
        <f t="shared" si="203"/>
        <v>1</v>
      </c>
      <c r="X130" s="306"/>
      <c r="Y130" s="306"/>
      <c r="Z130" s="306"/>
      <c r="AA130" s="306"/>
      <c r="AB130" s="306"/>
      <c r="AC130" s="306"/>
      <c r="AD130" s="306"/>
      <c r="AE130" s="306"/>
      <c r="AF130" s="306"/>
      <c r="AG130" s="306"/>
      <c r="AH130" s="306"/>
      <c r="AI130" s="306"/>
    </row>
    <row r="131" spans="1:35" ht="12.75" customHeight="1" outlineLevel="1">
      <c r="A131" s="1249" t="s">
        <v>1524</v>
      </c>
      <c r="B131" s="1250" t="s">
        <v>1525</v>
      </c>
      <c r="C131" s="1166"/>
      <c r="D131" s="1278"/>
      <c r="E131" s="1278"/>
      <c r="F131" s="1298">
        <f>+ROUND(F132+F133+F134+F135+F136+F137,2)</f>
        <v>36969.75</v>
      </c>
      <c r="G131" s="1280"/>
      <c r="H131" s="1298">
        <f>+ROUND(H132+H133+H134+H135+H136+H137,2)</f>
        <v>0</v>
      </c>
      <c r="I131" s="1280"/>
      <c r="J131" s="1281">
        <f>+ROUND(J132+J133+J134+J135+J136+J137,2)</f>
        <v>0</v>
      </c>
      <c r="K131" s="1280"/>
      <c r="L131" s="1281">
        <f>+ROUND(L132+L133+L134+L135+L136+L137,2)</f>
        <v>0</v>
      </c>
      <c r="M131" s="1282">
        <f t="shared" si="201"/>
        <v>0</v>
      </c>
      <c r="N131" s="1280"/>
      <c r="O131" s="1281">
        <f>+ROUND(O132+O133+O134+O135+O136+O137,2)</f>
        <v>36969.75</v>
      </c>
      <c r="P131" s="1283">
        <f t="shared" si="203"/>
        <v>1</v>
      </c>
    </row>
    <row r="132" spans="1:35" ht="12.75" customHeight="1" outlineLevel="1">
      <c r="A132" s="1245" t="s">
        <v>1526</v>
      </c>
      <c r="B132" s="1243" t="s">
        <v>1527</v>
      </c>
      <c r="C132" s="1169" t="s">
        <v>433</v>
      </c>
      <c r="D132" s="1288">
        <v>2</v>
      </c>
      <c r="E132" s="1289">
        <v>5094.2700000000004</v>
      </c>
      <c r="F132" s="1290">
        <f t="shared" ref="F132:F137" si="214">+ROUND(D132*E132,2)</f>
        <v>10188.540000000001</v>
      </c>
      <c r="G132" s="1262">
        <v>0</v>
      </c>
      <c r="H132" s="1290">
        <f t="shared" ref="H132:J137" si="215">+ROUND($E132*G132,2)</f>
        <v>0</v>
      </c>
      <c r="I132" s="1602">
        <f t="shared" ref="I132:I159" si="216">+K132-G132</f>
        <v>0</v>
      </c>
      <c r="J132" s="1291">
        <f t="shared" si="215"/>
        <v>0</v>
      </c>
      <c r="K132" s="1262">
        <v>0</v>
      </c>
      <c r="L132" s="1291">
        <f t="shared" ref="L132" si="217">+ROUND($E132*K132,2)</f>
        <v>0</v>
      </c>
      <c r="M132" s="1292">
        <f t="shared" si="201"/>
        <v>0</v>
      </c>
      <c r="N132" s="1291">
        <f t="shared" si="117"/>
        <v>2</v>
      </c>
      <c r="O132" s="1291">
        <f t="shared" ref="O132" si="218">+ROUND($E132*N132,2)</f>
        <v>10188.540000000001</v>
      </c>
      <c r="P132" s="1293">
        <f t="shared" si="203"/>
        <v>1</v>
      </c>
      <c r="X132" s="306"/>
      <c r="Y132" s="306"/>
      <c r="Z132" s="306"/>
      <c r="AA132" s="306"/>
      <c r="AB132" s="306"/>
      <c r="AC132" s="306"/>
      <c r="AD132" s="306"/>
      <c r="AE132" s="306"/>
      <c r="AF132" s="306"/>
      <c r="AG132" s="306"/>
      <c r="AH132" s="306"/>
      <c r="AI132" s="306"/>
    </row>
    <row r="133" spans="1:35" ht="12.75" customHeight="1" outlineLevel="1">
      <c r="A133" s="1245" t="s">
        <v>1528</v>
      </c>
      <c r="B133" s="1243" t="s">
        <v>1529</v>
      </c>
      <c r="C133" s="1169" t="s">
        <v>433</v>
      </c>
      <c r="D133" s="1288">
        <v>3</v>
      </c>
      <c r="E133" s="1289">
        <v>4725.45</v>
      </c>
      <c r="F133" s="1290">
        <f t="shared" si="214"/>
        <v>14176.35</v>
      </c>
      <c r="G133" s="1262">
        <v>0</v>
      </c>
      <c r="H133" s="1290">
        <f t="shared" si="215"/>
        <v>0</v>
      </c>
      <c r="I133" s="1602">
        <f t="shared" si="216"/>
        <v>0</v>
      </c>
      <c r="J133" s="1291">
        <f t="shared" si="215"/>
        <v>0</v>
      </c>
      <c r="K133" s="1262">
        <v>0</v>
      </c>
      <c r="L133" s="1291">
        <f t="shared" ref="L133" si="219">+ROUND($E133*K133,2)</f>
        <v>0</v>
      </c>
      <c r="M133" s="1292">
        <f t="shared" si="201"/>
        <v>0</v>
      </c>
      <c r="N133" s="1291">
        <f t="shared" si="117"/>
        <v>3</v>
      </c>
      <c r="O133" s="1291">
        <f t="shared" ref="O133" si="220">+ROUND($E133*N133,2)</f>
        <v>14176.35</v>
      </c>
      <c r="P133" s="1293">
        <f t="shared" si="203"/>
        <v>1</v>
      </c>
      <c r="X133" s="306"/>
      <c r="Y133" s="306"/>
      <c r="Z133" s="306"/>
      <c r="AA133" s="306"/>
      <c r="AB133" s="306"/>
      <c r="AC133" s="306"/>
      <c r="AD133" s="306"/>
      <c r="AE133" s="306"/>
      <c r="AF133" s="306"/>
      <c r="AG133" s="306"/>
      <c r="AH133" s="306"/>
      <c r="AI133" s="306"/>
    </row>
    <row r="134" spans="1:35" ht="12.75" customHeight="1" outlineLevel="1">
      <c r="A134" s="1245" t="s">
        <v>1530</v>
      </c>
      <c r="B134" s="1243" t="s">
        <v>1531</v>
      </c>
      <c r="C134" s="1169" t="s">
        <v>433</v>
      </c>
      <c r="D134" s="1288">
        <v>2</v>
      </c>
      <c r="E134" s="1289">
        <v>1323.18</v>
      </c>
      <c r="F134" s="1290">
        <f t="shared" si="214"/>
        <v>2646.36</v>
      </c>
      <c r="G134" s="1262">
        <v>0</v>
      </c>
      <c r="H134" s="1290">
        <f t="shared" si="215"/>
        <v>0</v>
      </c>
      <c r="I134" s="1602">
        <f t="shared" si="216"/>
        <v>0</v>
      </c>
      <c r="J134" s="1291">
        <f t="shared" si="215"/>
        <v>0</v>
      </c>
      <c r="K134" s="1262">
        <v>0</v>
      </c>
      <c r="L134" s="1291">
        <f t="shared" ref="L134" si="221">+ROUND($E134*K134,2)</f>
        <v>0</v>
      </c>
      <c r="M134" s="1292">
        <f t="shared" si="201"/>
        <v>0</v>
      </c>
      <c r="N134" s="1291">
        <f t="shared" si="117"/>
        <v>2</v>
      </c>
      <c r="O134" s="1291">
        <f t="shared" ref="O134" si="222">+ROUND($E134*N134,2)</f>
        <v>2646.36</v>
      </c>
      <c r="P134" s="1293">
        <f t="shared" si="203"/>
        <v>1</v>
      </c>
      <c r="X134" s="306"/>
      <c r="Y134" s="306"/>
      <c r="Z134" s="306"/>
      <c r="AA134" s="306"/>
      <c r="AB134" s="306"/>
      <c r="AC134" s="306"/>
      <c r="AD134" s="306"/>
      <c r="AE134" s="306"/>
      <c r="AF134" s="306"/>
      <c r="AG134" s="306"/>
      <c r="AH134" s="306"/>
      <c r="AI134" s="306"/>
    </row>
    <row r="135" spans="1:35" ht="12.75" customHeight="1" outlineLevel="1">
      <c r="A135" s="1245" t="s">
        <v>1532</v>
      </c>
      <c r="B135" s="1243" t="s">
        <v>1533</v>
      </c>
      <c r="C135" s="1169" t="s">
        <v>433</v>
      </c>
      <c r="D135" s="1288">
        <v>2</v>
      </c>
      <c r="E135" s="1289">
        <v>1755</v>
      </c>
      <c r="F135" s="1290">
        <f t="shared" si="214"/>
        <v>3510</v>
      </c>
      <c r="G135" s="1262">
        <v>0</v>
      </c>
      <c r="H135" s="1290">
        <f t="shared" si="215"/>
        <v>0</v>
      </c>
      <c r="I135" s="1602">
        <f t="shared" si="216"/>
        <v>0</v>
      </c>
      <c r="J135" s="1291">
        <f t="shared" si="215"/>
        <v>0</v>
      </c>
      <c r="K135" s="1262">
        <v>0</v>
      </c>
      <c r="L135" s="1291">
        <f t="shared" ref="L135" si="223">+ROUND($E135*K135,2)</f>
        <v>0</v>
      </c>
      <c r="M135" s="1292">
        <f t="shared" ref="M135:M136" si="224">L135/$F135</f>
        <v>0</v>
      </c>
      <c r="N135" s="1291">
        <f t="shared" si="117"/>
        <v>2</v>
      </c>
      <c r="O135" s="1291">
        <f t="shared" ref="O135" si="225">+ROUND($E135*N135,2)</f>
        <v>3510</v>
      </c>
      <c r="P135" s="1293">
        <f t="shared" ref="P135:P136" si="226">+O135/F135</f>
        <v>1</v>
      </c>
      <c r="X135" s="306"/>
      <c r="Y135" s="306"/>
      <c r="Z135" s="306"/>
      <c r="AA135" s="306"/>
      <c r="AB135" s="306"/>
      <c r="AC135" s="306"/>
      <c r="AD135" s="306"/>
      <c r="AE135" s="306"/>
      <c r="AF135" s="306"/>
      <c r="AG135" s="306"/>
      <c r="AH135" s="306"/>
      <c r="AI135" s="306"/>
    </row>
    <row r="136" spans="1:35" ht="12.75" customHeight="1" outlineLevel="1">
      <c r="A136" s="1245" t="s">
        <v>1534</v>
      </c>
      <c r="B136" s="1243" t="s">
        <v>1535</v>
      </c>
      <c r="C136" s="1169" t="s">
        <v>433</v>
      </c>
      <c r="D136" s="1288">
        <v>4</v>
      </c>
      <c r="E136" s="1289">
        <v>1215</v>
      </c>
      <c r="F136" s="1290">
        <f t="shared" si="214"/>
        <v>4860</v>
      </c>
      <c r="G136" s="1262">
        <v>0</v>
      </c>
      <c r="H136" s="1290">
        <f t="shared" si="215"/>
        <v>0</v>
      </c>
      <c r="I136" s="1602">
        <f t="shared" si="216"/>
        <v>0</v>
      </c>
      <c r="J136" s="1291">
        <f t="shared" si="215"/>
        <v>0</v>
      </c>
      <c r="K136" s="1262">
        <v>0</v>
      </c>
      <c r="L136" s="1291">
        <f t="shared" ref="L136" si="227">+ROUND($E136*K136,2)</f>
        <v>0</v>
      </c>
      <c r="M136" s="1292">
        <f t="shared" si="224"/>
        <v>0</v>
      </c>
      <c r="N136" s="1291">
        <f t="shared" si="117"/>
        <v>4</v>
      </c>
      <c r="O136" s="1291">
        <f t="shared" ref="O136" si="228">+ROUND($E136*N136,2)</f>
        <v>4860</v>
      </c>
      <c r="P136" s="1293">
        <f t="shared" si="226"/>
        <v>1</v>
      </c>
      <c r="X136" s="306"/>
      <c r="Y136" s="306"/>
      <c r="Z136" s="306"/>
      <c r="AA136" s="306"/>
      <c r="AB136" s="306"/>
      <c r="AC136" s="306"/>
      <c r="AD136" s="306"/>
      <c r="AE136" s="306"/>
      <c r="AF136" s="306"/>
      <c r="AG136" s="306"/>
      <c r="AH136" s="306"/>
      <c r="AI136" s="306"/>
    </row>
    <row r="137" spans="1:35" ht="12.75" customHeight="1" outlineLevel="1">
      <c r="A137" s="1245" t="s">
        <v>1536</v>
      </c>
      <c r="B137" s="1243" t="s">
        <v>1537</v>
      </c>
      <c r="C137" s="1169" t="s">
        <v>433</v>
      </c>
      <c r="D137" s="1288">
        <v>1</v>
      </c>
      <c r="E137" s="1289">
        <v>1588.5</v>
      </c>
      <c r="F137" s="1290">
        <f t="shared" si="214"/>
        <v>1588.5</v>
      </c>
      <c r="G137" s="1262">
        <v>0</v>
      </c>
      <c r="H137" s="1290">
        <f t="shared" si="215"/>
        <v>0</v>
      </c>
      <c r="I137" s="1602">
        <f t="shared" si="216"/>
        <v>0</v>
      </c>
      <c r="J137" s="1291">
        <f t="shared" si="215"/>
        <v>0</v>
      </c>
      <c r="K137" s="1262">
        <v>0</v>
      </c>
      <c r="L137" s="1291">
        <f t="shared" ref="L137" si="229">+ROUND($E137*K137,2)</f>
        <v>0</v>
      </c>
      <c r="M137" s="1292">
        <f t="shared" ref="M137:M146" si="230">L137/$F137</f>
        <v>0</v>
      </c>
      <c r="N137" s="1291">
        <f t="shared" si="117"/>
        <v>1</v>
      </c>
      <c r="O137" s="1291">
        <f t="shared" ref="O137" si="231">+ROUND($E137*N137,2)</f>
        <v>1588.5</v>
      </c>
      <c r="P137" s="1293">
        <f t="shared" ref="P137:P146" si="232">+O137/F137</f>
        <v>1</v>
      </c>
      <c r="X137" s="306"/>
      <c r="Y137" s="306"/>
      <c r="Z137" s="306"/>
      <c r="AA137" s="306"/>
      <c r="AB137" s="306"/>
      <c r="AC137" s="306"/>
      <c r="AD137" s="306"/>
      <c r="AE137" s="306"/>
      <c r="AF137" s="306"/>
      <c r="AG137" s="306"/>
      <c r="AH137" s="306"/>
      <c r="AI137" s="306"/>
    </row>
    <row r="138" spans="1:35" ht="12.75" customHeight="1" outlineLevel="1">
      <c r="A138" s="1249" t="s">
        <v>1538</v>
      </c>
      <c r="B138" s="1250" t="s">
        <v>1539</v>
      </c>
      <c r="C138" s="1166"/>
      <c r="D138" s="1278"/>
      <c r="E138" s="1278"/>
      <c r="F138" s="1298">
        <f>+ROUND(F139+F140,2)</f>
        <v>4228.42</v>
      </c>
      <c r="G138" s="1280"/>
      <c r="H138" s="1298">
        <f>+ROUND(H139+H140,2)</f>
        <v>0</v>
      </c>
      <c r="I138" s="1280"/>
      <c r="J138" s="1281">
        <f>+ROUND(J139+J140,2)</f>
        <v>0</v>
      </c>
      <c r="K138" s="1280"/>
      <c r="L138" s="1281">
        <f>+ROUND(L139+L140,2)</f>
        <v>0</v>
      </c>
      <c r="M138" s="1282">
        <f t="shared" si="230"/>
        <v>0</v>
      </c>
      <c r="N138" s="1280"/>
      <c r="O138" s="1281">
        <f>+ROUND(O139+O140,2)</f>
        <v>4228.42</v>
      </c>
      <c r="P138" s="1283">
        <f t="shared" si="232"/>
        <v>1</v>
      </c>
    </row>
    <row r="139" spans="1:35" ht="12.75" customHeight="1" outlineLevel="1">
      <c r="A139" s="1245" t="s">
        <v>1540</v>
      </c>
      <c r="B139" s="1243" t="s">
        <v>1541</v>
      </c>
      <c r="C139" s="1169" t="s">
        <v>433</v>
      </c>
      <c r="D139" s="1288">
        <v>5</v>
      </c>
      <c r="E139" s="1289">
        <v>416.87</v>
      </c>
      <c r="F139" s="1290">
        <f>+ROUND(D139*E139,2)</f>
        <v>2084.35</v>
      </c>
      <c r="G139" s="1262">
        <v>0</v>
      </c>
      <c r="H139" s="1290">
        <f t="shared" ref="H139:J140" si="233">+ROUND($E139*G139,2)</f>
        <v>0</v>
      </c>
      <c r="I139" s="1602">
        <f t="shared" si="216"/>
        <v>0</v>
      </c>
      <c r="J139" s="1291">
        <f t="shared" si="233"/>
        <v>0</v>
      </c>
      <c r="K139" s="1262">
        <v>0</v>
      </c>
      <c r="L139" s="1291">
        <f t="shared" ref="L139" si="234">+ROUND($E139*K139,2)</f>
        <v>0</v>
      </c>
      <c r="M139" s="1292">
        <f t="shared" si="230"/>
        <v>0</v>
      </c>
      <c r="N139" s="1291">
        <f t="shared" si="117"/>
        <v>5</v>
      </c>
      <c r="O139" s="1291">
        <f t="shared" ref="O139" si="235">+ROUND($E139*N139,2)</f>
        <v>2084.35</v>
      </c>
      <c r="P139" s="1293">
        <f t="shared" si="232"/>
        <v>1</v>
      </c>
      <c r="X139" s="306"/>
      <c r="Y139" s="306"/>
      <c r="Z139" s="306"/>
      <c r="AA139" s="306"/>
      <c r="AB139" s="306"/>
      <c r="AC139" s="306"/>
      <c r="AD139" s="306"/>
      <c r="AE139" s="306"/>
      <c r="AF139" s="306"/>
      <c r="AG139" s="306"/>
      <c r="AH139" s="306"/>
      <c r="AI139" s="306"/>
    </row>
    <row r="140" spans="1:35" ht="12.75" customHeight="1" outlineLevel="1">
      <c r="A140" s="1245" t="s">
        <v>1542</v>
      </c>
      <c r="B140" s="1243" t="s">
        <v>1543</v>
      </c>
      <c r="C140" s="1169" t="s">
        <v>433</v>
      </c>
      <c r="D140" s="1288">
        <v>9</v>
      </c>
      <c r="E140" s="1289">
        <v>238.23</v>
      </c>
      <c r="F140" s="1290">
        <f>+ROUND(D140*E140,2)</f>
        <v>2144.0700000000002</v>
      </c>
      <c r="G140" s="1262">
        <v>0</v>
      </c>
      <c r="H140" s="1290">
        <f t="shared" si="233"/>
        <v>0</v>
      </c>
      <c r="I140" s="1602">
        <f t="shared" si="216"/>
        <v>0</v>
      </c>
      <c r="J140" s="1291">
        <f t="shared" si="233"/>
        <v>0</v>
      </c>
      <c r="K140" s="1262">
        <v>0</v>
      </c>
      <c r="L140" s="1291">
        <f t="shared" ref="L140" si="236">+ROUND($E140*K140,2)</f>
        <v>0</v>
      </c>
      <c r="M140" s="1292">
        <f t="shared" si="230"/>
        <v>0</v>
      </c>
      <c r="N140" s="1291">
        <f t="shared" si="117"/>
        <v>9</v>
      </c>
      <c r="O140" s="1291">
        <f t="shared" ref="O140" si="237">+ROUND($E140*N140,2)</f>
        <v>2144.0700000000002</v>
      </c>
      <c r="P140" s="1293">
        <f t="shared" si="232"/>
        <v>1</v>
      </c>
      <c r="X140" s="306"/>
      <c r="Y140" s="306"/>
      <c r="Z140" s="306"/>
      <c r="AA140" s="306"/>
      <c r="AB140" s="306"/>
      <c r="AC140" s="306"/>
      <c r="AD140" s="306"/>
      <c r="AE140" s="306"/>
      <c r="AF140" s="306"/>
      <c r="AG140" s="306"/>
      <c r="AH140" s="306"/>
      <c r="AI140" s="306"/>
    </row>
    <row r="141" spans="1:35" ht="12.75" customHeight="1" outlineLevel="1">
      <c r="A141" s="1249" t="s">
        <v>1544</v>
      </c>
      <c r="B141" s="1250" t="s">
        <v>1545</v>
      </c>
      <c r="C141" s="1166"/>
      <c r="D141" s="1278"/>
      <c r="E141" s="1278"/>
      <c r="F141" s="1298">
        <f>+ROUND(F142+F143+F144+F145+F146+F147,2)</f>
        <v>41541.57</v>
      </c>
      <c r="G141" s="1280"/>
      <c r="H141" s="1298">
        <f>+ROUND(H142+H143+H144+H145+H146+H147,2)</f>
        <v>0</v>
      </c>
      <c r="I141" s="1280"/>
      <c r="J141" s="1281">
        <f>+ROUND(J142+J143+J144+J145+J146+J147,2)</f>
        <v>0</v>
      </c>
      <c r="K141" s="1280"/>
      <c r="L141" s="1281">
        <f>+ROUND(L142+L143+L144+L145+L146+L147,2)</f>
        <v>0</v>
      </c>
      <c r="M141" s="1282">
        <f t="shared" si="230"/>
        <v>0</v>
      </c>
      <c r="N141" s="1280"/>
      <c r="O141" s="1281">
        <f>+ROUND(O142+O143+O144+O145+O146+O147,2)</f>
        <v>41541.57</v>
      </c>
      <c r="P141" s="1283">
        <f t="shared" si="232"/>
        <v>1</v>
      </c>
    </row>
    <row r="142" spans="1:35" ht="12.75" customHeight="1" outlineLevel="1">
      <c r="A142" s="1245" t="s">
        <v>1546</v>
      </c>
      <c r="B142" s="1243" t="s">
        <v>1547</v>
      </c>
      <c r="C142" s="1169" t="s">
        <v>433</v>
      </c>
      <c r="D142" s="1288">
        <v>7</v>
      </c>
      <c r="E142" s="1289">
        <v>1816</v>
      </c>
      <c r="F142" s="1290">
        <f t="shared" ref="F142:F147" si="238">+ROUND(D142*E142,2)</f>
        <v>12712</v>
      </c>
      <c r="G142" s="1262">
        <v>0</v>
      </c>
      <c r="H142" s="1290">
        <f t="shared" ref="H142:J147" si="239">+ROUND($E142*G142,2)</f>
        <v>0</v>
      </c>
      <c r="I142" s="1602">
        <f t="shared" si="216"/>
        <v>0</v>
      </c>
      <c r="J142" s="1291">
        <f t="shared" si="239"/>
        <v>0</v>
      </c>
      <c r="K142" s="1262">
        <v>0</v>
      </c>
      <c r="L142" s="1291">
        <f t="shared" ref="L142" si="240">+ROUND($E142*K142,2)</f>
        <v>0</v>
      </c>
      <c r="M142" s="1292">
        <f t="shared" si="230"/>
        <v>0</v>
      </c>
      <c r="N142" s="1291">
        <f t="shared" si="117"/>
        <v>7</v>
      </c>
      <c r="O142" s="1291">
        <f t="shared" ref="O142" si="241">+ROUND($E142*N142,2)</f>
        <v>12712</v>
      </c>
      <c r="P142" s="1293">
        <f t="shared" si="232"/>
        <v>1</v>
      </c>
      <c r="X142" s="306"/>
      <c r="Y142" s="306"/>
      <c r="Z142" s="306"/>
      <c r="AA142" s="306"/>
      <c r="AB142" s="306"/>
      <c r="AC142" s="306"/>
      <c r="AD142" s="306"/>
      <c r="AE142" s="306"/>
      <c r="AF142" s="306"/>
      <c r="AG142" s="306"/>
      <c r="AH142" s="306"/>
      <c r="AI142" s="306"/>
    </row>
    <row r="143" spans="1:35" ht="12.75" customHeight="1" outlineLevel="1">
      <c r="A143" s="1245" t="s">
        <v>1548</v>
      </c>
      <c r="B143" s="1243" t="s">
        <v>1549</v>
      </c>
      <c r="C143" s="1169" t="s">
        <v>433</v>
      </c>
      <c r="D143" s="1288">
        <v>4</v>
      </c>
      <c r="E143" s="1289">
        <v>1816</v>
      </c>
      <c r="F143" s="1290">
        <f t="shared" si="238"/>
        <v>7264</v>
      </c>
      <c r="G143" s="1262">
        <v>0</v>
      </c>
      <c r="H143" s="1290">
        <f t="shared" si="239"/>
        <v>0</v>
      </c>
      <c r="I143" s="1602">
        <f t="shared" si="216"/>
        <v>0</v>
      </c>
      <c r="J143" s="1291">
        <f t="shared" si="239"/>
        <v>0</v>
      </c>
      <c r="K143" s="1262">
        <v>0</v>
      </c>
      <c r="L143" s="1291">
        <f t="shared" ref="L143" si="242">+ROUND($E143*K143,2)</f>
        <v>0</v>
      </c>
      <c r="M143" s="1292">
        <f t="shared" si="230"/>
        <v>0</v>
      </c>
      <c r="N143" s="1291">
        <f t="shared" si="117"/>
        <v>4</v>
      </c>
      <c r="O143" s="1291">
        <f t="shared" ref="O143" si="243">+ROUND($E143*N143,2)</f>
        <v>7264</v>
      </c>
      <c r="P143" s="1293">
        <f t="shared" si="232"/>
        <v>1</v>
      </c>
      <c r="X143" s="306"/>
      <c r="Y143" s="306"/>
      <c r="Z143" s="306"/>
      <c r="AA143" s="306"/>
      <c r="AB143" s="306"/>
      <c r="AC143" s="306"/>
      <c r="AD143" s="306"/>
      <c r="AE143" s="306"/>
      <c r="AF143" s="306"/>
      <c r="AG143" s="306"/>
      <c r="AH143" s="306"/>
      <c r="AI143" s="306"/>
    </row>
    <row r="144" spans="1:35" ht="12.75" customHeight="1" outlineLevel="1">
      <c r="A144" s="1245" t="s">
        <v>1550</v>
      </c>
      <c r="B144" s="1243" t="s">
        <v>1551</v>
      </c>
      <c r="C144" s="1169" t="s">
        <v>433</v>
      </c>
      <c r="D144" s="1288">
        <v>1</v>
      </c>
      <c r="E144" s="1289">
        <v>1892.61</v>
      </c>
      <c r="F144" s="1290">
        <f t="shared" si="238"/>
        <v>1892.61</v>
      </c>
      <c r="G144" s="1262">
        <v>0</v>
      </c>
      <c r="H144" s="1290">
        <f t="shared" si="239"/>
        <v>0</v>
      </c>
      <c r="I144" s="1602">
        <f t="shared" si="216"/>
        <v>0</v>
      </c>
      <c r="J144" s="1291">
        <f t="shared" si="239"/>
        <v>0</v>
      </c>
      <c r="K144" s="1262">
        <v>0</v>
      </c>
      <c r="L144" s="1291">
        <f t="shared" ref="L144" si="244">+ROUND($E144*K144,2)</f>
        <v>0</v>
      </c>
      <c r="M144" s="1292">
        <f t="shared" si="230"/>
        <v>0</v>
      </c>
      <c r="N144" s="1291">
        <f t="shared" si="117"/>
        <v>1</v>
      </c>
      <c r="O144" s="1291">
        <f t="shared" ref="O144" si="245">+ROUND($E144*N144,2)</f>
        <v>1892.61</v>
      </c>
      <c r="P144" s="1293">
        <f t="shared" si="232"/>
        <v>1</v>
      </c>
      <c r="X144" s="306"/>
      <c r="Y144" s="306"/>
      <c r="Z144" s="306"/>
      <c r="AA144" s="306"/>
      <c r="AB144" s="306"/>
      <c r="AC144" s="306"/>
      <c r="AD144" s="306"/>
      <c r="AE144" s="306"/>
      <c r="AF144" s="306"/>
      <c r="AG144" s="306"/>
      <c r="AH144" s="306"/>
      <c r="AI144" s="306"/>
    </row>
    <row r="145" spans="1:35" ht="12.75" customHeight="1" outlineLevel="1">
      <c r="A145" s="1245" t="s">
        <v>1552</v>
      </c>
      <c r="B145" s="1243" t="s">
        <v>1553</v>
      </c>
      <c r="C145" s="1169" t="s">
        <v>433</v>
      </c>
      <c r="D145" s="1288">
        <v>4</v>
      </c>
      <c r="E145" s="1289">
        <v>1712.45</v>
      </c>
      <c r="F145" s="1290">
        <f t="shared" si="238"/>
        <v>6849.8</v>
      </c>
      <c r="G145" s="1262">
        <v>0</v>
      </c>
      <c r="H145" s="1290">
        <f t="shared" si="239"/>
        <v>0</v>
      </c>
      <c r="I145" s="1602">
        <f t="shared" si="216"/>
        <v>0</v>
      </c>
      <c r="J145" s="1291">
        <f t="shared" si="239"/>
        <v>0</v>
      </c>
      <c r="K145" s="1262">
        <v>0</v>
      </c>
      <c r="L145" s="1291">
        <f t="shared" ref="L145" si="246">+ROUND($E145*K145,2)</f>
        <v>0</v>
      </c>
      <c r="M145" s="1292">
        <f t="shared" si="230"/>
        <v>0</v>
      </c>
      <c r="N145" s="1291">
        <f t="shared" ref="N145:N207" si="247">D145-K145</f>
        <v>4</v>
      </c>
      <c r="O145" s="1291">
        <f t="shared" ref="O145" si="248">+ROUND($E145*N145,2)</f>
        <v>6849.8</v>
      </c>
      <c r="P145" s="1293">
        <f t="shared" si="232"/>
        <v>1</v>
      </c>
      <c r="X145" s="306"/>
      <c r="Y145" s="306"/>
      <c r="Z145" s="306"/>
      <c r="AA145" s="306"/>
      <c r="AB145" s="306"/>
      <c r="AC145" s="306"/>
      <c r="AD145" s="306"/>
      <c r="AE145" s="306"/>
      <c r="AF145" s="306"/>
      <c r="AG145" s="306"/>
      <c r="AH145" s="306"/>
      <c r="AI145" s="306"/>
    </row>
    <row r="146" spans="1:35" ht="12.75" customHeight="1" outlineLevel="1">
      <c r="A146" s="1245" t="s">
        <v>1554</v>
      </c>
      <c r="B146" s="1243" t="s">
        <v>1555</v>
      </c>
      <c r="C146" s="1169" t="s">
        <v>433</v>
      </c>
      <c r="D146" s="1288">
        <v>4</v>
      </c>
      <c r="E146" s="1289">
        <v>1816</v>
      </c>
      <c r="F146" s="1290">
        <f t="shared" si="238"/>
        <v>7264</v>
      </c>
      <c r="G146" s="1262">
        <v>0</v>
      </c>
      <c r="H146" s="1290">
        <f t="shared" si="239"/>
        <v>0</v>
      </c>
      <c r="I146" s="1602">
        <f t="shared" si="216"/>
        <v>0</v>
      </c>
      <c r="J146" s="1291">
        <f t="shared" si="239"/>
        <v>0</v>
      </c>
      <c r="K146" s="1262">
        <v>0</v>
      </c>
      <c r="L146" s="1291">
        <f t="shared" ref="L146" si="249">+ROUND($E146*K146,2)</f>
        <v>0</v>
      </c>
      <c r="M146" s="1292">
        <f t="shared" si="230"/>
        <v>0</v>
      </c>
      <c r="N146" s="1291">
        <f t="shared" si="247"/>
        <v>4</v>
      </c>
      <c r="O146" s="1291">
        <f t="shared" ref="O146" si="250">+ROUND($E146*N146,2)</f>
        <v>7264</v>
      </c>
      <c r="P146" s="1293">
        <f t="shared" si="232"/>
        <v>1</v>
      </c>
      <c r="X146" s="306"/>
      <c r="Y146" s="306"/>
      <c r="Z146" s="306"/>
      <c r="AA146" s="306"/>
      <c r="AB146" s="306"/>
      <c r="AC146" s="306"/>
      <c r="AD146" s="306"/>
      <c r="AE146" s="306"/>
      <c r="AF146" s="306"/>
      <c r="AG146" s="306"/>
      <c r="AH146" s="306"/>
      <c r="AI146" s="306"/>
    </row>
    <row r="147" spans="1:35" ht="12.75" customHeight="1" outlineLevel="1">
      <c r="A147" s="1245" t="s">
        <v>1556</v>
      </c>
      <c r="B147" s="1243" t="s">
        <v>1557</v>
      </c>
      <c r="C147" s="1169" t="s">
        <v>433</v>
      </c>
      <c r="D147" s="1288">
        <v>4</v>
      </c>
      <c r="E147" s="1289">
        <v>1389.79</v>
      </c>
      <c r="F147" s="1290">
        <f t="shared" si="238"/>
        <v>5559.16</v>
      </c>
      <c r="G147" s="1262">
        <v>0</v>
      </c>
      <c r="H147" s="1290">
        <f t="shared" si="239"/>
        <v>0</v>
      </c>
      <c r="I147" s="1602">
        <f t="shared" si="216"/>
        <v>0</v>
      </c>
      <c r="J147" s="1291">
        <f t="shared" si="239"/>
        <v>0</v>
      </c>
      <c r="K147" s="1262">
        <v>0</v>
      </c>
      <c r="L147" s="1291">
        <f t="shared" ref="L147" si="251">+ROUND($E147*K147,2)</f>
        <v>0</v>
      </c>
      <c r="M147" s="1292">
        <f t="shared" ref="M147:M155" si="252">L147/$F147</f>
        <v>0</v>
      </c>
      <c r="N147" s="1291">
        <f t="shared" si="247"/>
        <v>4</v>
      </c>
      <c r="O147" s="1291">
        <f t="shared" ref="O147" si="253">+ROUND($E147*N147,2)</f>
        <v>5559.16</v>
      </c>
      <c r="P147" s="1293">
        <f t="shared" ref="P147:P155" si="254">+O147/F147</f>
        <v>1</v>
      </c>
      <c r="X147" s="306"/>
      <c r="Y147" s="306"/>
      <c r="Z147" s="306"/>
      <c r="AA147" s="306"/>
      <c r="AB147" s="306"/>
      <c r="AC147" s="306"/>
      <c r="AD147" s="306"/>
      <c r="AE147" s="306"/>
      <c r="AF147" s="306"/>
      <c r="AG147" s="306"/>
      <c r="AH147" s="306"/>
      <c r="AI147" s="306"/>
    </row>
    <row r="148" spans="1:35" ht="12.75" customHeight="1" outlineLevel="1">
      <c r="A148" s="1249" t="s">
        <v>1558</v>
      </c>
      <c r="B148" s="1250" t="s">
        <v>1559</v>
      </c>
      <c r="C148" s="1166"/>
      <c r="D148" s="1278"/>
      <c r="E148" s="1278"/>
      <c r="F148" s="1298">
        <f>+ROUND(F149+F150+F151+F152+F153,2)</f>
        <v>20824.77</v>
      </c>
      <c r="G148" s="1280"/>
      <c r="H148" s="1298">
        <f>+ROUND(H149+H150+H151+H152+H153,2)</f>
        <v>0</v>
      </c>
      <c r="I148" s="1280"/>
      <c r="J148" s="1281">
        <f>+ROUND(J149+J150+J151+J152+J153,2)</f>
        <v>0</v>
      </c>
      <c r="K148" s="1280"/>
      <c r="L148" s="1281">
        <f>+ROUND(L149+L150+L151+L152+L153,2)</f>
        <v>0</v>
      </c>
      <c r="M148" s="1282">
        <f t="shared" si="252"/>
        <v>0</v>
      </c>
      <c r="N148" s="1280"/>
      <c r="O148" s="1281">
        <f>+ROUND(O149+O150+O151+O152+O153,2)</f>
        <v>20824.77</v>
      </c>
      <c r="P148" s="1283">
        <f t="shared" si="254"/>
        <v>1</v>
      </c>
    </row>
    <row r="149" spans="1:35" ht="12.75" customHeight="1" outlineLevel="1">
      <c r="A149" s="1245" t="s">
        <v>1560</v>
      </c>
      <c r="B149" s="1243" t="s">
        <v>1561</v>
      </c>
      <c r="C149" s="1169" t="s">
        <v>431</v>
      </c>
      <c r="D149" s="1288">
        <v>1359.43</v>
      </c>
      <c r="E149" s="1289">
        <v>10.86</v>
      </c>
      <c r="F149" s="1290">
        <f>+ROUND(D149*E149,2)</f>
        <v>14763.41</v>
      </c>
      <c r="G149" s="1262">
        <v>0</v>
      </c>
      <c r="H149" s="1290">
        <f t="shared" ref="H149:J153" si="255">+ROUND($E149*G149,2)</f>
        <v>0</v>
      </c>
      <c r="I149" s="1602">
        <f t="shared" si="216"/>
        <v>0</v>
      </c>
      <c r="J149" s="1291">
        <f t="shared" si="255"/>
        <v>0</v>
      </c>
      <c r="K149" s="1262">
        <v>0</v>
      </c>
      <c r="L149" s="1291">
        <f t="shared" ref="L149" si="256">+ROUND($E149*K149,2)</f>
        <v>0</v>
      </c>
      <c r="M149" s="1292">
        <f t="shared" si="252"/>
        <v>0</v>
      </c>
      <c r="N149" s="1291">
        <f t="shared" si="247"/>
        <v>1359.43</v>
      </c>
      <c r="O149" s="1291">
        <f t="shared" ref="O149" si="257">+ROUND($E149*N149,2)</f>
        <v>14763.41</v>
      </c>
      <c r="P149" s="1293">
        <f t="shared" si="254"/>
        <v>1</v>
      </c>
      <c r="X149" s="306"/>
      <c r="Y149" s="306"/>
      <c r="Z149" s="306"/>
      <c r="AA149" s="306"/>
      <c r="AB149" s="306"/>
      <c r="AC149" s="306"/>
      <c r="AD149" s="306"/>
      <c r="AE149" s="306"/>
      <c r="AF149" s="306"/>
      <c r="AG149" s="306"/>
      <c r="AH149" s="306"/>
      <c r="AI149" s="306"/>
    </row>
    <row r="150" spans="1:35" ht="12.75" customHeight="1" outlineLevel="1">
      <c r="A150" s="1245" t="s">
        <v>1562</v>
      </c>
      <c r="B150" s="1243" t="s">
        <v>1563</v>
      </c>
      <c r="C150" s="1169" t="s">
        <v>431</v>
      </c>
      <c r="D150" s="1288">
        <v>227.83</v>
      </c>
      <c r="E150" s="1289">
        <v>9.67</v>
      </c>
      <c r="F150" s="1290">
        <f>+ROUND(D150*E150,2)</f>
        <v>2203.12</v>
      </c>
      <c r="G150" s="1262">
        <v>0</v>
      </c>
      <c r="H150" s="1290">
        <f t="shared" si="255"/>
        <v>0</v>
      </c>
      <c r="I150" s="1602">
        <f t="shared" si="216"/>
        <v>0</v>
      </c>
      <c r="J150" s="1291">
        <f t="shared" si="255"/>
        <v>0</v>
      </c>
      <c r="K150" s="1262">
        <v>0</v>
      </c>
      <c r="L150" s="1291">
        <f t="shared" ref="L150" si="258">+ROUND($E150*K150,2)</f>
        <v>0</v>
      </c>
      <c r="M150" s="1292">
        <f t="shared" si="252"/>
        <v>0</v>
      </c>
      <c r="N150" s="1291">
        <f t="shared" si="247"/>
        <v>227.83</v>
      </c>
      <c r="O150" s="1291">
        <f t="shared" ref="O150" si="259">+ROUND($E150*N150,2)</f>
        <v>2203.12</v>
      </c>
      <c r="P150" s="1293">
        <f t="shared" si="254"/>
        <v>1</v>
      </c>
      <c r="X150" s="306"/>
      <c r="Y150" s="306"/>
      <c r="Z150" s="306"/>
      <c r="AA150" s="306"/>
      <c r="AB150" s="306"/>
      <c r="AC150" s="306"/>
      <c r="AD150" s="306"/>
      <c r="AE150" s="306"/>
      <c r="AF150" s="306"/>
      <c r="AG150" s="306"/>
      <c r="AH150" s="306"/>
      <c r="AI150" s="306"/>
    </row>
    <row r="151" spans="1:35" ht="12.75" customHeight="1" outlineLevel="1">
      <c r="A151" s="1245" t="s">
        <v>1564</v>
      </c>
      <c r="B151" s="1243" t="s">
        <v>1565</v>
      </c>
      <c r="C151" s="1169" t="s">
        <v>431</v>
      </c>
      <c r="D151" s="1288">
        <v>13.56</v>
      </c>
      <c r="E151" s="1289">
        <v>8.0299999999999994</v>
      </c>
      <c r="F151" s="1290">
        <f>+ROUND(D151*E151,2)</f>
        <v>108.89</v>
      </c>
      <c r="G151" s="1262">
        <v>0</v>
      </c>
      <c r="H151" s="1290">
        <f t="shared" si="255"/>
        <v>0</v>
      </c>
      <c r="I151" s="1602">
        <f t="shared" si="216"/>
        <v>0</v>
      </c>
      <c r="J151" s="1291">
        <f t="shared" si="255"/>
        <v>0</v>
      </c>
      <c r="K151" s="1262">
        <v>0</v>
      </c>
      <c r="L151" s="1291">
        <f t="shared" ref="L151" si="260">+ROUND($E151*K151,2)</f>
        <v>0</v>
      </c>
      <c r="M151" s="1292">
        <f t="shared" si="252"/>
        <v>0</v>
      </c>
      <c r="N151" s="1291">
        <f t="shared" si="247"/>
        <v>13.56</v>
      </c>
      <c r="O151" s="1291">
        <f t="shared" ref="O151" si="261">+ROUND($E151*N151,2)</f>
        <v>108.89</v>
      </c>
      <c r="P151" s="1293">
        <f t="shared" si="254"/>
        <v>1</v>
      </c>
      <c r="X151" s="306"/>
      <c r="Y151" s="306"/>
      <c r="Z151" s="306"/>
      <c r="AA151" s="306"/>
      <c r="AB151" s="306"/>
      <c r="AC151" s="306"/>
      <c r="AD151" s="306"/>
      <c r="AE151" s="306"/>
      <c r="AF151" s="306"/>
      <c r="AG151" s="306"/>
      <c r="AH151" s="306"/>
      <c r="AI151" s="306"/>
    </row>
    <row r="152" spans="1:35" ht="12.75" customHeight="1" outlineLevel="1">
      <c r="A152" s="1245" t="s">
        <v>1566</v>
      </c>
      <c r="B152" s="1243" t="s">
        <v>1567</v>
      </c>
      <c r="C152" s="1169" t="s">
        <v>431</v>
      </c>
      <c r="D152" s="1288">
        <v>327.01</v>
      </c>
      <c r="E152" s="1289">
        <v>9.5500000000000007</v>
      </c>
      <c r="F152" s="1290">
        <f>+ROUND(D152*E152,2)</f>
        <v>3122.95</v>
      </c>
      <c r="G152" s="1262">
        <v>0</v>
      </c>
      <c r="H152" s="1290">
        <f t="shared" si="255"/>
        <v>0</v>
      </c>
      <c r="I152" s="1602">
        <f t="shared" si="216"/>
        <v>0</v>
      </c>
      <c r="J152" s="1291">
        <f t="shared" si="255"/>
        <v>0</v>
      </c>
      <c r="K152" s="1262">
        <v>0</v>
      </c>
      <c r="L152" s="1291">
        <f t="shared" ref="L152" si="262">+ROUND($E152*K152,2)</f>
        <v>0</v>
      </c>
      <c r="M152" s="1292">
        <f t="shared" si="252"/>
        <v>0</v>
      </c>
      <c r="N152" s="1291">
        <f t="shared" si="247"/>
        <v>327.01</v>
      </c>
      <c r="O152" s="1291">
        <f t="shared" ref="O152" si="263">+ROUND($E152*N152,2)</f>
        <v>3122.95</v>
      </c>
      <c r="P152" s="1293">
        <f t="shared" si="254"/>
        <v>1</v>
      </c>
      <c r="X152" s="306"/>
      <c r="Y152" s="306"/>
      <c r="Z152" s="306"/>
      <c r="AA152" s="306"/>
      <c r="AB152" s="306"/>
      <c r="AC152" s="306"/>
      <c r="AD152" s="306"/>
      <c r="AE152" s="306"/>
      <c r="AF152" s="306"/>
      <c r="AG152" s="306"/>
      <c r="AH152" s="306"/>
      <c r="AI152" s="306"/>
    </row>
    <row r="153" spans="1:35" ht="12.75" customHeight="1" outlineLevel="1">
      <c r="A153" s="1245" t="s">
        <v>1568</v>
      </c>
      <c r="B153" s="1243" t="s">
        <v>1569</v>
      </c>
      <c r="C153" s="1169" t="s">
        <v>431</v>
      </c>
      <c r="D153" s="1288">
        <v>30</v>
      </c>
      <c r="E153" s="1289">
        <v>20.88</v>
      </c>
      <c r="F153" s="1290">
        <f>+ROUND(D153*E153,2)</f>
        <v>626.4</v>
      </c>
      <c r="G153" s="1262">
        <v>0</v>
      </c>
      <c r="H153" s="1290">
        <f t="shared" si="255"/>
        <v>0</v>
      </c>
      <c r="I153" s="1602">
        <f t="shared" si="216"/>
        <v>0</v>
      </c>
      <c r="J153" s="1291">
        <f t="shared" si="255"/>
        <v>0</v>
      </c>
      <c r="K153" s="1262">
        <v>0</v>
      </c>
      <c r="L153" s="1291">
        <f t="shared" ref="L153" si="264">+ROUND($E153*K153,2)</f>
        <v>0</v>
      </c>
      <c r="M153" s="1292">
        <f t="shared" si="252"/>
        <v>0</v>
      </c>
      <c r="N153" s="1291">
        <f t="shared" si="247"/>
        <v>30</v>
      </c>
      <c r="O153" s="1291">
        <f t="shared" ref="O153" si="265">+ROUND($E153*N153,2)</f>
        <v>626.4</v>
      </c>
      <c r="P153" s="1293">
        <f t="shared" si="254"/>
        <v>1</v>
      </c>
      <c r="X153" s="306"/>
      <c r="Y153" s="306"/>
      <c r="Z153" s="306"/>
      <c r="AA153" s="306"/>
      <c r="AB153" s="306"/>
      <c r="AC153" s="306"/>
      <c r="AD153" s="306"/>
      <c r="AE153" s="306"/>
      <c r="AF153" s="306"/>
      <c r="AG153" s="306"/>
      <c r="AH153" s="306"/>
      <c r="AI153" s="306"/>
    </row>
    <row r="154" spans="1:35" ht="12.75" customHeight="1" outlineLevel="1">
      <c r="A154" s="1249" t="s">
        <v>1570</v>
      </c>
      <c r="B154" s="1250" t="s">
        <v>1571</v>
      </c>
      <c r="C154" s="1166"/>
      <c r="D154" s="1278"/>
      <c r="E154" s="1278"/>
      <c r="F154" s="1298">
        <f>+ROUND(F155,2)</f>
        <v>51133.89</v>
      </c>
      <c r="G154" s="1280"/>
      <c r="H154" s="1298">
        <f>+ROUND(H155,2)</f>
        <v>0</v>
      </c>
      <c r="I154" s="1280"/>
      <c r="J154" s="1281">
        <f>+ROUND(J155,2)</f>
        <v>0</v>
      </c>
      <c r="K154" s="1280"/>
      <c r="L154" s="1281">
        <f>+ROUND(L155,2)</f>
        <v>0</v>
      </c>
      <c r="M154" s="1282">
        <f t="shared" si="252"/>
        <v>0</v>
      </c>
      <c r="N154" s="1280"/>
      <c r="O154" s="1281">
        <f>+ROUND(O155,2)</f>
        <v>51133.89</v>
      </c>
      <c r="P154" s="1283">
        <f t="shared" si="254"/>
        <v>1</v>
      </c>
    </row>
    <row r="155" spans="1:35" ht="12.75" customHeight="1" outlineLevel="1">
      <c r="A155" s="1245" t="s">
        <v>1572</v>
      </c>
      <c r="B155" s="1243" t="s">
        <v>1573</v>
      </c>
      <c r="C155" s="1169" t="s">
        <v>433</v>
      </c>
      <c r="D155" s="1288">
        <v>1</v>
      </c>
      <c r="E155" s="1289">
        <v>51133.89</v>
      </c>
      <c r="F155" s="1290">
        <f>+ROUND(D155*E155,2)</f>
        <v>51133.89</v>
      </c>
      <c r="G155" s="1262">
        <v>0</v>
      </c>
      <c r="H155" s="1290">
        <f>+ROUND($E155*G155,2)</f>
        <v>0</v>
      </c>
      <c r="I155" s="1602">
        <f t="shared" si="216"/>
        <v>0</v>
      </c>
      <c r="J155" s="1291">
        <f>+ROUND($E155*I155,2)</f>
        <v>0</v>
      </c>
      <c r="K155" s="1262">
        <v>0</v>
      </c>
      <c r="L155" s="1291">
        <f>+ROUND($E155*K155,2)</f>
        <v>0</v>
      </c>
      <c r="M155" s="1292">
        <f t="shared" si="252"/>
        <v>0</v>
      </c>
      <c r="N155" s="1291">
        <f t="shared" si="247"/>
        <v>1</v>
      </c>
      <c r="O155" s="1291">
        <f>+ROUND($E155*N155,2)</f>
        <v>51133.89</v>
      </c>
      <c r="P155" s="1293">
        <f t="shared" si="254"/>
        <v>1</v>
      </c>
      <c r="X155" s="306"/>
      <c r="Y155" s="306"/>
      <c r="Z155" s="306"/>
      <c r="AA155" s="306"/>
      <c r="AB155" s="306"/>
      <c r="AC155" s="306"/>
      <c r="AD155" s="306"/>
      <c r="AE155" s="306"/>
      <c r="AF155" s="306"/>
      <c r="AG155" s="306"/>
      <c r="AH155" s="306"/>
      <c r="AI155" s="306"/>
    </row>
    <row r="156" spans="1:35" ht="12.75" customHeight="1" outlineLevel="1">
      <c r="A156" s="1249" t="s">
        <v>1574</v>
      </c>
      <c r="B156" s="1250" t="s">
        <v>1575</v>
      </c>
      <c r="C156" s="1166"/>
      <c r="D156" s="1278"/>
      <c r="E156" s="1278"/>
      <c r="F156" s="1298">
        <f>+ROUND(F157,2)</f>
        <v>1335.03</v>
      </c>
      <c r="G156" s="1280"/>
      <c r="H156" s="1298">
        <f>+ROUND(H157,2)</f>
        <v>0</v>
      </c>
      <c r="I156" s="1280"/>
      <c r="J156" s="1281">
        <f>+ROUND(J157,2)</f>
        <v>0</v>
      </c>
      <c r="K156" s="1280"/>
      <c r="L156" s="1281">
        <f>+ROUND(L157,2)</f>
        <v>0</v>
      </c>
      <c r="M156" s="1282">
        <f t="shared" ref="M156:M157" si="266">L156/$F156</f>
        <v>0</v>
      </c>
      <c r="N156" s="1280"/>
      <c r="O156" s="1281">
        <f>+ROUND(O157,2)</f>
        <v>1335.03</v>
      </c>
      <c r="P156" s="1283">
        <f t="shared" ref="P156:P157" si="267">+O156/F156</f>
        <v>1</v>
      </c>
    </row>
    <row r="157" spans="1:35" ht="12.75" customHeight="1" outlineLevel="1">
      <c r="A157" s="1245" t="s">
        <v>1576</v>
      </c>
      <c r="B157" s="1243" t="s">
        <v>1577</v>
      </c>
      <c r="C157" s="1169" t="s">
        <v>433</v>
      </c>
      <c r="D157" s="1288">
        <v>1</v>
      </c>
      <c r="E157" s="1289">
        <v>1335.03</v>
      </c>
      <c r="F157" s="1290">
        <f>+ROUND(D157*E157,2)</f>
        <v>1335.03</v>
      </c>
      <c r="G157" s="1262">
        <v>0</v>
      </c>
      <c r="H157" s="1290">
        <f>+ROUND($E157*G157,2)</f>
        <v>0</v>
      </c>
      <c r="I157" s="1602">
        <f t="shared" si="216"/>
        <v>0</v>
      </c>
      <c r="J157" s="1291">
        <f>+ROUND($E157*I157,2)</f>
        <v>0</v>
      </c>
      <c r="K157" s="1262">
        <v>0</v>
      </c>
      <c r="L157" s="1291">
        <f>+ROUND($E157*K157,2)</f>
        <v>0</v>
      </c>
      <c r="M157" s="1292">
        <f t="shared" si="266"/>
        <v>0</v>
      </c>
      <c r="N157" s="1291">
        <f t="shared" si="247"/>
        <v>1</v>
      </c>
      <c r="O157" s="1291">
        <f>+ROUND($E157*N157,2)</f>
        <v>1335.03</v>
      </c>
      <c r="P157" s="1293">
        <f t="shared" si="267"/>
        <v>1</v>
      </c>
      <c r="X157" s="306"/>
      <c r="Y157" s="306"/>
      <c r="Z157" s="306"/>
      <c r="AA157" s="306"/>
      <c r="AB157" s="306"/>
      <c r="AC157" s="306"/>
      <c r="AD157" s="306"/>
      <c r="AE157" s="306"/>
      <c r="AF157" s="306"/>
      <c r="AG157" s="306"/>
      <c r="AH157" s="306"/>
      <c r="AI157" s="306"/>
    </row>
    <row r="158" spans="1:35" ht="12.75" customHeight="1" outlineLevel="1">
      <c r="A158" s="1249" t="s">
        <v>1578</v>
      </c>
      <c r="B158" s="1250" t="s">
        <v>1579</v>
      </c>
      <c r="C158" s="1166"/>
      <c r="D158" s="1278"/>
      <c r="E158" s="1278"/>
      <c r="F158" s="1298">
        <f>+ROUND(F159,2)</f>
        <v>1646.99</v>
      </c>
      <c r="G158" s="1280"/>
      <c r="H158" s="1298">
        <f>+ROUND(H159,2)</f>
        <v>0</v>
      </c>
      <c r="I158" s="1280"/>
      <c r="J158" s="1281">
        <f>+ROUND(J159,2)</f>
        <v>0</v>
      </c>
      <c r="K158" s="1280"/>
      <c r="L158" s="1281">
        <f>+ROUND(L159,2)</f>
        <v>0</v>
      </c>
      <c r="M158" s="1282">
        <f t="shared" ref="M158:M159" si="268">L158/$F158</f>
        <v>0</v>
      </c>
      <c r="N158" s="1280"/>
      <c r="O158" s="1281">
        <f>+ROUND(O159,2)</f>
        <v>1646.99</v>
      </c>
      <c r="P158" s="1283">
        <f t="shared" ref="P158:P159" si="269">+O158/F158</f>
        <v>1</v>
      </c>
    </row>
    <row r="159" spans="1:35" ht="12.75" customHeight="1" outlineLevel="1">
      <c r="A159" s="1245" t="s">
        <v>1580</v>
      </c>
      <c r="B159" s="1243" t="s">
        <v>1581</v>
      </c>
      <c r="C159" s="1169" t="s">
        <v>433</v>
      </c>
      <c r="D159" s="1288">
        <v>1</v>
      </c>
      <c r="E159" s="1289">
        <v>1646.99</v>
      </c>
      <c r="F159" s="1290">
        <f>+ROUND(D159*E159,2)</f>
        <v>1646.99</v>
      </c>
      <c r="G159" s="1262">
        <v>0</v>
      </c>
      <c r="H159" s="1290">
        <f>+ROUND($E159*G159,2)</f>
        <v>0</v>
      </c>
      <c r="I159" s="1602">
        <f t="shared" si="216"/>
        <v>0</v>
      </c>
      <c r="J159" s="1291">
        <f>+ROUND($E159*I159,2)</f>
        <v>0</v>
      </c>
      <c r="K159" s="1262">
        <v>0</v>
      </c>
      <c r="L159" s="1291">
        <f>+ROUND($E159*K159,2)</f>
        <v>0</v>
      </c>
      <c r="M159" s="1292">
        <f t="shared" si="268"/>
        <v>0</v>
      </c>
      <c r="N159" s="1291">
        <f t="shared" si="247"/>
        <v>1</v>
      </c>
      <c r="O159" s="1291">
        <f>+ROUND($E159*N159,2)</f>
        <v>1646.99</v>
      </c>
      <c r="P159" s="1293">
        <f t="shared" si="269"/>
        <v>1</v>
      </c>
      <c r="X159" s="306"/>
      <c r="Y159" s="306"/>
      <c r="Z159" s="306"/>
      <c r="AA159" s="306"/>
      <c r="AB159" s="306"/>
      <c r="AC159" s="306"/>
      <c r="AD159" s="306"/>
      <c r="AE159" s="306"/>
      <c r="AF159" s="306"/>
      <c r="AG159" s="306"/>
      <c r="AH159" s="306"/>
      <c r="AI159" s="306"/>
    </row>
    <row r="160" spans="1:35" ht="12.75" customHeight="1" outlineLevel="1">
      <c r="A160" s="1167"/>
      <c r="B160" s="1168"/>
      <c r="C160" s="1169"/>
      <c r="D160" s="1288"/>
      <c r="E160" s="1289"/>
      <c r="F160" s="1290"/>
      <c r="G160" s="1262"/>
      <c r="H160" s="1290"/>
      <c r="I160" s="1602"/>
      <c r="J160" s="1291"/>
      <c r="K160" s="1262"/>
      <c r="L160" s="1291"/>
      <c r="M160" s="1292"/>
      <c r="N160" s="1291"/>
      <c r="O160" s="1291"/>
      <c r="P160" s="1293"/>
      <c r="X160" s="306"/>
      <c r="Y160" s="306"/>
      <c r="Z160" s="306"/>
      <c r="AA160" s="306"/>
      <c r="AB160" s="306"/>
      <c r="AC160" s="306"/>
      <c r="AD160" s="306"/>
      <c r="AE160" s="306"/>
      <c r="AF160" s="306"/>
      <c r="AG160" s="306"/>
      <c r="AH160" s="306"/>
      <c r="AI160" s="306"/>
    </row>
    <row r="161" spans="1:35" ht="12.75" customHeight="1">
      <c r="A161" s="1264" t="s">
        <v>480</v>
      </c>
      <c r="B161" s="1265" t="s">
        <v>1582</v>
      </c>
      <c r="C161" s="1266"/>
      <c r="D161" s="1272"/>
      <c r="E161" s="1272"/>
      <c r="F161" s="1273">
        <f>+ROUND(F162+F164+F169+F175+F178+F186,2)</f>
        <v>1328555.96</v>
      </c>
      <c r="G161" s="1274"/>
      <c r="H161" s="1273">
        <f>+ROUND(H162+H164+H169+H175+H178+H186,2)</f>
        <v>223609.95</v>
      </c>
      <c r="I161" s="1274"/>
      <c r="J161" s="1275">
        <f>+ROUND(J162+J164+J169+J175+J178+J186,2)</f>
        <v>72239.509999999995</v>
      </c>
      <c r="K161" s="1274"/>
      <c r="L161" s="1275">
        <f>+ROUND(L162+L164+L169+L175+L178+L186,2)</f>
        <v>295849.45</v>
      </c>
      <c r="M161" s="1276">
        <f t="shared" ref="M161:M189" si="270">L161/$F161</f>
        <v>0.22268497444398203</v>
      </c>
      <c r="N161" s="1274"/>
      <c r="O161" s="1275">
        <f>+ROUND(O162+O164+O169+O175+O178+O186,2)</f>
        <v>1032706.48</v>
      </c>
      <c r="P161" s="1277">
        <f t="shared" ref="P161:P189" si="271">+O161/F161</f>
        <v>0.77731500297510991</v>
      </c>
    </row>
    <row r="162" spans="1:35" ht="12.75" customHeight="1" outlineLevel="1">
      <c r="A162" s="1249" t="s">
        <v>1234</v>
      </c>
      <c r="B162" s="1250" t="s">
        <v>1471</v>
      </c>
      <c r="C162" s="1166"/>
      <c r="D162" s="1278"/>
      <c r="E162" s="1278"/>
      <c r="F162" s="1298">
        <f>+ROUND(F163,2)</f>
        <v>19244.240000000002</v>
      </c>
      <c r="G162" s="1280"/>
      <c r="H162" s="1298">
        <f>+ROUND(H163,2)</f>
        <v>4241.47</v>
      </c>
      <c r="I162" s="1280"/>
      <c r="J162" s="1281">
        <f>+ROUND(J163,2)</f>
        <v>364.32</v>
      </c>
      <c r="K162" s="1280"/>
      <c r="L162" s="1281">
        <f>+ROUND(L163,2)</f>
        <v>4605.79</v>
      </c>
      <c r="M162" s="1282">
        <f t="shared" si="270"/>
        <v>0.23933343171775032</v>
      </c>
      <c r="N162" s="1280"/>
      <c r="O162" s="1281">
        <f>+ROUND(O163,2)</f>
        <v>14638.45</v>
      </c>
      <c r="P162" s="1283">
        <f t="shared" si="271"/>
        <v>0.76066656828224966</v>
      </c>
    </row>
    <row r="163" spans="1:35" ht="12.75" customHeight="1" outlineLevel="1">
      <c r="A163" s="1245" t="s">
        <v>1235</v>
      </c>
      <c r="B163" s="1243" t="s">
        <v>1387</v>
      </c>
      <c r="C163" s="1169" t="s">
        <v>434</v>
      </c>
      <c r="D163" s="1288">
        <v>12496.26</v>
      </c>
      <c r="E163" s="1289">
        <v>1.54</v>
      </c>
      <c r="F163" s="1290">
        <f>+ROUND(D163*E163,2)</f>
        <v>19244.240000000002</v>
      </c>
      <c r="G163" s="1262">
        <v>2754.2</v>
      </c>
      <c r="H163" s="1290">
        <f>+ROUND($E163*G163,2)</f>
        <v>4241.47</v>
      </c>
      <c r="I163" s="1602">
        <f t="shared" ref="I163" si="272">+K163-G163</f>
        <v>236.57000000000016</v>
      </c>
      <c r="J163" s="1291">
        <f>+ROUND($E163*I163,2)</f>
        <v>364.32</v>
      </c>
      <c r="K163" s="1262">
        <v>2990.77</v>
      </c>
      <c r="L163" s="1291">
        <f>+ROUND($E163*K163,2)</f>
        <v>4605.79</v>
      </c>
      <c r="M163" s="1292">
        <f t="shared" si="270"/>
        <v>0.23933343171775032</v>
      </c>
      <c r="N163" s="1291">
        <f t="shared" si="247"/>
        <v>9505.49</v>
      </c>
      <c r="O163" s="1291">
        <f>+ROUND($E163*N163,2)</f>
        <v>14638.45</v>
      </c>
      <c r="P163" s="1293">
        <f t="shared" si="271"/>
        <v>0.76066656828224966</v>
      </c>
      <c r="X163" s="695"/>
      <c r="Y163" s="695"/>
      <c r="Z163" s="695"/>
      <c r="AA163" s="695"/>
      <c r="AB163" s="1075"/>
      <c r="AC163" s="306"/>
      <c r="AD163" s="695"/>
      <c r="AE163" s="695"/>
      <c r="AF163" s="306"/>
      <c r="AG163" s="306"/>
      <c r="AH163" s="695"/>
      <c r="AI163" s="695"/>
    </row>
    <row r="164" spans="1:35" ht="12.75" customHeight="1" outlineLevel="1">
      <c r="A164" s="1249" t="s">
        <v>1236</v>
      </c>
      <c r="B164" s="1250" t="s">
        <v>1400</v>
      </c>
      <c r="C164" s="1166"/>
      <c r="D164" s="1278"/>
      <c r="E164" s="1278"/>
      <c r="F164" s="1298">
        <f>+ROUND(F165+F166+F167+F168,2)</f>
        <v>88722.46</v>
      </c>
      <c r="G164" s="1280"/>
      <c r="H164" s="1298">
        <f>+ROUND(H165+H166+H167+H168,2)</f>
        <v>43314.07</v>
      </c>
      <c r="I164" s="1280"/>
      <c r="J164" s="1281">
        <f>+ROUND(J165+J166+J167+J168,2)</f>
        <v>32576.92</v>
      </c>
      <c r="K164" s="1280"/>
      <c r="L164" s="1281">
        <f>+ROUND(L165+L166+L167+L168,2)</f>
        <v>75890.98</v>
      </c>
      <c r="M164" s="1282">
        <f t="shared" si="270"/>
        <v>0.85537506511879846</v>
      </c>
      <c r="N164" s="1280"/>
      <c r="O164" s="1281">
        <f>+ROUND(O165+O166+O167+O168,2)</f>
        <v>12831.47</v>
      </c>
      <c r="P164" s="1283">
        <f t="shared" si="271"/>
        <v>0.14462482217016975</v>
      </c>
    </row>
    <row r="165" spans="1:35" ht="12.75" customHeight="1" outlineLevel="1">
      <c r="A165" s="1245" t="s">
        <v>724</v>
      </c>
      <c r="B165" s="1243" t="s">
        <v>1583</v>
      </c>
      <c r="C165" s="1169" t="s">
        <v>434</v>
      </c>
      <c r="D165" s="1288">
        <v>4394.24</v>
      </c>
      <c r="E165" s="1289">
        <v>15.44</v>
      </c>
      <c r="F165" s="1290">
        <f>+ROUND(D165*E165,2)</f>
        <v>67847.070000000007</v>
      </c>
      <c r="G165" s="1262">
        <v>2128.44</v>
      </c>
      <c r="H165" s="1290">
        <f t="shared" ref="H165:J168" si="273">+ROUND($E165*G165,2)</f>
        <v>32863.11</v>
      </c>
      <c r="I165" s="1602">
        <f t="shared" ref="I165:I168" si="274">+K165-G165</f>
        <v>1635.7399999999998</v>
      </c>
      <c r="J165" s="1291">
        <f t="shared" si="273"/>
        <v>25255.83</v>
      </c>
      <c r="K165" s="1262">
        <v>3764.18</v>
      </c>
      <c r="L165" s="1291">
        <f t="shared" ref="L165" si="275">+ROUND($E165*K165,2)</f>
        <v>58118.94</v>
      </c>
      <c r="M165" s="1292">
        <f t="shared" si="270"/>
        <v>0.85661680010647467</v>
      </c>
      <c r="N165" s="1291">
        <f t="shared" si="247"/>
        <v>630.05999999999995</v>
      </c>
      <c r="O165" s="1291">
        <f t="shared" ref="O165" si="276">+ROUND($E165*N165,2)</f>
        <v>9728.1299999999992</v>
      </c>
      <c r="P165" s="1293">
        <f t="shared" si="271"/>
        <v>0.14338319989352521</v>
      </c>
      <c r="X165" s="306"/>
      <c r="Y165" s="306"/>
      <c r="Z165" s="306"/>
      <c r="AA165" s="306"/>
      <c r="AB165" s="306"/>
      <c r="AC165" s="306"/>
      <c r="AD165" s="306"/>
      <c r="AE165" s="306"/>
      <c r="AF165" s="306"/>
      <c r="AG165" s="306"/>
      <c r="AH165" s="306"/>
      <c r="AI165" s="306"/>
    </row>
    <row r="166" spans="1:35" ht="12.75" customHeight="1" outlineLevel="1">
      <c r="A166" s="1245" t="s">
        <v>645</v>
      </c>
      <c r="B166" s="1243" t="s">
        <v>1584</v>
      </c>
      <c r="C166" s="1169" t="s">
        <v>434</v>
      </c>
      <c r="D166" s="1288">
        <v>1.08</v>
      </c>
      <c r="E166" s="1289">
        <v>18.27</v>
      </c>
      <c r="F166" s="1290">
        <f>+ROUND(D166*E166,2)</f>
        <v>19.73</v>
      </c>
      <c r="G166" s="1262">
        <v>0</v>
      </c>
      <c r="H166" s="1290">
        <f t="shared" si="273"/>
        <v>0</v>
      </c>
      <c r="I166" s="1602">
        <f t="shared" si="274"/>
        <v>0</v>
      </c>
      <c r="J166" s="1291">
        <f t="shared" si="273"/>
        <v>0</v>
      </c>
      <c r="K166" s="1262">
        <v>0</v>
      </c>
      <c r="L166" s="1291">
        <f t="shared" ref="L166" si="277">+ROUND($E166*K166,2)</f>
        <v>0</v>
      </c>
      <c r="M166" s="1292">
        <f t="shared" si="270"/>
        <v>0</v>
      </c>
      <c r="N166" s="1291">
        <f t="shared" si="247"/>
        <v>1.08</v>
      </c>
      <c r="O166" s="1291">
        <f t="shared" ref="O166" si="278">+ROUND($E166*N166,2)</f>
        <v>19.73</v>
      </c>
      <c r="P166" s="1293">
        <f t="shared" si="271"/>
        <v>1</v>
      </c>
      <c r="X166" s="306"/>
      <c r="Y166" s="306"/>
      <c r="Z166" s="306"/>
      <c r="AA166" s="306"/>
      <c r="AB166" s="306"/>
      <c r="AC166" s="306"/>
      <c r="AD166" s="306"/>
      <c r="AE166" s="306"/>
      <c r="AF166" s="306"/>
      <c r="AG166" s="306"/>
      <c r="AH166" s="306"/>
      <c r="AI166" s="306"/>
    </row>
    <row r="167" spans="1:35" ht="12.75" customHeight="1" outlineLevel="1">
      <c r="A167" s="1245" t="s">
        <v>1237</v>
      </c>
      <c r="B167" s="1243" t="s">
        <v>1585</v>
      </c>
      <c r="C167" s="1169" t="s">
        <v>433</v>
      </c>
      <c r="D167" s="1288">
        <v>3</v>
      </c>
      <c r="E167" s="1289">
        <v>36.450000000000003</v>
      </c>
      <c r="F167" s="1290">
        <f>+ROUND(D167*E167,2)</f>
        <v>109.35</v>
      </c>
      <c r="G167" s="1262">
        <v>0</v>
      </c>
      <c r="H167" s="1290">
        <f t="shared" si="273"/>
        <v>0</v>
      </c>
      <c r="I167" s="1602">
        <f t="shared" si="274"/>
        <v>0</v>
      </c>
      <c r="J167" s="1291">
        <f t="shared" si="273"/>
        <v>0</v>
      </c>
      <c r="K167" s="1262">
        <v>0</v>
      </c>
      <c r="L167" s="1291">
        <f t="shared" ref="L167" si="279">+ROUND($E167*K167,2)</f>
        <v>0</v>
      </c>
      <c r="M167" s="1292">
        <f t="shared" si="270"/>
        <v>0</v>
      </c>
      <c r="N167" s="1291">
        <f t="shared" si="247"/>
        <v>3</v>
      </c>
      <c r="O167" s="1291">
        <f t="shared" ref="O167" si="280">+ROUND($E167*N167,2)</f>
        <v>109.35</v>
      </c>
      <c r="P167" s="1293">
        <f t="shared" si="271"/>
        <v>1</v>
      </c>
      <c r="X167" s="306"/>
      <c r="Y167" s="306"/>
      <c r="Z167" s="306"/>
      <c r="AA167" s="306"/>
      <c r="AB167" s="306"/>
      <c r="AC167" s="306"/>
      <c r="AD167" s="306"/>
      <c r="AE167" s="306"/>
      <c r="AF167" s="306"/>
      <c r="AG167" s="306"/>
      <c r="AH167" s="306"/>
      <c r="AI167" s="306"/>
    </row>
    <row r="168" spans="1:35" ht="12.75" customHeight="1" outlineLevel="1">
      <c r="A168" s="1579" t="s">
        <v>1238</v>
      </c>
      <c r="B168" s="1580" t="s">
        <v>1410</v>
      </c>
      <c r="C168" s="1253" t="s">
        <v>432</v>
      </c>
      <c r="D168" s="1581">
        <v>823.92000000000007</v>
      </c>
      <c r="E168" s="1582">
        <v>25.18</v>
      </c>
      <c r="F168" s="1583">
        <f>+ROUND(D168*E168,2)</f>
        <v>20746.310000000001</v>
      </c>
      <c r="G168" s="1584">
        <v>415.05</v>
      </c>
      <c r="H168" s="1583">
        <f t="shared" si="273"/>
        <v>10450.959999999999</v>
      </c>
      <c r="I168" s="1603">
        <f t="shared" si="274"/>
        <v>290.75000000000017</v>
      </c>
      <c r="J168" s="1585">
        <f t="shared" si="273"/>
        <v>7321.09</v>
      </c>
      <c r="K168" s="1584">
        <v>705.80000000000018</v>
      </c>
      <c r="L168" s="1585">
        <f t="shared" ref="L168" si="281">+ROUND($E168*K168,2)</f>
        <v>17772.04</v>
      </c>
      <c r="M168" s="1586">
        <f t="shared" si="270"/>
        <v>0.85663619217104148</v>
      </c>
      <c r="N168" s="1585">
        <f t="shared" si="247"/>
        <v>118.11999999999989</v>
      </c>
      <c r="O168" s="1585">
        <f t="shared" ref="O168" si="282">+ROUND($E168*N168,2)</f>
        <v>2974.26</v>
      </c>
      <c r="P168" s="1587">
        <f t="shared" si="271"/>
        <v>0.14336332581553057</v>
      </c>
      <c r="X168" s="306"/>
      <c r="Y168" s="306"/>
      <c r="Z168" s="306"/>
      <c r="AA168" s="306"/>
      <c r="AB168" s="306"/>
      <c r="AC168" s="306"/>
      <c r="AD168" s="306"/>
      <c r="AE168" s="306"/>
      <c r="AF168" s="306"/>
      <c r="AG168" s="306"/>
      <c r="AH168" s="306"/>
      <c r="AI168" s="306"/>
    </row>
    <row r="169" spans="1:35" ht="12.75" customHeight="1" outlineLevel="1">
      <c r="A169" s="1570" t="s">
        <v>1586</v>
      </c>
      <c r="B169" s="1571" t="s">
        <v>1412</v>
      </c>
      <c r="C169" s="1572"/>
      <c r="D169" s="1573"/>
      <c r="E169" s="1573"/>
      <c r="F169" s="1574">
        <f>+ROUND(F170+F171+F172+F173+F174,2)</f>
        <v>259368.78</v>
      </c>
      <c r="G169" s="1575"/>
      <c r="H169" s="1574">
        <f>+ROUND(H170+H171+H172+H173+H174,2)</f>
        <v>42877.97</v>
      </c>
      <c r="I169" s="1575"/>
      <c r="J169" s="1576">
        <f>+ROUND(J170+J171+J172+J173+J174,2)</f>
        <v>3929.95</v>
      </c>
      <c r="K169" s="1575"/>
      <c r="L169" s="1576">
        <f>+ROUND(L170+L171+L172+L173+L174,2)</f>
        <v>46807.92</v>
      </c>
      <c r="M169" s="1577">
        <f t="shared" si="270"/>
        <v>0.18046859764694886</v>
      </c>
      <c r="N169" s="1575"/>
      <c r="O169" s="1576">
        <f>+ROUND(O170+O171+O172+O173+O174,2)</f>
        <v>212560.85</v>
      </c>
      <c r="P169" s="1578">
        <f t="shared" si="271"/>
        <v>0.8195313637979097</v>
      </c>
    </row>
    <row r="170" spans="1:35" ht="12.75" customHeight="1" outlineLevel="1">
      <c r="A170" s="1245" t="s">
        <v>1587</v>
      </c>
      <c r="B170" s="1243" t="s">
        <v>1588</v>
      </c>
      <c r="C170" s="1169" t="s">
        <v>432</v>
      </c>
      <c r="D170" s="1288">
        <v>3193.44</v>
      </c>
      <c r="E170" s="1289">
        <v>31.58</v>
      </c>
      <c r="F170" s="1290">
        <f>+ROUND(D170*E170,2)</f>
        <v>100848.84</v>
      </c>
      <c r="G170" s="1262">
        <v>523.84</v>
      </c>
      <c r="H170" s="1290">
        <f t="shared" ref="H170:J174" si="283">+ROUND($E170*G170,2)</f>
        <v>16542.87</v>
      </c>
      <c r="I170" s="1602">
        <f t="shared" ref="I170:I174" si="284">+K170-G170</f>
        <v>27.519999999999982</v>
      </c>
      <c r="J170" s="1291">
        <f t="shared" si="283"/>
        <v>869.08</v>
      </c>
      <c r="K170" s="1262">
        <v>551.36</v>
      </c>
      <c r="L170" s="1291">
        <f t="shared" ref="L170" si="285">+ROUND($E170*K170,2)</f>
        <v>17411.95</v>
      </c>
      <c r="M170" s="1292">
        <f t="shared" si="270"/>
        <v>0.17265394425954728</v>
      </c>
      <c r="N170" s="1291">
        <f t="shared" si="247"/>
        <v>2642.08</v>
      </c>
      <c r="O170" s="1291">
        <f t="shared" ref="O170" si="286">+ROUND($E170*N170,2)</f>
        <v>83436.89</v>
      </c>
      <c r="P170" s="1293">
        <f t="shared" si="271"/>
        <v>0.82734605574045272</v>
      </c>
      <c r="X170" s="306"/>
      <c r="Y170" s="306"/>
      <c r="Z170" s="306"/>
      <c r="AA170" s="306"/>
      <c r="AB170" s="306"/>
      <c r="AC170" s="306"/>
      <c r="AD170" s="306"/>
      <c r="AE170" s="306"/>
      <c r="AF170" s="306"/>
      <c r="AG170" s="306"/>
      <c r="AH170" s="306"/>
      <c r="AI170" s="306"/>
    </row>
    <row r="171" spans="1:35" ht="12.75" customHeight="1" outlineLevel="1">
      <c r="A171" s="1245" t="s">
        <v>646</v>
      </c>
      <c r="B171" s="1243" t="s">
        <v>1589</v>
      </c>
      <c r="C171" s="1169" t="s">
        <v>432</v>
      </c>
      <c r="D171" s="1288">
        <v>269.94</v>
      </c>
      <c r="E171" s="1289">
        <v>31.58</v>
      </c>
      <c r="F171" s="1290">
        <f>+ROUND(D171*E171,2)</f>
        <v>8524.7099999999991</v>
      </c>
      <c r="G171" s="1262">
        <v>0</v>
      </c>
      <c r="H171" s="1290">
        <f t="shared" si="283"/>
        <v>0</v>
      </c>
      <c r="I171" s="1602">
        <f t="shared" si="284"/>
        <v>0</v>
      </c>
      <c r="J171" s="1291">
        <f t="shared" si="283"/>
        <v>0</v>
      </c>
      <c r="K171" s="1262">
        <v>0</v>
      </c>
      <c r="L171" s="1291">
        <f t="shared" ref="L171" si="287">+ROUND($E171*K171,2)</f>
        <v>0</v>
      </c>
      <c r="M171" s="1292">
        <f t="shared" si="270"/>
        <v>0</v>
      </c>
      <c r="N171" s="1291">
        <f t="shared" si="247"/>
        <v>269.94</v>
      </c>
      <c r="O171" s="1291">
        <f t="shared" ref="O171" si="288">+ROUND($E171*N171,2)</f>
        <v>8524.7099999999991</v>
      </c>
      <c r="P171" s="1293">
        <f t="shared" si="271"/>
        <v>1</v>
      </c>
      <c r="X171" s="306"/>
      <c r="Y171" s="306"/>
      <c r="Z171" s="306"/>
      <c r="AA171" s="306"/>
      <c r="AB171" s="306"/>
      <c r="AC171" s="306"/>
      <c r="AD171" s="306"/>
      <c r="AE171" s="306"/>
      <c r="AF171" s="306"/>
      <c r="AG171" s="306"/>
      <c r="AH171" s="306"/>
      <c r="AI171" s="306"/>
    </row>
    <row r="172" spans="1:35" ht="12.75" customHeight="1" outlineLevel="1">
      <c r="A172" s="1245" t="s">
        <v>648</v>
      </c>
      <c r="B172" s="1243" t="s">
        <v>1590</v>
      </c>
      <c r="C172" s="1169" t="s">
        <v>434</v>
      </c>
      <c r="D172" s="1288">
        <v>11666.460000000001</v>
      </c>
      <c r="E172" s="1289">
        <v>4.9400000000000004</v>
      </c>
      <c r="F172" s="1290">
        <f>+ROUND(D172*E172,2)</f>
        <v>57632.31</v>
      </c>
      <c r="G172" s="1262">
        <v>1659.8600000000001</v>
      </c>
      <c r="H172" s="1290">
        <f t="shared" si="283"/>
        <v>8199.7099999999991</v>
      </c>
      <c r="I172" s="1602">
        <f t="shared" si="284"/>
        <v>619.61000000000013</v>
      </c>
      <c r="J172" s="1291">
        <f t="shared" si="283"/>
        <v>3060.87</v>
      </c>
      <c r="K172" s="1262">
        <v>2279.4700000000003</v>
      </c>
      <c r="L172" s="1291">
        <f t="shared" ref="L172" si="289">+ROUND($E172*K172,2)</f>
        <v>11260.58</v>
      </c>
      <c r="M172" s="1292">
        <f t="shared" si="270"/>
        <v>0.19538658089533459</v>
      </c>
      <c r="N172" s="1291">
        <f t="shared" si="247"/>
        <v>9386.9900000000016</v>
      </c>
      <c r="O172" s="1291">
        <f t="shared" ref="O172" si="290">+ROUND($E172*N172,2)</f>
        <v>46371.73</v>
      </c>
      <c r="P172" s="1293">
        <f t="shared" si="271"/>
        <v>0.80461341910466555</v>
      </c>
      <c r="X172" s="306"/>
      <c r="Y172" s="306"/>
      <c r="Z172" s="306"/>
      <c r="AA172" s="306"/>
      <c r="AB172" s="306"/>
      <c r="AC172" s="306"/>
      <c r="AD172" s="306"/>
      <c r="AE172" s="306"/>
      <c r="AF172" s="306"/>
      <c r="AG172" s="306"/>
      <c r="AH172" s="306"/>
      <c r="AI172" s="306"/>
    </row>
    <row r="173" spans="1:35" ht="12.75" customHeight="1" outlineLevel="1">
      <c r="A173" s="1245" t="s">
        <v>1591</v>
      </c>
      <c r="B173" s="1243" t="s">
        <v>1592</v>
      </c>
      <c r="C173" s="1169" t="s">
        <v>434</v>
      </c>
      <c r="D173" s="1288">
        <v>829.80000000000007</v>
      </c>
      <c r="E173" s="1289">
        <v>4.9400000000000004</v>
      </c>
      <c r="F173" s="1290">
        <f>+ROUND(D173*E173,2)</f>
        <v>4099.21</v>
      </c>
      <c r="G173" s="1262">
        <v>0</v>
      </c>
      <c r="H173" s="1290">
        <f t="shared" si="283"/>
        <v>0</v>
      </c>
      <c r="I173" s="1602">
        <f t="shared" si="284"/>
        <v>0</v>
      </c>
      <c r="J173" s="1291">
        <f t="shared" si="283"/>
        <v>0</v>
      </c>
      <c r="K173" s="1262">
        <v>0</v>
      </c>
      <c r="L173" s="1291">
        <f t="shared" ref="L173" si="291">+ROUND($E173*K173,2)</f>
        <v>0</v>
      </c>
      <c r="M173" s="1292">
        <f t="shared" si="270"/>
        <v>0</v>
      </c>
      <c r="N173" s="1291">
        <f t="shared" si="247"/>
        <v>829.80000000000007</v>
      </c>
      <c r="O173" s="1291">
        <f t="shared" ref="O173" si="292">+ROUND($E173*N173,2)</f>
        <v>4099.21</v>
      </c>
      <c r="P173" s="1293">
        <f t="shared" si="271"/>
        <v>1</v>
      </c>
      <c r="X173" s="306"/>
      <c r="Y173" s="306"/>
      <c r="Z173" s="306"/>
      <c r="AA173" s="306"/>
      <c r="AB173" s="306"/>
      <c r="AC173" s="306"/>
      <c r="AD173" s="306"/>
      <c r="AE173" s="306"/>
      <c r="AF173" s="306"/>
      <c r="AG173" s="306"/>
      <c r="AH173" s="306"/>
      <c r="AI173" s="306"/>
    </row>
    <row r="174" spans="1:35" ht="12.75" customHeight="1" outlineLevel="1">
      <c r="A174" s="1245" t="s">
        <v>651</v>
      </c>
      <c r="B174" s="1243" t="s">
        <v>1593</v>
      </c>
      <c r="C174" s="1169" t="s">
        <v>432</v>
      </c>
      <c r="D174" s="1288">
        <v>3505.31</v>
      </c>
      <c r="E174" s="1289">
        <v>25.18</v>
      </c>
      <c r="F174" s="1290">
        <f>+ROUND(D174*E174,2)</f>
        <v>88263.71</v>
      </c>
      <c r="G174" s="1262">
        <v>720.2299999999999</v>
      </c>
      <c r="H174" s="1290">
        <f t="shared" si="283"/>
        <v>18135.39</v>
      </c>
      <c r="I174" s="1602">
        <f t="shared" si="284"/>
        <v>0</v>
      </c>
      <c r="J174" s="1291">
        <f t="shared" si="283"/>
        <v>0</v>
      </c>
      <c r="K174" s="1262">
        <v>720.2299999999999</v>
      </c>
      <c r="L174" s="1291">
        <f t="shared" ref="L174" si="293">+ROUND($E174*K174,2)</f>
        <v>18135.39</v>
      </c>
      <c r="M174" s="1292">
        <f t="shared" si="270"/>
        <v>0.20546824963509916</v>
      </c>
      <c r="N174" s="1291">
        <f t="shared" si="247"/>
        <v>2785.08</v>
      </c>
      <c r="O174" s="1291">
        <f t="shared" ref="O174" si="294">+ROUND($E174*N174,2)</f>
        <v>70128.31</v>
      </c>
      <c r="P174" s="1293">
        <f t="shared" si="271"/>
        <v>0.7945316370680543</v>
      </c>
      <c r="X174" s="306"/>
      <c r="Y174" s="306"/>
      <c r="Z174" s="306"/>
      <c r="AA174" s="306"/>
      <c r="AB174" s="306"/>
      <c r="AC174" s="306"/>
      <c r="AD174" s="306"/>
      <c r="AE174" s="306"/>
      <c r="AF174" s="306"/>
      <c r="AG174" s="306"/>
      <c r="AH174" s="306"/>
      <c r="AI174" s="306"/>
    </row>
    <row r="175" spans="1:35" ht="12.75" customHeight="1" outlineLevel="1">
      <c r="A175" s="1249" t="s">
        <v>1594</v>
      </c>
      <c r="B175" s="1250" t="s">
        <v>1595</v>
      </c>
      <c r="C175" s="1166"/>
      <c r="D175" s="1278"/>
      <c r="E175" s="1278"/>
      <c r="F175" s="1298">
        <f>+ROUND(F176+F177,2)</f>
        <v>294661.81</v>
      </c>
      <c r="G175" s="1280"/>
      <c r="H175" s="1298">
        <f>+ROUND(H176+H177,2)</f>
        <v>46496.22</v>
      </c>
      <c r="I175" s="1280"/>
      <c r="J175" s="1281">
        <f>+ROUND(J176+J177,2)</f>
        <v>7253.68</v>
      </c>
      <c r="K175" s="1280"/>
      <c r="L175" s="1281">
        <f>+ROUND(L176+L177,2)</f>
        <v>53749.9</v>
      </c>
      <c r="M175" s="1282">
        <f t="shared" si="270"/>
        <v>0.1824121693951449</v>
      </c>
      <c r="N175" s="1280"/>
      <c r="O175" s="1281">
        <f>+ROUND(O176+O177,2)</f>
        <v>240911.9</v>
      </c>
      <c r="P175" s="1283">
        <f t="shared" si="271"/>
        <v>0.81758779666764414</v>
      </c>
    </row>
    <row r="176" spans="1:35" ht="12.75" customHeight="1" outlineLevel="1">
      <c r="A176" s="1245" t="s">
        <v>725</v>
      </c>
      <c r="B176" s="1243" t="s">
        <v>1596</v>
      </c>
      <c r="C176" s="1169" t="s">
        <v>434</v>
      </c>
      <c r="D176" s="1288">
        <v>11666.460000000001</v>
      </c>
      <c r="E176" s="1289">
        <v>23.58</v>
      </c>
      <c r="F176" s="1290">
        <f>+ROUND(D176*E176,2)</f>
        <v>275095.13</v>
      </c>
      <c r="G176" s="1262">
        <v>1971.8500000000001</v>
      </c>
      <c r="H176" s="1290">
        <f t="shared" ref="H176:J177" si="295">+ROUND($E176*G176,2)</f>
        <v>46496.22</v>
      </c>
      <c r="I176" s="1602">
        <f t="shared" ref="I176:I177" si="296">+K176-G176</f>
        <v>307.62000000000012</v>
      </c>
      <c r="J176" s="1291">
        <f t="shared" si="295"/>
        <v>7253.68</v>
      </c>
      <c r="K176" s="1262">
        <v>2279.4700000000003</v>
      </c>
      <c r="L176" s="1291">
        <f t="shared" ref="L176" si="297">+ROUND($E176*K176,2)</f>
        <v>53749.9</v>
      </c>
      <c r="M176" s="1292">
        <f t="shared" si="270"/>
        <v>0.19538659226719135</v>
      </c>
      <c r="N176" s="1291">
        <f t="shared" si="247"/>
        <v>9386.9900000000016</v>
      </c>
      <c r="O176" s="1291">
        <f t="shared" ref="O176" si="298">+ROUND($E176*N176,2)</f>
        <v>221345.22</v>
      </c>
      <c r="P176" s="1293">
        <f t="shared" si="271"/>
        <v>0.80461337138174704</v>
      </c>
      <c r="X176" s="306"/>
      <c r="Y176" s="306"/>
      <c r="Z176" s="306"/>
      <c r="AA176" s="306"/>
      <c r="AB176" s="306"/>
      <c r="AC176" s="306"/>
      <c r="AD176" s="306"/>
      <c r="AE176" s="306"/>
      <c r="AF176" s="306"/>
      <c r="AG176" s="306"/>
      <c r="AH176" s="306"/>
      <c r="AI176" s="306"/>
    </row>
    <row r="177" spans="1:35" ht="12.75" customHeight="1" outlineLevel="1">
      <c r="A177" s="1245" t="s">
        <v>761</v>
      </c>
      <c r="B177" s="1243" t="s">
        <v>1597</v>
      </c>
      <c r="C177" s="1169" t="s">
        <v>434</v>
      </c>
      <c r="D177" s="1288">
        <v>829.80000000000007</v>
      </c>
      <c r="E177" s="1289">
        <v>23.58</v>
      </c>
      <c r="F177" s="1290">
        <f>+ROUND(D177*E177,2)</f>
        <v>19566.68</v>
      </c>
      <c r="G177" s="1262">
        <v>0</v>
      </c>
      <c r="H177" s="1290">
        <f t="shared" si="295"/>
        <v>0</v>
      </c>
      <c r="I177" s="1602">
        <f t="shared" si="296"/>
        <v>0</v>
      </c>
      <c r="J177" s="1291">
        <f t="shared" si="295"/>
        <v>0</v>
      </c>
      <c r="K177" s="1262">
        <v>0</v>
      </c>
      <c r="L177" s="1291">
        <f t="shared" ref="L177" si="299">+ROUND($E177*K177,2)</f>
        <v>0</v>
      </c>
      <c r="M177" s="1292">
        <f t="shared" si="270"/>
        <v>0</v>
      </c>
      <c r="N177" s="1291">
        <f t="shared" si="247"/>
        <v>829.80000000000007</v>
      </c>
      <c r="O177" s="1291">
        <f t="shared" ref="O177" si="300">+ROUND($E177*N177,2)</f>
        <v>19566.68</v>
      </c>
      <c r="P177" s="1293">
        <f t="shared" si="271"/>
        <v>1</v>
      </c>
      <c r="X177" s="306"/>
      <c r="Y177" s="306"/>
      <c r="Z177" s="306"/>
      <c r="AA177" s="306"/>
      <c r="AB177" s="306"/>
      <c r="AC177" s="306"/>
      <c r="AD177" s="306"/>
      <c r="AE177" s="306"/>
      <c r="AF177" s="306"/>
      <c r="AG177" s="306"/>
      <c r="AH177" s="306"/>
      <c r="AI177" s="306"/>
    </row>
    <row r="178" spans="1:35" ht="12.75" customHeight="1" outlineLevel="1">
      <c r="A178" s="1249" t="s">
        <v>1598</v>
      </c>
      <c r="B178" s="1250" t="s">
        <v>1599</v>
      </c>
      <c r="C178" s="1166"/>
      <c r="D178" s="1278"/>
      <c r="E178" s="1278"/>
      <c r="F178" s="1298">
        <f>+ROUND(F179+F180+F181+F182+F183+F184+F185,2)</f>
        <v>561024</v>
      </c>
      <c r="G178" s="1280"/>
      <c r="H178" s="1298">
        <f>+ROUND(H179+H180+H181+H182+H183+H184+H185,2)</f>
        <v>86680.22</v>
      </c>
      <c r="I178" s="1280"/>
      <c r="J178" s="1281">
        <f>+ROUND(J179+J180+J181+J182+J183+J184+J185,2)</f>
        <v>28114.639999999999</v>
      </c>
      <c r="K178" s="1280"/>
      <c r="L178" s="1281">
        <f>+ROUND(L179+L180+L181+L182+L183+L184+L185,2)</f>
        <v>114794.86</v>
      </c>
      <c r="M178" s="1282">
        <f t="shared" si="270"/>
        <v>0.20461666524070271</v>
      </c>
      <c r="N178" s="1280"/>
      <c r="O178" s="1281">
        <f>+ROUND(O179+O180+O181+O182+O183+O184+O185,2)</f>
        <v>446229.14</v>
      </c>
      <c r="P178" s="1283">
        <f t="shared" si="271"/>
        <v>0.79538333475929734</v>
      </c>
    </row>
    <row r="179" spans="1:35" ht="12.75" customHeight="1" outlineLevel="1">
      <c r="A179" s="1245" t="s">
        <v>727</v>
      </c>
      <c r="B179" s="1243" t="s">
        <v>1600</v>
      </c>
      <c r="C179" s="1169" t="s">
        <v>434</v>
      </c>
      <c r="D179" s="1288">
        <v>2177.87</v>
      </c>
      <c r="E179" s="1289">
        <v>28.35</v>
      </c>
      <c r="F179" s="1290">
        <f t="shared" ref="F179:F185" si="301">+ROUND(D179*E179,2)</f>
        <v>61742.61</v>
      </c>
      <c r="G179" s="1262">
        <v>155.37</v>
      </c>
      <c r="H179" s="1290">
        <f t="shared" ref="H179:J185" si="302">+ROUND($E179*G179,2)</f>
        <v>4404.74</v>
      </c>
      <c r="I179" s="1602">
        <f t="shared" ref="I179:I189" si="303">+K179-G179</f>
        <v>365.75</v>
      </c>
      <c r="J179" s="1291">
        <f t="shared" si="302"/>
        <v>10369.01</v>
      </c>
      <c r="K179" s="1262">
        <v>521.12</v>
      </c>
      <c r="L179" s="1291">
        <f t="shared" ref="L179" si="304">+ROUND($E179*K179,2)</f>
        <v>14773.75</v>
      </c>
      <c r="M179" s="1292">
        <f t="shared" si="270"/>
        <v>0.23927964820405226</v>
      </c>
      <c r="N179" s="1291">
        <f t="shared" si="247"/>
        <v>1656.75</v>
      </c>
      <c r="O179" s="1291">
        <f t="shared" ref="O179" si="305">+ROUND($E179*N179,2)</f>
        <v>46968.86</v>
      </c>
      <c r="P179" s="1293">
        <f t="shared" si="271"/>
        <v>0.76072035179594777</v>
      </c>
      <c r="X179" s="306"/>
      <c r="Y179" s="306"/>
      <c r="Z179" s="306"/>
      <c r="AA179" s="306"/>
      <c r="AB179" s="306"/>
      <c r="AC179" s="306"/>
      <c r="AD179" s="306"/>
      <c r="AE179" s="306"/>
      <c r="AF179" s="306"/>
      <c r="AG179" s="306"/>
      <c r="AH179" s="306"/>
      <c r="AI179" s="306"/>
    </row>
    <row r="180" spans="1:35" ht="12.75" customHeight="1" outlineLevel="1">
      <c r="A180" s="1245" t="s">
        <v>663</v>
      </c>
      <c r="B180" s="1243" t="s">
        <v>1601</v>
      </c>
      <c r="C180" s="1169" t="s">
        <v>434</v>
      </c>
      <c r="D180" s="1288">
        <v>19.64</v>
      </c>
      <c r="E180" s="1289">
        <v>28.35</v>
      </c>
      <c r="F180" s="1290">
        <f t="shared" si="301"/>
        <v>556.79</v>
      </c>
      <c r="G180" s="1262">
        <v>0</v>
      </c>
      <c r="H180" s="1290">
        <f t="shared" si="302"/>
        <v>0</v>
      </c>
      <c r="I180" s="1602">
        <f t="shared" si="303"/>
        <v>0</v>
      </c>
      <c r="J180" s="1291">
        <f t="shared" si="302"/>
        <v>0</v>
      </c>
      <c r="K180" s="1262">
        <v>0</v>
      </c>
      <c r="L180" s="1291">
        <f t="shared" ref="L180" si="306">+ROUND($E180*K180,2)</f>
        <v>0</v>
      </c>
      <c r="M180" s="1292">
        <f t="shared" si="270"/>
        <v>0</v>
      </c>
      <c r="N180" s="1291">
        <f t="shared" si="247"/>
        <v>19.64</v>
      </c>
      <c r="O180" s="1291">
        <f t="shared" ref="O180" si="307">+ROUND($E180*N180,2)</f>
        <v>556.79</v>
      </c>
      <c r="P180" s="1293">
        <f t="shared" si="271"/>
        <v>1</v>
      </c>
      <c r="X180" s="306"/>
      <c r="Y180" s="306"/>
      <c r="Z180" s="306"/>
      <c r="AA180" s="306"/>
      <c r="AB180" s="306"/>
      <c r="AC180" s="306"/>
      <c r="AD180" s="306"/>
      <c r="AE180" s="306"/>
      <c r="AF180" s="306"/>
      <c r="AG180" s="306"/>
      <c r="AH180" s="306"/>
      <c r="AI180" s="306"/>
    </row>
    <row r="181" spans="1:35" ht="12.75" customHeight="1" outlineLevel="1">
      <c r="A181" s="1245" t="s">
        <v>664</v>
      </c>
      <c r="B181" s="1243" t="s">
        <v>1602</v>
      </c>
      <c r="C181" s="1169" t="s">
        <v>432</v>
      </c>
      <c r="D181" s="1288">
        <v>1580.3400000000001</v>
      </c>
      <c r="E181" s="1289">
        <v>265.55</v>
      </c>
      <c r="F181" s="1290">
        <f t="shared" si="301"/>
        <v>419659.29</v>
      </c>
      <c r="G181" s="1262">
        <v>295.37</v>
      </c>
      <c r="H181" s="1290">
        <f t="shared" si="302"/>
        <v>78435.5</v>
      </c>
      <c r="I181" s="1602">
        <f t="shared" si="303"/>
        <v>63.20999999999998</v>
      </c>
      <c r="J181" s="1291">
        <f t="shared" si="302"/>
        <v>16785.419999999998</v>
      </c>
      <c r="K181" s="1262">
        <v>358.58</v>
      </c>
      <c r="L181" s="1291">
        <f t="shared" ref="L181" si="308">+ROUND($E181*K181,2)</f>
        <v>95220.92</v>
      </c>
      <c r="M181" s="1292">
        <f t="shared" si="270"/>
        <v>0.22690054115089411</v>
      </c>
      <c r="N181" s="1291">
        <f t="shared" si="247"/>
        <v>1221.7600000000002</v>
      </c>
      <c r="O181" s="1291">
        <f t="shared" ref="O181" si="309">+ROUND($E181*N181,2)</f>
        <v>324438.37</v>
      </c>
      <c r="P181" s="1293">
        <f t="shared" si="271"/>
        <v>0.77309945884910591</v>
      </c>
      <c r="X181" s="306"/>
      <c r="Y181" s="306"/>
      <c r="Z181" s="306"/>
      <c r="AA181" s="306"/>
      <c r="AB181" s="306"/>
      <c r="AC181" s="306"/>
      <c r="AD181" s="306"/>
      <c r="AE181" s="306"/>
      <c r="AF181" s="306"/>
      <c r="AG181" s="306"/>
      <c r="AH181" s="306"/>
      <c r="AI181" s="306"/>
    </row>
    <row r="182" spans="1:35" ht="12.75" customHeight="1" outlineLevel="1">
      <c r="A182" s="1245" t="s">
        <v>665</v>
      </c>
      <c r="B182" s="1243" t="s">
        <v>1603</v>
      </c>
      <c r="C182" s="1169" t="s">
        <v>432</v>
      </c>
      <c r="D182" s="1288">
        <v>43.56</v>
      </c>
      <c r="E182" s="1289">
        <v>300.27999999999997</v>
      </c>
      <c r="F182" s="1290">
        <f t="shared" si="301"/>
        <v>13080.2</v>
      </c>
      <c r="G182" s="1262">
        <v>0</v>
      </c>
      <c r="H182" s="1290">
        <f t="shared" si="302"/>
        <v>0</v>
      </c>
      <c r="I182" s="1602">
        <f t="shared" si="303"/>
        <v>0</v>
      </c>
      <c r="J182" s="1291">
        <f t="shared" si="302"/>
        <v>0</v>
      </c>
      <c r="K182" s="1262">
        <v>0</v>
      </c>
      <c r="L182" s="1291">
        <f t="shared" ref="L182" si="310">+ROUND($E182*K182,2)</f>
        <v>0</v>
      </c>
      <c r="M182" s="1292">
        <f t="shared" si="270"/>
        <v>0</v>
      </c>
      <c r="N182" s="1291">
        <f t="shared" si="247"/>
        <v>43.56</v>
      </c>
      <c r="O182" s="1291">
        <f t="shared" ref="O182" si="311">+ROUND($E182*N182,2)</f>
        <v>13080.2</v>
      </c>
      <c r="P182" s="1293">
        <f t="shared" si="271"/>
        <v>1</v>
      </c>
      <c r="X182" s="306"/>
      <c r="Y182" s="306"/>
      <c r="Z182" s="306"/>
      <c r="AA182" s="306"/>
      <c r="AB182" s="306"/>
      <c r="AC182" s="306"/>
      <c r="AD182" s="306"/>
      <c r="AE182" s="306"/>
      <c r="AF182" s="306"/>
      <c r="AG182" s="306"/>
      <c r="AH182" s="306"/>
      <c r="AI182" s="306"/>
    </row>
    <row r="183" spans="1:35" ht="12.75" customHeight="1" outlineLevel="1">
      <c r="A183" s="1245" t="s">
        <v>666</v>
      </c>
      <c r="B183" s="1243" t="s">
        <v>1604</v>
      </c>
      <c r="C183" s="1169" t="s">
        <v>432</v>
      </c>
      <c r="D183" s="1288">
        <v>93.83</v>
      </c>
      <c r="E183" s="1289">
        <v>356.03</v>
      </c>
      <c r="F183" s="1290">
        <f t="shared" si="301"/>
        <v>33406.29</v>
      </c>
      <c r="G183" s="1262">
        <v>0</v>
      </c>
      <c r="H183" s="1290">
        <f t="shared" si="302"/>
        <v>0</v>
      </c>
      <c r="I183" s="1602">
        <f t="shared" si="303"/>
        <v>0</v>
      </c>
      <c r="J183" s="1291">
        <f t="shared" si="302"/>
        <v>0</v>
      </c>
      <c r="K183" s="1262">
        <v>0</v>
      </c>
      <c r="L183" s="1291">
        <f t="shared" ref="L183" si="312">+ROUND($E183*K183,2)</f>
        <v>0</v>
      </c>
      <c r="M183" s="1292">
        <f t="shared" si="270"/>
        <v>0</v>
      </c>
      <c r="N183" s="1291">
        <f t="shared" si="247"/>
        <v>93.83</v>
      </c>
      <c r="O183" s="1291">
        <f t="shared" ref="O183" si="313">+ROUND($E183*N183,2)</f>
        <v>33406.29</v>
      </c>
      <c r="P183" s="1293">
        <f t="shared" si="271"/>
        <v>1</v>
      </c>
      <c r="X183" s="306"/>
      <c r="Y183" s="306"/>
      <c r="Z183" s="306"/>
      <c r="AA183" s="306"/>
      <c r="AB183" s="306"/>
      <c r="AC183" s="306"/>
      <c r="AD183" s="306"/>
      <c r="AE183" s="306"/>
      <c r="AF183" s="306"/>
      <c r="AG183" s="306"/>
      <c r="AH183" s="306"/>
      <c r="AI183" s="306"/>
    </row>
    <row r="184" spans="1:35" ht="12.75" customHeight="1" outlineLevel="1">
      <c r="A184" s="1507" t="s">
        <v>790</v>
      </c>
      <c r="B184" s="1508" t="s">
        <v>1605</v>
      </c>
      <c r="C184" s="1509" t="s">
        <v>431</v>
      </c>
      <c r="D184" s="1510">
        <v>3059.21</v>
      </c>
      <c r="E184" s="1511">
        <v>2.97</v>
      </c>
      <c r="F184" s="1512">
        <f t="shared" si="301"/>
        <v>9085.85</v>
      </c>
      <c r="G184" s="1513">
        <v>0</v>
      </c>
      <c r="H184" s="1512">
        <f t="shared" si="302"/>
        <v>0</v>
      </c>
      <c r="I184" s="1604">
        <f t="shared" si="303"/>
        <v>0</v>
      </c>
      <c r="J184" s="1514">
        <f t="shared" si="302"/>
        <v>0</v>
      </c>
      <c r="K184" s="1513">
        <v>0</v>
      </c>
      <c r="L184" s="1514">
        <f t="shared" ref="L184" si="314">+ROUND($E184*K184,2)</f>
        <v>0</v>
      </c>
      <c r="M184" s="1515">
        <f t="shared" si="270"/>
        <v>0</v>
      </c>
      <c r="N184" s="1514">
        <f t="shared" si="247"/>
        <v>3059.21</v>
      </c>
      <c r="O184" s="1514">
        <f t="shared" ref="O184" si="315">+ROUND($E184*N184,2)</f>
        <v>9085.85</v>
      </c>
      <c r="P184" s="1516">
        <f t="shared" si="271"/>
        <v>1</v>
      </c>
      <c r="X184" s="306"/>
      <c r="Y184" s="306"/>
      <c r="Z184" s="306"/>
      <c r="AA184" s="306"/>
      <c r="AB184" s="306"/>
      <c r="AC184" s="306"/>
      <c r="AD184" s="306"/>
      <c r="AE184" s="306"/>
      <c r="AF184" s="306"/>
      <c r="AG184" s="306"/>
      <c r="AH184" s="306"/>
      <c r="AI184" s="306"/>
    </row>
    <row r="185" spans="1:35" ht="12.75" customHeight="1" outlineLevel="1">
      <c r="A185" s="1517" t="s">
        <v>667</v>
      </c>
      <c r="B185" s="1518" t="s">
        <v>1438</v>
      </c>
      <c r="C185" s="1519" t="s">
        <v>434</v>
      </c>
      <c r="D185" s="1520">
        <v>12496.26</v>
      </c>
      <c r="E185" s="1521">
        <v>1.88</v>
      </c>
      <c r="F185" s="1522">
        <f t="shared" si="301"/>
        <v>23492.97</v>
      </c>
      <c r="G185" s="1523">
        <v>2042.54</v>
      </c>
      <c r="H185" s="1522">
        <f t="shared" si="302"/>
        <v>3839.98</v>
      </c>
      <c r="I185" s="1605">
        <f t="shared" si="303"/>
        <v>510.75</v>
      </c>
      <c r="J185" s="1524">
        <f t="shared" si="302"/>
        <v>960.21</v>
      </c>
      <c r="K185" s="1523">
        <v>2553.29</v>
      </c>
      <c r="L185" s="1524">
        <f t="shared" ref="L185" si="316">+ROUND($E185*K185,2)</f>
        <v>4800.1899999999996</v>
      </c>
      <c r="M185" s="1525">
        <f t="shared" ref="M185" si="317">L185/$F185</f>
        <v>0.20432452772042017</v>
      </c>
      <c r="N185" s="1524">
        <f t="shared" si="247"/>
        <v>9942.9700000000012</v>
      </c>
      <c r="O185" s="1524">
        <f t="shared" ref="O185" si="318">+ROUND($E185*N185,2)</f>
        <v>18692.78</v>
      </c>
      <c r="P185" s="1526">
        <f t="shared" ref="P185" si="319">+O185/F185</f>
        <v>0.79567547227957969</v>
      </c>
      <c r="X185" s="306"/>
      <c r="Y185" s="306"/>
      <c r="Z185" s="306"/>
      <c r="AA185" s="306"/>
      <c r="AB185" s="306"/>
      <c r="AC185" s="306"/>
      <c r="AD185" s="306"/>
      <c r="AE185" s="306"/>
      <c r="AF185" s="306"/>
      <c r="AG185" s="306"/>
      <c r="AH185" s="306"/>
      <c r="AI185" s="306"/>
    </row>
    <row r="186" spans="1:35" ht="12.75" customHeight="1" outlineLevel="1">
      <c r="A186" s="1249" t="s">
        <v>1606</v>
      </c>
      <c r="B186" s="1250" t="s">
        <v>1439</v>
      </c>
      <c r="C186" s="1166"/>
      <c r="D186" s="1278"/>
      <c r="E186" s="1278"/>
      <c r="F186" s="1298">
        <f>+ROUND(F187+F188+F189,2)</f>
        <v>105534.67</v>
      </c>
      <c r="G186" s="1280"/>
      <c r="H186" s="1298">
        <f>+ROUND(H187+H188+H189,2)</f>
        <v>0</v>
      </c>
      <c r="I186" s="1280"/>
      <c r="J186" s="1281">
        <f>+ROUND(J187+J188+J189,2)</f>
        <v>0</v>
      </c>
      <c r="K186" s="1280"/>
      <c r="L186" s="1281">
        <f>+ROUND(L187+L188+L189,2)</f>
        <v>0</v>
      </c>
      <c r="M186" s="1282">
        <f t="shared" si="270"/>
        <v>0</v>
      </c>
      <c r="N186" s="1280"/>
      <c r="O186" s="1281">
        <f>+ROUND(O187+O188+O189,2)</f>
        <v>105534.67</v>
      </c>
      <c r="P186" s="1283">
        <f t="shared" si="271"/>
        <v>1</v>
      </c>
    </row>
    <row r="187" spans="1:35" ht="12.75" customHeight="1" outlineLevel="1">
      <c r="A187" s="1245" t="s">
        <v>728</v>
      </c>
      <c r="B187" s="1243" t="s">
        <v>1607</v>
      </c>
      <c r="C187" s="1169" t="s">
        <v>433</v>
      </c>
      <c r="D187" s="1288">
        <v>21</v>
      </c>
      <c r="E187" s="1289">
        <v>123.44</v>
      </c>
      <c r="F187" s="1290">
        <f>+ROUND(D187*E187,2)</f>
        <v>2592.2399999999998</v>
      </c>
      <c r="G187" s="1262">
        <v>0</v>
      </c>
      <c r="H187" s="1290">
        <f t="shared" ref="H187:J189" si="320">+ROUND($E187*G187,2)</f>
        <v>0</v>
      </c>
      <c r="I187" s="1262">
        <f t="shared" si="303"/>
        <v>0</v>
      </c>
      <c r="J187" s="1291">
        <f t="shared" si="320"/>
        <v>0</v>
      </c>
      <c r="K187" s="1262">
        <v>0</v>
      </c>
      <c r="L187" s="1291">
        <f t="shared" ref="L187" si="321">+ROUND($E187*K187,2)</f>
        <v>0</v>
      </c>
      <c r="M187" s="1292">
        <f t="shared" si="270"/>
        <v>0</v>
      </c>
      <c r="N187" s="1291">
        <f t="shared" si="247"/>
        <v>21</v>
      </c>
      <c r="O187" s="1291">
        <f t="shared" ref="O187" si="322">+ROUND($E187*N187,2)</f>
        <v>2592.2399999999998</v>
      </c>
      <c r="P187" s="1293">
        <f t="shared" si="271"/>
        <v>1</v>
      </c>
      <c r="X187" s="306"/>
      <c r="Y187" s="306"/>
      <c r="Z187" s="306"/>
      <c r="AA187" s="306"/>
      <c r="AB187" s="306"/>
      <c r="AC187" s="306"/>
      <c r="AD187" s="306"/>
      <c r="AE187" s="306"/>
      <c r="AF187" s="306"/>
      <c r="AG187" s="306"/>
      <c r="AH187" s="306"/>
      <c r="AI187" s="306"/>
    </row>
    <row r="188" spans="1:35" ht="12.75" customHeight="1" outlineLevel="1">
      <c r="A188" s="1245" t="s">
        <v>729</v>
      </c>
      <c r="B188" s="1243" t="s">
        <v>1608</v>
      </c>
      <c r="C188" s="1169" t="s">
        <v>433</v>
      </c>
      <c r="D188" s="1288">
        <v>99</v>
      </c>
      <c r="E188" s="1289">
        <v>87.89</v>
      </c>
      <c r="F188" s="1290">
        <f>+ROUND(D188*E188,2)</f>
        <v>8701.11</v>
      </c>
      <c r="G188" s="1262">
        <v>0</v>
      </c>
      <c r="H188" s="1290">
        <f t="shared" si="320"/>
        <v>0</v>
      </c>
      <c r="I188" s="1262">
        <f t="shared" si="303"/>
        <v>0</v>
      </c>
      <c r="J188" s="1291">
        <f t="shared" si="320"/>
        <v>0</v>
      </c>
      <c r="K188" s="1262">
        <v>0</v>
      </c>
      <c r="L188" s="1291">
        <f t="shared" ref="L188" si="323">+ROUND($E188*K188,2)</f>
        <v>0</v>
      </c>
      <c r="M188" s="1292">
        <f t="shared" si="270"/>
        <v>0</v>
      </c>
      <c r="N188" s="1291">
        <f t="shared" si="247"/>
        <v>99</v>
      </c>
      <c r="O188" s="1291">
        <f t="shared" ref="O188" si="324">+ROUND($E188*N188,2)</f>
        <v>8701.11</v>
      </c>
      <c r="P188" s="1293">
        <f t="shared" si="271"/>
        <v>1</v>
      </c>
      <c r="X188" s="306"/>
      <c r="Y188" s="306"/>
      <c r="Z188" s="306"/>
      <c r="AA188" s="306"/>
      <c r="AB188" s="306"/>
      <c r="AC188" s="306"/>
      <c r="AD188" s="306"/>
      <c r="AE188" s="306"/>
      <c r="AF188" s="306"/>
      <c r="AG188" s="306"/>
      <c r="AH188" s="306"/>
      <c r="AI188" s="306"/>
    </row>
    <row r="189" spans="1:35" ht="12.75" customHeight="1" outlineLevel="1">
      <c r="A189" s="1245" t="s">
        <v>762</v>
      </c>
      <c r="B189" s="1243" t="s">
        <v>1609</v>
      </c>
      <c r="C189" s="1169" t="s">
        <v>431</v>
      </c>
      <c r="D189" s="1288">
        <v>497.92</v>
      </c>
      <c r="E189" s="1289">
        <v>189.27</v>
      </c>
      <c r="F189" s="1290">
        <f>+ROUND(D189*E189,2)</f>
        <v>94241.32</v>
      </c>
      <c r="G189" s="1262">
        <v>0</v>
      </c>
      <c r="H189" s="1290">
        <f t="shared" si="320"/>
        <v>0</v>
      </c>
      <c r="I189" s="1262">
        <f t="shared" si="303"/>
        <v>0</v>
      </c>
      <c r="J189" s="1291">
        <f t="shared" si="320"/>
        <v>0</v>
      </c>
      <c r="K189" s="1262">
        <v>0</v>
      </c>
      <c r="L189" s="1291">
        <f t="shared" ref="L189" si="325">+ROUND($E189*K189,2)</f>
        <v>0</v>
      </c>
      <c r="M189" s="1292">
        <f t="shared" si="270"/>
        <v>0</v>
      </c>
      <c r="N189" s="1291">
        <f t="shared" si="247"/>
        <v>497.92</v>
      </c>
      <c r="O189" s="1291">
        <f t="shared" ref="O189" si="326">+ROUND($E189*N189,2)</f>
        <v>94241.32</v>
      </c>
      <c r="P189" s="1293">
        <f t="shared" si="271"/>
        <v>1</v>
      </c>
      <c r="X189" s="306"/>
      <c r="Y189" s="306"/>
      <c r="Z189" s="306"/>
      <c r="AA189" s="306"/>
      <c r="AB189" s="306"/>
      <c r="AC189" s="306"/>
      <c r="AD189" s="306"/>
      <c r="AE189" s="306"/>
      <c r="AF189" s="306"/>
      <c r="AG189" s="306"/>
      <c r="AH189" s="306"/>
      <c r="AI189" s="306"/>
    </row>
    <row r="190" spans="1:35" ht="12.75" customHeight="1" outlineLevel="1">
      <c r="A190" s="1167"/>
      <c r="B190" s="1168"/>
      <c r="C190" s="1169"/>
      <c r="D190" s="1288"/>
      <c r="E190" s="1289"/>
      <c r="F190" s="1290"/>
      <c r="G190" s="1262"/>
      <c r="H190" s="1290"/>
      <c r="I190" s="1262"/>
      <c r="J190" s="1291"/>
      <c r="K190" s="1262"/>
      <c r="L190" s="1291"/>
      <c r="M190" s="1292"/>
      <c r="N190" s="1291"/>
      <c r="O190" s="1291"/>
      <c r="P190" s="1293"/>
      <c r="X190" s="306"/>
      <c r="Y190" s="306"/>
      <c r="Z190" s="306"/>
      <c r="AA190" s="306"/>
      <c r="AB190" s="306"/>
      <c r="AC190" s="306"/>
      <c r="AD190" s="306"/>
      <c r="AE190" s="306"/>
      <c r="AF190" s="306"/>
      <c r="AG190" s="306"/>
      <c r="AH190" s="306"/>
      <c r="AI190" s="306"/>
    </row>
    <row r="191" spans="1:35" ht="12.75" customHeight="1">
      <c r="A191" s="1264" t="s">
        <v>550</v>
      </c>
      <c r="B191" s="1265" t="s">
        <v>1610</v>
      </c>
      <c r="C191" s="1266"/>
      <c r="D191" s="1272"/>
      <c r="E191" s="1272"/>
      <c r="F191" s="1273">
        <f>+ROUND(F192+F205,2)</f>
        <v>475550.27</v>
      </c>
      <c r="G191" s="1274"/>
      <c r="H191" s="1273">
        <f>+ROUND(H192+H205,2)</f>
        <v>0</v>
      </c>
      <c r="I191" s="1274"/>
      <c r="J191" s="1275">
        <f>+ROUND(J192+J205,2)</f>
        <v>57541.65</v>
      </c>
      <c r="K191" s="1274"/>
      <c r="L191" s="1275">
        <f>+ROUND(L192+L205,2)</f>
        <v>57541.65</v>
      </c>
      <c r="M191" s="1276">
        <f t="shared" ref="M191:M219" si="327">L191/$F191</f>
        <v>0.12100014158334932</v>
      </c>
      <c r="N191" s="1274"/>
      <c r="O191" s="1275">
        <f>+ROUND(O192+O205,2)</f>
        <v>418008.6</v>
      </c>
      <c r="P191" s="1277">
        <f t="shared" ref="P191:P219" si="328">+O191/F191</f>
        <v>0.87899981636010838</v>
      </c>
    </row>
    <row r="192" spans="1:35" ht="12.75" customHeight="1" outlineLevel="1">
      <c r="A192" s="1249" t="s">
        <v>1241</v>
      </c>
      <c r="B192" s="1250" t="s">
        <v>1611</v>
      </c>
      <c r="C192" s="1166"/>
      <c r="D192" s="1278"/>
      <c r="E192" s="1278"/>
      <c r="F192" s="1298">
        <f>+ROUND(F193+F195+F198,2)</f>
        <v>287328.53000000003</v>
      </c>
      <c r="G192" s="1280"/>
      <c r="H192" s="1298">
        <f>+ROUND(H193+H195+H198,2)</f>
        <v>0</v>
      </c>
      <c r="I192" s="1280"/>
      <c r="J192" s="1281">
        <f>+ROUND(J193+J195+J198,2)</f>
        <v>57541.65</v>
      </c>
      <c r="K192" s="1280"/>
      <c r="L192" s="1281">
        <f>+ROUND(L193+L195+L198,2)</f>
        <v>57541.65</v>
      </c>
      <c r="M192" s="1282">
        <f t="shared" si="327"/>
        <v>0.20026431068296627</v>
      </c>
      <c r="N192" s="1280"/>
      <c r="O192" s="1281">
        <f>+ROUND(O193+O195+O198,2)</f>
        <v>229786.86</v>
      </c>
      <c r="P192" s="1283">
        <f t="shared" si="328"/>
        <v>0.79973561971030149</v>
      </c>
    </row>
    <row r="193" spans="1:35" ht="12.75" customHeight="1">
      <c r="A193" s="1244" t="s">
        <v>1242</v>
      </c>
      <c r="B193" s="1242" t="s">
        <v>1471</v>
      </c>
      <c r="C193" s="1168"/>
      <c r="D193" s="1299"/>
      <c r="E193" s="1299"/>
      <c r="F193" s="1285">
        <f>+ROUND(F194,2)</f>
        <v>653.04</v>
      </c>
      <c r="G193" s="1300"/>
      <c r="H193" s="1285">
        <f>+ROUND(H194,2)</f>
        <v>0</v>
      </c>
      <c r="I193" s="1300"/>
      <c r="J193" s="1287">
        <f>+ROUND(J194,2)</f>
        <v>108.66</v>
      </c>
      <c r="K193" s="1300"/>
      <c r="L193" s="1287">
        <f>+ROUND(L194,2)</f>
        <v>108.66</v>
      </c>
      <c r="M193" s="1301">
        <f t="shared" ref="M193" si="329">L193/$F193</f>
        <v>0.16639103270856304</v>
      </c>
      <c r="N193" s="1300"/>
      <c r="O193" s="1287">
        <f>+ROUND(O194,2)</f>
        <v>544.37</v>
      </c>
      <c r="P193" s="1302">
        <f t="shared" ref="P193" si="330">+O193/F193</f>
        <v>0.83359365429376464</v>
      </c>
    </row>
    <row r="194" spans="1:35" ht="12.75" customHeight="1" outlineLevel="1">
      <c r="A194" s="1245" t="s">
        <v>1612</v>
      </c>
      <c r="B194" s="1243" t="s">
        <v>1387</v>
      </c>
      <c r="C194" s="1169" t="s">
        <v>434</v>
      </c>
      <c r="D194" s="1288">
        <v>424.05</v>
      </c>
      <c r="E194" s="1289">
        <v>1.54</v>
      </c>
      <c r="F194" s="1290">
        <f>+ROUND(D194*E194,2)</f>
        <v>653.04</v>
      </c>
      <c r="G194" s="1262">
        <v>0</v>
      </c>
      <c r="H194" s="1290">
        <f>+ROUND($E194*G194,2)</f>
        <v>0</v>
      </c>
      <c r="I194" s="1602">
        <f t="shared" ref="I194" si="331">+K194-G194</f>
        <v>70.56</v>
      </c>
      <c r="J194" s="1291">
        <f>+ROUND($E194*I194,2)</f>
        <v>108.66</v>
      </c>
      <c r="K194" s="1262">
        <v>70.56</v>
      </c>
      <c r="L194" s="1291">
        <f>+ROUND($E194*K194,2)</f>
        <v>108.66</v>
      </c>
      <c r="M194" s="1292">
        <f t="shared" si="327"/>
        <v>0.16639103270856304</v>
      </c>
      <c r="N194" s="1291">
        <f t="shared" si="247"/>
        <v>353.49</v>
      </c>
      <c r="O194" s="1291">
        <f>+ROUND($E194*N194,2)</f>
        <v>544.37</v>
      </c>
      <c r="P194" s="1293">
        <f t="shared" si="328"/>
        <v>0.83359365429376464</v>
      </c>
      <c r="X194" s="695"/>
      <c r="Y194" s="695"/>
      <c r="Z194" s="695"/>
      <c r="AA194" s="695"/>
      <c r="AB194" s="1075"/>
      <c r="AC194" s="306"/>
      <c r="AD194" s="695"/>
      <c r="AE194" s="695"/>
      <c r="AF194" s="306"/>
      <c r="AG194" s="306"/>
      <c r="AH194" s="695"/>
      <c r="AI194" s="695"/>
    </row>
    <row r="195" spans="1:35" ht="12.75" customHeight="1" outlineLevel="1">
      <c r="A195" s="1249" t="s">
        <v>1613</v>
      </c>
      <c r="B195" s="1250" t="s">
        <v>1412</v>
      </c>
      <c r="C195" s="1166"/>
      <c r="D195" s="1278"/>
      <c r="E195" s="1278"/>
      <c r="F195" s="1298">
        <f>+ROUND(F196+F197,2)</f>
        <v>12032.29</v>
      </c>
      <c r="G195" s="1280"/>
      <c r="H195" s="1298">
        <f>+ROUND(H196+H197,2)</f>
        <v>0</v>
      </c>
      <c r="I195" s="1280"/>
      <c r="J195" s="1281">
        <f>+ROUND(J196+J197,2)</f>
        <v>667.56</v>
      </c>
      <c r="K195" s="1280"/>
      <c r="L195" s="1281">
        <f>+ROUND(L196+L197,2)</f>
        <v>667.56</v>
      </c>
      <c r="M195" s="1282">
        <f t="shared" si="327"/>
        <v>5.5480710654414074E-2</v>
      </c>
      <c r="N195" s="1280"/>
      <c r="O195" s="1281">
        <f>+ROUND(O196+O197,2)</f>
        <v>11364.71</v>
      </c>
      <c r="P195" s="1283">
        <f t="shared" si="328"/>
        <v>0.94451762715160603</v>
      </c>
    </row>
    <row r="196" spans="1:35" ht="12.75" customHeight="1" outlineLevel="1">
      <c r="A196" s="1245" t="s">
        <v>1614</v>
      </c>
      <c r="B196" s="1243" t="s">
        <v>1615</v>
      </c>
      <c r="C196" s="1169" t="s">
        <v>432</v>
      </c>
      <c r="D196" s="1288">
        <v>190.82</v>
      </c>
      <c r="E196" s="1289">
        <v>31.58</v>
      </c>
      <c r="F196" s="1290">
        <f>+ROUND(D196*E196,2)</f>
        <v>6026.1</v>
      </c>
      <c r="G196" s="1262">
        <v>0</v>
      </c>
      <c r="H196" s="1290">
        <f t="shared" ref="H196:J197" si="332">+ROUND($E196*G196,2)</f>
        <v>0</v>
      </c>
      <c r="I196" s="1602">
        <f t="shared" ref="I196:I197" si="333">+K196-G196</f>
        <v>10.59</v>
      </c>
      <c r="J196" s="1291">
        <f t="shared" si="332"/>
        <v>334.43</v>
      </c>
      <c r="K196" s="1262">
        <v>10.59</v>
      </c>
      <c r="L196" s="1291">
        <f t="shared" ref="L196" si="334">+ROUND($E196*K196,2)</f>
        <v>334.43</v>
      </c>
      <c r="M196" s="1292">
        <f t="shared" si="327"/>
        <v>5.549692172383465E-2</v>
      </c>
      <c r="N196" s="1291">
        <f t="shared" si="247"/>
        <v>180.23</v>
      </c>
      <c r="O196" s="1291">
        <f t="shared" ref="O196" si="335">+ROUND($E196*N196,2)</f>
        <v>5691.66</v>
      </c>
      <c r="P196" s="1293">
        <f t="shared" si="328"/>
        <v>0.94450141882809768</v>
      </c>
      <c r="X196" s="306"/>
      <c r="Y196" s="306"/>
      <c r="Z196" s="306"/>
      <c r="AA196" s="306"/>
      <c r="AB196" s="306"/>
      <c r="AC196" s="306"/>
      <c r="AD196" s="306"/>
      <c r="AE196" s="306"/>
      <c r="AF196" s="306"/>
      <c r="AG196" s="306"/>
      <c r="AH196" s="306"/>
      <c r="AI196" s="306"/>
    </row>
    <row r="197" spans="1:35" ht="12.75" customHeight="1" outlineLevel="1">
      <c r="A197" s="1245" t="s">
        <v>1616</v>
      </c>
      <c r="B197" s="1243" t="s">
        <v>1410</v>
      </c>
      <c r="C197" s="1169" t="s">
        <v>432</v>
      </c>
      <c r="D197" s="1288">
        <v>238.53</v>
      </c>
      <c r="E197" s="1289">
        <v>25.18</v>
      </c>
      <c r="F197" s="1290">
        <f>+ROUND(D197*E197,2)</f>
        <v>6006.19</v>
      </c>
      <c r="G197" s="1262">
        <v>0</v>
      </c>
      <c r="H197" s="1290">
        <f t="shared" si="332"/>
        <v>0</v>
      </c>
      <c r="I197" s="1602">
        <f t="shared" si="333"/>
        <v>13.23</v>
      </c>
      <c r="J197" s="1291">
        <f t="shared" si="332"/>
        <v>333.13</v>
      </c>
      <c r="K197" s="1262">
        <v>13.23</v>
      </c>
      <c r="L197" s="1291">
        <f t="shared" ref="L197" si="336">+ROUND($E197*K197,2)</f>
        <v>333.13</v>
      </c>
      <c r="M197" s="1292">
        <f t="shared" si="327"/>
        <v>5.5464445846701488E-2</v>
      </c>
      <c r="N197" s="1291">
        <f t="shared" si="247"/>
        <v>225.3</v>
      </c>
      <c r="O197" s="1291">
        <f t="shared" ref="O197" si="337">+ROUND($E197*N197,2)</f>
        <v>5673.05</v>
      </c>
      <c r="P197" s="1293">
        <f t="shared" si="328"/>
        <v>0.94453388920430437</v>
      </c>
      <c r="X197" s="306"/>
      <c r="Y197" s="306"/>
      <c r="Z197" s="306"/>
      <c r="AA197" s="306"/>
      <c r="AB197" s="306"/>
      <c r="AC197" s="306"/>
      <c r="AD197" s="306"/>
      <c r="AE197" s="306"/>
      <c r="AF197" s="306"/>
      <c r="AG197" s="306"/>
      <c r="AH197" s="306"/>
      <c r="AI197" s="306"/>
    </row>
    <row r="198" spans="1:35" ht="12.75" customHeight="1" outlineLevel="1">
      <c r="A198" s="1249" t="s">
        <v>1617</v>
      </c>
      <c r="B198" s="1250" t="s">
        <v>1493</v>
      </c>
      <c r="C198" s="1166"/>
      <c r="D198" s="1278"/>
      <c r="E198" s="1278"/>
      <c r="F198" s="1298">
        <f>+ROUND(F199+F200+F201+F202+F203+F204,2)</f>
        <v>274643.20000000001</v>
      </c>
      <c r="G198" s="1280"/>
      <c r="H198" s="1298">
        <f>+ROUND(H199+H200+H201+H202+H203+H204,2)</f>
        <v>0</v>
      </c>
      <c r="I198" s="1280"/>
      <c r="J198" s="1281">
        <f>+ROUND(J199+J200+J201+J202+J203+J204,2)</f>
        <v>56765.43</v>
      </c>
      <c r="K198" s="1280"/>
      <c r="L198" s="1281">
        <f>+ROUND(L199+L200+L201+L202+L203+L204,2)</f>
        <v>56765.43</v>
      </c>
      <c r="M198" s="1282">
        <f t="shared" si="327"/>
        <v>0.20668791362757205</v>
      </c>
      <c r="N198" s="1280"/>
      <c r="O198" s="1281">
        <f>+ROUND(O199+O200+O201+O202+O203+O204,2)</f>
        <v>217877.78</v>
      </c>
      <c r="P198" s="1283">
        <f t="shared" si="328"/>
        <v>0.79331212278330576</v>
      </c>
    </row>
    <row r="199" spans="1:35" ht="12.75" customHeight="1" outlineLevel="1">
      <c r="A199" s="1245" t="s">
        <v>1618</v>
      </c>
      <c r="B199" s="1243" t="s">
        <v>1619</v>
      </c>
      <c r="C199" s="1169" t="s">
        <v>434</v>
      </c>
      <c r="D199" s="1288">
        <v>848.09</v>
      </c>
      <c r="E199" s="1289">
        <v>33.67</v>
      </c>
      <c r="F199" s="1290">
        <f t="shared" ref="F199:F204" si="338">+ROUND(D199*E199,2)</f>
        <v>28555.19</v>
      </c>
      <c r="G199" s="1262">
        <v>0</v>
      </c>
      <c r="H199" s="1290">
        <f t="shared" ref="H199:J204" si="339">+ROUND($E199*G199,2)</f>
        <v>0</v>
      </c>
      <c r="I199" s="1602">
        <f t="shared" ref="I199:I204" si="340">+K199-G199</f>
        <v>281.74</v>
      </c>
      <c r="J199" s="1291">
        <f t="shared" si="339"/>
        <v>9486.19</v>
      </c>
      <c r="K199" s="1262">
        <v>281.74</v>
      </c>
      <c r="L199" s="1291">
        <f t="shared" ref="L199" si="341">+ROUND($E199*K199,2)</f>
        <v>9486.19</v>
      </c>
      <c r="M199" s="1292">
        <f t="shared" si="327"/>
        <v>0.33220545897260711</v>
      </c>
      <c r="N199" s="1291">
        <f t="shared" si="247"/>
        <v>566.35</v>
      </c>
      <c r="O199" s="1291">
        <f t="shared" ref="O199" si="342">+ROUND($E199*N199,2)</f>
        <v>19069</v>
      </c>
      <c r="P199" s="1293">
        <f t="shared" si="328"/>
        <v>0.667794541027393</v>
      </c>
      <c r="X199" s="306"/>
      <c r="Y199" s="306"/>
      <c r="Z199" s="306"/>
      <c r="AA199" s="306"/>
      <c r="AB199" s="306"/>
      <c r="AC199" s="306"/>
      <c r="AD199" s="306"/>
      <c r="AE199" s="306"/>
      <c r="AF199" s="306"/>
      <c r="AG199" s="306"/>
      <c r="AH199" s="306"/>
      <c r="AI199" s="306"/>
    </row>
    <row r="200" spans="1:35" ht="12.75" customHeight="1" outlineLevel="1">
      <c r="A200" s="1245" t="s">
        <v>1620</v>
      </c>
      <c r="B200" s="1243" t="s">
        <v>1621</v>
      </c>
      <c r="C200" s="1169" t="s">
        <v>436</v>
      </c>
      <c r="D200" s="1288">
        <v>17515.91</v>
      </c>
      <c r="E200" s="1289">
        <v>4.0599999999999996</v>
      </c>
      <c r="F200" s="1290">
        <f t="shared" si="338"/>
        <v>71114.59</v>
      </c>
      <c r="G200" s="1262">
        <v>0</v>
      </c>
      <c r="H200" s="1290">
        <f t="shared" si="339"/>
        <v>0</v>
      </c>
      <c r="I200" s="1602">
        <f t="shared" si="340"/>
        <v>2911.57</v>
      </c>
      <c r="J200" s="1291">
        <f t="shared" si="339"/>
        <v>11820.97</v>
      </c>
      <c r="K200" s="1262">
        <v>2911.57</v>
      </c>
      <c r="L200" s="1291">
        <f t="shared" ref="L200" si="343">+ROUND($E200*K200,2)</f>
        <v>11820.97</v>
      </c>
      <c r="M200" s="1292">
        <f t="shared" si="327"/>
        <v>0.16622425862259771</v>
      </c>
      <c r="N200" s="1291">
        <f t="shared" si="247"/>
        <v>14604.34</v>
      </c>
      <c r="O200" s="1291">
        <f t="shared" ref="O200" si="344">+ROUND($E200*N200,2)</f>
        <v>59293.62</v>
      </c>
      <c r="P200" s="1293">
        <f t="shared" si="328"/>
        <v>0.8337757413774024</v>
      </c>
      <c r="X200" s="306"/>
      <c r="Y200" s="306"/>
      <c r="Z200" s="306"/>
      <c r="AA200" s="306"/>
      <c r="AB200" s="306"/>
      <c r="AC200" s="306"/>
      <c r="AD200" s="306"/>
      <c r="AE200" s="306"/>
      <c r="AF200" s="306"/>
      <c r="AG200" s="306"/>
      <c r="AH200" s="306"/>
      <c r="AI200" s="306"/>
    </row>
    <row r="201" spans="1:35" ht="12.75" customHeight="1" outlineLevel="1">
      <c r="A201" s="1245" t="s">
        <v>1622</v>
      </c>
      <c r="B201" s="1243" t="s">
        <v>1623</v>
      </c>
      <c r="C201" s="1169" t="s">
        <v>432</v>
      </c>
      <c r="D201" s="1288">
        <v>254.43</v>
      </c>
      <c r="E201" s="1289">
        <v>328.22</v>
      </c>
      <c r="F201" s="1290">
        <f t="shared" si="338"/>
        <v>83509.009999999995</v>
      </c>
      <c r="G201" s="1262">
        <v>0</v>
      </c>
      <c r="H201" s="1290">
        <f t="shared" si="339"/>
        <v>0</v>
      </c>
      <c r="I201" s="1602">
        <f t="shared" si="340"/>
        <v>79.67</v>
      </c>
      <c r="J201" s="1291">
        <f t="shared" si="339"/>
        <v>26149.29</v>
      </c>
      <c r="K201" s="1262">
        <v>79.67</v>
      </c>
      <c r="L201" s="1291">
        <f t="shared" ref="L201" si="345">+ROUND($E201*K201,2)</f>
        <v>26149.29</v>
      </c>
      <c r="M201" s="1292">
        <f t="shared" si="327"/>
        <v>0.31313136151416476</v>
      </c>
      <c r="N201" s="1291">
        <f t="shared" si="247"/>
        <v>174.76</v>
      </c>
      <c r="O201" s="1291">
        <f t="shared" ref="O201" si="346">+ROUND($E201*N201,2)</f>
        <v>57359.73</v>
      </c>
      <c r="P201" s="1293">
        <f t="shared" si="328"/>
        <v>0.68686875823339311</v>
      </c>
      <c r="X201" s="306"/>
      <c r="Y201" s="306"/>
      <c r="Z201" s="306"/>
      <c r="AA201" s="306"/>
      <c r="AB201" s="306"/>
      <c r="AC201" s="306"/>
      <c r="AD201" s="306"/>
      <c r="AE201" s="306"/>
      <c r="AF201" s="306"/>
      <c r="AG201" s="306"/>
      <c r="AH201" s="306"/>
      <c r="AI201" s="306"/>
    </row>
    <row r="202" spans="1:35" ht="12.75" customHeight="1" outlineLevel="1">
      <c r="A202" s="1245" t="s">
        <v>1624</v>
      </c>
      <c r="B202" s="1243" t="s">
        <v>1625</v>
      </c>
      <c r="C202" s="1169" t="s">
        <v>431</v>
      </c>
      <c r="D202" s="1288">
        <v>2957.01</v>
      </c>
      <c r="E202" s="1289">
        <v>17.57</v>
      </c>
      <c r="F202" s="1290">
        <f t="shared" si="338"/>
        <v>51954.67</v>
      </c>
      <c r="G202" s="1262">
        <v>0</v>
      </c>
      <c r="H202" s="1290">
        <f t="shared" si="339"/>
        <v>0</v>
      </c>
      <c r="I202" s="1602">
        <f t="shared" si="340"/>
        <v>492.14</v>
      </c>
      <c r="J202" s="1291">
        <f t="shared" si="339"/>
        <v>8646.9</v>
      </c>
      <c r="K202" s="1262">
        <v>492.14</v>
      </c>
      <c r="L202" s="1291">
        <f t="shared" ref="L202" si="347">+ROUND($E202*K202,2)</f>
        <v>8646.9</v>
      </c>
      <c r="M202" s="1292">
        <f t="shared" si="327"/>
        <v>0.16643162202743275</v>
      </c>
      <c r="N202" s="1291">
        <f t="shared" si="247"/>
        <v>2464.8700000000003</v>
      </c>
      <c r="O202" s="1291">
        <f t="shared" ref="O202" si="348">+ROUND($E202*N202,2)</f>
        <v>43307.77</v>
      </c>
      <c r="P202" s="1293">
        <f t="shared" si="328"/>
        <v>0.83356837797256722</v>
      </c>
      <c r="X202" s="306"/>
      <c r="Y202" s="306"/>
      <c r="Z202" s="306"/>
      <c r="AA202" s="306"/>
      <c r="AB202" s="306"/>
      <c r="AC202" s="306"/>
      <c r="AD202" s="306"/>
      <c r="AE202" s="306"/>
      <c r="AF202" s="306"/>
      <c r="AG202" s="306"/>
      <c r="AH202" s="306"/>
      <c r="AI202" s="306"/>
    </row>
    <row r="203" spans="1:35" ht="12.75" customHeight="1" outlineLevel="1">
      <c r="A203" s="1245" t="s">
        <v>1626</v>
      </c>
      <c r="B203" s="1243" t="s">
        <v>1438</v>
      </c>
      <c r="C203" s="1169" t="s">
        <v>434</v>
      </c>
      <c r="D203" s="1288">
        <v>1272.1400000000001</v>
      </c>
      <c r="E203" s="1289">
        <v>1.88</v>
      </c>
      <c r="F203" s="1290">
        <f t="shared" si="338"/>
        <v>2391.62</v>
      </c>
      <c r="G203" s="1262">
        <v>0</v>
      </c>
      <c r="H203" s="1290">
        <f t="shared" si="339"/>
        <v>0</v>
      </c>
      <c r="I203" s="1602">
        <f t="shared" si="340"/>
        <v>352.17</v>
      </c>
      <c r="J203" s="1291">
        <f t="shared" si="339"/>
        <v>662.08</v>
      </c>
      <c r="K203" s="1262">
        <v>352.17</v>
      </c>
      <c r="L203" s="1291">
        <f t="shared" ref="L203" si="349">+ROUND($E203*K203,2)</f>
        <v>662.08</v>
      </c>
      <c r="M203" s="1292">
        <f t="shared" si="327"/>
        <v>0.27683327618936121</v>
      </c>
      <c r="N203" s="1291">
        <f t="shared" si="247"/>
        <v>919.97</v>
      </c>
      <c r="O203" s="1291">
        <f t="shared" ref="O203" si="350">+ROUND($E203*N203,2)</f>
        <v>1729.54</v>
      </c>
      <c r="P203" s="1293">
        <f t="shared" si="328"/>
        <v>0.72316672381063885</v>
      </c>
      <c r="X203" s="306"/>
      <c r="Y203" s="306"/>
      <c r="Z203" s="306"/>
      <c r="AA203" s="306"/>
      <c r="AB203" s="306"/>
      <c r="AC203" s="306"/>
      <c r="AD203" s="306"/>
      <c r="AE203" s="306"/>
      <c r="AF203" s="306"/>
      <c r="AG203" s="306"/>
      <c r="AH203" s="306"/>
      <c r="AI203" s="306"/>
    </row>
    <row r="204" spans="1:35" ht="12.75" customHeight="1" outlineLevel="1">
      <c r="A204" s="1245" t="s">
        <v>1627</v>
      </c>
      <c r="B204" s="1243" t="s">
        <v>1628</v>
      </c>
      <c r="C204" s="1169" t="s">
        <v>431</v>
      </c>
      <c r="D204" s="1288">
        <v>2826.9700000000003</v>
      </c>
      <c r="E204" s="1289">
        <v>13.13</v>
      </c>
      <c r="F204" s="1290">
        <f t="shared" si="338"/>
        <v>37118.120000000003</v>
      </c>
      <c r="G204" s="1262">
        <v>0</v>
      </c>
      <c r="H204" s="1290">
        <f t="shared" si="339"/>
        <v>0</v>
      </c>
      <c r="I204" s="1602">
        <f t="shared" si="340"/>
        <v>0</v>
      </c>
      <c r="J204" s="1291">
        <f t="shared" si="339"/>
        <v>0</v>
      </c>
      <c r="K204" s="1262">
        <v>0</v>
      </c>
      <c r="L204" s="1291">
        <f t="shared" ref="L204" si="351">+ROUND($E204*K204,2)</f>
        <v>0</v>
      </c>
      <c r="M204" s="1292">
        <f t="shared" ref="M204" si="352">L204/$F204</f>
        <v>0</v>
      </c>
      <c r="N204" s="1291">
        <f t="shared" si="247"/>
        <v>2826.9700000000003</v>
      </c>
      <c r="O204" s="1291">
        <f t="shared" ref="O204" si="353">+ROUND($E204*N204,2)</f>
        <v>37118.120000000003</v>
      </c>
      <c r="P204" s="1293">
        <f t="shared" ref="P204" si="354">+O204/F204</f>
        <v>1</v>
      </c>
      <c r="X204" s="306"/>
      <c r="Y204" s="306"/>
      <c r="Z204" s="306"/>
      <c r="AA204" s="306"/>
      <c r="AB204" s="306"/>
      <c r="AC204" s="306"/>
      <c r="AD204" s="306"/>
      <c r="AE204" s="306"/>
      <c r="AF204" s="306"/>
      <c r="AG204" s="306"/>
      <c r="AH204" s="306"/>
      <c r="AI204" s="306"/>
    </row>
    <row r="205" spans="1:35" ht="12.75" customHeight="1" outlineLevel="1">
      <c r="A205" s="1249" t="s">
        <v>1243</v>
      </c>
      <c r="B205" s="1250" t="s">
        <v>1629</v>
      </c>
      <c r="C205" s="1166"/>
      <c r="D205" s="1278"/>
      <c r="E205" s="1278"/>
      <c r="F205" s="1298">
        <f>+ROUND(F206+F208+F212,2)</f>
        <v>188221.74</v>
      </c>
      <c r="G205" s="1280"/>
      <c r="H205" s="1298">
        <f>+ROUND(H206+H208+H212,2)</f>
        <v>0</v>
      </c>
      <c r="I205" s="1280"/>
      <c r="J205" s="1281">
        <f>+ROUND(J206+J208+J212,2)</f>
        <v>0</v>
      </c>
      <c r="K205" s="1280"/>
      <c r="L205" s="1281">
        <f>+ROUND(L206+L208+L212,2)</f>
        <v>0</v>
      </c>
      <c r="M205" s="1282">
        <f t="shared" si="327"/>
        <v>0</v>
      </c>
      <c r="N205" s="1280"/>
      <c r="O205" s="1281">
        <f>+ROUND(O206+O208+O212,2)</f>
        <v>188221.74</v>
      </c>
      <c r="P205" s="1283">
        <f t="shared" si="328"/>
        <v>1</v>
      </c>
    </row>
    <row r="206" spans="1:35" ht="12.75" customHeight="1" outlineLevel="1">
      <c r="A206" s="1249" t="s">
        <v>1244</v>
      </c>
      <c r="B206" s="1250" t="s">
        <v>1471</v>
      </c>
      <c r="C206" s="1166"/>
      <c r="D206" s="1278"/>
      <c r="E206" s="1278"/>
      <c r="F206" s="1298">
        <f>+ROUND(F207,2)</f>
        <v>361.33</v>
      </c>
      <c r="G206" s="1280"/>
      <c r="H206" s="1298">
        <f>+ROUND(H207,2)</f>
        <v>0</v>
      </c>
      <c r="I206" s="1280"/>
      <c r="J206" s="1281">
        <f>+ROUND(J207,2)</f>
        <v>0</v>
      </c>
      <c r="K206" s="1280"/>
      <c r="L206" s="1281">
        <f>+ROUND(L207,2)</f>
        <v>0</v>
      </c>
      <c r="M206" s="1282">
        <f t="shared" ref="M206" si="355">L206/$F206</f>
        <v>0</v>
      </c>
      <c r="N206" s="1280"/>
      <c r="O206" s="1281">
        <f>+ROUND(O207,2)</f>
        <v>361.33</v>
      </c>
      <c r="P206" s="1283">
        <f t="shared" ref="P206" si="356">+O206/F206</f>
        <v>1</v>
      </c>
    </row>
    <row r="207" spans="1:35" ht="12.75" customHeight="1" outlineLevel="1">
      <c r="A207" s="1245" t="s">
        <v>1630</v>
      </c>
      <c r="B207" s="1243" t="s">
        <v>1387</v>
      </c>
      <c r="C207" s="1169" t="s">
        <v>434</v>
      </c>
      <c r="D207" s="1288">
        <v>234.63</v>
      </c>
      <c r="E207" s="1289">
        <v>1.54</v>
      </c>
      <c r="F207" s="1290">
        <f>+ROUND(D207*E207,2)</f>
        <v>361.33</v>
      </c>
      <c r="G207" s="1262">
        <v>0</v>
      </c>
      <c r="H207" s="1290">
        <f>+ROUND($E207*G207,2)</f>
        <v>0</v>
      </c>
      <c r="I207" s="1602">
        <f t="shared" ref="I207" si="357">+K207-G207</f>
        <v>0</v>
      </c>
      <c r="J207" s="1291">
        <f>+ROUND($E207*I207,2)</f>
        <v>0</v>
      </c>
      <c r="K207" s="1262">
        <v>0</v>
      </c>
      <c r="L207" s="1291">
        <f>+ROUND($E207*K207,2)</f>
        <v>0</v>
      </c>
      <c r="M207" s="1292">
        <f t="shared" si="327"/>
        <v>0</v>
      </c>
      <c r="N207" s="1291">
        <f t="shared" si="247"/>
        <v>234.63</v>
      </c>
      <c r="O207" s="1291">
        <f>+ROUND($E207*N207,2)</f>
        <v>361.33</v>
      </c>
      <c r="P207" s="1293">
        <f t="shared" si="328"/>
        <v>1</v>
      </c>
      <c r="X207" s="306"/>
      <c r="Y207" s="306"/>
      <c r="Z207" s="306"/>
      <c r="AA207" s="306"/>
      <c r="AB207" s="306"/>
      <c r="AC207" s="306"/>
      <c r="AD207" s="306"/>
      <c r="AE207" s="306"/>
      <c r="AF207" s="306"/>
      <c r="AG207" s="306"/>
      <c r="AH207" s="306"/>
      <c r="AI207" s="306"/>
    </row>
    <row r="208" spans="1:35" ht="12.75" customHeight="1" outlineLevel="1">
      <c r="A208" s="1249" t="s">
        <v>1631</v>
      </c>
      <c r="B208" s="1250" t="s">
        <v>1412</v>
      </c>
      <c r="C208" s="1166"/>
      <c r="D208" s="1278"/>
      <c r="E208" s="1278"/>
      <c r="F208" s="1298">
        <f>+ROUND(F209+F210+F211,2)</f>
        <v>8522.65</v>
      </c>
      <c r="G208" s="1280"/>
      <c r="H208" s="1298">
        <f>+ROUND(H209+H210+H211,2)</f>
        <v>0</v>
      </c>
      <c r="I208" s="1280"/>
      <c r="J208" s="1281">
        <f>+ROUND(J209+J210+J211,2)</f>
        <v>0</v>
      </c>
      <c r="K208" s="1280"/>
      <c r="L208" s="1281">
        <f>+ROUND(L209+L210+L211,2)</f>
        <v>0</v>
      </c>
      <c r="M208" s="1282">
        <f t="shared" ref="M208:M211" si="358">L208/$F208</f>
        <v>0</v>
      </c>
      <c r="N208" s="1280"/>
      <c r="O208" s="1281">
        <f>+ROUND(O209+O210+O211,2)</f>
        <v>8522.65</v>
      </c>
      <c r="P208" s="1283">
        <f t="shared" ref="P208:P211" si="359">+O208/F208</f>
        <v>1</v>
      </c>
    </row>
    <row r="209" spans="1:35" ht="12.75" customHeight="1" outlineLevel="1">
      <c r="A209" s="1245" t="s">
        <v>1632</v>
      </c>
      <c r="B209" s="1243" t="s">
        <v>1633</v>
      </c>
      <c r="C209" s="1169" t="s">
        <v>432</v>
      </c>
      <c r="D209" s="1288">
        <v>129.04</v>
      </c>
      <c r="E209" s="1289">
        <v>31.58</v>
      </c>
      <c r="F209" s="1290">
        <f>+ROUND(D209*E209,2)</f>
        <v>4075.08</v>
      </c>
      <c r="G209" s="1262">
        <v>0</v>
      </c>
      <c r="H209" s="1290">
        <f t="shared" ref="H209:J211" si="360">+ROUND($E209*G209,2)</f>
        <v>0</v>
      </c>
      <c r="I209" s="1602">
        <f t="shared" ref="I209:I211" si="361">+K209-G209</f>
        <v>0</v>
      </c>
      <c r="J209" s="1291">
        <f t="shared" si="360"/>
        <v>0</v>
      </c>
      <c r="K209" s="1262">
        <v>0</v>
      </c>
      <c r="L209" s="1291">
        <f t="shared" ref="L209" si="362">+ROUND($E209*K209,2)</f>
        <v>0</v>
      </c>
      <c r="M209" s="1292">
        <f t="shared" si="358"/>
        <v>0</v>
      </c>
      <c r="N209" s="1291">
        <f t="shared" ref="N209:N241" si="363">D209-K209</f>
        <v>129.04</v>
      </c>
      <c r="O209" s="1291">
        <f t="shared" ref="O209" si="364">+ROUND($E209*N209,2)</f>
        <v>4075.08</v>
      </c>
      <c r="P209" s="1293">
        <f t="shared" si="359"/>
        <v>1</v>
      </c>
      <c r="X209" s="306"/>
      <c r="Y209" s="306"/>
      <c r="Z209" s="306"/>
      <c r="AA209" s="306"/>
      <c r="AB209" s="306"/>
      <c r="AC209" s="306"/>
      <c r="AD209" s="306"/>
      <c r="AE209" s="306"/>
      <c r="AF209" s="306"/>
      <c r="AG209" s="306"/>
      <c r="AH209" s="306"/>
      <c r="AI209" s="306"/>
    </row>
    <row r="210" spans="1:35" ht="12.75" customHeight="1" outlineLevel="1">
      <c r="A210" s="1245" t="s">
        <v>1634</v>
      </c>
      <c r="B210" s="1243" t="s">
        <v>1635</v>
      </c>
      <c r="C210" s="1169" t="s">
        <v>432</v>
      </c>
      <c r="D210" s="1288">
        <v>30.17</v>
      </c>
      <c r="E210" s="1289">
        <v>44.26</v>
      </c>
      <c r="F210" s="1290">
        <f>+ROUND(D210*E210,2)</f>
        <v>1335.32</v>
      </c>
      <c r="G210" s="1262">
        <v>0</v>
      </c>
      <c r="H210" s="1290">
        <f t="shared" si="360"/>
        <v>0</v>
      </c>
      <c r="I210" s="1602">
        <f t="shared" si="361"/>
        <v>0</v>
      </c>
      <c r="J210" s="1291">
        <f t="shared" si="360"/>
        <v>0</v>
      </c>
      <c r="K210" s="1262">
        <v>0</v>
      </c>
      <c r="L210" s="1291">
        <f t="shared" ref="L210" si="365">+ROUND($E210*K210,2)</f>
        <v>0</v>
      </c>
      <c r="M210" s="1292">
        <f t="shared" si="358"/>
        <v>0</v>
      </c>
      <c r="N210" s="1291">
        <f t="shared" si="363"/>
        <v>30.17</v>
      </c>
      <c r="O210" s="1291">
        <f t="shared" ref="O210" si="366">+ROUND($E210*N210,2)</f>
        <v>1335.32</v>
      </c>
      <c r="P210" s="1293">
        <f t="shared" si="359"/>
        <v>1</v>
      </c>
      <c r="X210" s="306"/>
      <c r="Y210" s="306"/>
      <c r="Z210" s="306"/>
      <c r="AA210" s="306"/>
      <c r="AB210" s="306"/>
      <c r="AC210" s="306"/>
      <c r="AD210" s="306"/>
      <c r="AE210" s="306"/>
      <c r="AF210" s="306"/>
      <c r="AG210" s="306"/>
      <c r="AH210" s="306"/>
      <c r="AI210" s="306"/>
    </row>
    <row r="211" spans="1:35" ht="12.75" customHeight="1" outlineLevel="1">
      <c r="A211" s="1245" t="s">
        <v>1636</v>
      </c>
      <c r="B211" s="1243" t="s">
        <v>1410</v>
      </c>
      <c r="C211" s="1169" t="s">
        <v>432</v>
      </c>
      <c r="D211" s="1288">
        <v>123.60000000000001</v>
      </c>
      <c r="E211" s="1289">
        <v>25.18</v>
      </c>
      <c r="F211" s="1290">
        <f>+ROUND(D211*E211,2)</f>
        <v>3112.25</v>
      </c>
      <c r="G211" s="1262">
        <v>0</v>
      </c>
      <c r="H211" s="1290">
        <f t="shared" si="360"/>
        <v>0</v>
      </c>
      <c r="I211" s="1602">
        <f t="shared" si="361"/>
        <v>0</v>
      </c>
      <c r="J211" s="1291">
        <f t="shared" si="360"/>
        <v>0</v>
      </c>
      <c r="K211" s="1262">
        <v>0</v>
      </c>
      <c r="L211" s="1291">
        <f t="shared" ref="L211" si="367">+ROUND($E211*K211,2)</f>
        <v>0</v>
      </c>
      <c r="M211" s="1292">
        <f t="shared" si="358"/>
        <v>0</v>
      </c>
      <c r="N211" s="1291">
        <f t="shared" si="363"/>
        <v>123.60000000000001</v>
      </c>
      <c r="O211" s="1291">
        <f t="shared" ref="O211" si="368">+ROUND($E211*N211,2)</f>
        <v>3112.25</v>
      </c>
      <c r="P211" s="1293">
        <f t="shared" si="359"/>
        <v>1</v>
      </c>
      <c r="X211" s="306"/>
      <c r="Y211" s="306"/>
      <c r="Z211" s="306"/>
      <c r="AA211" s="306"/>
      <c r="AB211" s="306"/>
      <c r="AC211" s="306"/>
      <c r="AD211" s="306"/>
      <c r="AE211" s="306"/>
      <c r="AF211" s="306"/>
      <c r="AG211" s="306"/>
      <c r="AH211" s="306"/>
      <c r="AI211" s="306"/>
    </row>
    <row r="212" spans="1:35" ht="12.75" customHeight="1" outlineLevel="1">
      <c r="A212" s="1249" t="s">
        <v>1637</v>
      </c>
      <c r="B212" s="1250" t="s">
        <v>1493</v>
      </c>
      <c r="C212" s="1166"/>
      <c r="D212" s="1278"/>
      <c r="E212" s="1278"/>
      <c r="F212" s="1298">
        <f>+ROUND(F213+F214+F215+F216+F217+F218+F219,2)</f>
        <v>179337.76</v>
      </c>
      <c r="G212" s="1280"/>
      <c r="H212" s="1298">
        <f>+ROUND(H213+H214+H215+H216+H217+H218+H219,2)</f>
        <v>0</v>
      </c>
      <c r="I212" s="1280"/>
      <c r="J212" s="1281">
        <f>+ROUND(J213+J214+J215+J216+J217+J218+J219,2)</f>
        <v>0</v>
      </c>
      <c r="K212" s="1280"/>
      <c r="L212" s="1281">
        <f>+ROUND(L213+L214+L215+L216+L217+L218+L219,2)</f>
        <v>0</v>
      </c>
      <c r="M212" s="1282">
        <f t="shared" si="327"/>
        <v>0</v>
      </c>
      <c r="N212" s="1280"/>
      <c r="O212" s="1281">
        <f>+ROUND(O213+O214+O215+O216+O217+O218+O219,2)</f>
        <v>179337.76</v>
      </c>
      <c r="P212" s="1283">
        <f t="shared" si="328"/>
        <v>1</v>
      </c>
    </row>
    <row r="213" spans="1:35" ht="12.75" customHeight="1" outlineLevel="1">
      <c r="A213" s="1245" t="s">
        <v>1638</v>
      </c>
      <c r="B213" s="1243" t="s">
        <v>1639</v>
      </c>
      <c r="C213" s="1169" t="s">
        <v>434</v>
      </c>
      <c r="D213" s="1288">
        <v>234.63</v>
      </c>
      <c r="E213" s="1289">
        <v>10.61</v>
      </c>
      <c r="F213" s="1290">
        <f t="shared" ref="F213:F219" si="369">+ROUND(D213*E213,2)</f>
        <v>2489.42</v>
      </c>
      <c r="G213" s="1262">
        <v>0</v>
      </c>
      <c r="H213" s="1290">
        <f t="shared" ref="H213:J219" si="370">+ROUND($E213*G213,2)</f>
        <v>0</v>
      </c>
      <c r="I213" s="1602">
        <f t="shared" ref="I213:I219" si="371">+K213-G213</f>
        <v>0</v>
      </c>
      <c r="J213" s="1291">
        <f t="shared" si="370"/>
        <v>0</v>
      </c>
      <c r="K213" s="1262">
        <v>0</v>
      </c>
      <c r="L213" s="1291">
        <f t="shared" ref="L213" si="372">+ROUND($E213*K213,2)</f>
        <v>0</v>
      </c>
      <c r="M213" s="1292">
        <f t="shared" si="327"/>
        <v>0</v>
      </c>
      <c r="N213" s="1291">
        <f t="shared" si="363"/>
        <v>234.63</v>
      </c>
      <c r="O213" s="1291">
        <f t="shared" ref="O213" si="373">+ROUND($E213*N213,2)</f>
        <v>2489.42</v>
      </c>
      <c r="P213" s="1293">
        <f t="shared" si="328"/>
        <v>1</v>
      </c>
      <c r="X213" s="306"/>
      <c r="Y213" s="306"/>
      <c r="Z213" s="306"/>
      <c r="AA213" s="306"/>
      <c r="AB213" s="306"/>
      <c r="AC213" s="306"/>
      <c r="AD213" s="306"/>
      <c r="AE213" s="306"/>
      <c r="AF213" s="306"/>
      <c r="AG213" s="306"/>
      <c r="AH213" s="306"/>
      <c r="AI213" s="306"/>
    </row>
    <row r="214" spans="1:35" ht="12.75" customHeight="1" outlineLevel="1">
      <c r="A214" s="1245" t="s">
        <v>1640</v>
      </c>
      <c r="B214" s="1243" t="s">
        <v>1641</v>
      </c>
      <c r="C214" s="1169" t="s">
        <v>434</v>
      </c>
      <c r="D214" s="1288">
        <v>938.5</v>
      </c>
      <c r="E214" s="1289">
        <v>33.67</v>
      </c>
      <c r="F214" s="1290">
        <f t="shared" si="369"/>
        <v>31599.3</v>
      </c>
      <c r="G214" s="1262">
        <v>0</v>
      </c>
      <c r="H214" s="1290">
        <f t="shared" si="370"/>
        <v>0</v>
      </c>
      <c r="I214" s="1602">
        <f t="shared" si="371"/>
        <v>0</v>
      </c>
      <c r="J214" s="1291">
        <f t="shared" si="370"/>
        <v>0</v>
      </c>
      <c r="K214" s="1262">
        <v>0</v>
      </c>
      <c r="L214" s="1291">
        <f t="shared" ref="L214" si="374">+ROUND($E214*K214,2)</f>
        <v>0</v>
      </c>
      <c r="M214" s="1292">
        <f t="shared" si="327"/>
        <v>0</v>
      </c>
      <c r="N214" s="1291">
        <f t="shared" si="363"/>
        <v>938.5</v>
      </c>
      <c r="O214" s="1291">
        <f t="shared" ref="O214" si="375">+ROUND($E214*N214,2)</f>
        <v>31599.3</v>
      </c>
      <c r="P214" s="1293">
        <f t="shared" si="328"/>
        <v>1</v>
      </c>
      <c r="X214" s="306"/>
      <c r="Y214" s="306"/>
      <c r="Z214" s="306"/>
      <c r="AA214" s="306"/>
      <c r="AB214" s="306"/>
      <c r="AC214" s="306"/>
      <c r="AD214" s="306"/>
      <c r="AE214" s="306"/>
      <c r="AF214" s="306"/>
      <c r="AG214" s="306"/>
      <c r="AH214" s="306"/>
      <c r="AI214" s="306"/>
    </row>
    <row r="215" spans="1:35" ht="12.75" customHeight="1" outlineLevel="1">
      <c r="A215" s="1245" t="s">
        <v>1642</v>
      </c>
      <c r="B215" s="1243" t="s">
        <v>1621</v>
      </c>
      <c r="C215" s="1169" t="s">
        <v>436</v>
      </c>
      <c r="D215" s="1288">
        <v>6241.05</v>
      </c>
      <c r="E215" s="1289">
        <v>4.0599999999999996</v>
      </c>
      <c r="F215" s="1290">
        <f t="shared" si="369"/>
        <v>25338.66</v>
      </c>
      <c r="G215" s="1262">
        <v>0</v>
      </c>
      <c r="H215" s="1290">
        <f t="shared" si="370"/>
        <v>0</v>
      </c>
      <c r="I215" s="1602">
        <f t="shared" si="371"/>
        <v>0</v>
      </c>
      <c r="J215" s="1291">
        <f t="shared" si="370"/>
        <v>0</v>
      </c>
      <c r="K215" s="1262">
        <v>0</v>
      </c>
      <c r="L215" s="1291">
        <f t="shared" ref="L215" si="376">+ROUND($E215*K215,2)</f>
        <v>0</v>
      </c>
      <c r="M215" s="1292">
        <f t="shared" si="327"/>
        <v>0</v>
      </c>
      <c r="N215" s="1291">
        <f t="shared" si="363"/>
        <v>6241.05</v>
      </c>
      <c r="O215" s="1291">
        <f t="shared" ref="O215" si="377">+ROUND($E215*N215,2)</f>
        <v>25338.66</v>
      </c>
      <c r="P215" s="1293">
        <f t="shared" si="328"/>
        <v>1</v>
      </c>
      <c r="X215" s="306"/>
      <c r="Y215" s="306"/>
      <c r="Z215" s="306"/>
      <c r="AA215" s="306"/>
      <c r="AB215" s="306"/>
      <c r="AC215" s="306"/>
      <c r="AD215" s="306"/>
      <c r="AE215" s="306"/>
      <c r="AF215" s="306"/>
      <c r="AG215" s="306"/>
      <c r="AH215" s="306"/>
      <c r="AI215" s="306"/>
    </row>
    <row r="216" spans="1:35" ht="12.75" customHeight="1" outlineLevel="1">
      <c r="A216" s="1245" t="s">
        <v>1643</v>
      </c>
      <c r="B216" s="1243" t="s">
        <v>1644</v>
      </c>
      <c r="C216" s="1169" t="s">
        <v>432</v>
      </c>
      <c r="D216" s="1288">
        <v>187.70000000000002</v>
      </c>
      <c r="E216" s="1289">
        <v>265.70999999999998</v>
      </c>
      <c r="F216" s="1290">
        <f t="shared" si="369"/>
        <v>49873.77</v>
      </c>
      <c r="G216" s="1262">
        <v>0</v>
      </c>
      <c r="H216" s="1290">
        <f t="shared" si="370"/>
        <v>0</v>
      </c>
      <c r="I216" s="1602">
        <f t="shared" si="371"/>
        <v>0</v>
      </c>
      <c r="J216" s="1291">
        <f t="shared" si="370"/>
        <v>0</v>
      </c>
      <c r="K216" s="1262">
        <v>0</v>
      </c>
      <c r="L216" s="1291">
        <f t="shared" ref="L216" si="378">+ROUND($E216*K216,2)</f>
        <v>0</v>
      </c>
      <c r="M216" s="1292">
        <f t="shared" si="327"/>
        <v>0</v>
      </c>
      <c r="N216" s="1291">
        <f t="shared" si="363"/>
        <v>187.70000000000002</v>
      </c>
      <c r="O216" s="1291">
        <f t="shared" ref="O216" si="379">+ROUND($E216*N216,2)</f>
        <v>49873.77</v>
      </c>
      <c r="P216" s="1293">
        <f t="shared" si="328"/>
        <v>1</v>
      </c>
      <c r="X216" s="306"/>
      <c r="Y216" s="306"/>
      <c r="Z216" s="306"/>
      <c r="AA216" s="306"/>
      <c r="AB216" s="306"/>
      <c r="AC216" s="306"/>
      <c r="AD216" s="306"/>
      <c r="AE216" s="306"/>
      <c r="AF216" s="306"/>
      <c r="AG216" s="306"/>
      <c r="AH216" s="306"/>
      <c r="AI216" s="306"/>
    </row>
    <row r="217" spans="1:35" ht="12.75" customHeight="1" outlineLevel="1">
      <c r="A217" s="1245" t="s">
        <v>1645</v>
      </c>
      <c r="B217" s="1243" t="s">
        <v>1625</v>
      </c>
      <c r="C217" s="1169" t="s">
        <v>431</v>
      </c>
      <c r="D217" s="1288">
        <v>795.28</v>
      </c>
      <c r="E217" s="1289">
        <v>17.57</v>
      </c>
      <c r="F217" s="1290">
        <f t="shared" si="369"/>
        <v>13973.07</v>
      </c>
      <c r="G217" s="1262">
        <v>0</v>
      </c>
      <c r="H217" s="1290">
        <f t="shared" si="370"/>
        <v>0</v>
      </c>
      <c r="I217" s="1602">
        <f t="shared" si="371"/>
        <v>0</v>
      </c>
      <c r="J217" s="1291">
        <f t="shared" si="370"/>
        <v>0</v>
      </c>
      <c r="K217" s="1262">
        <v>0</v>
      </c>
      <c r="L217" s="1291">
        <f t="shared" ref="L217" si="380">+ROUND($E217*K217,2)</f>
        <v>0</v>
      </c>
      <c r="M217" s="1292">
        <f t="shared" si="327"/>
        <v>0</v>
      </c>
      <c r="N217" s="1291">
        <f t="shared" si="363"/>
        <v>795.28</v>
      </c>
      <c r="O217" s="1291">
        <f t="shared" ref="O217" si="381">+ROUND($E217*N217,2)</f>
        <v>13973.07</v>
      </c>
      <c r="P217" s="1293">
        <f t="shared" si="328"/>
        <v>1</v>
      </c>
      <c r="X217" s="306"/>
      <c r="Y217" s="306"/>
      <c r="Z217" s="306"/>
      <c r="AA217" s="306"/>
      <c r="AB217" s="306"/>
      <c r="AC217" s="306"/>
      <c r="AD217" s="306"/>
      <c r="AE217" s="306"/>
      <c r="AF217" s="306"/>
      <c r="AG217" s="306"/>
      <c r="AH217" s="306"/>
      <c r="AI217" s="306"/>
    </row>
    <row r="218" spans="1:35" ht="12.75" customHeight="1" outlineLevel="1">
      <c r="A218" s="1245" t="s">
        <v>1646</v>
      </c>
      <c r="B218" s="1243" t="s">
        <v>1438</v>
      </c>
      <c r="C218" s="1169" t="s">
        <v>434</v>
      </c>
      <c r="D218" s="1288">
        <v>938.5</v>
      </c>
      <c r="E218" s="1289">
        <v>1.88</v>
      </c>
      <c r="F218" s="1290">
        <f t="shared" si="369"/>
        <v>1764.38</v>
      </c>
      <c r="G218" s="1262">
        <v>0</v>
      </c>
      <c r="H218" s="1290">
        <f t="shared" si="370"/>
        <v>0</v>
      </c>
      <c r="I218" s="1602">
        <f t="shared" si="371"/>
        <v>0</v>
      </c>
      <c r="J218" s="1291">
        <f t="shared" si="370"/>
        <v>0</v>
      </c>
      <c r="K218" s="1262">
        <v>0</v>
      </c>
      <c r="L218" s="1291">
        <f t="shared" ref="L218" si="382">+ROUND($E218*K218,2)</f>
        <v>0</v>
      </c>
      <c r="M218" s="1292">
        <f t="shared" si="327"/>
        <v>0</v>
      </c>
      <c r="N218" s="1291">
        <f t="shared" si="363"/>
        <v>938.5</v>
      </c>
      <c r="O218" s="1291">
        <f t="shared" ref="O218" si="383">+ROUND($E218*N218,2)</f>
        <v>1764.38</v>
      </c>
      <c r="P218" s="1293">
        <f t="shared" si="328"/>
        <v>1</v>
      </c>
      <c r="X218" s="306"/>
      <c r="Y218" s="306"/>
      <c r="Z218" s="306"/>
      <c r="AA218" s="306"/>
      <c r="AB218" s="306"/>
      <c r="AC218" s="306"/>
      <c r="AD218" s="306"/>
      <c r="AE218" s="306"/>
      <c r="AF218" s="306"/>
      <c r="AG218" s="306"/>
      <c r="AH218" s="306"/>
      <c r="AI218" s="306"/>
    </row>
    <row r="219" spans="1:35" ht="12.75" customHeight="1" outlineLevel="1">
      <c r="A219" s="1245" t="s">
        <v>1647</v>
      </c>
      <c r="B219" s="1243" t="s">
        <v>1648</v>
      </c>
      <c r="C219" s="1169" t="s">
        <v>431</v>
      </c>
      <c r="D219" s="1288">
        <v>335.18</v>
      </c>
      <c r="E219" s="1289">
        <v>162</v>
      </c>
      <c r="F219" s="1290">
        <f t="shared" si="369"/>
        <v>54299.16</v>
      </c>
      <c r="G219" s="1262">
        <v>0</v>
      </c>
      <c r="H219" s="1290">
        <f t="shared" si="370"/>
        <v>0</v>
      </c>
      <c r="I219" s="1602">
        <f t="shared" si="371"/>
        <v>0</v>
      </c>
      <c r="J219" s="1291">
        <f t="shared" si="370"/>
        <v>0</v>
      </c>
      <c r="K219" s="1262">
        <v>0</v>
      </c>
      <c r="L219" s="1291">
        <f t="shared" ref="L219" si="384">+ROUND($E219*K219,2)</f>
        <v>0</v>
      </c>
      <c r="M219" s="1292">
        <f t="shared" si="327"/>
        <v>0</v>
      </c>
      <c r="N219" s="1291">
        <f t="shared" si="363"/>
        <v>335.18</v>
      </c>
      <c r="O219" s="1291">
        <f t="shared" ref="O219" si="385">+ROUND($E219*N219,2)</f>
        <v>54299.16</v>
      </c>
      <c r="P219" s="1293">
        <f t="shared" si="328"/>
        <v>1</v>
      </c>
      <c r="X219" s="306"/>
      <c r="Y219" s="306"/>
      <c r="Z219" s="306"/>
      <c r="AA219" s="306"/>
      <c r="AB219" s="306"/>
      <c r="AC219" s="306"/>
      <c r="AD219" s="306"/>
      <c r="AE219" s="306"/>
      <c r="AF219" s="306"/>
      <c r="AG219" s="306"/>
      <c r="AH219" s="306"/>
      <c r="AI219" s="306"/>
    </row>
    <row r="220" spans="1:35" ht="12.75" customHeight="1" outlineLevel="1">
      <c r="A220" s="1167"/>
      <c r="B220" s="1168"/>
      <c r="C220" s="1169"/>
      <c r="D220" s="1288"/>
      <c r="E220" s="1289"/>
      <c r="F220" s="1290"/>
      <c r="G220" s="1262"/>
      <c r="H220" s="1290"/>
      <c r="I220" s="1602"/>
      <c r="J220" s="1291"/>
      <c r="K220" s="1262"/>
      <c r="L220" s="1291"/>
      <c r="M220" s="1292"/>
      <c r="N220" s="1291"/>
      <c r="O220" s="1291"/>
      <c r="P220" s="1293"/>
      <c r="X220" s="306"/>
      <c r="Y220" s="306"/>
      <c r="Z220" s="306"/>
      <c r="AA220" s="306"/>
      <c r="AB220" s="306"/>
      <c r="AC220" s="306"/>
      <c r="AD220" s="306"/>
      <c r="AE220" s="306"/>
      <c r="AF220" s="306"/>
      <c r="AG220" s="306"/>
      <c r="AH220" s="306"/>
      <c r="AI220" s="306"/>
    </row>
    <row r="221" spans="1:35" ht="12.75" customHeight="1">
      <c r="A221" s="1264" t="s">
        <v>560</v>
      </c>
      <c r="B221" s="1265" t="s">
        <v>1649</v>
      </c>
      <c r="C221" s="1266"/>
      <c r="D221" s="1272"/>
      <c r="E221" s="1272"/>
      <c r="F221" s="1273">
        <f>+ROUND(F222,2)</f>
        <v>1563910.55</v>
      </c>
      <c r="G221" s="1274"/>
      <c r="H221" s="1273">
        <f>+ROUND(H222,2)</f>
        <v>567594.1</v>
      </c>
      <c r="I221" s="1274"/>
      <c r="J221" s="1275">
        <f>+ROUND(J222,2)</f>
        <v>79970.98</v>
      </c>
      <c r="K221" s="1274"/>
      <c r="L221" s="1275">
        <f>+ROUND(L222,2)</f>
        <v>647565.07999999996</v>
      </c>
      <c r="M221" s="1276">
        <f t="shared" ref="M221:M241" si="386">L221/$F221</f>
        <v>0.41406785061971729</v>
      </c>
      <c r="N221" s="1274"/>
      <c r="O221" s="1275">
        <f>+ROUND(O222,2)</f>
        <v>916345.47</v>
      </c>
      <c r="P221" s="1277">
        <f t="shared" ref="P221:P241" si="387">+O221/F221</f>
        <v>0.5859321493802826</v>
      </c>
    </row>
    <row r="222" spans="1:35" ht="12.75" customHeight="1" outlineLevel="1">
      <c r="A222" s="1249" t="s">
        <v>1248</v>
      </c>
      <c r="B222" s="1250" t="s">
        <v>1650</v>
      </c>
      <c r="C222" s="1166"/>
      <c r="D222" s="1278"/>
      <c r="E222" s="1278"/>
      <c r="F222" s="1298">
        <f>+ROUND(F223+F226+F229,2)</f>
        <v>1563910.55</v>
      </c>
      <c r="G222" s="1280"/>
      <c r="H222" s="1298">
        <f>+ROUND(H223+H226+H229,2)</f>
        <v>567594.1</v>
      </c>
      <c r="I222" s="1280"/>
      <c r="J222" s="1281">
        <f>+ROUND(J223+J226+J229,2)</f>
        <v>79970.98</v>
      </c>
      <c r="K222" s="1280"/>
      <c r="L222" s="1281">
        <f>+ROUND(L223+L226+L229,2)</f>
        <v>647565.07999999996</v>
      </c>
      <c r="M222" s="1282">
        <f t="shared" si="386"/>
        <v>0.41406785061971729</v>
      </c>
      <c r="N222" s="1280"/>
      <c r="O222" s="1281">
        <f>+ROUND(O223+O226+O229,2)</f>
        <v>916345.47</v>
      </c>
      <c r="P222" s="1283">
        <f t="shared" si="387"/>
        <v>0.5859321493802826</v>
      </c>
    </row>
    <row r="223" spans="1:35" ht="12.75" customHeight="1">
      <c r="A223" s="1244" t="s">
        <v>1249</v>
      </c>
      <c r="B223" s="1242" t="s">
        <v>1471</v>
      </c>
      <c r="C223" s="1168"/>
      <c r="D223" s="1299"/>
      <c r="E223" s="1299"/>
      <c r="F223" s="1285">
        <f>+ROUND(F224+F225,2)</f>
        <v>71409.67</v>
      </c>
      <c r="G223" s="1300"/>
      <c r="H223" s="1285">
        <f>+ROUND(H224+H225,2)</f>
        <v>34644.94</v>
      </c>
      <c r="I223" s="1300"/>
      <c r="J223" s="1287">
        <f>+ROUND(J224+J225,2)</f>
        <v>382.81</v>
      </c>
      <c r="K223" s="1300"/>
      <c r="L223" s="1287">
        <f>+ROUND(L224+L225,2)</f>
        <v>35027.75</v>
      </c>
      <c r="M223" s="1301">
        <f t="shared" si="386"/>
        <v>0.49051830095279814</v>
      </c>
      <c r="N223" s="1300"/>
      <c r="O223" s="1287">
        <f>+ROUND(O224+O225,2)</f>
        <v>36381.919999999998</v>
      </c>
      <c r="P223" s="1302">
        <f t="shared" si="387"/>
        <v>0.50948169904720186</v>
      </c>
    </row>
    <row r="224" spans="1:35" ht="12.75" customHeight="1" outlineLevel="1">
      <c r="A224" s="1245" t="s">
        <v>1250</v>
      </c>
      <c r="B224" s="1243" t="s">
        <v>1387</v>
      </c>
      <c r="C224" s="1169" t="s">
        <v>434</v>
      </c>
      <c r="D224" s="1288">
        <v>2432.54</v>
      </c>
      <c r="E224" s="1289">
        <v>1.54</v>
      </c>
      <c r="F224" s="1290">
        <f>+ROUND(D224*E224,2)</f>
        <v>3746.11</v>
      </c>
      <c r="G224" s="1262">
        <v>1003.0199999999999</v>
      </c>
      <c r="H224" s="1290">
        <f t="shared" ref="H224:J225" si="388">+ROUND($E224*G224,2)</f>
        <v>1544.65</v>
      </c>
      <c r="I224" s="1262">
        <f t="shared" ref="I224:I225" si="389">+K224-G224</f>
        <v>248.58000000000004</v>
      </c>
      <c r="J224" s="1291">
        <f t="shared" si="388"/>
        <v>382.81</v>
      </c>
      <c r="K224" s="1262">
        <v>1251.5999999999999</v>
      </c>
      <c r="L224" s="1291">
        <f t="shared" ref="L224" si="390">+ROUND($E224*K224,2)</f>
        <v>1927.46</v>
      </c>
      <c r="M224" s="1292">
        <f t="shared" si="386"/>
        <v>0.51452306525969604</v>
      </c>
      <c r="N224" s="1291">
        <f t="shared" si="363"/>
        <v>1180.94</v>
      </c>
      <c r="O224" s="1291">
        <f t="shared" ref="O224" si="391">+ROUND($E224*N224,2)</f>
        <v>1818.65</v>
      </c>
      <c r="P224" s="1293">
        <f t="shared" si="387"/>
        <v>0.48547693474030396</v>
      </c>
      <c r="X224" s="695"/>
      <c r="Y224" s="695"/>
      <c r="Z224" s="695"/>
      <c r="AA224" s="695"/>
      <c r="AB224" s="1075"/>
      <c r="AC224" s="306"/>
      <c r="AD224" s="695"/>
      <c r="AE224" s="695"/>
      <c r="AF224" s="306"/>
      <c r="AG224" s="306"/>
      <c r="AH224" s="695"/>
      <c r="AI224" s="695"/>
    </row>
    <row r="225" spans="1:35" ht="12.75" customHeight="1" outlineLevel="1">
      <c r="A225" s="1245" t="s">
        <v>1251</v>
      </c>
      <c r="B225" s="1243" t="s">
        <v>1651</v>
      </c>
      <c r="C225" s="1169" t="s">
        <v>432</v>
      </c>
      <c r="D225" s="1288">
        <v>551.77</v>
      </c>
      <c r="E225" s="1289">
        <v>122.63</v>
      </c>
      <c r="F225" s="1290">
        <f>+ROUND(D225*E225,2)</f>
        <v>67663.56</v>
      </c>
      <c r="G225" s="1262">
        <v>269.92</v>
      </c>
      <c r="H225" s="1290">
        <f t="shared" si="388"/>
        <v>33100.29</v>
      </c>
      <c r="I225" s="1262">
        <f t="shared" si="389"/>
        <v>0</v>
      </c>
      <c r="J225" s="1291">
        <f t="shared" si="388"/>
        <v>0</v>
      </c>
      <c r="K225" s="1262">
        <v>269.92</v>
      </c>
      <c r="L225" s="1291">
        <f t="shared" ref="L225" si="392">+ROUND($E225*K225,2)</f>
        <v>33100.29</v>
      </c>
      <c r="M225" s="1292">
        <f t="shared" ref="M225" si="393">L225/$F225</f>
        <v>0.48918930662235333</v>
      </c>
      <c r="N225" s="1291">
        <f t="shared" si="363"/>
        <v>281.84999999999997</v>
      </c>
      <c r="O225" s="1291">
        <f t="shared" ref="O225" si="394">+ROUND($E225*N225,2)</f>
        <v>34563.269999999997</v>
      </c>
      <c r="P225" s="1293">
        <f t="shared" ref="P225" si="395">+O225/F225</f>
        <v>0.51081069337764662</v>
      </c>
      <c r="X225" s="695"/>
      <c r="Y225" s="695"/>
      <c r="Z225" s="695"/>
      <c r="AA225" s="695"/>
      <c r="AB225" s="1075"/>
      <c r="AC225" s="306"/>
      <c r="AD225" s="695"/>
      <c r="AE225" s="695"/>
      <c r="AF225" s="306"/>
      <c r="AG225" s="306"/>
      <c r="AH225" s="695"/>
      <c r="AI225" s="695"/>
    </row>
    <row r="226" spans="1:35" ht="12.75" customHeight="1" outlineLevel="1">
      <c r="A226" s="1249" t="s">
        <v>1253</v>
      </c>
      <c r="B226" s="1250" t="s">
        <v>1412</v>
      </c>
      <c r="C226" s="1166"/>
      <c r="D226" s="1278"/>
      <c r="E226" s="1278"/>
      <c r="F226" s="1298">
        <f>+ROUND(F227+F228,2)</f>
        <v>263060.28000000003</v>
      </c>
      <c r="G226" s="1280"/>
      <c r="H226" s="1298">
        <f>+ROUND(H227+H228,2)</f>
        <v>114365.75</v>
      </c>
      <c r="I226" s="1280"/>
      <c r="J226" s="1281">
        <f>+ROUND(J227+J228,2)</f>
        <v>5740.93</v>
      </c>
      <c r="K226" s="1280"/>
      <c r="L226" s="1281">
        <f>+ROUND(L227+L228,2)</f>
        <v>120106.67</v>
      </c>
      <c r="M226" s="1282">
        <f t="shared" si="386"/>
        <v>0.45657470599514294</v>
      </c>
      <c r="N226" s="1280"/>
      <c r="O226" s="1281">
        <f>+ROUND(O227+O228,2)</f>
        <v>142953.60999999999</v>
      </c>
      <c r="P226" s="1283">
        <f t="shared" si="387"/>
        <v>0.54342529400485684</v>
      </c>
    </row>
    <row r="227" spans="1:35" ht="12.75" customHeight="1" outlineLevel="1">
      <c r="A227" s="1245" t="s">
        <v>1254</v>
      </c>
      <c r="B227" s="1243" t="s">
        <v>1652</v>
      </c>
      <c r="C227" s="1169" t="s">
        <v>432</v>
      </c>
      <c r="D227" s="1288">
        <v>4458.3599999999997</v>
      </c>
      <c r="E227" s="1289">
        <v>31.58</v>
      </c>
      <c r="F227" s="1290">
        <f>+ROUND(D227*E227,2)</f>
        <v>140795.01</v>
      </c>
      <c r="G227" s="1262">
        <v>1808.86</v>
      </c>
      <c r="H227" s="1290">
        <f t="shared" ref="H227:J228" si="396">+ROUND($E227*G227,2)</f>
        <v>57123.8</v>
      </c>
      <c r="I227" s="1262">
        <f t="shared" ref="I227:I228" si="397">+K227-G227</f>
        <v>97.870000000000118</v>
      </c>
      <c r="J227" s="1291">
        <f t="shared" si="396"/>
        <v>3090.73</v>
      </c>
      <c r="K227" s="1262">
        <v>1906.73</v>
      </c>
      <c r="L227" s="1291">
        <f t="shared" ref="L227" si="398">+ROUND($E227*K227,2)</f>
        <v>60214.53</v>
      </c>
      <c r="M227" s="1292">
        <f t="shared" si="386"/>
        <v>0.42767517115840964</v>
      </c>
      <c r="N227" s="1291">
        <f t="shared" si="363"/>
        <v>2551.6299999999997</v>
      </c>
      <c r="O227" s="1291">
        <f t="shared" ref="O227" si="399">+ROUND($E227*N227,2)</f>
        <v>80580.479999999996</v>
      </c>
      <c r="P227" s="1293">
        <f t="shared" si="387"/>
        <v>0.57232482884159031</v>
      </c>
      <c r="X227" s="306"/>
      <c r="Y227" s="306"/>
      <c r="Z227" s="306"/>
      <c r="AA227" s="306"/>
      <c r="AB227" s="306"/>
      <c r="AC227" s="306"/>
      <c r="AD227" s="306"/>
      <c r="AE227" s="306"/>
      <c r="AF227" s="306"/>
      <c r="AG227" s="306"/>
      <c r="AH227" s="306"/>
      <c r="AI227" s="306"/>
    </row>
    <row r="228" spans="1:35" ht="12.75" customHeight="1" outlineLevel="1">
      <c r="A228" s="1245" t="s">
        <v>1653</v>
      </c>
      <c r="B228" s="1243" t="s">
        <v>1410</v>
      </c>
      <c r="C228" s="1169" t="s">
        <v>432</v>
      </c>
      <c r="D228" s="1288">
        <v>4855.6500000000005</v>
      </c>
      <c r="E228" s="1289">
        <v>25.18</v>
      </c>
      <c r="F228" s="1290">
        <f>+ROUND(D228*E228,2)</f>
        <v>122265.27</v>
      </c>
      <c r="G228" s="1262">
        <v>2273.31</v>
      </c>
      <c r="H228" s="1290">
        <f t="shared" si="396"/>
        <v>57241.95</v>
      </c>
      <c r="I228" s="1262">
        <f t="shared" si="397"/>
        <v>105.25</v>
      </c>
      <c r="J228" s="1291">
        <f t="shared" si="396"/>
        <v>2650.2</v>
      </c>
      <c r="K228" s="1262">
        <v>2378.56</v>
      </c>
      <c r="L228" s="1291">
        <f t="shared" ref="L228" si="400">+ROUND($E228*K228,2)</f>
        <v>59892.14</v>
      </c>
      <c r="M228" s="1292">
        <f t="shared" si="386"/>
        <v>0.48985406894369921</v>
      </c>
      <c r="N228" s="1291">
        <f t="shared" si="363"/>
        <v>2477.0900000000006</v>
      </c>
      <c r="O228" s="1291">
        <f t="shared" ref="O228" si="401">+ROUND($E228*N228,2)</f>
        <v>62373.13</v>
      </c>
      <c r="P228" s="1293">
        <f t="shared" si="387"/>
        <v>0.51014593105630079</v>
      </c>
      <c r="X228" s="306"/>
      <c r="Y228" s="306"/>
      <c r="Z228" s="306"/>
      <c r="AA228" s="306"/>
      <c r="AB228" s="306"/>
      <c r="AC228" s="306"/>
      <c r="AD228" s="306"/>
      <c r="AE228" s="306"/>
      <c r="AF228" s="306"/>
      <c r="AG228" s="306"/>
      <c r="AH228" s="306"/>
      <c r="AI228" s="306"/>
    </row>
    <row r="229" spans="1:35" ht="12.75" customHeight="1" outlineLevel="1">
      <c r="A229" s="1249" t="s">
        <v>1654</v>
      </c>
      <c r="B229" s="1250" t="s">
        <v>1493</v>
      </c>
      <c r="C229" s="1166"/>
      <c r="D229" s="1278"/>
      <c r="E229" s="1278"/>
      <c r="F229" s="1298">
        <f>+ROUND(F230+F231+F232+F233+F234+F235+F236+F237+F238,2)</f>
        <v>1229440.6000000001</v>
      </c>
      <c r="G229" s="1280"/>
      <c r="H229" s="1298">
        <f>+ROUND(H230+H231+H232+H233+H234+H235+H236+H237+H238,2)</f>
        <v>418583.41</v>
      </c>
      <c r="I229" s="1280"/>
      <c r="J229" s="1281">
        <f>+ROUND(J230+J231+J232+J233+J234+J235+J236+J237+J238,2)</f>
        <v>73847.240000000005</v>
      </c>
      <c r="K229" s="1280"/>
      <c r="L229" s="1281">
        <f>+ROUND(L230+L231+L232+L233+L234+L235+L236+L237+L238,2)</f>
        <v>492430.66</v>
      </c>
      <c r="M229" s="1282">
        <f t="shared" si="386"/>
        <v>0.40053229086464198</v>
      </c>
      <c r="N229" s="1280"/>
      <c r="O229" s="1281">
        <f>+ROUND(O230+O231+O232+O233+O234+O235+O236+O237+O238,2)</f>
        <v>737009.94</v>
      </c>
      <c r="P229" s="1283">
        <f t="shared" si="387"/>
        <v>0.59946770913535785</v>
      </c>
    </row>
    <row r="230" spans="1:35" ht="12.75" customHeight="1" outlineLevel="1">
      <c r="A230" s="1245" t="s">
        <v>1655</v>
      </c>
      <c r="B230" s="1243" t="s">
        <v>1656</v>
      </c>
      <c r="C230" s="1169" t="s">
        <v>434</v>
      </c>
      <c r="D230" s="1288">
        <v>2432.54</v>
      </c>
      <c r="E230" s="1289">
        <v>10.61</v>
      </c>
      <c r="F230" s="1290">
        <f t="shared" ref="F230:F238" si="402">+ROUND(D230*E230,2)</f>
        <v>25809.25</v>
      </c>
      <c r="G230" s="1262">
        <v>1252.4100000000001</v>
      </c>
      <c r="H230" s="1290">
        <f t="shared" ref="H230:J238" si="403">+ROUND($E230*G230,2)</f>
        <v>13288.07</v>
      </c>
      <c r="I230" s="1262">
        <f t="shared" ref="I230:I238" si="404">+K230-G230</f>
        <v>170.07999999999993</v>
      </c>
      <c r="J230" s="1291">
        <f t="shared" si="403"/>
        <v>1804.55</v>
      </c>
      <c r="K230" s="1262">
        <v>1422.49</v>
      </c>
      <c r="L230" s="1291">
        <f t="shared" ref="L230" si="405">+ROUND($E230*K230,2)</f>
        <v>15092.62</v>
      </c>
      <c r="M230" s="1292">
        <f t="shared" si="386"/>
        <v>0.58477561339442252</v>
      </c>
      <c r="N230" s="1291">
        <f t="shared" si="363"/>
        <v>1010.05</v>
      </c>
      <c r="O230" s="1291">
        <f t="shared" ref="O230" si="406">+ROUND($E230*N230,2)</f>
        <v>10716.63</v>
      </c>
      <c r="P230" s="1293">
        <f t="shared" si="387"/>
        <v>0.41522438660557742</v>
      </c>
      <c r="X230" s="306"/>
      <c r="Y230" s="306"/>
      <c r="Z230" s="306"/>
      <c r="AA230" s="306"/>
      <c r="AB230" s="306"/>
      <c r="AC230" s="306"/>
      <c r="AD230" s="306"/>
      <c r="AE230" s="306"/>
      <c r="AF230" s="306"/>
      <c r="AG230" s="306"/>
      <c r="AH230" s="306"/>
      <c r="AI230" s="306"/>
    </row>
    <row r="231" spans="1:35" ht="12.75" customHeight="1" outlineLevel="1">
      <c r="A231" s="1245" t="s">
        <v>1657</v>
      </c>
      <c r="B231" s="1243" t="s">
        <v>1658</v>
      </c>
      <c r="C231" s="1169" t="s">
        <v>434</v>
      </c>
      <c r="D231" s="1288">
        <v>8890.42</v>
      </c>
      <c r="E231" s="1289">
        <v>33.67</v>
      </c>
      <c r="F231" s="1290">
        <f t="shared" si="402"/>
        <v>299340.44</v>
      </c>
      <c r="G231" s="1262">
        <v>3532.44</v>
      </c>
      <c r="H231" s="1290">
        <f t="shared" si="403"/>
        <v>118937.25</v>
      </c>
      <c r="I231" s="1262">
        <f t="shared" si="404"/>
        <v>404.52999999999975</v>
      </c>
      <c r="J231" s="1291">
        <f t="shared" si="403"/>
        <v>13620.53</v>
      </c>
      <c r="K231" s="1262">
        <v>3936.97</v>
      </c>
      <c r="L231" s="1291">
        <f t="shared" ref="L231" si="407">+ROUND($E231*K231,2)</f>
        <v>132557.78</v>
      </c>
      <c r="M231" s="1292">
        <f t="shared" si="386"/>
        <v>0.44283284944727147</v>
      </c>
      <c r="N231" s="1291">
        <f t="shared" si="363"/>
        <v>4953.4500000000007</v>
      </c>
      <c r="O231" s="1291">
        <f t="shared" ref="O231" si="408">+ROUND($E231*N231,2)</f>
        <v>166782.66</v>
      </c>
      <c r="P231" s="1293">
        <f t="shared" si="387"/>
        <v>0.55716715055272859</v>
      </c>
      <c r="X231" s="306"/>
      <c r="Y231" s="306"/>
      <c r="Z231" s="306"/>
      <c r="AA231" s="306"/>
      <c r="AB231" s="306"/>
      <c r="AC231" s="306"/>
      <c r="AD231" s="306"/>
      <c r="AE231" s="306"/>
      <c r="AF231" s="306"/>
      <c r="AG231" s="306"/>
      <c r="AH231" s="306"/>
      <c r="AI231" s="306"/>
    </row>
    <row r="232" spans="1:35" ht="12.75" customHeight="1" outlineLevel="1">
      <c r="A232" s="1245" t="s">
        <v>1659</v>
      </c>
      <c r="B232" s="1243" t="s">
        <v>1660</v>
      </c>
      <c r="C232" s="1169" t="s">
        <v>436</v>
      </c>
      <c r="D232" s="1288">
        <v>73209.94</v>
      </c>
      <c r="E232" s="1289">
        <v>4.0599999999999996</v>
      </c>
      <c r="F232" s="1290">
        <f t="shared" si="402"/>
        <v>297232.36</v>
      </c>
      <c r="G232" s="1262">
        <v>21046.21</v>
      </c>
      <c r="H232" s="1290">
        <f t="shared" si="403"/>
        <v>85447.61</v>
      </c>
      <c r="I232" s="1262">
        <f t="shared" si="404"/>
        <v>5723.3600000000006</v>
      </c>
      <c r="J232" s="1291">
        <f t="shared" si="403"/>
        <v>23236.84</v>
      </c>
      <c r="K232" s="1262">
        <v>26769.57</v>
      </c>
      <c r="L232" s="1291">
        <f t="shared" ref="L232" si="409">+ROUND($E232*K232,2)</f>
        <v>108684.45</v>
      </c>
      <c r="M232" s="1292">
        <f t="shared" si="386"/>
        <v>0.3656548365056887</v>
      </c>
      <c r="N232" s="1291">
        <f t="shared" si="363"/>
        <v>46440.37</v>
      </c>
      <c r="O232" s="1291">
        <f t="shared" ref="O232" si="410">+ROUND($E232*N232,2)</f>
        <v>188547.9</v>
      </c>
      <c r="P232" s="1293">
        <f t="shared" si="387"/>
        <v>0.6343451298505991</v>
      </c>
      <c r="X232" s="306"/>
      <c r="Y232" s="306"/>
      <c r="Z232" s="306"/>
      <c r="AA232" s="306"/>
      <c r="AB232" s="306"/>
      <c r="AC232" s="306"/>
      <c r="AD232" s="306"/>
      <c r="AE232" s="306"/>
      <c r="AF232" s="306"/>
      <c r="AG232" s="306"/>
      <c r="AH232" s="306"/>
      <c r="AI232" s="306"/>
    </row>
    <row r="233" spans="1:35" ht="12.75" customHeight="1" outlineLevel="1">
      <c r="A233" s="1245" t="s">
        <v>1661</v>
      </c>
      <c r="B233" s="1243" t="s">
        <v>1662</v>
      </c>
      <c r="C233" s="1169" t="s">
        <v>432</v>
      </c>
      <c r="D233" s="1288">
        <v>1646.57</v>
      </c>
      <c r="E233" s="1289">
        <v>265.70999999999998</v>
      </c>
      <c r="F233" s="1290">
        <f t="shared" si="402"/>
        <v>437510.11</v>
      </c>
      <c r="G233" s="1262">
        <v>642.26</v>
      </c>
      <c r="H233" s="1290">
        <f t="shared" si="403"/>
        <v>170654.9</v>
      </c>
      <c r="I233" s="1262">
        <f t="shared" si="404"/>
        <v>73.549999999999955</v>
      </c>
      <c r="J233" s="1291">
        <f t="shared" si="403"/>
        <v>19542.97</v>
      </c>
      <c r="K233" s="1262">
        <v>715.81</v>
      </c>
      <c r="L233" s="1291">
        <f t="shared" ref="L233" si="411">+ROUND($E233*K233,2)</f>
        <v>190197.88</v>
      </c>
      <c r="M233" s="1292">
        <f t="shared" si="386"/>
        <v>0.43472796548632903</v>
      </c>
      <c r="N233" s="1291">
        <f t="shared" si="363"/>
        <v>930.76</v>
      </c>
      <c r="O233" s="1291">
        <f t="shared" ref="O233" si="412">+ROUND($E233*N233,2)</f>
        <v>247312.24</v>
      </c>
      <c r="P233" s="1293">
        <f t="shared" si="387"/>
        <v>0.56527205737028563</v>
      </c>
      <c r="X233" s="306"/>
      <c r="Y233" s="306"/>
      <c r="Z233" s="306"/>
      <c r="AA233" s="306"/>
      <c r="AB233" s="306"/>
      <c r="AC233" s="306"/>
      <c r="AD233" s="306"/>
      <c r="AE233" s="306"/>
      <c r="AF233" s="306"/>
      <c r="AG233" s="306"/>
      <c r="AH233" s="306"/>
      <c r="AI233" s="306"/>
    </row>
    <row r="234" spans="1:35" ht="12.75" customHeight="1" outlineLevel="1">
      <c r="A234" s="1245" t="s">
        <v>1663</v>
      </c>
      <c r="B234" s="1243" t="s">
        <v>1664</v>
      </c>
      <c r="C234" s="1169" t="s">
        <v>431</v>
      </c>
      <c r="D234" s="1288">
        <v>1673</v>
      </c>
      <c r="E234" s="1289">
        <v>14.93</v>
      </c>
      <c r="F234" s="1290">
        <f t="shared" si="402"/>
        <v>24977.89</v>
      </c>
      <c r="G234" s="1262">
        <v>196.72000000000003</v>
      </c>
      <c r="H234" s="1290">
        <f t="shared" si="403"/>
        <v>2937.03</v>
      </c>
      <c r="I234" s="1262">
        <f t="shared" si="404"/>
        <v>531.28</v>
      </c>
      <c r="J234" s="1291">
        <f t="shared" si="403"/>
        <v>7932.01</v>
      </c>
      <c r="K234" s="1262">
        <v>728</v>
      </c>
      <c r="L234" s="1291">
        <f t="shared" ref="L234" si="413">+ROUND($E234*K234,2)</f>
        <v>10869.04</v>
      </c>
      <c r="M234" s="1292">
        <f t="shared" si="386"/>
        <v>0.43514644351464438</v>
      </c>
      <c r="N234" s="1291">
        <f t="shared" si="363"/>
        <v>945</v>
      </c>
      <c r="O234" s="1291">
        <f t="shared" ref="O234" si="414">+ROUND($E234*N234,2)</f>
        <v>14108.85</v>
      </c>
      <c r="P234" s="1293">
        <f t="shared" si="387"/>
        <v>0.56485355648535562</v>
      </c>
      <c r="X234" s="306"/>
      <c r="Y234" s="306"/>
      <c r="Z234" s="306"/>
      <c r="AA234" s="306"/>
      <c r="AB234" s="306"/>
      <c r="AC234" s="306"/>
      <c r="AD234" s="306"/>
      <c r="AE234" s="306"/>
      <c r="AF234" s="306"/>
      <c r="AG234" s="306"/>
      <c r="AH234" s="306"/>
      <c r="AI234" s="306"/>
    </row>
    <row r="235" spans="1:35" ht="12.75" customHeight="1" outlineLevel="1">
      <c r="A235" s="1245" t="s">
        <v>1665</v>
      </c>
      <c r="B235" s="1243" t="s">
        <v>1666</v>
      </c>
      <c r="C235" s="1169" t="s">
        <v>431</v>
      </c>
      <c r="D235" s="1288">
        <v>1644</v>
      </c>
      <c r="E235" s="1289">
        <v>36.76</v>
      </c>
      <c r="F235" s="1290">
        <f t="shared" si="402"/>
        <v>60433.440000000002</v>
      </c>
      <c r="G235" s="1262">
        <v>642.2600000000001</v>
      </c>
      <c r="H235" s="1290">
        <f t="shared" si="403"/>
        <v>23609.48</v>
      </c>
      <c r="I235" s="1262">
        <f t="shared" si="404"/>
        <v>85.739999999999895</v>
      </c>
      <c r="J235" s="1291">
        <f t="shared" si="403"/>
        <v>3151.8</v>
      </c>
      <c r="K235" s="1262">
        <v>728</v>
      </c>
      <c r="L235" s="1291">
        <f t="shared" ref="L235" si="415">+ROUND($E235*K235,2)</f>
        <v>26761.279999999999</v>
      </c>
      <c r="M235" s="1292">
        <f t="shared" si="386"/>
        <v>0.4428223844282238</v>
      </c>
      <c r="N235" s="1291">
        <f t="shared" si="363"/>
        <v>916</v>
      </c>
      <c r="O235" s="1291">
        <f t="shared" ref="O235" si="416">+ROUND($E235*N235,2)</f>
        <v>33672.160000000003</v>
      </c>
      <c r="P235" s="1293">
        <f t="shared" si="387"/>
        <v>0.55717761557177614</v>
      </c>
      <c r="X235" s="306"/>
      <c r="Y235" s="306"/>
      <c r="Z235" s="306"/>
      <c r="AA235" s="306"/>
      <c r="AB235" s="306"/>
      <c r="AC235" s="306"/>
      <c r="AD235" s="306"/>
      <c r="AE235" s="306"/>
      <c r="AF235" s="306"/>
      <c r="AG235" s="306"/>
      <c r="AH235" s="306"/>
      <c r="AI235" s="306"/>
    </row>
    <row r="236" spans="1:35" ht="12.75" customHeight="1" outlineLevel="1">
      <c r="A236" s="1245" t="s">
        <v>1667</v>
      </c>
      <c r="B236" s="1243" t="s">
        <v>1668</v>
      </c>
      <c r="C236" s="1169" t="s">
        <v>434</v>
      </c>
      <c r="D236" s="1288">
        <v>11719.460000000001</v>
      </c>
      <c r="E236" s="1289">
        <v>1.65</v>
      </c>
      <c r="F236" s="1290">
        <f t="shared" si="402"/>
        <v>19337.11</v>
      </c>
      <c r="G236" s="1262">
        <v>2247.9199999999996</v>
      </c>
      <c r="H236" s="1290">
        <f t="shared" si="403"/>
        <v>3709.07</v>
      </c>
      <c r="I236" s="1262">
        <f t="shared" si="404"/>
        <v>2762.7500000000005</v>
      </c>
      <c r="J236" s="1291">
        <f t="shared" si="403"/>
        <v>4558.54</v>
      </c>
      <c r="K236" s="1262">
        <v>5010.67</v>
      </c>
      <c r="L236" s="1291">
        <f t="shared" ref="L236" si="417">+ROUND($E236*K236,2)</f>
        <v>8267.61</v>
      </c>
      <c r="M236" s="1292">
        <f t="shared" ref="M236:M238" si="418">L236/$F236</f>
        <v>0.42755148002984938</v>
      </c>
      <c r="N236" s="1291">
        <f t="shared" si="363"/>
        <v>6708.7900000000009</v>
      </c>
      <c r="O236" s="1291">
        <f t="shared" ref="O236" si="419">+ROUND($E236*N236,2)</f>
        <v>11069.5</v>
      </c>
      <c r="P236" s="1293">
        <f t="shared" ref="P236:P238" si="420">+O236/F236</f>
        <v>0.57244851997015067</v>
      </c>
      <c r="X236" s="306"/>
      <c r="Y236" s="306"/>
      <c r="Z236" s="306"/>
      <c r="AA236" s="306"/>
      <c r="AB236" s="306"/>
      <c r="AC236" s="306"/>
      <c r="AD236" s="306"/>
      <c r="AE236" s="306"/>
      <c r="AF236" s="306"/>
      <c r="AG236" s="306"/>
      <c r="AH236" s="306"/>
      <c r="AI236" s="306"/>
    </row>
    <row r="237" spans="1:35" ht="12.75" customHeight="1" outlineLevel="1">
      <c r="A237" s="1245" t="s">
        <v>1669</v>
      </c>
      <c r="B237" s="1243" t="s">
        <v>1670</v>
      </c>
      <c r="C237" s="1169" t="s">
        <v>433</v>
      </c>
      <c r="D237" s="1288">
        <v>330</v>
      </c>
      <c r="E237" s="1289">
        <v>90</v>
      </c>
      <c r="F237" s="1290">
        <f t="shared" si="402"/>
        <v>29700</v>
      </c>
      <c r="G237" s="1262">
        <v>0</v>
      </c>
      <c r="H237" s="1290">
        <f t="shared" si="403"/>
        <v>0</v>
      </c>
      <c r="I237" s="1262">
        <f t="shared" si="404"/>
        <v>0</v>
      </c>
      <c r="J237" s="1291">
        <f t="shared" si="403"/>
        <v>0</v>
      </c>
      <c r="K237" s="1262">
        <v>0</v>
      </c>
      <c r="L237" s="1291">
        <f t="shared" ref="L237" si="421">+ROUND($E237*K237,2)</f>
        <v>0</v>
      </c>
      <c r="M237" s="1292">
        <f t="shared" si="418"/>
        <v>0</v>
      </c>
      <c r="N237" s="1291">
        <f t="shared" si="363"/>
        <v>330</v>
      </c>
      <c r="O237" s="1291">
        <f t="shared" ref="O237" si="422">+ROUND($E237*N237,2)</f>
        <v>29700</v>
      </c>
      <c r="P237" s="1293">
        <f t="shared" si="420"/>
        <v>1</v>
      </c>
      <c r="X237" s="306"/>
      <c r="Y237" s="306"/>
      <c r="Z237" s="306"/>
      <c r="AA237" s="306"/>
      <c r="AB237" s="306"/>
      <c r="AC237" s="306"/>
      <c r="AD237" s="306"/>
      <c r="AE237" s="306"/>
      <c r="AF237" s="306"/>
      <c r="AG237" s="306"/>
      <c r="AH237" s="306"/>
      <c r="AI237" s="306"/>
    </row>
    <row r="238" spans="1:35" ht="12.75" customHeight="1" outlineLevel="1">
      <c r="A238" s="1245" t="s">
        <v>1671</v>
      </c>
      <c r="B238" s="1243" t="s">
        <v>1672</v>
      </c>
      <c r="C238" s="1169" t="s">
        <v>433</v>
      </c>
      <c r="D238" s="1288">
        <v>13</v>
      </c>
      <c r="E238" s="1289">
        <v>2700</v>
      </c>
      <c r="F238" s="1290">
        <f t="shared" si="402"/>
        <v>35100</v>
      </c>
      <c r="G238" s="1262">
        <v>0</v>
      </c>
      <c r="H238" s="1290">
        <f t="shared" si="403"/>
        <v>0</v>
      </c>
      <c r="I238" s="1262">
        <f t="shared" si="404"/>
        <v>0</v>
      </c>
      <c r="J238" s="1291">
        <f t="shared" si="403"/>
        <v>0</v>
      </c>
      <c r="K238" s="1262">
        <v>0</v>
      </c>
      <c r="L238" s="1291">
        <f t="shared" ref="L238" si="423">+ROUND($E238*K238,2)</f>
        <v>0</v>
      </c>
      <c r="M238" s="1292">
        <f t="shared" si="418"/>
        <v>0</v>
      </c>
      <c r="N238" s="1291">
        <f t="shared" si="363"/>
        <v>13</v>
      </c>
      <c r="O238" s="1291">
        <f t="shared" ref="O238" si="424">+ROUND($E238*N238,2)</f>
        <v>35100</v>
      </c>
      <c r="P238" s="1293">
        <f t="shared" si="420"/>
        <v>1</v>
      </c>
      <c r="X238" s="306"/>
      <c r="Y238" s="306"/>
      <c r="Z238" s="306"/>
      <c r="AA238" s="306"/>
      <c r="AB238" s="306"/>
      <c r="AC238" s="306"/>
      <c r="AD238" s="306"/>
      <c r="AE238" s="306"/>
      <c r="AF238" s="306"/>
      <c r="AG238" s="306"/>
      <c r="AH238" s="306"/>
      <c r="AI238" s="306"/>
    </row>
    <row r="239" spans="1:35" ht="12.75" customHeight="1" outlineLevel="1">
      <c r="A239" s="1245"/>
      <c r="B239" s="1243"/>
      <c r="C239" s="1169"/>
      <c r="D239" s="1288"/>
      <c r="E239" s="1289"/>
      <c r="F239" s="1290"/>
      <c r="G239" s="1262"/>
      <c r="H239" s="1290"/>
      <c r="I239" s="1262"/>
      <c r="J239" s="1291"/>
      <c r="K239" s="1262"/>
      <c r="L239" s="1291"/>
      <c r="M239" s="1292"/>
      <c r="N239" s="1291"/>
      <c r="O239" s="1291"/>
      <c r="P239" s="1293"/>
      <c r="X239" s="306"/>
      <c r="Y239" s="306"/>
      <c r="Z239" s="306"/>
      <c r="AA239" s="306"/>
      <c r="AB239" s="306"/>
      <c r="AC239" s="306"/>
      <c r="AD239" s="306"/>
      <c r="AE239" s="306"/>
      <c r="AF239" s="306"/>
      <c r="AG239" s="306"/>
      <c r="AH239" s="306"/>
      <c r="AI239" s="306"/>
    </row>
    <row r="240" spans="1:35" ht="12.75" customHeight="1">
      <c r="A240" s="1264" t="s">
        <v>561</v>
      </c>
      <c r="B240" s="1265" t="s">
        <v>1673</v>
      </c>
      <c r="C240" s="1266"/>
      <c r="D240" s="1272"/>
      <c r="E240" s="1272"/>
      <c r="F240" s="1273">
        <f>+ROUND(F241,2)</f>
        <v>27140.240000000002</v>
      </c>
      <c r="G240" s="1274"/>
      <c r="H240" s="1273">
        <f>+ROUND(H241,2)</f>
        <v>0</v>
      </c>
      <c r="I240" s="1274"/>
      <c r="J240" s="1275">
        <f>+ROUND(J241,2)</f>
        <v>0</v>
      </c>
      <c r="K240" s="1274"/>
      <c r="L240" s="1275">
        <f>+ROUND(L241,2)</f>
        <v>0</v>
      </c>
      <c r="M240" s="1276">
        <f t="shared" ref="M240" si="425">L240/$F240</f>
        <v>0</v>
      </c>
      <c r="N240" s="1274"/>
      <c r="O240" s="1275">
        <f>+ROUND(O241,2)</f>
        <v>27140.240000000002</v>
      </c>
      <c r="P240" s="1277">
        <f t="shared" ref="P240" si="426">+O240/F240</f>
        <v>1</v>
      </c>
    </row>
    <row r="241" spans="1:35" ht="12.75" customHeight="1" outlineLevel="1">
      <c r="A241" s="1245" t="s">
        <v>1674</v>
      </c>
      <c r="B241" s="1243" t="s">
        <v>1675</v>
      </c>
      <c r="C241" s="1169" t="s">
        <v>934</v>
      </c>
      <c r="D241" s="1288">
        <v>1</v>
      </c>
      <c r="E241" s="1289">
        <v>27140.240000000002</v>
      </c>
      <c r="F241" s="1290">
        <f>+ROUND(D241*E241,2)</f>
        <v>27140.240000000002</v>
      </c>
      <c r="G241" s="1262">
        <v>0</v>
      </c>
      <c r="H241" s="1290">
        <f>+ROUND($E241*G241,2)</f>
        <v>0</v>
      </c>
      <c r="I241" s="1262">
        <f t="shared" ref="I241" si="427">+K241-G241</f>
        <v>0</v>
      </c>
      <c r="J241" s="1291">
        <f>+ROUND($E241*I241,2)</f>
        <v>0</v>
      </c>
      <c r="K241" s="1262">
        <v>0</v>
      </c>
      <c r="L241" s="1291">
        <f>+ROUND($E241*K241,2)</f>
        <v>0</v>
      </c>
      <c r="M241" s="1292">
        <f t="shared" si="386"/>
        <v>0</v>
      </c>
      <c r="N241" s="1291">
        <f t="shared" si="363"/>
        <v>1</v>
      </c>
      <c r="O241" s="1291">
        <f>+ROUND($E241*N241,2)</f>
        <v>27140.240000000002</v>
      </c>
      <c r="P241" s="1293">
        <f t="shared" si="387"/>
        <v>1</v>
      </c>
      <c r="X241" s="306"/>
      <c r="Y241" s="306"/>
      <c r="Z241" s="306"/>
      <c r="AA241" s="306"/>
      <c r="AB241" s="306"/>
      <c r="AC241" s="306"/>
      <c r="AD241" s="306"/>
      <c r="AE241" s="306"/>
      <c r="AF241" s="306"/>
      <c r="AG241" s="306"/>
      <c r="AH241" s="306"/>
      <c r="AI241" s="306"/>
    </row>
    <row r="242" spans="1:35" ht="12.75" customHeight="1">
      <c r="A242" s="1251"/>
      <c r="B242" s="1252"/>
      <c r="C242" s="1253"/>
      <c r="D242" s="1254"/>
      <c r="E242" s="1255"/>
      <c r="F242" s="1256"/>
      <c r="G242" s="1257"/>
      <c r="H242" s="1258"/>
      <c r="I242" s="1259"/>
      <c r="J242" s="1258"/>
      <c r="K242" s="1257"/>
      <c r="L242" s="1258"/>
      <c r="M242" s="1260"/>
      <c r="N242" s="1258"/>
      <c r="O242" s="1258"/>
      <c r="P242" s="1261"/>
      <c r="X242" s="306"/>
      <c r="Y242" s="306"/>
      <c r="Z242" s="306"/>
      <c r="AA242" s="306"/>
      <c r="AB242" s="306"/>
      <c r="AC242" s="306"/>
      <c r="AD242" s="306"/>
      <c r="AE242" s="306"/>
      <c r="AF242" s="306"/>
      <c r="AG242" s="306"/>
      <c r="AH242" s="306"/>
      <c r="AI242" s="306"/>
    </row>
    <row r="243" spans="1:35" ht="11.45" customHeight="1" thickBot="1">
      <c r="A243" s="543"/>
      <c r="B243" s="544"/>
      <c r="C243" s="545"/>
      <c r="D243" s="546"/>
      <c r="E243" s="546"/>
      <c r="F243" s="546"/>
      <c r="G243" s="547"/>
      <c r="H243" s="334"/>
      <c r="I243" s="1211"/>
      <c r="J243" s="334"/>
      <c r="K243" s="1210"/>
      <c r="L243" s="334"/>
      <c r="M243" s="349"/>
      <c r="N243" s="548"/>
      <c r="O243" s="334"/>
      <c r="P243" s="549"/>
      <c r="V243" s="1324"/>
      <c r="X243" s="306"/>
      <c r="Y243" s="306"/>
      <c r="Z243" s="306"/>
      <c r="AA243" s="306"/>
      <c r="AB243" s="306"/>
      <c r="AC243" s="306"/>
      <c r="AD243" s="306"/>
      <c r="AE243" s="306"/>
      <c r="AF243" s="306"/>
      <c r="AG243" s="306"/>
      <c r="AH243" s="306"/>
      <c r="AI243" s="306"/>
    </row>
    <row r="244" spans="1:35" ht="3.6" customHeight="1">
      <c r="A244" s="338"/>
      <c r="B244" s="339"/>
      <c r="C244" s="339"/>
      <c r="D244" s="340"/>
      <c r="E244" s="340"/>
      <c r="F244" s="341"/>
      <c r="G244" s="342"/>
      <c r="H244" s="340"/>
      <c r="I244" s="342"/>
      <c r="J244" s="340"/>
      <c r="K244" s="342"/>
      <c r="L244" s="340"/>
      <c r="M244" s="340"/>
      <c r="N244" s="342"/>
      <c r="O244" s="340"/>
      <c r="P244" s="343"/>
      <c r="X244" s="306"/>
      <c r="Y244" s="306"/>
      <c r="Z244" s="306"/>
      <c r="AA244" s="306"/>
      <c r="AB244" s="306"/>
      <c r="AC244" s="306"/>
      <c r="AD244" s="306"/>
      <c r="AE244" s="306"/>
      <c r="AF244" s="306"/>
      <c r="AG244" s="306"/>
      <c r="AH244" s="306"/>
      <c r="AI244" s="306"/>
    </row>
    <row r="245" spans="1:35" ht="16.5">
      <c r="A245" s="344"/>
      <c r="B245" s="345" t="s">
        <v>382</v>
      </c>
      <c r="C245" s="346"/>
      <c r="D245" s="347"/>
      <c r="E245" s="347"/>
      <c r="F245" s="1303">
        <f>+ROUND(F13+F42+F107+F161+F191+F221+F240,2)</f>
        <v>8058151</v>
      </c>
      <c r="G245" s="1304"/>
      <c r="H245" s="1303">
        <f>+ROUND(H13+H42+H107+H161+H191+H221+H240,2)</f>
        <v>2350372.52</v>
      </c>
      <c r="I245" s="1304"/>
      <c r="J245" s="1303">
        <f>+ROUND(J13+J42+J107+J161+J191+J221+J240,2)</f>
        <v>1214079.79</v>
      </c>
      <c r="K245" s="1304"/>
      <c r="L245" s="1303">
        <f>+ROUND(L13+L42+L107+L161+L191+L221+L240,2)</f>
        <v>3564452.32</v>
      </c>
      <c r="M245" s="1315">
        <f>L245/$F245</f>
        <v>0.44234121698637813</v>
      </c>
      <c r="N245" s="1304"/>
      <c r="O245" s="1303">
        <f>+ROUND(O13+O42+O107+O161+O191+O221+O240,2)</f>
        <v>4493698.6399999997</v>
      </c>
      <c r="P245" s="348">
        <f>+O245/F245</f>
        <v>0.55765877804970387</v>
      </c>
      <c r="X245" s="306"/>
      <c r="Y245" s="306"/>
      <c r="Z245" s="306"/>
      <c r="AA245" s="306"/>
      <c r="AB245" s="306"/>
      <c r="AC245" s="306"/>
      <c r="AD245" s="306"/>
      <c r="AE245" s="306"/>
      <c r="AF245" s="306"/>
      <c r="AG245" s="306"/>
      <c r="AH245" s="306"/>
      <c r="AI245" s="306"/>
    </row>
    <row r="246" spans="1:35" ht="16.5">
      <c r="A246" s="344"/>
      <c r="B246" s="173" t="s">
        <v>1158</v>
      </c>
      <c r="C246" s="349"/>
      <c r="D246" s="555">
        <v>9.8101558285517407E-2</v>
      </c>
      <c r="E246" s="334"/>
      <c r="F246" s="1305">
        <f>+ROUND(F$245*$D246,2)</f>
        <v>790517.17</v>
      </c>
      <c r="G246" s="1304"/>
      <c r="H246" s="1305">
        <f>+ROUND(H$245*$D246,2)</f>
        <v>230575.21</v>
      </c>
      <c r="I246" s="1304"/>
      <c r="J246" s="1305">
        <f>+ROUND(J$245*$D246,2)</f>
        <v>119103.12</v>
      </c>
      <c r="K246" s="1304"/>
      <c r="L246" s="1305">
        <f>+ROUND(L$245*$D246,2)</f>
        <v>349678.33</v>
      </c>
      <c r="M246" s="1305"/>
      <c r="N246" s="1304"/>
      <c r="O246" s="1305">
        <f>+ROUND(O$245*$D246,2)</f>
        <v>440838.84</v>
      </c>
      <c r="P246" s="1306"/>
      <c r="Q246" s="346"/>
      <c r="R246" s="1325"/>
      <c r="S246" s="1325"/>
      <c r="X246" s="306"/>
      <c r="Y246" s="306"/>
      <c r="Z246" s="306"/>
      <c r="AA246" s="306"/>
      <c r="AB246" s="306"/>
      <c r="AC246" s="306"/>
      <c r="AD246" s="306"/>
      <c r="AE246" s="306"/>
      <c r="AF246" s="306"/>
      <c r="AG246" s="306"/>
      <c r="AH246" s="306"/>
      <c r="AI246" s="306"/>
    </row>
    <row r="247" spans="1:35" ht="17.25" thickBot="1">
      <c r="A247" s="344"/>
      <c r="B247" s="173" t="s">
        <v>120</v>
      </c>
      <c r="C247" s="349"/>
      <c r="D247" s="552">
        <v>0.08</v>
      </c>
      <c r="E247" s="334"/>
      <c r="F247" s="1305">
        <f>ROUND(F245*$D$247,2)</f>
        <v>644652.07999999996</v>
      </c>
      <c r="G247" s="1304"/>
      <c r="H247" s="1305">
        <f>ROUND(H245*$D$247,2)</f>
        <v>188029.8</v>
      </c>
      <c r="I247" s="1304"/>
      <c r="J247" s="1305">
        <f>ROUND(J245*$D$247,2)</f>
        <v>97126.38</v>
      </c>
      <c r="K247" s="1304"/>
      <c r="L247" s="1305">
        <f>ROUND(L245*$D$247,2)</f>
        <v>285156.19</v>
      </c>
      <c r="M247" s="1305"/>
      <c r="N247" s="1304"/>
      <c r="O247" s="1305">
        <f>ROUND(O245*$D$247,2)</f>
        <v>359495.89</v>
      </c>
      <c r="P247" s="1306"/>
      <c r="Q247" s="346"/>
      <c r="R247" s="1325"/>
      <c r="S247" s="1325"/>
      <c r="X247" s="306"/>
      <c r="Y247" s="306"/>
      <c r="Z247" s="306"/>
      <c r="AA247" s="306"/>
      <c r="AB247" s="306"/>
      <c r="AC247" s="306"/>
      <c r="AD247" s="306"/>
      <c r="AE247" s="306"/>
      <c r="AF247" s="306"/>
      <c r="AG247" s="306"/>
      <c r="AH247" s="306"/>
      <c r="AI247" s="306"/>
    </row>
    <row r="248" spans="1:35" ht="16.5">
      <c r="A248" s="557"/>
      <c r="B248" s="558" t="s">
        <v>121</v>
      </c>
      <c r="C248" s="559"/>
      <c r="D248" s="560"/>
      <c r="E248" s="560"/>
      <c r="F248" s="1307">
        <f>SUM(F245:F247)</f>
        <v>9493320.25</v>
      </c>
      <c r="G248" s="1308"/>
      <c r="H248" s="1307">
        <f>SUM(H245:H247)</f>
        <v>2768977.53</v>
      </c>
      <c r="I248" s="1308"/>
      <c r="J248" s="1307">
        <f>SUM(J245:J247)</f>
        <v>1430309.29</v>
      </c>
      <c r="K248" s="1308"/>
      <c r="L248" s="1307">
        <f>SUM(L245:L247)</f>
        <v>4199286.84</v>
      </c>
      <c r="M248" s="1307"/>
      <c r="N248" s="1308"/>
      <c r="O248" s="1307">
        <f>SUM(O245:O247)</f>
        <v>5294033.3699999992</v>
      </c>
      <c r="P248" s="1309"/>
      <c r="Q248" s="561"/>
      <c r="R248" s="1326"/>
      <c r="S248" s="1326"/>
      <c r="X248" s="306"/>
      <c r="Y248" s="306"/>
      <c r="Z248" s="306"/>
      <c r="AA248" s="306"/>
      <c r="AB248" s="306"/>
      <c r="AC248" s="306"/>
      <c r="AD248" s="306"/>
      <c r="AE248" s="306"/>
      <c r="AF248" s="306"/>
      <c r="AG248" s="306"/>
      <c r="AH248" s="306"/>
      <c r="AI248" s="306"/>
    </row>
    <row r="249" spans="1:35" ht="17.25" thickBot="1">
      <c r="A249" s="562"/>
      <c r="B249" s="563" t="s">
        <v>122</v>
      </c>
      <c r="C249" s="563"/>
      <c r="D249" s="1174">
        <v>0.18</v>
      </c>
      <c r="E249" s="1080">
        <v>0.18</v>
      </c>
      <c r="F249" s="1310">
        <f>+ROUND(F248*$D$249,2)</f>
        <v>1708797.65</v>
      </c>
      <c r="G249" s="1311"/>
      <c r="H249" s="1310">
        <f>+ROUND(H248*$D$249,2)</f>
        <v>498415.96</v>
      </c>
      <c r="I249" s="1311"/>
      <c r="J249" s="1310">
        <f>+ROUND(J248*$D$249,2)</f>
        <v>257455.67</v>
      </c>
      <c r="K249" s="1311"/>
      <c r="L249" s="1310">
        <f>+ROUND(L248*$D$249,2)</f>
        <v>755871.63</v>
      </c>
      <c r="M249" s="1310"/>
      <c r="N249" s="1311"/>
      <c r="O249" s="1310">
        <f>+ROUND(O248*$D$249,2)</f>
        <v>952926.01</v>
      </c>
      <c r="P249" s="1312"/>
      <c r="Q249" s="550"/>
      <c r="R249" s="1326"/>
      <c r="S249" s="1326"/>
      <c r="X249" s="306"/>
      <c r="Y249" s="306"/>
      <c r="Z249" s="306"/>
      <c r="AA249" s="306"/>
      <c r="AB249" s="306"/>
      <c r="AC249" s="306"/>
      <c r="AD249" s="306"/>
      <c r="AE249" s="306"/>
      <c r="AF249" s="306"/>
      <c r="AG249" s="306"/>
      <c r="AH249" s="306"/>
      <c r="AI249" s="306"/>
    </row>
    <row r="250" spans="1:35" ht="17.25" thickBot="1">
      <c r="A250" s="557"/>
      <c r="B250" s="558" t="s">
        <v>123</v>
      </c>
      <c r="C250" s="559"/>
      <c r="D250" s="564"/>
      <c r="E250" s="560"/>
      <c r="F250" s="1307">
        <f>SUM(F248:F249)</f>
        <v>11202117.9</v>
      </c>
      <c r="G250" s="1308"/>
      <c r="H250" s="1307">
        <f>SUM(H248:H249)</f>
        <v>3267393.4899999998</v>
      </c>
      <c r="I250" s="1308"/>
      <c r="J250" s="1313">
        <f>SUM(J248:J249)</f>
        <v>1687764.96</v>
      </c>
      <c r="K250" s="1308"/>
      <c r="L250" s="1307">
        <f>SUM(L248:L249)</f>
        <v>4955158.47</v>
      </c>
      <c r="M250" s="1307"/>
      <c r="N250" s="1308"/>
      <c r="O250" s="1307">
        <f>SUM(O248:O249)</f>
        <v>6246959.379999999</v>
      </c>
      <c r="P250" s="1309"/>
      <c r="Q250" s="551"/>
      <c r="R250" s="1326"/>
      <c r="S250" s="1326"/>
    </row>
    <row r="251" spans="1:35" ht="16.5">
      <c r="A251" s="1192"/>
      <c r="B251" s="1193" t="s">
        <v>1269</v>
      </c>
      <c r="C251" s="1193"/>
      <c r="D251" s="1193"/>
      <c r="E251" s="1193"/>
      <c r="F251" s="1194"/>
      <c r="G251" s="1195"/>
      <c r="H251" s="1327">
        <f>+ROUND(H245/F245,4)</f>
        <v>0.29170000000000001</v>
      </c>
      <c r="I251" s="1197"/>
      <c r="J251" s="1327">
        <f>+J245/F245</f>
        <v>0.15066481007863963</v>
      </c>
      <c r="K251" s="1197"/>
      <c r="L251" s="1327">
        <f>+H251+J251</f>
        <v>0.44236481007863965</v>
      </c>
      <c r="M251" s="1196"/>
      <c r="N251" s="1197"/>
      <c r="O251" s="1327">
        <f>100%-L251</f>
        <v>0.5576351899213603</v>
      </c>
      <c r="P251" s="1198"/>
    </row>
    <row r="252" spans="1:35" ht="17.25" thickBot="1">
      <c r="A252" s="1199"/>
      <c r="B252" s="1200" t="s">
        <v>1270</v>
      </c>
      <c r="C252" s="1200"/>
      <c r="D252" s="1200"/>
      <c r="E252" s="1200"/>
      <c r="F252" s="1201"/>
      <c r="G252" s="1202"/>
      <c r="H252" s="1316">
        <v>6.5820000000000004E-2</v>
      </c>
      <c r="I252" s="1317"/>
      <c r="J252" s="1318">
        <v>0.53293999999999997</v>
      </c>
      <c r="K252" s="1317"/>
      <c r="L252" s="1316">
        <f>+H252+J252</f>
        <v>0.59875999999999996</v>
      </c>
      <c r="M252" s="1316"/>
      <c r="N252" s="1317"/>
      <c r="O252" s="1316">
        <f>100%-L252</f>
        <v>0.40124000000000004</v>
      </c>
      <c r="P252" s="1203"/>
    </row>
    <row r="253" spans="1:35" ht="15.75" customHeight="1"/>
    <row r="254" spans="1:35" ht="6.75" customHeight="1">
      <c r="J254" s="350"/>
      <c r="O254" s="334"/>
      <c r="P254" s="334"/>
    </row>
    <row r="255" spans="1:35" ht="12" customHeight="1">
      <c r="G255" s="334"/>
      <c r="I255" s="334"/>
      <c r="K255" s="334"/>
      <c r="O255" s="334"/>
      <c r="P255" s="334"/>
    </row>
    <row r="256" spans="1:35" ht="12" customHeight="1">
      <c r="D256" s="1505"/>
      <c r="F256" s="1621"/>
      <c r="H256" s="306"/>
      <c r="J256" s="306"/>
    </row>
    <row r="257" spans="6:12" ht="12" customHeight="1">
      <c r="F257" s="1621"/>
      <c r="G257" s="334">
        <f>SUM(G12:G242)</f>
        <v>188781.47000000003</v>
      </c>
      <c r="H257" s="973"/>
      <c r="I257" s="334">
        <f>SUM(I12:I242)</f>
        <v>66050.899999999994</v>
      </c>
      <c r="K257" s="334">
        <f>SUM(K12:K242)</f>
        <v>254832.37000000005</v>
      </c>
    </row>
    <row r="258" spans="6:12" ht="12" customHeight="1">
      <c r="H258" s="973"/>
    </row>
    <row r="259" spans="6:12" ht="12" customHeight="1">
      <c r="J259" s="306"/>
    </row>
    <row r="260" spans="6:12" ht="12" customHeight="1"/>
    <row r="261" spans="6:12" ht="12" customHeight="1">
      <c r="J261" s="306"/>
    </row>
    <row r="262" spans="6:12" ht="12" customHeight="1">
      <c r="H262" s="392"/>
      <c r="I262" s="392"/>
      <c r="J262" s="392"/>
      <c r="K262" s="392"/>
      <c r="L262" s="392"/>
    </row>
    <row r="263" spans="6:12" ht="12" customHeight="1">
      <c r="H263" s="392"/>
      <c r="I263" s="392"/>
      <c r="J263" s="392"/>
      <c r="K263" s="392"/>
      <c r="L263" s="392"/>
    </row>
    <row r="264" spans="6:12" ht="12" customHeight="1"/>
  </sheetData>
  <mergeCells count="17">
    <mergeCell ref="A9:A11"/>
    <mergeCell ref="C9:C11"/>
    <mergeCell ref="D9:D11"/>
    <mergeCell ref="G10:G11"/>
    <mergeCell ref="H10:H11"/>
    <mergeCell ref="P10:P11"/>
    <mergeCell ref="N9:P9"/>
    <mergeCell ref="F256:F257"/>
    <mergeCell ref="B2:P2"/>
    <mergeCell ref="B9:B11"/>
    <mergeCell ref="I10:I11"/>
    <mergeCell ref="J10:J11"/>
    <mergeCell ref="K10:K11"/>
    <mergeCell ref="L10:L11"/>
    <mergeCell ref="M10:M11"/>
    <mergeCell ref="N10:N11"/>
    <mergeCell ref="O10:O11"/>
  </mergeCells>
  <phoneticPr fontId="0" type="noConversion"/>
  <printOptions horizontalCentered="1"/>
  <pageMargins left="0.59055118110236227" right="0.39370078740157483" top="0.59055118110236227" bottom="0.59055118110236227" header="0" footer="0"/>
  <pageSetup paperSize="8" scale="71" fitToHeight="3" orientation="landscape" r:id="rId1"/>
  <headerFooter alignWithMargins="0">
    <oddFooter>&amp;L&amp;"Arial,Cursiva"&amp;8&amp;F/&amp;A&amp;R&amp;8&amp;P / &amp;N</oddFooter>
  </headerFooter>
  <rowBreaks count="1" manualBreakCount="1">
    <brk id="168" max="1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Button 1">
              <controlPr defaultSize="0" print="0" autoFill="0" autoLine="0" autoPict="0" macro="[0]!F_Met">
                <anchor moveWithCells="1" sizeWithCells="1">
                  <from>
                    <xdr:col>23</xdr:col>
                    <xdr:colOff>0</xdr:colOff>
                    <xdr:row>250</xdr:row>
                    <xdr:rowOff>0</xdr:rowOff>
                  </from>
                  <to>
                    <xdr:col>23</xdr:col>
                    <xdr:colOff>0</xdr:colOff>
                    <xdr:row>250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/>
  <dimension ref="A1:AH61"/>
  <sheetViews>
    <sheetView showGridLines="0" view="pageBreakPreview" topLeftCell="A7" zoomScale="80" zoomScaleNormal="60" zoomScaleSheetLayoutView="80" workbookViewId="0">
      <selection activeCell="I21" sqref="I21"/>
    </sheetView>
  </sheetViews>
  <sheetFormatPr baseColWidth="10" defaultColWidth="11.42578125" defaultRowHeight="12.75"/>
  <cols>
    <col min="1" max="1" width="8.42578125" customWidth="1"/>
    <col min="2" max="2" width="10.5703125" customWidth="1"/>
    <col min="3" max="4" width="14.5703125" customWidth="1"/>
    <col min="5" max="5" width="13.5703125" customWidth="1"/>
    <col min="6" max="6" width="15" customWidth="1"/>
    <col min="7" max="7" width="11.140625" customWidth="1"/>
    <col min="8" max="8" width="12.85546875" customWidth="1"/>
    <col min="9" max="9" width="18.42578125" customWidth="1"/>
    <col min="10" max="10" width="15" customWidth="1"/>
    <col min="11" max="11" width="17.140625" customWidth="1"/>
    <col min="12" max="14" width="14.5703125" customWidth="1"/>
    <col min="15" max="15" width="15.7109375" customWidth="1"/>
    <col min="16" max="16" width="16.28515625" customWidth="1"/>
    <col min="17" max="17" width="4" customWidth="1"/>
    <col min="18" max="20" width="12.7109375" bestFit="1" customWidth="1"/>
  </cols>
  <sheetData>
    <row r="1" spans="1:33" ht="19.5" customHeight="1">
      <c r="A1" s="1329"/>
      <c r="B1" s="1329"/>
      <c r="C1" s="1330"/>
      <c r="D1" s="700"/>
      <c r="E1" s="700"/>
      <c r="F1" s="700"/>
      <c r="G1" s="700"/>
      <c r="H1" s="700"/>
      <c r="I1" s="700"/>
      <c r="J1" s="700"/>
      <c r="K1" s="700"/>
      <c r="L1" s="700"/>
      <c r="M1" s="700"/>
      <c r="N1" s="700"/>
      <c r="O1" s="700"/>
      <c r="P1" s="700"/>
    </row>
    <row r="2" spans="1:33" ht="48.75" customHeight="1">
      <c r="A2" s="1622" t="str">
        <f>+valoriz!$B$2</f>
        <v>“RECONSTRUCCIÓN DE PISTAS Y VEREDAS EN LA AV. LAS TORRES TRAMO DESDE LA AV. CIRCUNVALACIÓN HASTA LA ALTURA
DE LA QUINTA AV., L = 1.99 KM DISTRITO DE LURIGANCHO CHOSICA, LIMA – LIMA”. Con código único de inversión (IRI): 2498581</v>
      </c>
      <c r="B2" s="1622"/>
      <c r="C2" s="1622"/>
      <c r="D2" s="1622"/>
      <c r="E2" s="1622"/>
      <c r="F2" s="1622"/>
      <c r="G2" s="1622"/>
      <c r="H2" s="1622"/>
      <c r="I2" s="1622"/>
      <c r="J2" s="1622"/>
      <c r="K2" s="1622"/>
      <c r="L2" s="1622"/>
      <c r="M2" s="1622"/>
      <c r="N2" s="1622"/>
      <c r="O2" s="1622"/>
      <c r="P2" s="1622"/>
      <c r="Q2" s="14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15" customHeight="1">
      <c r="A3" s="1343" t="s">
        <v>1678</v>
      </c>
      <c r="B3" s="1329"/>
      <c r="D3" s="700"/>
      <c r="E3" s="700"/>
      <c r="F3" s="700"/>
      <c r="G3" s="700"/>
      <c r="H3" s="700"/>
      <c r="I3" s="700"/>
      <c r="J3" s="700"/>
      <c r="K3" s="700"/>
      <c r="L3" s="700"/>
      <c r="M3" s="305"/>
      <c r="N3" s="173"/>
      <c r="O3" s="326"/>
      <c r="P3" s="326"/>
    </row>
    <row r="4" spans="1:33" ht="15" customHeight="1">
      <c r="A4" s="1343" t="s">
        <v>1679</v>
      </c>
      <c r="B4" s="1329"/>
      <c r="D4" s="700"/>
      <c r="E4" s="700"/>
      <c r="F4" s="700"/>
      <c r="G4" s="700"/>
      <c r="H4" s="700"/>
      <c r="I4" s="700"/>
      <c r="J4" s="700"/>
      <c r="K4" s="700"/>
      <c r="L4" s="700"/>
      <c r="M4" s="305"/>
      <c r="N4" s="173"/>
      <c r="O4" s="326"/>
      <c r="P4" s="326"/>
    </row>
    <row r="5" spans="1:33" ht="19.5" customHeight="1">
      <c r="A5" s="298"/>
      <c r="B5" s="571"/>
      <c r="C5" s="571"/>
      <c r="D5" s="3"/>
    </row>
    <row r="6" spans="1:33" ht="19.5" customHeight="1">
      <c r="A6" s="298"/>
      <c r="B6" s="571"/>
      <c r="C6" s="571"/>
      <c r="D6" s="3"/>
    </row>
    <row r="7" spans="1:33" ht="26.25">
      <c r="A7" s="54" t="s">
        <v>1281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33" ht="19.5" customHeight="1">
      <c r="A8" s="5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33" ht="19.5" customHeight="1">
      <c r="A9" s="28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76"/>
      <c r="N9" s="5"/>
      <c r="O9" s="5"/>
      <c r="P9" s="5"/>
    </row>
    <row r="10" spans="1:33" ht="19.5" customHeight="1" thickBot="1">
      <c r="A10" s="3"/>
      <c r="D10" s="3"/>
    </row>
    <row r="11" spans="1:33" ht="19.5" customHeight="1">
      <c r="A11" s="99" t="s">
        <v>390</v>
      </c>
      <c r="B11" s="100"/>
      <c r="C11" s="135" t="s">
        <v>14</v>
      </c>
      <c r="D11" s="136"/>
      <c r="E11" s="135" t="s">
        <v>391</v>
      </c>
      <c r="F11" s="136"/>
      <c r="G11" s="1331" t="s">
        <v>445</v>
      </c>
      <c r="H11" s="1332"/>
      <c r="I11" s="135" t="s">
        <v>392</v>
      </c>
      <c r="J11" s="136"/>
      <c r="K11" s="1638" t="s">
        <v>404</v>
      </c>
      <c r="L11" s="1639"/>
      <c r="M11" s="137" t="s">
        <v>511</v>
      </c>
      <c r="N11" s="137" t="s">
        <v>583</v>
      </c>
      <c r="O11" s="135" t="s">
        <v>403</v>
      </c>
      <c r="P11" s="1333"/>
    </row>
    <row r="12" spans="1:33" ht="19.5" customHeight="1">
      <c r="A12" s="101"/>
      <c r="B12" s="102"/>
      <c r="C12" s="103" t="s">
        <v>393</v>
      </c>
      <c r="D12" s="103" t="s">
        <v>394</v>
      </c>
      <c r="E12" s="103" t="s">
        <v>393</v>
      </c>
      <c r="F12" s="104" t="s">
        <v>394</v>
      </c>
      <c r="G12" s="98"/>
      <c r="H12" s="105" t="s">
        <v>443</v>
      </c>
      <c r="I12" s="103" t="s">
        <v>393</v>
      </c>
      <c r="J12" s="104" t="s">
        <v>394</v>
      </c>
      <c r="K12" s="103" t="s">
        <v>393</v>
      </c>
      <c r="L12" s="104" t="s">
        <v>394</v>
      </c>
      <c r="M12" s="98" t="s">
        <v>512</v>
      </c>
      <c r="N12" s="98" t="s">
        <v>582</v>
      </c>
      <c r="O12" s="104" t="s">
        <v>393</v>
      </c>
      <c r="P12" s="106" t="s">
        <v>394</v>
      </c>
      <c r="R12" s="1640" t="s">
        <v>136</v>
      </c>
      <c r="S12" s="1641"/>
      <c r="T12" s="700"/>
    </row>
    <row r="13" spans="1:33" ht="19.5" customHeight="1" thickBot="1">
      <c r="A13" s="107" t="s">
        <v>395</v>
      </c>
      <c r="B13" s="108" t="s">
        <v>389</v>
      </c>
      <c r="C13" s="108" t="s">
        <v>396</v>
      </c>
      <c r="D13" s="108"/>
      <c r="E13" s="108" t="s">
        <v>397</v>
      </c>
      <c r="F13" s="108"/>
      <c r="G13" s="108" t="s">
        <v>398</v>
      </c>
      <c r="H13" s="108" t="s">
        <v>444</v>
      </c>
      <c r="I13" s="108" t="s">
        <v>399</v>
      </c>
      <c r="J13" s="109"/>
      <c r="K13" s="108" t="s">
        <v>405</v>
      </c>
      <c r="L13" s="109"/>
      <c r="M13" s="273" t="s">
        <v>513</v>
      </c>
      <c r="N13" s="273" t="s">
        <v>383</v>
      </c>
      <c r="O13" s="109"/>
      <c r="P13" s="110"/>
      <c r="R13" s="1222" t="s">
        <v>456</v>
      </c>
      <c r="S13" s="1223" t="s">
        <v>286</v>
      </c>
      <c r="T13" s="1222" t="s">
        <v>1330</v>
      </c>
    </row>
    <row r="14" spans="1:33" ht="4.5" customHeight="1">
      <c r="A14" s="115"/>
      <c r="B14" s="116"/>
      <c r="C14" s="116"/>
      <c r="D14" s="116"/>
      <c r="E14" s="116"/>
      <c r="F14" s="116"/>
      <c r="G14" s="116"/>
      <c r="H14" s="116"/>
      <c r="I14" s="116"/>
      <c r="J14" s="573"/>
      <c r="K14" s="116"/>
      <c r="L14" s="573"/>
      <c r="M14" s="98"/>
      <c r="N14" s="575" t="s">
        <v>125</v>
      </c>
      <c r="O14" s="573"/>
      <c r="P14" s="574"/>
      <c r="R14" s="1224"/>
      <c r="S14" s="1225"/>
      <c r="T14" s="1226"/>
    </row>
    <row r="15" spans="1:33" ht="20.100000000000001" customHeight="1">
      <c r="A15" s="1361">
        <v>1</v>
      </c>
      <c r="B15" s="1362">
        <v>44500</v>
      </c>
      <c r="C15" s="1344">
        <v>136826.52999999997</v>
      </c>
      <c r="D15" s="1344">
        <f>+C15</f>
        <v>136826.52999999997</v>
      </c>
      <c r="E15" s="1344">
        <v>78066.42</v>
      </c>
      <c r="F15" s="1344">
        <f>+E15</f>
        <v>78066.42</v>
      </c>
      <c r="G15" s="1352">
        <f>+K!Q21</f>
        <v>1.079</v>
      </c>
      <c r="H15" s="1346">
        <v>44501</v>
      </c>
      <c r="I15" s="1344">
        <f>ROUND(C15*(G15-1),2)</f>
        <v>10809.3</v>
      </c>
      <c r="J15" s="1344">
        <f>+I15</f>
        <v>10809.3</v>
      </c>
      <c r="K15" s="1344">
        <f>ROUND(E15*(G15-1),2)-78.07</f>
        <v>6089.18</v>
      </c>
      <c r="L15" s="1344">
        <f>+K15</f>
        <v>6089.18</v>
      </c>
      <c r="M15" s="1344">
        <f t="shared" ref="M15" si="0">IF(N14="ADELANTADA",IF(N15="ADELANTADA",IF(L15&gt;J15,0,0),IF(L15&gt;J15,L15-J15,0)),IF(L15&gt;J15,-L15+J15,0))</f>
        <v>0</v>
      </c>
      <c r="N15" s="1344" t="str">
        <f>IF(F15&gt;D15,"ADELANTADA","ATRASADA")</f>
        <v>ATRASADA</v>
      </c>
      <c r="O15" s="1347">
        <f t="shared" ref="O15:O16" si="1">+IF(M15=0,K15,K15+M15)</f>
        <v>6089.18</v>
      </c>
      <c r="P15" s="1348">
        <f>+O15</f>
        <v>6089.18</v>
      </c>
      <c r="R15" s="1350">
        <v>44440</v>
      </c>
      <c r="S15" s="1351">
        <v>44501</v>
      </c>
      <c r="T15" s="1351"/>
    </row>
    <row r="16" spans="1:33" ht="20.100000000000001" customHeight="1">
      <c r="A16" s="1361">
        <f t="shared" ref="A16:A17" si="2">+A15+1</f>
        <v>2</v>
      </c>
      <c r="B16" s="1362">
        <v>44530</v>
      </c>
      <c r="C16" s="1344">
        <v>488048.51000000007</v>
      </c>
      <c r="D16" s="1344">
        <f>+D15+C16</f>
        <v>624875.04</v>
      </c>
      <c r="E16" s="1345">
        <v>1302063.97</v>
      </c>
      <c r="F16" s="1345">
        <f t="shared" ref="F16" si="3">+F15+E16</f>
        <v>1380130.39</v>
      </c>
      <c r="G16" s="1353">
        <f>+K!O21</f>
        <v>1.069</v>
      </c>
      <c r="H16" s="1346">
        <v>44470</v>
      </c>
      <c r="I16" s="1345">
        <f>ROUND(C16*(G16-1),2)</f>
        <v>33675.35</v>
      </c>
      <c r="J16" s="1345">
        <f t="shared" ref="J16" si="4">+I16+J15</f>
        <v>44484.649999999994</v>
      </c>
      <c r="K16" s="1345">
        <f t="shared" ref="K16" si="5">ROUND(E16*(G16-1),2)</f>
        <v>89842.41</v>
      </c>
      <c r="L16" s="1345">
        <f t="shared" ref="L16" si="6">+K16+L15</f>
        <v>95931.59</v>
      </c>
      <c r="M16" s="1345">
        <f>IF(N15="ADELANTADA",IF(N16="ADELANTADA",IF(L16&gt;J16,0,0),IF(L16&gt;J16,L16-J16,0)),IF(L16&gt;J16,-L16+J16,0))*0</f>
        <v>0</v>
      </c>
      <c r="N16" s="1345" t="str">
        <f>IF(F16&gt;D16,"ADELANTADA","ATRASADA")</f>
        <v>ADELANTADA</v>
      </c>
      <c r="O16" s="1345">
        <f t="shared" si="1"/>
        <v>89842.41</v>
      </c>
      <c r="P16" s="1349">
        <f t="shared" ref="P16" si="7">+O16+P15</f>
        <v>95931.59</v>
      </c>
      <c r="R16" s="1350">
        <v>44470</v>
      </c>
      <c r="S16" s="1351">
        <v>44531</v>
      </c>
      <c r="T16" s="1351"/>
    </row>
    <row r="17" spans="1:34" ht="20.100000000000001" customHeight="1">
      <c r="A17" s="1361">
        <f t="shared" si="2"/>
        <v>3</v>
      </c>
      <c r="B17" s="1362">
        <v>44561</v>
      </c>
      <c r="C17" s="1344">
        <v>5059330.01</v>
      </c>
      <c r="D17" s="1344">
        <f>+D16+C17</f>
        <v>5684205.0499999998</v>
      </c>
      <c r="E17" s="1345">
        <v>1388847.16</v>
      </c>
      <c r="F17" s="1345">
        <f t="shared" ref="F17" si="8">+F16+E17</f>
        <v>2768977.55</v>
      </c>
      <c r="G17" s="1353">
        <f>+K!O21</f>
        <v>1.069</v>
      </c>
      <c r="H17" s="1346">
        <v>44470</v>
      </c>
      <c r="I17" s="1345">
        <f>ROUND(C17*(G17-1),2)</f>
        <v>349093.77</v>
      </c>
      <c r="J17" s="1345">
        <f t="shared" ref="J17" si="9">+I17+J16</f>
        <v>393578.42000000004</v>
      </c>
      <c r="K17" s="1345">
        <f t="shared" ref="K17" si="10">ROUND(E17*(G17-1),2)</f>
        <v>95830.45</v>
      </c>
      <c r="L17" s="1345">
        <f t="shared" ref="L17" si="11">+K17+L16</f>
        <v>191762.03999999998</v>
      </c>
      <c r="M17" s="1345">
        <f>IF(N16="ADELANTADA",IF(N17="ADELANTADA",IF(L17&gt;J17,0,0),IF(L17&gt;J17,L17-J17,0)),IF(L17&gt;J17,-L17+J17,0))</f>
        <v>0</v>
      </c>
      <c r="N17" s="1345"/>
      <c r="O17" s="1345">
        <f t="shared" ref="O17" si="12">+IF(M17=0,K17,K17+M17)</f>
        <v>95830.45</v>
      </c>
      <c r="P17" s="1349">
        <f t="shared" ref="P17" si="13">+O17+P16</f>
        <v>191762.03999999998</v>
      </c>
      <c r="Q17" s="6"/>
      <c r="R17" s="1350">
        <v>44470</v>
      </c>
      <c r="S17" s="1351">
        <v>44562</v>
      </c>
      <c r="T17" s="1351"/>
    </row>
    <row r="18" spans="1:34" ht="20.100000000000001" customHeight="1">
      <c r="A18" s="1361">
        <v>4</v>
      </c>
      <c r="B18" s="1362">
        <v>44561</v>
      </c>
      <c r="C18" s="1344"/>
      <c r="D18" s="1344"/>
      <c r="E18" s="1345">
        <f>+valoriz!J248</f>
        <v>1430309.29</v>
      </c>
      <c r="F18" s="1345">
        <f t="shared" ref="F18" si="14">+F17+E18</f>
        <v>4199286.84</v>
      </c>
      <c r="G18" s="1353">
        <f>+K!Q21</f>
        <v>1.079</v>
      </c>
      <c r="H18" s="1346">
        <v>44501</v>
      </c>
      <c r="I18" s="1345">
        <f>ROUND(C18*(G18-1),2)</f>
        <v>0</v>
      </c>
      <c r="J18" s="1345">
        <f t="shared" ref="J18" si="15">+I18+J17</f>
        <v>393578.42000000004</v>
      </c>
      <c r="K18" s="1345">
        <f t="shared" ref="K18" si="16">ROUND(E18*(G18-1),2)</f>
        <v>112994.43</v>
      </c>
      <c r="L18" s="1345">
        <f t="shared" ref="L18" si="17">+K18+L17</f>
        <v>304756.46999999997</v>
      </c>
      <c r="M18" s="1345">
        <f>IF(N17="ADELANTADA",IF(N18="ADELANTADA",IF(L18&gt;J18,0,0),IF(L18&gt;J18,L18-J18,0)),IF(L18&gt;J18,-L18+J18,0))</f>
        <v>0</v>
      </c>
      <c r="N18" s="1345" t="str">
        <f>IF((F18)&gt;D17,"ADELANTADA","ATRASADA")</f>
        <v>ATRASADA</v>
      </c>
      <c r="O18" s="1345">
        <f t="shared" ref="O18" si="18">+IF(M18=0,K18,K18+M18)</f>
        <v>112994.43</v>
      </c>
      <c r="P18" s="1349">
        <f t="shared" ref="P18" si="19">+O18+P17</f>
        <v>304756.46999999997</v>
      </c>
      <c r="Q18" s="6"/>
      <c r="R18" s="1350">
        <v>44501</v>
      </c>
      <c r="S18" s="1351">
        <v>44562</v>
      </c>
      <c r="T18" s="1351"/>
    </row>
    <row r="19" spans="1:34" ht="20.100000000000001" customHeight="1">
      <c r="A19" s="1361">
        <v>5</v>
      </c>
      <c r="B19" s="1362">
        <v>44592</v>
      </c>
      <c r="C19" s="1344">
        <v>3526245.23</v>
      </c>
      <c r="D19" s="1344">
        <f>+D17+C19</f>
        <v>9210450.2799999993</v>
      </c>
      <c r="E19" s="1344"/>
      <c r="F19" s="1345"/>
      <c r="G19" s="1353">
        <f>+K!Y21</f>
        <v>0</v>
      </c>
      <c r="H19" s="1346">
        <v>44531</v>
      </c>
      <c r="I19" s="1345"/>
      <c r="J19" s="1345"/>
      <c r="K19" s="1345"/>
      <c r="L19" s="1345"/>
      <c r="M19" s="1345"/>
      <c r="N19" s="1345"/>
      <c r="O19" s="1345"/>
      <c r="P19" s="1349"/>
      <c r="Q19" s="6"/>
      <c r="R19" s="1350">
        <v>44531</v>
      </c>
      <c r="S19" s="1351">
        <v>44593</v>
      </c>
      <c r="T19" s="1351" t="s">
        <v>996</v>
      </c>
    </row>
    <row r="20" spans="1:34" ht="20.100000000000001" customHeight="1">
      <c r="A20" s="1361">
        <v>6</v>
      </c>
      <c r="B20" s="1362">
        <v>44620</v>
      </c>
      <c r="C20" s="1344">
        <v>282869.96999999997</v>
      </c>
      <c r="D20" s="1344">
        <f>+D19+C20</f>
        <v>9493320.25</v>
      </c>
      <c r="E20" s="1344"/>
      <c r="F20" s="1345"/>
      <c r="G20" s="1353">
        <f>+K!Y21</f>
        <v>0</v>
      </c>
      <c r="H20" s="1346">
        <v>44562</v>
      </c>
      <c r="I20" s="1345"/>
      <c r="J20" s="1345"/>
      <c r="K20" s="1345"/>
      <c r="L20" s="1345"/>
      <c r="M20" s="1345"/>
      <c r="N20" s="1345"/>
      <c r="O20" s="1345"/>
      <c r="P20" s="1349"/>
      <c r="R20" s="1350">
        <v>44562</v>
      </c>
      <c r="S20" s="1351">
        <v>44621</v>
      </c>
      <c r="T20" s="1351" t="s">
        <v>996</v>
      </c>
    </row>
    <row r="21" spans="1:34" ht="20.100000000000001" customHeight="1">
      <c r="A21" s="15"/>
      <c r="B21" s="53"/>
      <c r="C21" s="24"/>
      <c r="D21" s="24"/>
      <c r="E21" s="24"/>
      <c r="F21" s="1207"/>
      <c r="G21" s="1205"/>
      <c r="H21" s="1206"/>
      <c r="I21" s="1207"/>
      <c r="J21" s="1207"/>
      <c r="K21" s="1207"/>
      <c r="L21" s="1207"/>
      <c r="M21" s="1207"/>
      <c r="N21" s="1207"/>
      <c r="O21" s="1207"/>
      <c r="P21" s="1208"/>
      <c r="R21" s="1224"/>
      <c r="S21" s="1225"/>
      <c r="T21" s="1226"/>
    </row>
    <row r="22" spans="1:34" ht="20.100000000000001" customHeight="1" thickBot="1">
      <c r="A22" s="22"/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7"/>
    </row>
    <row r="23" spans="1:34" ht="19.5" customHeight="1">
      <c r="A23" s="169" t="s">
        <v>509</v>
      </c>
      <c r="D23" s="3"/>
      <c r="K23" s="12"/>
      <c r="L23" s="12"/>
      <c r="M23" s="12"/>
      <c r="N23" s="12"/>
      <c r="O23" s="164"/>
    </row>
    <row r="24" spans="1:34" ht="12.75" customHeight="1">
      <c r="A24" s="169" t="s">
        <v>510</v>
      </c>
      <c r="D24" s="3"/>
      <c r="K24" s="12"/>
      <c r="L24" s="12"/>
      <c r="M24" s="12"/>
      <c r="N24" s="12"/>
      <c r="O24" s="164"/>
    </row>
    <row r="25" spans="1:34" ht="15" hidden="1" customHeight="1">
      <c r="A25" s="572" t="s">
        <v>623</v>
      </c>
      <c r="K25" s="11"/>
      <c r="L25" s="11"/>
      <c r="M25" s="11"/>
      <c r="N25" s="11"/>
      <c r="O25" s="165"/>
    </row>
    <row r="26" spans="1:34" ht="14.25" hidden="1" customHeight="1">
      <c r="A26" t="s">
        <v>624</v>
      </c>
      <c r="C26" s="14"/>
      <c r="J26" s="14"/>
      <c r="K26" s="14"/>
      <c r="L26" s="14"/>
      <c r="M26" s="14"/>
      <c r="N26" s="14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4" ht="19.5" customHeight="1"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4" ht="16.5" customHeight="1">
      <c r="A28" s="3"/>
    </row>
    <row r="29" spans="1:34" ht="16.5" customHeight="1">
      <c r="A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9"/>
    </row>
    <row r="30" spans="1:34" ht="16.5" customHeight="1">
      <c r="A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6"/>
      <c r="AG30" s="20"/>
      <c r="AH30" s="19"/>
    </row>
    <row r="31" spans="1:34" ht="16.5" customHeight="1">
      <c r="A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H31" s="19"/>
    </row>
    <row r="32" spans="1:34" ht="16.5" customHeight="1">
      <c r="A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9"/>
    </row>
    <row r="33" spans="1:34" ht="16.5" customHeight="1">
      <c r="A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20"/>
      <c r="AG33" s="20"/>
      <c r="AH33" s="19"/>
    </row>
    <row r="34" spans="1:34" ht="19.5" customHeight="1">
      <c r="AC34" s="3"/>
    </row>
    <row r="36" spans="1:34">
      <c r="C36" s="2"/>
    </row>
    <row r="37" spans="1:34">
      <c r="C37" s="2"/>
      <c r="O37" s="3"/>
    </row>
    <row r="38" spans="1:34">
      <c r="C38" s="2"/>
      <c r="O38" s="3"/>
    </row>
    <row r="39" spans="1:34">
      <c r="C39" s="2"/>
      <c r="O39" s="3"/>
    </row>
    <row r="40" spans="1:34">
      <c r="C40" s="2"/>
      <c r="O40" s="3"/>
    </row>
    <row r="41" spans="1:34">
      <c r="C41" s="2"/>
      <c r="O41" s="3"/>
    </row>
    <row r="42" spans="1:34">
      <c r="C42" s="2"/>
      <c r="O42" s="3"/>
    </row>
    <row r="43" spans="1:34">
      <c r="C43" s="2"/>
    </row>
    <row r="44" spans="1:34">
      <c r="C44" s="2"/>
    </row>
    <row r="45" spans="1:34">
      <c r="C45" s="2"/>
      <c r="O45" s="3"/>
    </row>
    <row r="46" spans="1:34">
      <c r="C46" s="2"/>
      <c r="O46" s="3"/>
    </row>
    <row r="47" spans="1:34">
      <c r="C47" s="2"/>
      <c r="O47" s="3"/>
      <c r="Q47" s="1"/>
    </row>
    <row r="48" spans="1:34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1"/>
    </row>
    <row r="61" spans="3:3">
      <c r="C61" s="2"/>
    </row>
  </sheetData>
  <customSheetViews>
    <customSheetView guid="{CEA23600-97CC-11D9-BFD0-00E07DEB8876}" scale="75" showPageBreaks="1" showGridLines="0" printArea="1" showRuler="0" topLeftCell="F2">
      <selection activeCell="J16" sqref="J16"/>
      <pageMargins left="0.39370078740157483" right="0.19685039370078741" top="0.98425196850393704" bottom="0.59055118110236227" header="0.19685039370078741" footer="0.19685039370078741"/>
      <printOptions horizontalCentered="1"/>
      <pageSetup paperSize="9" scale="70" orientation="landscape" horizontalDpi="300" verticalDpi="300" r:id="rId1"/>
      <headerFooter alignWithMargins="0">
        <oddFooter>&amp;L&amp;"Arial,Cursiva"&amp;8&amp;F/&amp;A</oddFooter>
      </headerFooter>
    </customSheetView>
    <customSheetView guid="{96ADFEC0-F4F1-11D7-8BBA-444553540000}" scale="75" showPageBreaks="1" showGridLines="0" printArea="1" showRuler="0">
      <selection activeCell="A16" sqref="A16"/>
      <pageMargins left="0.39370078740157483" right="0.19685039370078741" top="0.98425196850393704" bottom="0.59055118110236227" header="0.19685039370078741" footer="0.19685039370078741"/>
      <printOptions horizontalCentered="1"/>
      <pageSetup paperSize="9" scale="70" orientation="landscape" horizontalDpi="300" verticalDpi="300" r:id="rId2"/>
      <headerFooter alignWithMargins="0">
        <oddFooter>&amp;L&amp;"Arial,Cursiva"&amp;8&amp;F/&amp;A</oddFooter>
      </headerFooter>
    </customSheetView>
    <customSheetView guid="{5DD7C280-E9C1-11D7-A877-00E07DA7DA85}" scale="75" showPageBreaks="1" showGridLines="0" printArea="1" showRuler="0" topLeftCell="C1">
      <selection activeCell="L13" sqref="L13"/>
      <pageMargins left="0.39370078740157483" right="0.19685039370078741" top="0.98425196850393704" bottom="0.59055118110236227" header="0.19685039370078741" footer="0.19685039370078741"/>
      <printOptions horizontalCentered="1"/>
      <pageSetup paperSize="9" scale="70" orientation="landscape" horizontalDpi="300" verticalDpi="300" r:id="rId3"/>
      <headerFooter alignWithMargins="0">
        <oddFooter>&amp;L&amp;"Arial,Cursiva"&amp;8&amp;F/&amp;A</oddFooter>
      </headerFooter>
    </customSheetView>
    <customSheetView guid="{45F329CA-E9E7-11D7-A877-00E07DA7DA85}" scale="75" showPageBreaks="1" showGridLines="0" printArea="1" showRuler="0" topLeftCell="C1">
      <selection activeCell="J27" sqref="J27"/>
      <pageMargins left="0.39370078740157483" right="0.19685039370078741" top="0.98425196850393704" bottom="0.59055118110236227" header="0.19685039370078741" footer="0.19685039370078741"/>
      <printOptions horizontalCentered="1"/>
      <pageSetup paperSize="9" scale="70" orientation="landscape" horizontalDpi="300" verticalDpi="300" r:id="rId4"/>
      <headerFooter alignWithMargins="0">
        <oddFooter>&amp;L&amp;"Arial,Cursiva"&amp;8&amp;F/&amp;A</oddFooter>
      </headerFooter>
    </customSheetView>
    <customSheetView guid="{6E522E40-ADAC-11D9-BF96-E1679183EC62}" scale="75" showGridLines="0" showRuler="0">
      <pageMargins left="0.39370078740157483" right="0.19685039370078741" top="0.98425196850393704" bottom="0.59055118110236227" header="0.19685039370078741" footer="0.19685039370078741"/>
      <printOptions horizontalCentered="1"/>
      <pageSetup paperSize="9" scale="70" orientation="landscape" horizontalDpi="300" verticalDpi="300" r:id="rId5"/>
      <headerFooter alignWithMargins="0">
        <oddFooter>&amp;L&amp;"Arial,Cursiva"&amp;8&amp;F/&amp;A</oddFooter>
      </headerFooter>
    </customSheetView>
    <customSheetView guid="{E2D6C99B-B71A-11D9-AA94-00E07DBAFB56}" scale="75" showPageBreaks="1" showGridLines="0" printArea="1" showRuler="0" topLeftCell="F14">
      <selection activeCell="M32" sqref="M32"/>
      <pageMargins left="0.39370078740157483" right="0.19685039370078741" top="0.98425196850393704" bottom="0.59055118110236227" header="0.19685039370078741" footer="0.19685039370078741"/>
      <printOptions horizontalCentered="1"/>
      <pageSetup paperSize="9" scale="70" orientation="landscape" horizontalDpi="300" verticalDpi="300" r:id="rId6"/>
      <headerFooter alignWithMargins="0">
        <oddFooter>&amp;L&amp;"Arial,Cursiva"&amp;8&amp;F/&amp;A</oddFooter>
      </headerFooter>
    </customSheetView>
  </customSheetViews>
  <mergeCells count="3">
    <mergeCell ref="K11:L11"/>
    <mergeCell ref="R12:S12"/>
    <mergeCell ref="A2:P2"/>
  </mergeCells>
  <phoneticPr fontId="0" type="noConversion"/>
  <printOptions horizontalCentered="1"/>
  <pageMargins left="0.17" right="0.17" top="0.98425196850393704" bottom="0.59055118110236227" header="0.19685039370078741" footer="0.19685039370078741"/>
  <pageSetup paperSize="9" scale="64" orientation="landscape" r:id="rId7"/>
  <headerFooter alignWithMargins="0">
    <oddFooter>&amp;L&amp;"Arial,Cursiva"&amp;8&amp;F/&amp;A</oddFooter>
  </headerFooter>
  <colBreaks count="1" manualBreakCount="1">
    <brk id="16" max="29" man="1"/>
  </colBreaks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10" name="Button 2">
              <controlPr defaultSize="0" print="0" autoFill="0" autoLine="0" autoPict="0" macro="[0]!Gra_11">
                <anchor moveWithCells="1" sizeWithCells="1">
                  <from>
                    <xdr:col>0</xdr:col>
                    <xdr:colOff>228600</xdr:colOff>
                    <xdr:row>38</xdr:row>
                    <xdr:rowOff>95250</xdr:rowOff>
                  </from>
                  <to>
                    <xdr:col>1</xdr:col>
                    <xdr:colOff>228600</xdr:colOff>
                    <xdr:row>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11" name="Button 4">
              <controlPr defaultSize="0" print="0" autoFill="0" autoLine="0" autoPict="0" macro="[0]!Men_P">
                <anchor moveWithCells="1" sizeWithCells="1">
                  <from>
                    <xdr:col>0</xdr:col>
                    <xdr:colOff>247650</xdr:colOff>
                    <xdr:row>40</xdr:row>
                    <xdr:rowOff>123825</xdr:rowOff>
                  </from>
                  <to>
                    <xdr:col>1</xdr:col>
                    <xdr:colOff>228600</xdr:colOff>
                    <xdr:row>42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Y25"/>
  <sheetViews>
    <sheetView showGridLines="0" view="pageBreakPreview" topLeftCell="A7" zoomScale="90" zoomScaleNormal="100" zoomScaleSheetLayoutView="90" workbookViewId="0">
      <selection activeCell="K18" sqref="K18"/>
    </sheetView>
  </sheetViews>
  <sheetFormatPr baseColWidth="10" defaultColWidth="11.42578125" defaultRowHeight="11.25"/>
  <cols>
    <col min="1" max="1" width="2" style="590" bestFit="1" customWidth="1"/>
    <col min="2" max="2" width="10.140625" style="590" customWidth="1"/>
    <col min="3" max="3" width="8.28515625" style="590" customWidth="1"/>
    <col min="4" max="5" width="11.42578125" style="590"/>
    <col min="6" max="7" width="8" style="590" customWidth="1"/>
    <col min="8" max="8" width="9.5703125" style="590" customWidth="1"/>
    <col min="9" max="9" width="8.42578125" style="590" customWidth="1"/>
    <col min="10" max="10" width="10.28515625" style="590" customWidth="1"/>
    <col min="11" max="11" width="9.140625" style="590" customWidth="1"/>
    <col min="12" max="12" width="8.140625" style="590" customWidth="1"/>
    <col min="13" max="13" width="8.7109375" style="590" customWidth="1"/>
    <col min="14" max="14" width="9.28515625" style="590" customWidth="1"/>
    <col min="15" max="15" width="9.5703125" style="590" customWidth="1"/>
    <col min="16" max="16" width="9" style="590" customWidth="1"/>
    <col min="17" max="17" width="9.28515625" style="590" customWidth="1"/>
    <col min="18" max="18" width="6.85546875" style="590" hidden="1" customWidth="1"/>
    <col min="19" max="19" width="6.5703125" style="590" hidden="1" customWidth="1"/>
    <col min="20" max="20" width="7.7109375" style="590" hidden="1" customWidth="1"/>
    <col min="21" max="21" width="6.85546875" style="590" hidden="1" customWidth="1"/>
    <col min="22" max="24" width="7.7109375" style="590" hidden="1" customWidth="1"/>
    <col min="25" max="25" width="1.85546875" style="590" hidden="1" customWidth="1"/>
    <col min="26" max="26" width="2.28515625" style="590" customWidth="1"/>
    <col min="27" max="16384" width="11.42578125" style="590"/>
  </cols>
  <sheetData>
    <row r="1" spans="1:25" ht="12.75">
      <c r="A1" s="1339"/>
      <c r="B1" s="1340"/>
      <c r="C1" s="1374"/>
      <c r="D1" s="1339"/>
      <c r="E1" s="1339"/>
      <c r="F1" s="1339"/>
      <c r="G1" s="1339"/>
      <c r="H1" s="1339"/>
      <c r="I1" s="1339"/>
      <c r="J1" s="1339"/>
      <c r="K1" s="1339"/>
      <c r="L1" s="1339"/>
      <c r="M1" s="1339"/>
      <c r="N1" s="1339"/>
      <c r="O1" s="1339"/>
      <c r="P1" s="1339"/>
      <c r="Q1" s="1339"/>
      <c r="R1" s="1339"/>
      <c r="S1" s="1339"/>
      <c r="T1" s="1339"/>
      <c r="U1" s="1339"/>
      <c r="V1" s="1339"/>
      <c r="W1" s="1339"/>
      <c r="X1" s="1339"/>
      <c r="Y1" s="1339"/>
    </row>
    <row r="2" spans="1:25" ht="39.75" customHeight="1">
      <c r="A2" s="1341"/>
      <c r="B2" s="1622" t="s">
        <v>1702</v>
      </c>
      <c r="C2" s="1622"/>
      <c r="D2" s="1622"/>
      <c r="E2" s="1622"/>
      <c r="F2" s="1622"/>
      <c r="G2" s="1622"/>
      <c r="H2" s="1622"/>
      <c r="I2" s="1622"/>
      <c r="J2" s="1622"/>
      <c r="K2" s="1622"/>
      <c r="L2" s="1622"/>
      <c r="M2" s="1622"/>
      <c r="N2" s="1622"/>
      <c r="O2" s="1622"/>
      <c r="P2" s="1622"/>
      <c r="Q2" s="1622"/>
      <c r="R2" s="1622"/>
      <c r="S2" s="1622"/>
      <c r="T2" s="1622"/>
      <c r="U2" s="1622"/>
      <c r="V2" s="1622"/>
      <c r="W2" s="1622"/>
      <c r="X2" s="1622"/>
      <c r="Y2" s="1622"/>
    </row>
    <row r="3" spans="1:25" ht="15.75" customHeight="1">
      <c r="A3" s="1341"/>
      <c r="B3" s="1246"/>
      <c r="C3" s="1246"/>
      <c r="D3" s="1246"/>
      <c r="E3" s="1246"/>
      <c r="F3" s="1246"/>
      <c r="G3" s="1246"/>
      <c r="H3" s="1246"/>
      <c r="I3" s="1246"/>
      <c r="J3" s="1246"/>
      <c r="K3" s="1246"/>
      <c r="L3" s="1246"/>
      <c r="M3" s="1246"/>
      <c r="N3" s="1246"/>
      <c r="O3" s="1246"/>
      <c r="P3" s="1246"/>
      <c r="Q3" s="1246"/>
      <c r="R3" s="1246"/>
      <c r="S3" s="1246"/>
      <c r="T3" s="1246"/>
      <c r="U3" s="1246"/>
      <c r="V3" s="1246"/>
      <c r="W3" s="1246"/>
      <c r="X3" s="1246"/>
      <c r="Y3" s="1246"/>
    </row>
    <row r="4" spans="1:25" ht="15" customHeight="1">
      <c r="A4" s="1341"/>
      <c r="B4" s="1342" t="s">
        <v>1678</v>
      </c>
      <c r="E4" s="1341"/>
      <c r="F4" s="1341"/>
      <c r="G4" s="1341"/>
      <c r="H4" s="1341"/>
      <c r="I4" s="1341"/>
      <c r="J4" s="1341"/>
      <c r="K4" s="1341"/>
      <c r="L4" s="1341"/>
      <c r="M4" s="1341"/>
      <c r="N4" s="1341"/>
      <c r="O4" s="1341"/>
      <c r="P4" s="1341"/>
      <c r="Q4" s="1341"/>
      <c r="R4" s="1339"/>
      <c r="S4" s="1339"/>
      <c r="T4" s="1339"/>
      <c r="U4" s="1339"/>
      <c r="V4" s="1339"/>
      <c r="W4" s="1339"/>
      <c r="X4" s="1339"/>
      <c r="Y4" s="1339"/>
    </row>
    <row r="5" spans="1:25" ht="15" customHeight="1">
      <c r="A5" s="1341"/>
      <c r="B5" s="1342" t="s">
        <v>1679</v>
      </c>
      <c r="E5" s="1341"/>
      <c r="F5" s="1341"/>
      <c r="G5" s="1341"/>
      <c r="H5" s="1341"/>
      <c r="I5" s="1341"/>
      <c r="J5" s="1341"/>
      <c r="K5" s="1341"/>
      <c r="L5" s="1341"/>
      <c r="M5" s="1341"/>
      <c r="N5" s="1341"/>
      <c r="O5" s="1341"/>
      <c r="P5" s="1341"/>
      <c r="Q5" s="1341"/>
      <c r="R5" s="1339"/>
      <c r="S5" s="1339"/>
      <c r="T5" s="1339"/>
      <c r="U5" s="1339"/>
      <c r="V5" s="1339"/>
      <c r="W5" s="1339"/>
      <c r="X5" s="1339"/>
      <c r="Y5" s="1339"/>
    </row>
    <row r="6" spans="1:25" ht="15" customHeight="1">
      <c r="A6" s="591"/>
      <c r="E6" s="591"/>
      <c r="F6" s="591"/>
      <c r="G6" s="591"/>
      <c r="H6" s="591"/>
      <c r="I6" s="591"/>
      <c r="J6" s="591"/>
      <c r="K6" s="591"/>
      <c r="L6" s="591"/>
      <c r="M6" s="591"/>
      <c r="N6" s="591"/>
      <c r="O6" s="591"/>
      <c r="P6" s="591"/>
      <c r="Q6" s="591"/>
    </row>
    <row r="7" spans="1:25" ht="15" customHeight="1">
      <c r="A7" s="591"/>
      <c r="C7" s="592"/>
      <c r="E7" s="591"/>
      <c r="F7" s="591"/>
      <c r="G7" s="591"/>
      <c r="H7" s="591"/>
      <c r="I7" s="591"/>
      <c r="J7" s="591"/>
      <c r="K7" s="591"/>
      <c r="L7" s="591"/>
      <c r="M7" s="591"/>
      <c r="N7" s="591"/>
      <c r="O7" s="591"/>
      <c r="P7" s="591"/>
      <c r="Q7" s="591"/>
    </row>
    <row r="8" spans="1:25" ht="18" customHeight="1">
      <c r="B8" s="1083" t="s">
        <v>135</v>
      </c>
      <c r="C8" s="974"/>
      <c r="D8" s="974"/>
      <c r="E8" s="974"/>
      <c r="F8" s="974"/>
      <c r="G8" s="974"/>
      <c r="H8" s="974"/>
      <c r="I8" s="974"/>
      <c r="J8" s="974"/>
      <c r="K8" s="974"/>
      <c r="L8" s="974"/>
      <c r="M8" s="974"/>
      <c r="N8" s="974"/>
      <c r="O8" s="974"/>
      <c r="P8" s="974"/>
      <c r="Q8" s="974"/>
      <c r="R8" s="975"/>
      <c r="S8" s="975"/>
      <c r="T8" s="975"/>
      <c r="U8" s="975"/>
      <c r="V8" s="975"/>
      <c r="W8" s="975"/>
      <c r="X8" s="975"/>
    </row>
    <row r="9" spans="1:25" ht="15" customHeight="1">
      <c r="B9" s="1407" t="s">
        <v>142</v>
      </c>
      <c r="C9" s="976"/>
      <c r="D9" s="976"/>
      <c r="E9" s="976"/>
      <c r="F9" s="976"/>
      <c r="G9" s="976"/>
      <c r="H9" s="976"/>
      <c r="I9" s="976"/>
      <c r="J9" s="976"/>
      <c r="K9" s="976"/>
      <c r="L9" s="976"/>
      <c r="M9" s="976"/>
      <c r="N9" s="976"/>
      <c r="O9" s="976"/>
      <c r="P9" s="976"/>
      <c r="Q9" s="976"/>
      <c r="R9" s="975"/>
      <c r="S9" s="975"/>
      <c r="T9" s="975"/>
      <c r="U9" s="975"/>
      <c r="V9" s="975"/>
      <c r="W9" s="975"/>
      <c r="X9" s="975"/>
    </row>
    <row r="10" spans="1:25" ht="15" customHeight="1">
      <c r="B10" s="1408" t="s">
        <v>1697</v>
      </c>
      <c r="C10" s="977"/>
    </row>
    <row r="11" spans="1:25" ht="12.75">
      <c r="A11" s="1175"/>
      <c r="B11" s="1642" t="s">
        <v>386</v>
      </c>
      <c r="C11" s="1644" t="s">
        <v>136</v>
      </c>
      <c r="D11" s="1644" t="s">
        <v>406</v>
      </c>
      <c r="E11" s="1646"/>
      <c r="F11" s="1646"/>
      <c r="G11" s="1646"/>
      <c r="H11" s="1647"/>
      <c r="I11" s="1650" t="s">
        <v>387</v>
      </c>
      <c r="J11" s="1650" t="s">
        <v>137</v>
      </c>
      <c r="K11" s="1377" t="s">
        <v>138</v>
      </c>
      <c r="L11" s="1378" t="s">
        <v>139</v>
      </c>
      <c r="M11" s="1379"/>
      <c r="N11" s="1379"/>
      <c r="O11" s="1379"/>
      <c r="P11" s="1379"/>
      <c r="Q11" s="1490"/>
      <c r="R11" s="696"/>
      <c r="S11" s="696"/>
      <c r="T11" s="696"/>
      <c r="U11" s="696"/>
      <c r="V11" s="696"/>
      <c r="W11" s="696"/>
      <c r="X11" s="696"/>
      <c r="Y11" s="696"/>
    </row>
    <row r="12" spans="1:25" ht="15" customHeight="1" thickBot="1">
      <c r="A12" s="1175"/>
      <c r="B12" s="1643"/>
      <c r="C12" s="1645"/>
      <c r="D12" s="1645"/>
      <c r="E12" s="1648"/>
      <c r="F12" s="1648"/>
      <c r="G12" s="1648"/>
      <c r="H12" s="1649"/>
      <c r="I12" s="1651"/>
      <c r="J12" s="1651"/>
      <c r="K12" s="1380">
        <v>44228</v>
      </c>
      <c r="L12" s="1381">
        <v>44440</v>
      </c>
      <c r="M12" s="1382" t="s">
        <v>398</v>
      </c>
      <c r="N12" s="1383">
        <v>44470</v>
      </c>
      <c r="O12" s="1382" t="s">
        <v>398</v>
      </c>
      <c r="P12" s="1383">
        <v>44501</v>
      </c>
      <c r="Q12" s="1382" t="s">
        <v>398</v>
      </c>
      <c r="R12" s="1489">
        <v>44531</v>
      </c>
      <c r="S12" s="593" t="s">
        <v>398</v>
      </c>
      <c r="T12" s="1176">
        <v>44562</v>
      </c>
      <c r="U12" s="594" t="s">
        <v>398</v>
      </c>
      <c r="V12" s="1176">
        <v>44593</v>
      </c>
      <c r="W12" s="593" t="s">
        <v>398</v>
      </c>
      <c r="X12" s="1176">
        <v>44621</v>
      </c>
      <c r="Y12" s="594" t="s">
        <v>398</v>
      </c>
    </row>
    <row r="13" spans="1:25" ht="15" customHeight="1">
      <c r="B13" s="1384"/>
      <c r="C13" s="1384"/>
      <c r="D13" s="1385"/>
      <c r="E13" s="1386"/>
      <c r="F13" s="1386"/>
      <c r="G13" s="1386"/>
      <c r="H13" s="1387"/>
      <c r="I13" s="1384"/>
      <c r="J13" s="1384"/>
      <c r="K13" s="1384"/>
      <c r="L13" s="1384"/>
      <c r="M13" s="1384"/>
      <c r="N13" s="1384"/>
      <c r="O13" s="1384"/>
      <c r="P13" s="1384"/>
      <c r="Q13" s="1384"/>
      <c r="R13" s="595"/>
      <c r="S13" s="598"/>
      <c r="T13" s="596"/>
      <c r="U13" s="597"/>
      <c r="V13" s="595"/>
      <c r="W13" s="598"/>
      <c r="X13" s="596"/>
      <c r="Y13" s="597"/>
    </row>
    <row r="14" spans="1:25" ht="15" customHeight="1">
      <c r="B14" s="1399" t="s">
        <v>1684</v>
      </c>
      <c r="C14" s="1399" t="s">
        <v>1681</v>
      </c>
      <c r="D14" s="1406" t="s">
        <v>1687</v>
      </c>
      <c r="E14" s="1400"/>
      <c r="F14" s="1400"/>
      <c r="G14" s="1400"/>
      <c r="H14" s="1401"/>
      <c r="I14" s="1402">
        <v>0.17899999999999999</v>
      </c>
      <c r="J14" s="1403">
        <v>1</v>
      </c>
      <c r="K14" s="1404" t="s">
        <v>1690</v>
      </c>
      <c r="L14" s="1405">
        <v>653.54</v>
      </c>
      <c r="M14" s="1402">
        <f>+ROUND($I$14*(($J$14*L14)/($J$14*$K$14)),3)</f>
        <v>0.185</v>
      </c>
      <c r="N14" s="1405">
        <v>653.54</v>
      </c>
      <c r="O14" s="1402">
        <f>+ROUND($I$14*(($J$14*N14)/($J$14*$K$14)),3)</f>
        <v>0.185</v>
      </c>
      <c r="P14" s="1405">
        <v>653.54</v>
      </c>
      <c r="Q14" s="1402">
        <f>+ROUND($I$14*(($J$14*P14)/($J$14*$K$14)),3)</f>
        <v>0.185</v>
      </c>
      <c r="R14" s="1177"/>
      <c r="S14" s="1337">
        <f>+ROUND($I$14*(($J$14*R14)/($J$14*$K$14)),3)</f>
        <v>0</v>
      </c>
      <c r="T14" s="1177"/>
      <c r="U14" s="1334">
        <f>+ROUND($I$14*(($J$14*T14)/($J$14*$K$14)),3)</f>
        <v>0</v>
      </c>
      <c r="V14" s="1213"/>
      <c r="W14" s="1337">
        <f>+ROUND($I$14*(($J$14*V14)/($J$14*$K$14)),3)</f>
        <v>0</v>
      </c>
      <c r="X14" s="1177"/>
      <c r="Y14" s="1334">
        <f>+ROUND($I$14*(($J$14*X14)/($J$14*$K$14)),3)</f>
        <v>0</v>
      </c>
    </row>
    <row r="15" spans="1:25" ht="15" customHeight="1">
      <c r="B15" s="1399" t="s">
        <v>1685</v>
      </c>
      <c r="C15" s="1399" t="s">
        <v>1682</v>
      </c>
      <c r="D15" s="1406" t="s">
        <v>1680</v>
      </c>
      <c r="E15" s="1400"/>
      <c r="F15" s="1400"/>
      <c r="G15" s="1400"/>
      <c r="H15" s="1401"/>
      <c r="I15" s="1402">
        <v>0.3</v>
      </c>
      <c r="J15" s="1403">
        <v>1</v>
      </c>
      <c r="K15" s="1404" t="s">
        <v>1691</v>
      </c>
      <c r="L15" s="1405">
        <v>109.98</v>
      </c>
      <c r="M15" s="1402">
        <f>+ROUND($I$15*(($J$15*L15)/($J$15*$K$15)),3)</f>
        <v>0.29899999999999999</v>
      </c>
      <c r="N15" s="1405">
        <v>110.75</v>
      </c>
      <c r="O15" s="1402">
        <f>+ROUND($I$15*(($J$15*N15)/($J$15*$K$15)),3)</f>
        <v>0.30099999999999999</v>
      </c>
      <c r="P15" s="1405">
        <v>112.89</v>
      </c>
      <c r="Q15" s="1402">
        <f>+ROUND($I$15*(($J$15*P15)/($J$15*$K$15)),3)</f>
        <v>0.307</v>
      </c>
      <c r="R15" s="1177"/>
      <c r="S15" s="1337">
        <f>+ROUND($I$15*(($J$15*R15)/($J$15*$K$15)),3)</f>
        <v>0</v>
      </c>
      <c r="T15" s="1177"/>
      <c r="U15" s="1334">
        <f>+ROUND($I$15*(($J$15*T15)/($J$15*$K$15)),3)</f>
        <v>0</v>
      </c>
      <c r="V15" s="1213"/>
      <c r="W15" s="1337">
        <f>+ROUND($I$15*(($J$15*V15)/($J$15*$K$15)),3)</f>
        <v>0</v>
      </c>
      <c r="X15" s="1177"/>
      <c r="Y15" s="1334">
        <f>+ROUND($I$15*(($J$15*X15)/($J$15*$K$15)),3)</f>
        <v>0</v>
      </c>
    </row>
    <row r="16" spans="1:25" ht="15" customHeight="1">
      <c r="B16" s="1399" t="s">
        <v>396</v>
      </c>
      <c r="C16" s="1399" t="s">
        <v>478</v>
      </c>
      <c r="D16" s="1406" t="s">
        <v>807</v>
      </c>
      <c r="E16" s="1400"/>
      <c r="F16" s="1400"/>
      <c r="G16" s="1400"/>
      <c r="H16" s="1401"/>
      <c r="I16" s="1402">
        <v>7.5999999999999998E-2</v>
      </c>
      <c r="J16" s="1403">
        <v>1</v>
      </c>
      <c r="K16" s="1404" t="s">
        <v>1692</v>
      </c>
      <c r="L16" s="1405">
        <v>821.15</v>
      </c>
      <c r="M16" s="1402">
        <f>+ROUND($I$16*(($J$16*L16)/($J$16*$K$16)),3)</f>
        <v>8.7999999999999995E-2</v>
      </c>
      <c r="N16" s="1405">
        <v>802.66</v>
      </c>
      <c r="O16" s="1402">
        <f>+ROUND($I$16*(($J$16*N16)/($J$16*$K$16)),3)</f>
        <v>8.5999999999999993E-2</v>
      </c>
      <c r="P16" s="1405">
        <v>812.99</v>
      </c>
      <c r="Q16" s="1402">
        <f>+ROUND($I$16*(($J$16*P16)/($J$16*$K$16)),3)</f>
        <v>8.6999999999999994E-2</v>
      </c>
      <c r="R16" s="1177"/>
      <c r="S16" s="1337">
        <f>+ROUND($I$16*(($J$16*R16)/($J$16*$K$16)),3)</f>
        <v>0</v>
      </c>
      <c r="T16" s="1177"/>
      <c r="U16" s="1334">
        <f>+ROUND($I$16*(($J$16*T16)/($J$16*$K$16)),3)</f>
        <v>0</v>
      </c>
      <c r="V16" s="1213"/>
      <c r="W16" s="1337">
        <f>+ROUND($I$16*(($J$16*V16)/($J$16*$K$16)),3)</f>
        <v>0</v>
      </c>
      <c r="X16" s="1177"/>
      <c r="Y16" s="1334">
        <f>+ROUND($I$16*(($J$16*X16)/($J$16*$K$16)),3)</f>
        <v>0</v>
      </c>
    </row>
    <row r="17" spans="2:25" ht="15" customHeight="1">
      <c r="B17" s="1399" t="s">
        <v>1257</v>
      </c>
      <c r="C17" s="1399" t="s">
        <v>305</v>
      </c>
      <c r="D17" s="1406" t="s">
        <v>1143</v>
      </c>
      <c r="E17" s="1400"/>
      <c r="F17" s="1400"/>
      <c r="G17" s="1400"/>
      <c r="H17" s="1401"/>
      <c r="I17" s="1402">
        <v>0.152</v>
      </c>
      <c r="J17" s="1403">
        <v>1</v>
      </c>
      <c r="K17" s="1404" t="s">
        <v>1693</v>
      </c>
      <c r="L17" s="1405">
        <v>405.85</v>
      </c>
      <c r="M17" s="1402">
        <f>+ROUND($I$17*(($J$17*L17)/($J$17*$K$17)),3)</f>
        <v>0.17699999999999999</v>
      </c>
      <c r="N17" s="1405">
        <v>400.19</v>
      </c>
      <c r="O17" s="1402">
        <f>+ROUND($I$17*(($J$17*N17)/($J$17*$K$17)),3)</f>
        <v>0.17499999999999999</v>
      </c>
      <c r="P17" s="1405">
        <v>403.22</v>
      </c>
      <c r="Q17" s="1402">
        <f>+ROUND($I$17*(($J$17*P17)/($J$17*$K$17)),3)</f>
        <v>0.17599999999999999</v>
      </c>
      <c r="R17" s="1177"/>
      <c r="S17" s="1337">
        <f>+ROUND($I$17*(($J$17*R17)/($J$17*$K$17)),3)</f>
        <v>0</v>
      </c>
      <c r="T17" s="1177"/>
      <c r="U17" s="1334">
        <f>+ROUND($I$17*(($J$17*T17)/($J$17*$K$17)),3)</f>
        <v>0</v>
      </c>
      <c r="V17" s="1213"/>
      <c r="W17" s="1337">
        <f>+ROUND($I$17*(($J$17*V17)/($J$17*$K$17)),3)</f>
        <v>0</v>
      </c>
      <c r="X17" s="1177"/>
      <c r="Y17" s="1334">
        <f>+ROUND($I$17*(($J$17*X17)/($J$17*$K$17)),3)</f>
        <v>0</v>
      </c>
    </row>
    <row r="18" spans="2:25" ht="15" customHeight="1">
      <c r="B18" s="1399" t="s">
        <v>1686</v>
      </c>
      <c r="C18" s="1399" t="s">
        <v>294</v>
      </c>
      <c r="D18" s="1406" t="s">
        <v>1688</v>
      </c>
      <c r="E18" s="1400"/>
      <c r="F18" s="1400"/>
      <c r="G18" s="1400"/>
      <c r="H18" s="1401"/>
      <c r="I18" s="1402">
        <v>0.14199999999999999</v>
      </c>
      <c r="J18" s="1403">
        <v>1</v>
      </c>
      <c r="K18" s="1404" t="s">
        <v>1694</v>
      </c>
      <c r="L18" s="1405">
        <v>655.20000000000005</v>
      </c>
      <c r="M18" s="1402">
        <f>+ROUND($I$18*(($J$18*L18)/($J$18*$K$18)),3)</f>
        <v>0.16700000000000001</v>
      </c>
      <c r="N18" s="1405">
        <v>642.27</v>
      </c>
      <c r="O18" s="1402">
        <f>+ROUND($I$18*(($J$18*N18)/($J$18*$K$18)),3)</f>
        <v>0.16400000000000001</v>
      </c>
      <c r="P18" s="1405">
        <v>648.25</v>
      </c>
      <c r="Q18" s="1402">
        <f>+ROUND($I$18*(($J$18*P18)/($J$18*$K$18)),3)</f>
        <v>0.16600000000000001</v>
      </c>
      <c r="R18" s="1177"/>
      <c r="S18" s="1337">
        <f>+ROUND($I$18*(($J$18*R18)/($J$18*$K$18)),3)</f>
        <v>0</v>
      </c>
      <c r="T18" s="1177"/>
      <c r="U18" s="1334">
        <f>+ROUND($I$18*(($J$18*T18)/($J$18*$K$18)),3)</f>
        <v>0</v>
      </c>
      <c r="V18" s="1213"/>
      <c r="W18" s="1337">
        <f>+ROUND($I$18*(($J$18*V18)/($J$18*$K$18)),3)</f>
        <v>0</v>
      </c>
      <c r="X18" s="1177"/>
      <c r="Y18" s="1334">
        <f>+ROUND($I$18*(($J$18*X18)/($J$18*$K$18)),3)</f>
        <v>0</v>
      </c>
    </row>
    <row r="19" spans="2:25" ht="15" customHeight="1" thickBot="1">
      <c r="B19" s="1399" t="s">
        <v>1256</v>
      </c>
      <c r="C19" s="1399" t="s">
        <v>1683</v>
      </c>
      <c r="D19" s="1406" t="s">
        <v>1689</v>
      </c>
      <c r="E19" s="1400"/>
      <c r="F19" s="1400"/>
      <c r="G19" s="1400"/>
      <c r="H19" s="1401"/>
      <c r="I19" s="1402">
        <v>0.151</v>
      </c>
      <c r="J19" s="1403">
        <v>1</v>
      </c>
      <c r="K19" s="1404" t="s">
        <v>1695</v>
      </c>
      <c r="L19" s="1405">
        <v>491.36</v>
      </c>
      <c r="M19" s="1402">
        <f>+ROUND($I$19*(($J$19*L19)/($J$19*$K$19)),3)</f>
        <v>0.157</v>
      </c>
      <c r="N19" s="1405">
        <v>494.23</v>
      </c>
      <c r="O19" s="1402">
        <f>+ROUND($I$19*(($J$19*N19)/($J$19*$K$19)),3)</f>
        <v>0.158</v>
      </c>
      <c r="P19" s="1405">
        <v>496</v>
      </c>
      <c r="Q19" s="1402">
        <f>+ROUND($I$19*(($J$19*P19)/($J$19*$K$19)),3)</f>
        <v>0.158</v>
      </c>
      <c r="R19" s="1178"/>
      <c r="S19" s="1338">
        <f>+ROUND($I$19*(($J$19*R19)/($J$19*$K$19)),3)</f>
        <v>0</v>
      </c>
      <c r="T19" s="1178"/>
      <c r="U19" s="1335">
        <f>+ROUND($I$19*(($J$19*T19)/($J$19*$K$19)),3)</f>
        <v>0</v>
      </c>
      <c r="V19" s="1214"/>
      <c r="W19" s="1338">
        <f>+ROUND($I$19*(($J$19*V19)/($J$19*$K$19)),3)</f>
        <v>0</v>
      </c>
      <c r="X19" s="1178"/>
      <c r="Y19" s="1335">
        <f>+ROUND($I$19*(($J$19*X19)/($J$19*$K$19)),3)</f>
        <v>0</v>
      </c>
    </row>
    <row r="20" spans="2:25" ht="15" customHeight="1">
      <c r="B20" s="1388"/>
      <c r="C20" s="1388"/>
      <c r="D20" s="1389"/>
      <c r="E20" s="1390"/>
      <c r="F20" s="1390"/>
      <c r="G20" s="1390"/>
      <c r="H20" s="1391"/>
      <c r="I20" s="1388"/>
      <c r="J20" s="1388"/>
      <c r="K20" s="1388"/>
      <c r="L20" s="1388"/>
      <c r="M20" s="1388"/>
      <c r="N20" s="1388"/>
      <c r="O20" s="1388"/>
      <c r="P20" s="1388"/>
      <c r="Q20" s="1388"/>
      <c r="R20" s="595"/>
      <c r="S20" s="598"/>
      <c r="T20" s="596"/>
      <c r="U20" s="597"/>
      <c r="V20" s="595"/>
      <c r="W20" s="598"/>
      <c r="X20" s="596"/>
      <c r="Y20" s="597"/>
    </row>
    <row r="21" spans="2:25" ht="12.75">
      <c r="B21" s="1392"/>
      <c r="C21" s="1393"/>
      <c r="D21" s="1393"/>
      <c r="E21" s="1393"/>
      <c r="F21" s="1393"/>
      <c r="G21" s="1393"/>
      <c r="H21" s="1393"/>
      <c r="I21" s="1394">
        <f>SUM(I13:I20)</f>
        <v>1</v>
      </c>
      <c r="J21" s="1393"/>
      <c r="K21" s="1395"/>
      <c r="L21" s="1396"/>
      <c r="M21" s="1487">
        <f>ROUND(SUM(M13:M20),3)</f>
        <v>1.073</v>
      </c>
      <c r="N21" s="1397" t="s">
        <v>398</v>
      </c>
      <c r="O21" s="1487">
        <f>ROUND(SUM(O13:O20),3)</f>
        <v>1.069</v>
      </c>
      <c r="P21" s="1398"/>
      <c r="Q21" s="1608">
        <f>ROUND(SUM(Q13:Q20),3)</f>
        <v>1.079</v>
      </c>
      <c r="R21" s="1204"/>
      <c r="S21" s="1179">
        <f>SUM(S13:S19)</f>
        <v>0</v>
      </c>
      <c r="T21" s="600" t="s">
        <v>398</v>
      </c>
      <c r="U21" s="1336">
        <f>SUM(U13:U19)</f>
        <v>0</v>
      </c>
      <c r="V21" s="1204" t="s">
        <v>398</v>
      </c>
      <c r="W21" s="1179">
        <f>SUM(W13:W19)</f>
        <v>0</v>
      </c>
      <c r="X21" s="600" t="s">
        <v>398</v>
      </c>
      <c r="Y21" s="1336">
        <f>SUM(Y13:Y19)</f>
        <v>0</v>
      </c>
    </row>
    <row r="22" spans="2:25">
      <c r="I22" s="1375"/>
      <c r="K22" s="599"/>
      <c r="L22" s="599"/>
      <c r="M22" s="1375"/>
      <c r="N22" s="1376"/>
      <c r="O22" s="1375"/>
      <c r="P22" s="599"/>
      <c r="Q22" s="1375"/>
      <c r="R22" s="599"/>
      <c r="S22" s="1375"/>
      <c r="T22" s="599"/>
      <c r="U22" s="1375"/>
      <c r="V22" s="599"/>
      <c r="W22" s="1375"/>
      <c r="X22" s="599"/>
      <c r="Y22" s="1375"/>
    </row>
    <row r="23" spans="2:25">
      <c r="B23" s="590" t="s">
        <v>135</v>
      </c>
      <c r="K23" s="599"/>
      <c r="L23" s="599"/>
      <c r="M23" s="599"/>
      <c r="N23" s="599"/>
    </row>
    <row r="24" spans="2:25" ht="15">
      <c r="B24" s="1360" t="s">
        <v>1696</v>
      </c>
    </row>
    <row r="25" spans="2:25">
      <c r="B25" s="601"/>
    </row>
  </sheetData>
  <mergeCells count="6">
    <mergeCell ref="B2:Y2"/>
    <mergeCell ref="B11:B12"/>
    <mergeCell ref="C11:C12"/>
    <mergeCell ref="D11:H12"/>
    <mergeCell ref="I11:I12"/>
    <mergeCell ref="J11:J12"/>
  </mergeCells>
  <phoneticPr fontId="74" type="noConversion"/>
  <printOptions horizontalCentered="1"/>
  <pageMargins left="0.19685039370078741" right="0.19685039370078741" top="0.98425196850393704" bottom="0.98425196850393704" header="0" footer="0"/>
  <pageSetup paperSize="9" scale="85" orientation="landscape" r:id="rId1"/>
  <headerFooter alignWithMargins="0">
    <oddFooter>&amp;L&amp;8&amp;F : &amp;A&amp;R&amp;8&amp;P/&amp;N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1"/>
  <dimension ref="A1:N34"/>
  <sheetViews>
    <sheetView showGridLines="0" showZeros="0" view="pageBreakPreview" topLeftCell="A16" zoomScaleNormal="85" zoomScaleSheetLayoutView="100" workbookViewId="0">
      <selection activeCell="I28" sqref="I28"/>
    </sheetView>
  </sheetViews>
  <sheetFormatPr baseColWidth="10" defaultRowHeight="12.75"/>
  <cols>
    <col min="1" max="1" width="6" customWidth="1"/>
    <col min="2" max="2" width="9.42578125" customWidth="1"/>
    <col min="3" max="3" width="13.5703125" customWidth="1"/>
    <col min="4" max="4" width="13.140625" customWidth="1"/>
    <col min="5" max="5" width="10.5703125" customWidth="1"/>
    <col min="6" max="6" width="7.140625" customWidth="1"/>
    <col min="7" max="7" width="10.5703125" customWidth="1"/>
    <col min="8" max="8" width="11.7109375" customWidth="1"/>
    <col min="9" max="9" width="11.85546875" customWidth="1"/>
    <col min="10" max="10" width="12.85546875" customWidth="1"/>
    <col min="11" max="11" width="5.85546875" customWidth="1"/>
    <col min="12" max="12" width="9.85546875" bestFit="1" customWidth="1"/>
    <col min="13" max="13" width="10.140625" bestFit="1" customWidth="1"/>
    <col min="14" max="14" width="9" bestFit="1" customWidth="1"/>
  </cols>
  <sheetData>
    <row r="1" spans="1:10" ht="13.5">
      <c r="A1" s="61"/>
      <c r="B1" s="298"/>
      <c r="D1" s="61">
        <f>+K!C1</f>
        <v>0</v>
      </c>
    </row>
    <row r="2" spans="1:10" ht="57.75" customHeight="1">
      <c r="A2" s="1656" t="s">
        <v>1703</v>
      </c>
      <c r="B2" s="1656"/>
      <c r="C2" s="1656"/>
      <c r="D2" s="1656"/>
      <c r="E2" s="1656"/>
      <c r="F2" s="1656"/>
      <c r="G2" s="1656"/>
      <c r="H2" s="1656"/>
      <c r="I2" s="1656"/>
      <c r="J2" s="1656"/>
    </row>
    <row r="3" spans="1:10" ht="13.5">
      <c r="A3" s="1328" t="str">
        <f>+K!B4</f>
        <v>CONTRATISTA : DITRANSERVA S.A.C.</v>
      </c>
      <c r="C3" s="571"/>
    </row>
    <row r="4" spans="1:10" ht="13.5">
      <c r="A4" s="1328" t="str">
        <f>+K!B5</f>
        <v>SUPERVISOR : CONSORCIO SUPERVISOR LAS TORRES</v>
      </c>
      <c r="C4" s="571"/>
    </row>
    <row r="5" spans="1:10" ht="13.5">
      <c r="A5" s="298"/>
      <c r="B5" s="571"/>
      <c r="C5" s="571"/>
    </row>
    <row r="7" spans="1:10" ht="15">
      <c r="A7" s="34" t="s">
        <v>584</v>
      </c>
      <c r="B7" s="5"/>
      <c r="C7" s="5"/>
      <c r="D7" s="5"/>
      <c r="E7" s="5"/>
      <c r="F7" s="5"/>
      <c r="G7" s="5"/>
      <c r="H7" s="5"/>
      <c r="I7" s="5"/>
      <c r="J7" s="5"/>
    </row>
    <row r="8" spans="1:10" ht="15">
      <c r="A8" s="34"/>
      <c r="B8" s="5"/>
      <c r="C8" s="5"/>
      <c r="D8" s="5"/>
      <c r="E8" s="5"/>
      <c r="F8" s="5"/>
      <c r="G8" s="5"/>
      <c r="H8" s="5"/>
      <c r="I8" s="5"/>
      <c r="J8" s="5"/>
    </row>
    <row r="10" spans="1:10">
      <c r="A10" s="130" t="s">
        <v>507</v>
      </c>
      <c r="B10" s="33"/>
    </row>
    <row r="12" spans="1:10" ht="18">
      <c r="A12" s="29"/>
      <c r="B12" s="31" t="s">
        <v>492</v>
      </c>
      <c r="C12" s="32" t="s">
        <v>493</v>
      </c>
      <c r="D12" s="32"/>
    </row>
    <row r="15" spans="1:10">
      <c r="A15" s="130" t="s">
        <v>508</v>
      </c>
      <c r="B15" s="33"/>
    </row>
    <row r="16" spans="1:10" ht="14.25">
      <c r="B16" s="30" t="s">
        <v>494</v>
      </c>
      <c r="C16" s="170" t="s">
        <v>496</v>
      </c>
      <c r="D16" s="170"/>
    </row>
    <row r="17" spans="1:14" ht="14.25">
      <c r="B17" s="30" t="s">
        <v>401</v>
      </c>
      <c r="C17" s="170" t="s">
        <v>497</v>
      </c>
      <c r="D17" s="170"/>
      <c r="M17" s="70"/>
    </row>
    <row r="18" spans="1:14" ht="14.25">
      <c r="B18" s="30" t="s">
        <v>402</v>
      </c>
      <c r="C18" s="170" t="s">
        <v>495</v>
      </c>
      <c r="D18" s="170"/>
    </row>
    <row r="19" spans="1:14" ht="13.5" thickBot="1"/>
    <row r="20" spans="1:14">
      <c r="A20" s="111" t="s">
        <v>390</v>
      </c>
      <c r="B20" s="112"/>
      <c r="C20" s="113" t="s">
        <v>390</v>
      </c>
      <c r="D20" s="113" t="s">
        <v>498</v>
      </c>
      <c r="E20" s="113" t="s">
        <v>500</v>
      </c>
      <c r="F20" s="1652" t="s">
        <v>505</v>
      </c>
      <c r="G20" s="1653"/>
      <c r="H20" s="171" t="s">
        <v>501</v>
      </c>
      <c r="I20" s="113" t="s">
        <v>498</v>
      </c>
      <c r="J20" s="114" t="s">
        <v>503</v>
      </c>
      <c r="L20" s="1654" t="s">
        <v>136</v>
      </c>
      <c r="M20" s="1655"/>
    </row>
    <row r="21" spans="1:14" ht="13.5" thickBot="1">
      <c r="A21" s="115" t="s">
        <v>395</v>
      </c>
      <c r="B21" s="116" t="s">
        <v>389</v>
      </c>
      <c r="C21" s="117" t="s">
        <v>422</v>
      </c>
      <c r="D21" s="117" t="s">
        <v>499</v>
      </c>
      <c r="E21" s="117" t="s">
        <v>453</v>
      </c>
      <c r="F21" s="116" t="s">
        <v>398</v>
      </c>
      <c r="G21" s="116" t="s">
        <v>506</v>
      </c>
      <c r="H21" s="116" t="s">
        <v>502</v>
      </c>
      <c r="I21" s="117" t="s">
        <v>499</v>
      </c>
      <c r="J21" s="118" t="s">
        <v>504</v>
      </c>
      <c r="L21" s="838" t="s">
        <v>456</v>
      </c>
      <c r="M21" s="839" t="s">
        <v>286</v>
      </c>
      <c r="N21" s="838" t="s">
        <v>1330</v>
      </c>
    </row>
    <row r="22" spans="1:14">
      <c r="A22" s="59">
        <f>+Retencion!A15</f>
        <v>1</v>
      </c>
      <c r="B22" s="91">
        <f>+Retencion!B15</f>
        <v>44500</v>
      </c>
      <c r="C22" s="60">
        <f>+Retencion!E15</f>
        <v>78066.42</v>
      </c>
      <c r="D22" s="60">
        <v>78066.42</v>
      </c>
      <c r="E22" s="58">
        <f t="shared" ref="E22:E28" si="0">+C22-D22</f>
        <v>0</v>
      </c>
      <c r="F22" s="1466">
        <f>+Retencion!G15</f>
        <v>1.079</v>
      </c>
      <c r="G22" s="91">
        <f>+Retencion!H15</f>
        <v>44501</v>
      </c>
      <c r="H22" s="1190">
        <f t="shared" ref="H22:H28" si="1">ROUND(+C22*(F22-1),2)</f>
        <v>6167.25</v>
      </c>
      <c r="I22" s="1464">
        <v>5698.8500000000058</v>
      </c>
      <c r="J22" s="1465">
        <f t="shared" ref="J22:J28" si="2">+H22-I22</f>
        <v>468.39999999999418</v>
      </c>
      <c r="L22" s="1350">
        <v>44440</v>
      </c>
      <c r="M22" s="1351">
        <v>44501</v>
      </c>
      <c r="N22" s="1351"/>
    </row>
    <row r="23" spans="1:14">
      <c r="A23" s="15">
        <f>+Retencion!A16</f>
        <v>2</v>
      </c>
      <c r="B23" s="56">
        <f>+Retencion!B16</f>
        <v>44530</v>
      </c>
      <c r="C23" s="18">
        <f>+Retencion!E16</f>
        <v>1302063.97</v>
      </c>
      <c r="D23" s="18">
        <v>1302063.97</v>
      </c>
      <c r="E23" s="42">
        <f t="shared" si="0"/>
        <v>0</v>
      </c>
      <c r="F23" s="274">
        <f>+Retencion!G16</f>
        <v>1.069</v>
      </c>
      <c r="G23" s="53">
        <f>+Retencion!H16</f>
        <v>44470</v>
      </c>
      <c r="H23" s="24">
        <f t="shared" si="1"/>
        <v>89842.41</v>
      </c>
      <c r="I23" s="95">
        <v>89842.409999999916</v>
      </c>
      <c r="J23" s="46">
        <f t="shared" si="2"/>
        <v>0</v>
      </c>
      <c r="L23" s="1350">
        <v>44470</v>
      </c>
      <c r="M23" s="1351">
        <v>44531</v>
      </c>
      <c r="N23" s="1351"/>
    </row>
    <row r="24" spans="1:14">
      <c r="A24" s="15">
        <f>+Retencion!A17</f>
        <v>3</v>
      </c>
      <c r="B24" s="56">
        <f>+Retencion!B17</f>
        <v>44561</v>
      </c>
      <c r="C24" s="1209">
        <f>+Retencion!E17</f>
        <v>1388847.16</v>
      </c>
      <c r="D24" s="18">
        <v>1388847.16</v>
      </c>
      <c r="E24" s="42">
        <f t="shared" si="0"/>
        <v>0</v>
      </c>
      <c r="F24" s="274">
        <f>+Retencion!G17</f>
        <v>1.069</v>
      </c>
      <c r="G24" s="53">
        <f>+Retencion!H17</f>
        <v>44470</v>
      </c>
      <c r="H24" s="24">
        <f t="shared" si="1"/>
        <v>95830.45</v>
      </c>
      <c r="I24" s="95">
        <v>95830.46</v>
      </c>
      <c r="J24" s="46">
        <f t="shared" si="2"/>
        <v>-1.0000000009313226E-2</v>
      </c>
      <c r="L24" s="1350">
        <v>44470</v>
      </c>
      <c r="M24" s="1351">
        <v>44562</v>
      </c>
      <c r="N24" s="1351"/>
    </row>
    <row r="25" spans="1:14">
      <c r="A25" s="15">
        <f>+Retencion!A18</f>
        <v>4</v>
      </c>
      <c r="B25" s="56">
        <f>+Retencion!B18</f>
        <v>44561</v>
      </c>
      <c r="C25" s="1209">
        <f>+Retencion!E18</f>
        <v>1430309.29</v>
      </c>
      <c r="D25" s="18">
        <v>1430309.29</v>
      </c>
      <c r="E25" s="42">
        <f t="shared" ref="E25" si="3">+C25-D25</f>
        <v>0</v>
      </c>
      <c r="F25" s="274">
        <f>+Retencion!G18</f>
        <v>1.079</v>
      </c>
      <c r="G25" s="53">
        <f>+Retencion!H18</f>
        <v>44501</v>
      </c>
      <c r="H25" s="24">
        <f t="shared" ref="H25" si="4">ROUND(+C25*(F25-1),2)</f>
        <v>112994.43</v>
      </c>
      <c r="I25" s="95">
        <v>112994.43</v>
      </c>
      <c r="J25" s="46">
        <f t="shared" ref="J25" si="5">+H25-I25</f>
        <v>0</v>
      </c>
      <c r="L25" s="1350">
        <v>44501</v>
      </c>
      <c r="M25" s="1351">
        <v>44562</v>
      </c>
      <c r="N25" s="1351"/>
    </row>
    <row r="26" spans="1:14">
      <c r="A26" s="15">
        <f>+Retencion!A19</f>
        <v>5</v>
      </c>
      <c r="B26" s="56">
        <f>+Retencion!B19</f>
        <v>44592</v>
      </c>
      <c r="C26" s="18">
        <f>+Retencion!E19</f>
        <v>0</v>
      </c>
      <c r="D26" s="18"/>
      <c r="E26" s="42">
        <f t="shared" si="0"/>
        <v>0</v>
      </c>
      <c r="F26" s="274">
        <f>+Retencion!G19</f>
        <v>0</v>
      </c>
      <c r="G26" s="53">
        <f>+Retencion!H19</f>
        <v>44531</v>
      </c>
      <c r="H26" s="24">
        <f t="shared" si="1"/>
        <v>0</v>
      </c>
      <c r="I26" s="95"/>
      <c r="J26" s="46">
        <f t="shared" si="2"/>
        <v>0</v>
      </c>
      <c r="L26" s="1350">
        <v>44531</v>
      </c>
      <c r="M26" s="1351">
        <v>44593</v>
      </c>
      <c r="N26" s="1351"/>
    </row>
    <row r="27" spans="1:14">
      <c r="A27" s="15">
        <f>+Retencion!A20</f>
        <v>6</v>
      </c>
      <c r="B27" s="56">
        <f>+Retencion!B20</f>
        <v>44620</v>
      </c>
      <c r="C27" s="18">
        <f>+Retencion!E20</f>
        <v>0</v>
      </c>
      <c r="D27" s="18"/>
      <c r="E27" s="42">
        <f t="shared" si="0"/>
        <v>0</v>
      </c>
      <c r="F27" s="274">
        <f>+Retencion!G20</f>
        <v>0</v>
      </c>
      <c r="G27" s="53">
        <f>+Retencion!H20</f>
        <v>44562</v>
      </c>
      <c r="H27" s="24">
        <f t="shared" si="1"/>
        <v>0</v>
      </c>
      <c r="I27" s="95"/>
      <c r="J27" s="46">
        <f t="shared" si="2"/>
        <v>0</v>
      </c>
      <c r="L27" s="1350">
        <v>44562</v>
      </c>
      <c r="M27" s="1351">
        <v>44621</v>
      </c>
      <c r="N27" s="1351"/>
    </row>
    <row r="28" spans="1:14">
      <c r="A28" s="15">
        <f>+Retencion!A21</f>
        <v>0</v>
      </c>
      <c r="B28" s="56">
        <f>+Retencion!B21</f>
        <v>0</v>
      </c>
      <c r="C28" s="18">
        <f>+Retencion!E21</f>
        <v>0</v>
      </c>
      <c r="D28" s="18"/>
      <c r="E28" s="42">
        <f t="shared" si="0"/>
        <v>0</v>
      </c>
      <c r="F28" s="274">
        <f>+Retencion!G21</f>
        <v>0</v>
      </c>
      <c r="G28" s="53">
        <f>+Retencion!H21</f>
        <v>0</v>
      </c>
      <c r="H28" s="24">
        <f t="shared" si="1"/>
        <v>0</v>
      </c>
      <c r="I28" s="95"/>
      <c r="J28" s="46">
        <f t="shared" si="2"/>
        <v>0</v>
      </c>
      <c r="L28" s="845"/>
      <c r="M28" s="846"/>
      <c r="N28" s="1217"/>
    </row>
    <row r="29" spans="1:14" ht="13.5" thickBot="1">
      <c r="A29" s="16"/>
      <c r="B29" s="8"/>
      <c r="C29" s="45"/>
      <c r="D29" s="45"/>
      <c r="E29" s="45"/>
      <c r="F29" s="13"/>
      <c r="G29" s="13"/>
      <c r="H29" s="13"/>
      <c r="I29" s="161"/>
      <c r="J29" s="47"/>
      <c r="L29" s="920"/>
      <c r="M29" s="1216"/>
      <c r="N29" s="1216"/>
    </row>
    <row r="30" spans="1:14" ht="21.75" customHeight="1" thickBot="1">
      <c r="A30" s="1354" t="s">
        <v>407</v>
      </c>
      <c r="B30" s="1355"/>
      <c r="C30" s="1356">
        <f>SUM(C22:C29)</f>
        <v>4199286.84</v>
      </c>
      <c r="D30" s="1356">
        <v>5341</v>
      </c>
      <c r="E30" s="1357">
        <f>SUM(E22:E29)</f>
        <v>0</v>
      </c>
      <c r="F30" s="1358"/>
      <c r="G30" s="1359"/>
      <c r="H30" s="1357">
        <f>SUM(H22:H29)</f>
        <v>304834.53999999998</v>
      </c>
      <c r="I30" s="1357">
        <f>SUM(I22:I29)</f>
        <v>304366.14999999991</v>
      </c>
      <c r="J30" s="1449">
        <f>SUM(J22:J29)</f>
        <v>468.38999999998487</v>
      </c>
    </row>
    <row r="31" spans="1:14">
      <c r="E31" s="48"/>
      <c r="J31" s="95"/>
    </row>
    <row r="32" spans="1:14">
      <c r="A32" s="57"/>
      <c r="C32" s="6"/>
      <c r="D32" s="6"/>
      <c r="E32" s="48"/>
      <c r="J32" s="125"/>
      <c r="L32" s="49"/>
    </row>
    <row r="33" spans="1:10">
      <c r="A33" s="57"/>
      <c r="C33" s="6"/>
      <c r="D33" s="6"/>
      <c r="E33" s="48"/>
      <c r="J33" s="125"/>
    </row>
    <row r="34" spans="1:10">
      <c r="E34" s="48"/>
      <c r="J34" s="126"/>
    </row>
  </sheetData>
  <mergeCells count="3">
    <mergeCell ref="F20:G20"/>
    <mergeCell ref="L20:M20"/>
    <mergeCell ref="A2:J2"/>
  </mergeCells>
  <phoneticPr fontId="0" type="noConversion"/>
  <printOptions horizontalCentered="1"/>
  <pageMargins left="0.59" right="0.19" top="0.78740157480314965" bottom="0.59055118110236227" header="0.19685039370078741" footer="0.19685039370078741"/>
  <pageSetup paperSize="9" scale="84" orientation="portrait" r:id="rId1"/>
  <headerFooter alignWithMargins="0">
    <oddFooter>&amp;L&amp;"Arial,Cursiva"&amp;8&amp;F/&amp;A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0">
    <pageSetUpPr fitToPage="1"/>
  </sheetPr>
  <dimension ref="A1:T54"/>
  <sheetViews>
    <sheetView view="pageBreakPreview" topLeftCell="A20" zoomScale="90" zoomScaleNormal="90" zoomScaleSheetLayoutView="90" workbookViewId="0">
      <selection activeCell="F34" sqref="F34"/>
    </sheetView>
  </sheetViews>
  <sheetFormatPr baseColWidth="10" defaultColWidth="11.42578125" defaultRowHeight="12.75"/>
  <cols>
    <col min="1" max="1" width="6.7109375" style="602" customWidth="1"/>
    <col min="2" max="2" width="10.7109375" style="602" customWidth="1"/>
    <col min="3" max="4" width="6.7109375" style="602" customWidth="1"/>
    <col min="5" max="6" width="15.7109375" style="602" customWidth="1"/>
    <col min="7" max="7" width="15.7109375" style="602" hidden="1" customWidth="1"/>
    <col min="8" max="8" width="13" style="602" customWidth="1"/>
    <col min="9" max="9" width="15" style="602" customWidth="1"/>
    <col min="10" max="10" width="9.7109375" style="602" customWidth="1"/>
    <col min="11" max="11" width="12" style="602" customWidth="1"/>
    <col min="12" max="12" width="12" style="602" hidden="1" customWidth="1"/>
    <col min="13" max="13" width="12.7109375" style="602" customWidth="1"/>
    <col min="14" max="14" width="15.7109375" style="602" bestFit="1" customWidth="1"/>
    <col min="15" max="15" width="12.7109375" style="602" customWidth="1"/>
    <col min="16" max="16" width="8.28515625" style="1368" customWidth="1"/>
    <col min="17" max="17" width="10" style="606" bestFit="1" customWidth="1"/>
    <col min="18" max="18" width="9.28515625" style="606" bestFit="1" customWidth="1"/>
    <col min="19" max="19" width="7.42578125" style="602" bestFit="1" customWidth="1"/>
    <col min="20" max="16384" width="11.42578125" style="602"/>
  </cols>
  <sheetData>
    <row r="1" spans="1:19" ht="13.5">
      <c r="A1" s="61"/>
      <c r="B1" s="298"/>
      <c r="C1" s="1329"/>
      <c r="E1" s="1371"/>
    </row>
    <row r="2" spans="1:19" ht="59.25" customHeight="1">
      <c r="A2" s="1622" t="str">
        <f>+K!$B$2</f>
        <v>“RECONSTRUCCIÓN DE PISTAS Y VEREDAS EN LA AV. LAS TORRES TRAMO DESDE LA
  AV. CIRCUNVALACIÓN HASTA LA ALTURA DE LA QUINTA AV., L = 1.99 KM DISTRITO DE
LURIGANCHO CHOSICA, LIMA – LIMA”. Con código único de inversión (IRI): 2498581</v>
      </c>
      <c r="B2" s="1622"/>
      <c r="C2" s="1622"/>
      <c r="D2" s="1622"/>
      <c r="E2" s="1622"/>
      <c r="F2" s="1622"/>
      <c r="G2" s="1622"/>
      <c r="H2" s="1622"/>
      <c r="I2" s="1622"/>
      <c r="J2" s="1622"/>
      <c r="K2" s="1622"/>
      <c r="L2" s="1622"/>
      <c r="M2" s="1622"/>
      <c r="N2" s="1622"/>
      <c r="O2" s="1622"/>
    </row>
    <row r="3" spans="1:19" ht="15" customHeight="1">
      <c r="A3" s="61"/>
      <c r="B3" s="1329" t="str">
        <f>+K!$B$4</f>
        <v>CONTRATISTA : DITRANSERVA S.A.C.</v>
      </c>
      <c r="E3" s="1371"/>
    </row>
    <row r="4" spans="1:19" ht="15" customHeight="1">
      <c r="A4" s="61"/>
      <c r="B4" s="1329" t="str">
        <f>+K!$B$5</f>
        <v>SUPERVISOR : CONSORCIO SUPERVISOR LAS TORRES</v>
      </c>
      <c r="E4" s="1371"/>
    </row>
    <row r="5" spans="1:19" ht="15" customHeight="1">
      <c r="B5" s="603"/>
      <c r="C5" s="604"/>
      <c r="D5" s="604"/>
      <c r="E5" s="605"/>
    </row>
    <row r="6" spans="1:19" ht="21" customHeight="1">
      <c r="A6" s="608" t="s">
        <v>143</v>
      </c>
      <c r="B6" s="608"/>
      <c r="C6" s="608"/>
      <c r="D6" s="608"/>
      <c r="E6" s="608"/>
      <c r="F6" s="608"/>
      <c r="G6" s="608"/>
      <c r="H6" s="608"/>
      <c r="I6" s="608"/>
      <c r="J6" s="608"/>
      <c r="K6" s="608"/>
      <c r="L6" s="608"/>
      <c r="M6" s="608"/>
      <c r="N6" s="608"/>
      <c r="O6" s="608"/>
      <c r="P6" s="1369"/>
      <c r="Q6" s="608"/>
      <c r="R6" s="608"/>
      <c r="S6" s="609"/>
    </row>
    <row r="7" spans="1:19" ht="20.100000000000001" customHeight="1">
      <c r="A7" s="608" t="s">
        <v>400</v>
      </c>
      <c r="B7" s="610"/>
      <c r="C7" s="610"/>
      <c r="D7" s="610"/>
      <c r="E7" s="610"/>
      <c r="F7" s="610"/>
      <c r="G7" s="610"/>
      <c r="H7" s="610"/>
      <c r="I7" s="610"/>
      <c r="J7" s="610"/>
      <c r="K7" s="610"/>
      <c r="L7" s="610"/>
      <c r="M7" s="610"/>
      <c r="N7" s="610"/>
      <c r="O7" s="610"/>
    </row>
    <row r="8" spans="1:19" s="323" customFormat="1" ht="10.5" customHeight="1">
      <c r="P8" s="1370"/>
      <c r="Q8" s="607"/>
      <c r="R8" s="607"/>
    </row>
    <row r="9" spans="1:19" s="323" customFormat="1" ht="18" customHeight="1">
      <c r="B9" s="611" t="s">
        <v>514</v>
      </c>
      <c r="C9" s="611"/>
      <c r="D9" s="612" t="s">
        <v>144</v>
      </c>
      <c r="E9" s="613"/>
      <c r="F9" s="614" t="s">
        <v>449</v>
      </c>
      <c r="G9" s="614"/>
      <c r="H9" s="614"/>
      <c r="I9" s="614"/>
      <c r="J9" s="615" t="s">
        <v>145</v>
      </c>
      <c r="K9" s="616"/>
      <c r="L9" s="616"/>
      <c r="M9" s="617"/>
      <c r="P9" s="1370"/>
      <c r="Q9" s="607"/>
      <c r="R9" s="607"/>
    </row>
    <row r="10" spans="1:19" s="323" customFormat="1" ht="13.5">
      <c r="C10" s="618"/>
      <c r="D10" s="618"/>
      <c r="E10" s="619"/>
      <c r="F10" s="614"/>
      <c r="G10" s="614"/>
      <c r="H10" s="614"/>
      <c r="I10" s="614"/>
      <c r="K10" s="620"/>
      <c r="L10" s="620"/>
      <c r="M10" s="621"/>
      <c r="P10" s="1370"/>
      <c r="Q10" s="607"/>
      <c r="R10" s="607"/>
    </row>
    <row r="11" spans="1:19" s="323" customFormat="1" ht="13.5">
      <c r="C11" s="618"/>
      <c r="D11" s="618"/>
      <c r="E11" s="619"/>
      <c r="F11" s="614"/>
      <c r="G11" s="614"/>
      <c r="H11" s="614"/>
      <c r="I11" s="614"/>
      <c r="K11" s="620"/>
      <c r="L11" s="620"/>
      <c r="M11" s="621"/>
      <c r="P11" s="1370"/>
      <c r="Q11" s="607"/>
      <c r="R11" s="607"/>
    </row>
    <row r="12" spans="1:19" s="323" customFormat="1" ht="12.75" customHeight="1">
      <c r="D12" s="622" t="s">
        <v>146</v>
      </c>
      <c r="E12" s="623" t="s">
        <v>147</v>
      </c>
      <c r="P12" s="1370"/>
      <c r="Q12" s="607"/>
      <c r="R12" s="607"/>
    </row>
    <row r="13" spans="1:19" s="323" customFormat="1" ht="12.75" customHeight="1">
      <c r="D13" s="624" t="s">
        <v>148</v>
      </c>
      <c r="E13" s="623" t="s">
        <v>149</v>
      </c>
      <c r="P13" s="1370"/>
      <c r="Q13" s="607"/>
      <c r="R13" s="607"/>
    </row>
    <row r="14" spans="1:19" s="323" customFormat="1" ht="12.75" customHeight="1">
      <c r="D14" s="624" t="s">
        <v>150</v>
      </c>
      <c r="E14" s="623" t="s">
        <v>151</v>
      </c>
      <c r="P14" s="1370"/>
      <c r="Q14" s="607"/>
      <c r="R14" s="607"/>
    </row>
    <row r="15" spans="1:19" s="323" customFormat="1" ht="12.75" customHeight="1">
      <c r="B15" s="625"/>
      <c r="C15" s="626"/>
      <c r="D15" s="624" t="s">
        <v>152</v>
      </c>
      <c r="E15" s="623" t="s">
        <v>497</v>
      </c>
      <c r="P15" s="1370"/>
      <c r="Q15" s="607"/>
      <c r="R15" s="607"/>
    </row>
    <row r="16" spans="1:19" s="323" customFormat="1" ht="12.75" customHeight="1">
      <c r="D16" s="624" t="s">
        <v>153</v>
      </c>
      <c r="E16" s="623" t="s">
        <v>154</v>
      </c>
      <c r="P16" s="1370"/>
      <c r="Q16" s="607"/>
      <c r="R16" s="607"/>
    </row>
    <row r="17" spans="1:19" s="323" customFormat="1" ht="12.75" customHeight="1">
      <c r="B17" s="619"/>
      <c r="C17" s="614"/>
      <c r="D17" s="624" t="s">
        <v>155</v>
      </c>
      <c r="E17" s="623" t="s">
        <v>156</v>
      </c>
      <c r="P17" s="1370"/>
      <c r="Q17" s="607"/>
      <c r="R17" s="607"/>
    </row>
    <row r="18" spans="1:19" s="323" customFormat="1" ht="12.75" customHeight="1">
      <c r="D18" s="624" t="s">
        <v>157</v>
      </c>
      <c r="E18" s="623" t="s">
        <v>158</v>
      </c>
      <c r="P18" s="1370"/>
      <c r="Q18" s="607"/>
      <c r="R18" s="607"/>
    </row>
    <row r="19" spans="1:19" s="323" customFormat="1" ht="12.75" customHeight="1">
      <c r="B19" s="619"/>
      <c r="C19" s="614"/>
      <c r="D19" s="614"/>
      <c r="F19" s="624"/>
      <c r="G19" s="624"/>
      <c r="H19" s="624"/>
      <c r="I19" s="624"/>
      <c r="J19" s="623"/>
      <c r="M19" s="1506"/>
      <c r="P19" s="1370"/>
      <c r="Q19" s="607"/>
      <c r="R19" s="607"/>
    </row>
    <row r="20" spans="1:19" s="323" customFormat="1" ht="15.95" customHeight="1">
      <c r="C20" s="621"/>
      <c r="D20" s="621"/>
      <c r="E20" s="622" t="s">
        <v>515</v>
      </c>
      <c r="F20" s="627" t="s">
        <v>473</v>
      </c>
      <c r="G20" s="627"/>
      <c r="H20" s="627"/>
      <c r="I20" s="627"/>
      <c r="P20" s="1370"/>
      <c r="Q20" s="607"/>
      <c r="R20" s="607"/>
    </row>
    <row r="21" spans="1:19" s="323" customFormat="1" ht="13.5">
      <c r="C21" s="628"/>
      <c r="D21" s="628"/>
      <c r="E21" s="624" t="s">
        <v>150</v>
      </c>
      <c r="F21" s="629">
        <f>+ROUND(F23*0.1,2)</f>
        <v>949332.03</v>
      </c>
      <c r="G21" s="629"/>
      <c r="H21" s="623" t="s">
        <v>1698</v>
      </c>
      <c r="I21" s="629"/>
      <c r="J21" s="1180"/>
      <c r="K21" s="1180"/>
      <c r="L21" s="1180"/>
      <c r="M21" s="631"/>
      <c r="N21" s="632"/>
      <c r="O21" s="632"/>
      <c r="P21" s="1370"/>
      <c r="Q21" s="607"/>
      <c r="R21" s="607"/>
    </row>
    <row r="22" spans="1:19" s="323" customFormat="1" ht="13.5" hidden="1">
      <c r="C22" s="628"/>
      <c r="D22" s="628"/>
      <c r="E22" s="624" t="s">
        <v>1266</v>
      </c>
      <c r="F22" s="629">
        <v>0</v>
      </c>
      <c r="G22" s="629"/>
      <c r="H22" s="623" t="s">
        <v>1699</v>
      </c>
      <c r="I22" s="629"/>
      <c r="J22" s="1180"/>
      <c r="K22" s="1180"/>
      <c r="L22" s="1180"/>
      <c r="M22" s="631"/>
      <c r="N22" s="632"/>
      <c r="O22" s="632"/>
      <c r="P22" s="1370"/>
      <c r="Q22" s="607"/>
      <c r="R22" s="607"/>
    </row>
    <row r="23" spans="1:19" s="323" customFormat="1" ht="13.5">
      <c r="C23" s="628"/>
      <c r="D23" s="628"/>
      <c r="E23" s="624" t="s">
        <v>153</v>
      </c>
      <c r="F23" s="633">
        <v>9493320.25</v>
      </c>
      <c r="G23" s="633"/>
      <c r="H23" s="623" t="s">
        <v>1711</v>
      </c>
      <c r="I23" s="633"/>
      <c r="J23" s="630"/>
      <c r="K23" s="634"/>
      <c r="L23" s="634"/>
      <c r="M23" s="635"/>
      <c r="N23" s="636"/>
      <c r="O23" s="637"/>
      <c r="P23" s="1370"/>
      <c r="Q23" s="607"/>
      <c r="R23" s="607"/>
    </row>
    <row r="24" spans="1:19" s="323" customFormat="1" ht="13.5">
      <c r="C24" s="628"/>
      <c r="D24" s="628"/>
      <c r="E24" s="624"/>
      <c r="F24" s="633"/>
      <c r="G24" s="633"/>
      <c r="H24" s="623"/>
      <c r="I24" s="633"/>
      <c r="K24" s="634"/>
      <c r="L24" s="634"/>
      <c r="M24" s="635"/>
      <c r="N24" s="636"/>
      <c r="O24" s="637"/>
      <c r="P24" s="1370"/>
      <c r="Q24" s="607"/>
      <c r="R24" s="607"/>
    </row>
    <row r="25" spans="1:19" s="323" customFormat="1" ht="13.5">
      <c r="E25" s="624"/>
      <c r="F25" s="633"/>
      <c r="G25" s="633"/>
      <c r="H25" s="623"/>
      <c r="I25" s="1488"/>
      <c r="P25" s="1370"/>
      <c r="Q25" s="607"/>
      <c r="R25" s="607"/>
    </row>
    <row r="26" spans="1:19" s="323" customFormat="1" ht="13.5">
      <c r="E26" s="624"/>
      <c r="F26" s="633"/>
      <c r="G26" s="633"/>
      <c r="H26" s="623"/>
      <c r="P26" s="1370"/>
      <c r="Q26" s="607"/>
      <c r="R26" s="607"/>
    </row>
    <row r="27" spans="1:19" s="323" customFormat="1" ht="18" customHeight="1">
      <c r="A27" s="1662" t="s">
        <v>390</v>
      </c>
      <c r="B27" s="1663"/>
      <c r="C27" s="1663"/>
      <c r="D27" s="638"/>
      <c r="E27" s="639" t="s">
        <v>528</v>
      </c>
      <c r="F27" s="640" t="s">
        <v>159</v>
      </c>
      <c r="G27" s="640" t="s">
        <v>159</v>
      </c>
      <c r="H27" s="641" t="s">
        <v>1260</v>
      </c>
      <c r="I27" s="641" t="s">
        <v>160</v>
      </c>
      <c r="J27" s="642" t="s">
        <v>161</v>
      </c>
      <c r="K27" s="643"/>
      <c r="L27" s="643"/>
      <c r="M27" s="644" t="s">
        <v>162</v>
      </c>
      <c r="N27" s="645"/>
      <c r="O27" s="646"/>
      <c r="P27" s="1370"/>
      <c r="Q27" s="607"/>
      <c r="R27" s="607"/>
    </row>
    <row r="28" spans="1:19" s="323" customFormat="1" ht="15.95" customHeight="1">
      <c r="A28" s="1664"/>
      <c r="B28" s="1665"/>
      <c r="C28" s="1665"/>
      <c r="D28" s="1367"/>
      <c r="E28" s="647" t="s">
        <v>163</v>
      </c>
      <c r="F28" s="648" t="s">
        <v>1701</v>
      </c>
      <c r="G28" s="648" t="s">
        <v>1265</v>
      </c>
      <c r="H28" s="649" t="s">
        <v>164</v>
      </c>
      <c r="I28" s="649" t="s">
        <v>165</v>
      </c>
      <c r="J28" s="1666" t="s">
        <v>140</v>
      </c>
      <c r="K28" s="1667" t="s">
        <v>1700</v>
      </c>
      <c r="L28" s="1667" t="s">
        <v>1280</v>
      </c>
      <c r="M28" s="1666" t="s">
        <v>166</v>
      </c>
      <c r="N28" s="1657" t="s">
        <v>167</v>
      </c>
      <c r="O28" s="642" t="s">
        <v>168</v>
      </c>
      <c r="P28" s="1370"/>
      <c r="Q28" s="1005" t="s">
        <v>136</v>
      </c>
      <c r="R28" s="1007"/>
      <c r="S28"/>
    </row>
    <row r="29" spans="1:19" s="323" customFormat="1" ht="15.95" customHeight="1">
      <c r="A29" s="1363" t="s">
        <v>395</v>
      </c>
      <c r="B29" s="1364" t="s">
        <v>389</v>
      </c>
      <c r="C29" s="1365"/>
      <c r="D29" s="1366"/>
      <c r="E29" s="650" t="s">
        <v>381</v>
      </c>
      <c r="F29" s="651" t="s">
        <v>381</v>
      </c>
      <c r="G29" s="651" t="s">
        <v>381</v>
      </c>
      <c r="H29" s="652"/>
      <c r="I29" s="652"/>
      <c r="J29" s="1658"/>
      <c r="K29" s="1668"/>
      <c r="L29" s="1668"/>
      <c r="M29" s="1658"/>
      <c r="N29" s="1658"/>
      <c r="O29" s="653" t="s">
        <v>381</v>
      </c>
      <c r="P29" s="1370"/>
      <c r="Q29" s="838" t="s">
        <v>456</v>
      </c>
      <c r="R29" s="839" t="s">
        <v>286</v>
      </c>
      <c r="S29" s="838" t="s">
        <v>1330</v>
      </c>
    </row>
    <row r="30" spans="1:19" s="323" customFormat="1" ht="6.95" customHeight="1">
      <c r="A30" s="654"/>
      <c r="B30" s="623"/>
      <c r="C30" s="623"/>
      <c r="D30" s="623"/>
      <c r="E30" s="623"/>
      <c r="F30" s="655"/>
      <c r="G30" s="655"/>
      <c r="H30" s="655"/>
      <c r="I30" s="655"/>
      <c r="J30" s="655"/>
      <c r="K30" s="655"/>
      <c r="L30" s="655"/>
      <c r="M30" s="655"/>
      <c r="N30" s="655"/>
      <c r="O30" s="656"/>
      <c r="P30" s="1370"/>
      <c r="Q30" s="838"/>
      <c r="R30" s="839"/>
      <c r="S30" s="838"/>
    </row>
    <row r="31" spans="1:19" s="566" customFormat="1" ht="15.95" customHeight="1">
      <c r="A31" s="689">
        <f>+Val_reaj!A22</f>
        <v>1</v>
      </c>
      <c r="B31" s="1372">
        <f>+Retencion!B15</f>
        <v>44500</v>
      </c>
      <c r="C31" s="690"/>
      <c r="D31" s="690"/>
      <c r="E31" s="1467">
        <f>+Retencion!E15</f>
        <v>78066.42</v>
      </c>
      <c r="F31" s="1468">
        <f t="shared" ref="F31:F36" si="0">ROUND((F$21*E31)/F$23,2)</f>
        <v>7806.64</v>
      </c>
      <c r="G31" s="1469">
        <f t="shared" ref="G31:G36" si="1">ROUND((F$22*E31)/F$23,2)</f>
        <v>0</v>
      </c>
      <c r="H31" s="1469">
        <f>+F31+G31</f>
        <v>7806.64</v>
      </c>
      <c r="I31" s="1470">
        <f>+F31+G31-H31</f>
        <v>0</v>
      </c>
      <c r="J31" s="1481">
        <f>+Retencion!G15</f>
        <v>1.079</v>
      </c>
      <c r="K31" s="1483">
        <f>+K!$M$21</f>
        <v>1.073</v>
      </c>
      <c r="L31" s="1471"/>
      <c r="M31" s="1468">
        <f>ROUND(+F31*(J31/K31-1),2)</f>
        <v>43.65</v>
      </c>
      <c r="N31" s="1469">
        <v>0</v>
      </c>
      <c r="O31" s="1472">
        <f>+M31-N31</f>
        <v>43.65</v>
      </c>
      <c r="P31" s="1588">
        <v>1.0740000000000001</v>
      </c>
      <c r="Q31" s="1350">
        <v>44440</v>
      </c>
      <c r="R31" s="1351">
        <v>44501</v>
      </c>
      <c r="S31" s="1351"/>
    </row>
    <row r="32" spans="1:19" s="323" customFormat="1" ht="15.95" customHeight="1">
      <c r="A32" s="691">
        <f>+Val_reaj!A23</f>
        <v>2</v>
      </c>
      <c r="B32" s="1373">
        <f>+Retencion!B16</f>
        <v>44530</v>
      </c>
      <c r="C32" s="657"/>
      <c r="D32" s="657"/>
      <c r="E32" s="1473">
        <f>+Retencion!E16</f>
        <v>1302063.97</v>
      </c>
      <c r="F32" s="1474">
        <f t="shared" si="0"/>
        <v>130206.39999999999</v>
      </c>
      <c r="G32" s="1475">
        <f t="shared" si="1"/>
        <v>0</v>
      </c>
      <c r="H32" s="1475">
        <f t="shared" ref="H32:H36" si="2">+F32+G32</f>
        <v>130206.39999999999</v>
      </c>
      <c r="I32" s="1476">
        <f t="shared" ref="I32:I36" si="3">+F32+G32-H32</f>
        <v>0</v>
      </c>
      <c r="J32" s="1482">
        <f>+Retencion!G16</f>
        <v>1.069</v>
      </c>
      <c r="K32" s="1484">
        <f>+K!$M$21</f>
        <v>1.073</v>
      </c>
      <c r="L32" s="1478"/>
      <c r="M32" s="1474">
        <f>ROUND(+F32*(J32/K32-1),2)</f>
        <v>-485.39</v>
      </c>
      <c r="N32" s="1475">
        <v>-485.39</v>
      </c>
      <c r="O32" s="1479">
        <f t="shared" ref="O32:O36" si="4">+M32-N32</f>
        <v>0</v>
      </c>
      <c r="P32" s="1588">
        <v>1.069</v>
      </c>
      <c r="Q32" s="1350">
        <v>44470</v>
      </c>
      <c r="R32" s="1351">
        <v>44531</v>
      </c>
      <c r="S32" s="1351"/>
    </row>
    <row r="33" spans="1:20" s="323" customFormat="1" ht="15.95" customHeight="1">
      <c r="A33" s="691">
        <f>+Val_reaj!A24</f>
        <v>3</v>
      </c>
      <c r="B33" s="1373">
        <f>+Retencion!B17</f>
        <v>44561</v>
      </c>
      <c r="C33" s="658"/>
      <c r="D33" s="658"/>
      <c r="E33" s="1473">
        <f>+Retencion!E17</f>
        <v>1388847.16</v>
      </c>
      <c r="F33" s="1474">
        <f t="shared" si="0"/>
        <v>138884.72</v>
      </c>
      <c r="G33" s="1475">
        <f t="shared" si="1"/>
        <v>0</v>
      </c>
      <c r="H33" s="1475">
        <f t="shared" si="2"/>
        <v>138884.72</v>
      </c>
      <c r="I33" s="1476">
        <f t="shared" si="3"/>
        <v>0</v>
      </c>
      <c r="J33" s="1482">
        <f>+Retencion!G17</f>
        <v>1.069</v>
      </c>
      <c r="K33" s="1484">
        <f>+K!$M$21</f>
        <v>1.073</v>
      </c>
      <c r="L33" s="1478"/>
      <c r="M33" s="1474">
        <f t="shared" ref="M33:M36" si="5">ROUND(+F33*(J33/K33-1),2)</f>
        <v>-517.74</v>
      </c>
      <c r="N33" s="1475">
        <v>-517.74</v>
      </c>
      <c r="O33" s="1479">
        <f t="shared" si="4"/>
        <v>0</v>
      </c>
      <c r="P33" s="1588">
        <v>1.069</v>
      </c>
      <c r="Q33" s="1350">
        <v>44470</v>
      </c>
      <c r="R33" s="1351">
        <v>44562</v>
      </c>
      <c r="S33" s="1351"/>
    </row>
    <row r="34" spans="1:20" s="323" customFormat="1" ht="15.95" customHeight="1">
      <c r="A34" s="691">
        <f>+Val_reaj!A25</f>
        <v>4</v>
      </c>
      <c r="B34" s="1373">
        <f>+Retencion!B18</f>
        <v>44561</v>
      </c>
      <c r="C34" s="658"/>
      <c r="D34" s="658"/>
      <c r="E34" s="1473">
        <f>+Retencion!E18</f>
        <v>1430309.29</v>
      </c>
      <c r="F34" s="1474">
        <f t="shared" ref="F34" si="6">ROUND((F$21*E34)/F$23,2)</f>
        <v>143030.93</v>
      </c>
      <c r="G34" s="1475">
        <f t="shared" ref="G34" si="7">ROUND((F$22*E34)/F$23,2)</f>
        <v>0</v>
      </c>
      <c r="H34" s="1475">
        <f t="shared" ref="H34" si="8">+F34+G34</f>
        <v>143030.93</v>
      </c>
      <c r="I34" s="1476">
        <f t="shared" ref="I34" si="9">+F34+G34-H34</f>
        <v>0</v>
      </c>
      <c r="J34" s="1482">
        <f>+Retencion!G18</f>
        <v>1.079</v>
      </c>
      <c r="K34" s="1484">
        <f>+K!$M$21</f>
        <v>1.073</v>
      </c>
      <c r="L34" s="1478"/>
      <c r="M34" s="1474">
        <f t="shared" ref="M34" si="10">ROUND(+F34*(J34/K34-1),2)</f>
        <v>799.8</v>
      </c>
      <c r="N34" s="1475">
        <v>799.8</v>
      </c>
      <c r="O34" s="1479">
        <f t="shared" ref="O34" si="11">+M34-N34</f>
        <v>0</v>
      </c>
      <c r="P34" s="1588">
        <v>1.079</v>
      </c>
      <c r="Q34" s="1350">
        <v>44501</v>
      </c>
      <c r="R34" s="1351">
        <v>44562</v>
      </c>
      <c r="S34" s="1351"/>
    </row>
    <row r="35" spans="1:20" s="323" customFormat="1" ht="15.95" customHeight="1">
      <c r="A35" s="691">
        <f>+Val_reaj!A26</f>
        <v>5</v>
      </c>
      <c r="B35" s="1373">
        <f>+Retencion!B19</f>
        <v>44592</v>
      </c>
      <c r="C35" s="659"/>
      <c r="D35" s="659"/>
      <c r="E35" s="1473">
        <f>+Retencion!E19</f>
        <v>0</v>
      </c>
      <c r="F35" s="1474">
        <f t="shared" si="0"/>
        <v>0</v>
      </c>
      <c r="G35" s="1480">
        <f t="shared" si="1"/>
        <v>0</v>
      </c>
      <c r="H35" s="1475">
        <f t="shared" si="2"/>
        <v>0</v>
      </c>
      <c r="I35" s="1476">
        <f t="shared" si="3"/>
        <v>0</v>
      </c>
      <c r="J35" s="1482">
        <f>+Retencion!G19</f>
        <v>0</v>
      </c>
      <c r="K35" s="1484">
        <f>+K!$M$21</f>
        <v>1.073</v>
      </c>
      <c r="L35" s="1478"/>
      <c r="M35" s="1474">
        <f t="shared" si="5"/>
        <v>0</v>
      </c>
      <c r="N35" s="1475"/>
      <c r="O35" s="1479">
        <f t="shared" si="4"/>
        <v>0</v>
      </c>
      <c r="P35" s="1370"/>
      <c r="Q35" s="1350">
        <v>44531</v>
      </c>
      <c r="R35" s="1351">
        <v>44593</v>
      </c>
      <c r="S35" s="1351"/>
    </row>
    <row r="36" spans="1:20" s="323" customFormat="1" ht="15.95" customHeight="1">
      <c r="A36" s="691">
        <f>+Val_reaj!A27</f>
        <v>6</v>
      </c>
      <c r="B36" s="1373">
        <f>+Retencion!B20</f>
        <v>44620</v>
      </c>
      <c r="C36" s="660"/>
      <c r="D36" s="660"/>
      <c r="E36" s="1473">
        <f>+Retencion!E20</f>
        <v>0</v>
      </c>
      <c r="F36" s="1474">
        <f t="shared" si="0"/>
        <v>0</v>
      </c>
      <c r="G36" s="1480">
        <f t="shared" si="1"/>
        <v>0</v>
      </c>
      <c r="H36" s="1475">
        <f t="shared" si="2"/>
        <v>0</v>
      </c>
      <c r="I36" s="1476">
        <f t="shared" si="3"/>
        <v>0</v>
      </c>
      <c r="J36" s="1482">
        <f>+Retencion!G20</f>
        <v>0</v>
      </c>
      <c r="K36" s="1484">
        <f>+K!$M$21</f>
        <v>1.073</v>
      </c>
      <c r="L36" s="1478"/>
      <c r="M36" s="1474">
        <f t="shared" si="5"/>
        <v>0</v>
      </c>
      <c r="N36" s="1475"/>
      <c r="O36" s="1479">
        <f t="shared" si="4"/>
        <v>0</v>
      </c>
      <c r="P36" s="1370"/>
      <c r="Q36" s="1350">
        <v>44562</v>
      </c>
      <c r="R36" s="1351">
        <v>44621</v>
      </c>
      <c r="S36" s="1351"/>
    </row>
    <row r="37" spans="1:20" s="323" customFormat="1" ht="15.95" customHeight="1">
      <c r="A37" s="691"/>
      <c r="B37" s="692"/>
      <c r="C37" s="660"/>
      <c r="D37" s="660"/>
      <c r="E37" s="1473"/>
      <c r="F37" s="1474"/>
      <c r="G37" s="1480"/>
      <c r="H37" s="1475"/>
      <c r="I37" s="1476"/>
      <c r="J37" s="1477"/>
      <c r="K37" s="1478"/>
      <c r="L37" s="1478"/>
      <c r="M37" s="1474"/>
      <c r="N37" s="1475"/>
      <c r="O37" s="1479"/>
      <c r="P37" s="1370"/>
      <c r="Q37" s="845"/>
      <c r="R37" s="846"/>
      <c r="S37" s="1217"/>
    </row>
    <row r="38" spans="1:20" s="323" customFormat="1" ht="15.95" customHeight="1">
      <c r="A38" s="693"/>
      <c r="B38" s="694"/>
      <c r="C38" s="661"/>
      <c r="D38" s="661"/>
      <c r="E38" s="662"/>
      <c r="F38" s="663"/>
      <c r="G38" s="1191"/>
      <c r="H38" s="664"/>
      <c r="I38" s="665"/>
      <c r="J38" s="666"/>
      <c r="K38" s="667"/>
      <c r="L38" s="667"/>
      <c r="M38" s="668"/>
      <c r="N38" s="669"/>
      <c r="O38" s="670"/>
      <c r="P38" s="1370"/>
      <c r="Q38" s="845"/>
      <c r="R38" s="846"/>
      <c r="S38" s="846"/>
    </row>
    <row r="39" spans="1:20" s="323" customFormat="1" ht="13.5">
      <c r="A39" s="654"/>
      <c r="B39" s="671"/>
      <c r="C39" s="623"/>
      <c r="D39" s="623"/>
      <c r="E39" s="672"/>
      <c r="F39" s="673"/>
      <c r="G39" s="674"/>
      <c r="H39" s="674"/>
      <c r="I39" s="674"/>
      <c r="J39" s="674"/>
      <c r="K39" s="674"/>
      <c r="L39" s="674"/>
      <c r="M39" s="655"/>
      <c r="N39" s="655"/>
      <c r="O39" s="656"/>
      <c r="P39" s="1370"/>
      <c r="Q39" s="920"/>
      <c r="R39" s="1216"/>
      <c r="S39" s="1216"/>
    </row>
    <row r="40" spans="1:20" s="323" customFormat="1" ht="18" customHeight="1">
      <c r="A40" s="675"/>
      <c r="B40" s="1601" t="s">
        <v>169</v>
      </c>
      <c r="C40" s="676"/>
      <c r="D40" s="676"/>
      <c r="E40" s="1529">
        <f>SUM(E30:E39)</f>
        <v>4199286.84</v>
      </c>
      <c r="F40" s="1530">
        <f>SUM(F30:F39)</f>
        <v>419928.69</v>
      </c>
      <c r="G40" s="1530">
        <f>SUM(G30:G39)</f>
        <v>0</v>
      </c>
      <c r="H40" s="1530">
        <f>SUM(H30:H39)</f>
        <v>419928.69</v>
      </c>
      <c r="I40" s="1530">
        <f>SUM(I30:I39)</f>
        <v>0</v>
      </c>
      <c r="J40" s="1530"/>
      <c r="K40" s="1531"/>
      <c r="L40" s="1531"/>
      <c r="M40" s="1530">
        <f>SUM(M30:M39)</f>
        <v>-159.68000000000006</v>
      </c>
      <c r="N40" s="1530">
        <f>SUM(N30:N39)</f>
        <v>-203.33000000000004</v>
      </c>
      <c r="O40" s="1532">
        <f>SUM(O31:O39)</f>
        <v>43.65</v>
      </c>
      <c r="P40" s="1370"/>
      <c r="Q40" s="607"/>
      <c r="R40" s="607"/>
      <c r="S40" s="607"/>
    </row>
    <row r="41" spans="1:20" s="323" customFormat="1" ht="9.9499999999999993" customHeight="1">
      <c r="A41" s="623"/>
      <c r="B41" s="623"/>
      <c r="C41" s="623"/>
      <c r="D41" s="623"/>
      <c r="E41" s="677"/>
      <c r="F41" s="678"/>
      <c r="G41" s="678"/>
      <c r="H41" s="678"/>
      <c r="I41" s="678"/>
      <c r="J41" s="678"/>
      <c r="K41" s="678"/>
      <c r="L41" s="678"/>
      <c r="M41" s="678"/>
      <c r="N41" s="678"/>
      <c r="O41" s="678"/>
      <c r="P41" s="1370"/>
      <c r="Q41" s="607"/>
      <c r="R41" s="607"/>
      <c r="S41" s="607"/>
    </row>
    <row r="42" spans="1:20" s="323" customFormat="1" ht="9.9499999999999993" customHeight="1">
      <c r="A42" s="623"/>
      <c r="B42" s="623"/>
      <c r="C42" s="623"/>
      <c r="D42" s="623"/>
      <c r="E42" s="623"/>
      <c r="F42" s="678"/>
      <c r="G42" s="678"/>
      <c r="H42" s="678"/>
      <c r="I42" s="678"/>
      <c r="J42" s="678"/>
      <c r="K42" s="678"/>
      <c r="L42" s="678"/>
      <c r="M42" s="678"/>
      <c r="N42" s="678"/>
      <c r="O42" s="678"/>
      <c r="P42" s="1370"/>
      <c r="Q42" s="607"/>
      <c r="R42" s="607"/>
      <c r="S42" s="607"/>
    </row>
    <row r="43" spans="1:20" s="323" customFormat="1" ht="20.100000000000001" customHeight="1">
      <c r="B43" s="679" t="s">
        <v>170</v>
      </c>
      <c r="C43" s="680"/>
      <c r="D43" s="680"/>
      <c r="E43" s="680"/>
      <c r="F43" s="681"/>
      <c r="G43" s="681"/>
      <c r="H43" s="1659">
        <f>+F21-F40</f>
        <v>529403.34000000008</v>
      </c>
      <c r="I43" s="1660"/>
      <c r="J43" s="682"/>
      <c r="K43" s="1661"/>
      <c r="L43" s="1661"/>
      <c r="M43" s="1661"/>
      <c r="N43" s="678"/>
      <c r="O43" s="678"/>
      <c r="P43" s="1370"/>
      <c r="Q43" s="607"/>
      <c r="R43" s="607"/>
      <c r="S43" s="607"/>
      <c r="T43" s="607"/>
    </row>
    <row r="44" spans="1:20" s="323" customFormat="1">
      <c r="B44" s="684"/>
      <c r="C44" s="685"/>
      <c r="D44" s="685"/>
      <c r="E44" s="685"/>
      <c r="F44" s="686"/>
      <c r="G44" s="686"/>
      <c r="H44" s="683"/>
      <c r="I44" s="683"/>
      <c r="J44" s="655"/>
      <c r="K44" s="655"/>
      <c r="L44" s="655"/>
      <c r="M44" s="655"/>
      <c r="N44" s="655"/>
      <c r="P44" s="1370"/>
      <c r="Q44" s="607"/>
      <c r="R44" s="607"/>
    </row>
    <row r="45" spans="1:20" s="323" customFormat="1" ht="13.5">
      <c r="E45" s="1409" t="s">
        <v>1704</v>
      </c>
      <c r="F45" s="1410"/>
      <c r="G45" s="1411"/>
      <c r="H45" s="1412">
        <f>+$F$23</f>
        <v>9493320.25</v>
      </c>
      <c r="I45" s="687"/>
      <c r="J45" s="173"/>
      <c r="K45" s="687"/>
      <c r="L45" s="687"/>
      <c r="P45" s="1370"/>
      <c r="Q45" s="607"/>
      <c r="R45" s="607"/>
    </row>
    <row r="46" spans="1:20" s="323" customFormat="1" ht="13.5">
      <c r="E46" s="1409" t="s">
        <v>1705</v>
      </c>
      <c r="F46" s="306"/>
      <c r="G46" s="1413"/>
      <c r="H46" s="1412">
        <f>+E40</f>
        <v>4199286.84</v>
      </c>
      <c r="I46" s="173"/>
      <c r="J46" s="173"/>
      <c r="K46" s="688"/>
      <c r="L46" s="688"/>
      <c r="N46" s="1181"/>
      <c r="P46" s="1370"/>
      <c r="Q46" s="607"/>
      <c r="R46" s="607"/>
    </row>
    <row r="47" spans="1:20" s="323" customFormat="1" ht="13.5">
      <c r="E47" s="1409" t="s">
        <v>1706</v>
      </c>
      <c r="F47" s="306"/>
      <c r="G47" s="1413"/>
      <c r="H47" s="1414">
        <f>+H45-H46</f>
        <v>5294033.41</v>
      </c>
      <c r="I47" s="173" t="s">
        <v>1707</v>
      </c>
      <c r="J47" s="392">
        <f>+H47/$F$23</f>
        <v>0.55765878223691023</v>
      </c>
      <c r="K47" s="688"/>
      <c r="L47" s="688"/>
      <c r="M47" s="607"/>
      <c r="P47" s="1370"/>
      <c r="Q47" s="607"/>
      <c r="R47" s="607"/>
    </row>
    <row r="48" spans="1:20" s="323" customFormat="1" ht="13.5">
      <c r="E48" s="1409"/>
      <c r="F48" s="306"/>
      <c r="G48" s="1413"/>
      <c r="H48" s="1413"/>
      <c r="I48" s="173"/>
      <c r="J48" s="173"/>
      <c r="K48" s="688"/>
      <c r="L48" s="688"/>
      <c r="P48" s="1370"/>
      <c r="Q48" s="607"/>
      <c r="R48" s="607"/>
    </row>
    <row r="49" spans="5:18" s="323" customFormat="1" ht="13.5">
      <c r="E49" s="1409" t="s">
        <v>1708</v>
      </c>
      <c r="F49" s="173"/>
      <c r="G49" s="173"/>
      <c r="H49" s="1415">
        <f>+H40</f>
        <v>419928.69</v>
      </c>
      <c r="I49" s="173" t="s">
        <v>1707</v>
      </c>
      <c r="J49" s="392">
        <f>+H49/$F$21</f>
        <v>0.44234122175357338</v>
      </c>
      <c r="K49" s="688"/>
      <c r="L49" s="688"/>
      <c r="P49" s="1370"/>
      <c r="Q49" s="607"/>
      <c r="R49" s="607"/>
    </row>
    <row r="50" spans="5:18" s="323" customFormat="1" ht="13.5">
      <c r="E50" s="1409" t="s">
        <v>1709</v>
      </c>
      <c r="F50" s="173"/>
      <c r="G50" s="173"/>
      <c r="H50" s="1418">
        <f>+H31+H32</f>
        <v>138013.04</v>
      </c>
      <c r="I50" s="173"/>
      <c r="J50" s="173"/>
      <c r="K50" s="688"/>
      <c r="L50" s="688"/>
      <c r="M50" s="607"/>
      <c r="P50" s="1370"/>
      <c r="Q50" s="607"/>
      <c r="R50" s="607"/>
    </row>
    <row r="51" spans="5:18" s="323" customFormat="1">
      <c r="E51" s="1409" t="s">
        <v>1710</v>
      </c>
      <c r="F51" s="173"/>
      <c r="G51" s="173"/>
      <c r="H51" s="1415">
        <f>+H33</f>
        <v>138884.72</v>
      </c>
      <c r="I51" s="173"/>
      <c r="J51" s="173"/>
      <c r="P51" s="1370"/>
      <c r="Q51" s="607"/>
      <c r="R51" s="607"/>
    </row>
    <row r="52" spans="5:18" s="323" customFormat="1">
      <c r="E52" s="1409"/>
      <c r="F52" s="306"/>
      <c r="G52" s="1413"/>
      <c r="H52" s="1413"/>
      <c r="I52" s="173"/>
      <c r="J52" s="173"/>
      <c r="P52" s="1370"/>
      <c r="Q52" s="607"/>
      <c r="R52" s="607"/>
    </row>
    <row r="53" spans="5:18" s="323" customFormat="1">
      <c r="E53" s="1240" t="s">
        <v>323</v>
      </c>
      <c r="F53" s="303"/>
      <c r="G53" s="303"/>
      <c r="H53" s="1416">
        <f>+F21-H49</f>
        <v>529403.34000000008</v>
      </c>
      <c r="I53" s="303" t="s">
        <v>1707</v>
      </c>
      <c r="J53" s="1417">
        <f>+H53/$F$21</f>
        <v>0.55765877824642662</v>
      </c>
      <c r="P53" s="1370"/>
      <c r="Q53" s="607"/>
      <c r="R53" s="607"/>
    </row>
    <row r="54" spans="5:18" s="323" customFormat="1">
      <c r="F54" s="607"/>
      <c r="G54" s="607"/>
      <c r="P54" s="1370"/>
      <c r="Q54" s="607"/>
      <c r="R54" s="607"/>
    </row>
  </sheetData>
  <mergeCells count="9">
    <mergeCell ref="A2:O2"/>
    <mergeCell ref="N28:N29"/>
    <mergeCell ref="H43:I43"/>
    <mergeCell ref="K43:M43"/>
    <mergeCell ref="A27:C28"/>
    <mergeCell ref="J28:J29"/>
    <mergeCell ref="K28:K29"/>
    <mergeCell ref="M28:M29"/>
    <mergeCell ref="L28:L29"/>
  </mergeCells>
  <phoneticPr fontId="92" type="noConversion"/>
  <printOptions horizontalCentered="1"/>
  <pageMargins left="0.59055118110236227" right="0.39370078740157483" top="0.59055118110236227" bottom="0.39370078740157483" header="0" footer="0"/>
  <pageSetup paperSize="9" scale="82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>
    <tabColor indexed="10"/>
  </sheetPr>
  <dimension ref="A1:L724"/>
  <sheetViews>
    <sheetView showZeros="0" view="pageBreakPreview" topLeftCell="B1" zoomScale="80" zoomScaleNormal="90" workbookViewId="0">
      <pane ySplit="9" topLeftCell="A168" activePane="bottomLeft" state="frozen"/>
      <selection pane="bottomLeft" activeCell="I40" sqref="I40"/>
    </sheetView>
  </sheetViews>
  <sheetFormatPr baseColWidth="10" defaultColWidth="12.85546875" defaultRowHeight="9" customHeight="1" outlineLevelRow="2"/>
  <cols>
    <col min="1" max="1" width="10.140625" style="404" hidden="1" customWidth="1"/>
    <col min="2" max="2" width="10.28515625" style="410" customWidth="1"/>
    <col min="3" max="3" width="20.28515625" style="410" customWidth="1"/>
    <col min="4" max="4" width="4.85546875" style="408" bestFit="1" customWidth="1"/>
    <col min="5" max="5" width="8" style="410" customWidth="1"/>
    <col min="6" max="6" width="52.85546875" style="410" customWidth="1"/>
    <col min="7" max="7" width="4.85546875" style="408" bestFit="1" customWidth="1"/>
    <col min="8" max="8" width="10.85546875" style="408" customWidth="1"/>
    <col min="9" max="10" width="10.85546875" style="408" bestFit="1" customWidth="1"/>
    <col min="11" max="11" width="10.140625" style="409" bestFit="1" customWidth="1"/>
    <col min="12" max="16384" width="12.85546875" style="410"/>
  </cols>
  <sheetData>
    <row r="1" spans="1:12" ht="12.75">
      <c r="B1" s="61" t="s">
        <v>438</v>
      </c>
      <c r="C1" s="405"/>
      <c r="D1" s="406"/>
      <c r="E1" s="405"/>
      <c r="F1" s="405"/>
      <c r="G1" s="406"/>
      <c r="H1" s="407"/>
      <c r="I1" s="407"/>
    </row>
    <row r="2" spans="1:12" ht="11.1" customHeight="1">
      <c r="B2" s="61" t="s">
        <v>128</v>
      </c>
      <c r="C2" s="405"/>
      <c r="D2" s="406"/>
      <c r="E2" s="405"/>
      <c r="F2" s="405"/>
      <c r="G2" s="406"/>
      <c r="H2" s="411"/>
      <c r="I2" s="411"/>
    </row>
    <row r="3" spans="1:12" ht="11.1" customHeight="1">
      <c r="B3" s="61" t="s">
        <v>127</v>
      </c>
      <c r="C3" s="405"/>
      <c r="D3" s="406"/>
      <c r="E3" s="405"/>
      <c r="F3" s="405"/>
      <c r="G3" s="406"/>
      <c r="H3" s="412"/>
      <c r="I3" s="412"/>
    </row>
    <row r="4" spans="1:12" ht="12.75">
      <c r="B4" s="61" t="s">
        <v>126</v>
      </c>
      <c r="C4" s="405"/>
      <c r="D4" s="406"/>
      <c r="E4" s="405"/>
      <c r="F4" s="405"/>
      <c r="G4" s="406"/>
    </row>
    <row r="5" spans="1:12" ht="12.75"/>
    <row r="6" spans="1:12" ht="18">
      <c r="B6" s="697" t="str">
        <f>+CONCATENATE("SUSTENTO MATERIAL UTILIZADO POR PARTIDA ADELANTO N° 01- VALORIZACION Nº ",Data!E4,"  ",Data!F4)</f>
        <v>SUSTENTO MATERIAL UTILIZADO POR PARTIDA ADELANTO N° 01- VALORIZACION Nº 4   DICIEMBRE 2021</v>
      </c>
      <c r="C6" s="456"/>
      <c r="D6" s="456"/>
      <c r="E6" s="456"/>
      <c r="F6" s="456"/>
      <c r="G6" s="456"/>
      <c r="H6" s="456"/>
      <c r="I6" s="456"/>
      <c r="J6" s="456"/>
      <c r="K6" s="413"/>
    </row>
    <row r="7" spans="1:12" ht="6" customHeight="1"/>
    <row r="8" spans="1:12" ht="14.1" customHeight="1">
      <c r="B8" s="1672" t="s">
        <v>454</v>
      </c>
      <c r="C8" s="1673"/>
      <c r="D8" s="1673" t="s">
        <v>601</v>
      </c>
      <c r="E8" s="1671" t="s">
        <v>452</v>
      </c>
      <c r="F8" s="1671"/>
      <c r="G8" s="1671" t="s">
        <v>601</v>
      </c>
      <c r="H8" s="1671" t="s">
        <v>385</v>
      </c>
      <c r="I8" s="1669" t="s">
        <v>172</v>
      </c>
      <c r="J8" s="1669" t="s">
        <v>632</v>
      </c>
      <c r="K8" s="414"/>
    </row>
    <row r="9" spans="1:12" ht="14.1" customHeight="1">
      <c r="B9" s="1674"/>
      <c r="C9" s="1675"/>
      <c r="D9" s="1675"/>
      <c r="E9" s="1670"/>
      <c r="F9" s="1670"/>
      <c r="G9" s="1670"/>
      <c r="H9" s="1670"/>
      <c r="I9" s="1670"/>
      <c r="J9" s="1670"/>
      <c r="K9" s="414"/>
    </row>
    <row r="10" spans="1:12" ht="12.75">
      <c r="B10" s="415"/>
      <c r="C10" s="416"/>
      <c r="D10" s="417"/>
      <c r="E10" s="523"/>
      <c r="F10" s="416"/>
      <c r="G10" s="417"/>
      <c r="H10" s="418"/>
      <c r="I10" s="419"/>
      <c r="J10" s="458"/>
      <c r="L10" s="408"/>
    </row>
    <row r="11" spans="1:12" s="427" customFormat="1" ht="12.75">
      <c r="A11" s="420" t="s">
        <v>802</v>
      </c>
      <c r="B11" s="532" t="s">
        <v>803</v>
      </c>
      <c r="C11" s="533"/>
      <c r="D11" s="534" t="s">
        <v>436</v>
      </c>
      <c r="E11" s="519"/>
      <c r="F11" s="514"/>
      <c r="G11" s="515"/>
      <c r="H11" s="516"/>
      <c r="I11" s="517"/>
      <c r="J11" s="535">
        <f>SUM(J12:J18)</f>
        <v>0</v>
      </c>
      <c r="K11" s="425">
        <v>10995.15</v>
      </c>
      <c r="L11" s="426"/>
    </row>
    <row r="12" spans="1:12" s="427" customFormat="1" ht="12.75">
      <c r="A12" s="420" t="s">
        <v>633</v>
      </c>
      <c r="B12" s="421"/>
      <c r="C12" s="422"/>
      <c r="D12" s="423"/>
      <c r="E12" s="525" t="s">
        <v>55</v>
      </c>
      <c r="F12" s="432" t="s">
        <v>56</v>
      </c>
      <c r="G12" s="433" t="s">
        <v>175</v>
      </c>
      <c r="H12" s="434">
        <v>1</v>
      </c>
      <c r="I12" s="470">
        <f>LOOKUP(E12,valoriz!$A$13:$A$242,valoriz!I$13:I$242)</f>
        <v>0</v>
      </c>
      <c r="J12" s="462">
        <f>ROUND(I12*H12,2)</f>
        <v>0</v>
      </c>
      <c r="K12" s="425"/>
      <c r="L12" s="430"/>
    </row>
    <row r="13" spans="1:12" s="427" customFormat="1" ht="12.75">
      <c r="A13" s="420" t="s">
        <v>633</v>
      </c>
      <c r="B13" s="421"/>
      <c r="C13" s="422"/>
      <c r="D13" s="423"/>
      <c r="E13" s="519" t="s">
        <v>73</v>
      </c>
      <c r="F13" s="514" t="s">
        <v>74</v>
      </c>
      <c r="G13" s="515" t="s">
        <v>174</v>
      </c>
      <c r="H13" s="516">
        <v>5</v>
      </c>
      <c r="I13" s="517">
        <f>LOOKUP(E13,valoriz!$A$13:$A$242,valoriz!I$13:I$242)</f>
        <v>0</v>
      </c>
      <c r="J13" s="518">
        <f t="shared" ref="J13:J18" si="0">ROUND(I13*H13,2)</f>
        <v>0</v>
      </c>
      <c r="K13" s="425"/>
      <c r="L13" s="430"/>
    </row>
    <row r="14" spans="1:12" s="427" customFormat="1" ht="12.75">
      <c r="A14" s="420" t="s">
        <v>633</v>
      </c>
      <c r="B14" s="421"/>
      <c r="C14" s="422"/>
      <c r="D14" s="423"/>
      <c r="E14" s="519" t="s">
        <v>75</v>
      </c>
      <c r="F14" s="514" t="s">
        <v>76</v>
      </c>
      <c r="G14" s="515" t="s">
        <v>174</v>
      </c>
      <c r="H14" s="516">
        <v>5</v>
      </c>
      <c r="I14" s="517">
        <f>LOOKUP(E14,valoriz!$A$13:$A$242,valoriz!I$13:I$242)</f>
        <v>0</v>
      </c>
      <c r="J14" s="518">
        <f t="shared" si="0"/>
        <v>0</v>
      </c>
      <c r="K14" s="425"/>
      <c r="L14" s="430"/>
    </row>
    <row r="15" spans="1:12" s="427" customFormat="1" ht="12.75">
      <c r="A15" s="420" t="s">
        <v>633</v>
      </c>
      <c r="B15" s="421"/>
      <c r="C15" s="422"/>
      <c r="D15" s="423"/>
      <c r="E15" s="519" t="s">
        <v>79</v>
      </c>
      <c r="F15" s="514" t="s">
        <v>80</v>
      </c>
      <c r="G15" s="515" t="s">
        <v>174</v>
      </c>
      <c r="H15" s="516">
        <v>8.5</v>
      </c>
      <c r="I15" s="517">
        <f>LOOKUP(E15,valoriz!$A$13:$A$242,valoriz!I$13:I$242)</f>
        <v>0</v>
      </c>
      <c r="J15" s="518">
        <f t="shared" si="0"/>
        <v>0</v>
      </c>
      <c r="K15" s="425"/>
      <c r="L15" s="430"/>
    </row>
    <row r="16" spans="1:12" s="427" customFormat="1" ht="12.75">
      <c r="A16" s="420" t="s">
        <v>633</v>
      </c>
      <c r="B16" s="421"/>
      <c r="C16" s="422"/>
      <c r="D16" s="423"/>
      <c r="E16" s="519" t="s">
        <v>81</v>
      </c>
      <c r="F16" s="514" t="s">
        <v>82</v>
      </c>
      <c r="G16" s="515" t="s">
        <v>601</v>
      </c>
      <c r="H16" s="516">
        <v>8.5</v>
      </c>
      <c r="I16" s="517">
        <f>LOOKUP(E16,valoriz!$A$13:$A$242,valoriz!I$13:I$242)</f>
        <v>0</v>
      </c>
      <c r="J16" s="518">
        <f t="shared" si="0"/>
        <v>0</v>
      </c>
      <c r="K16" s="425"/>
      <c r="L16" s="430"/>
    </row>
    <row r="17" spans="1:12" s="427" customFormat="1" ht="12.75">
      <c r="A17" s="420" t="s">
        <v>633</v>
      </c>
      <c r="B17" s="421"/>
      <c r="C17" s="422"/>
      <c r="D17" s="423"/>
      <c r="E17" s="519" t="s">
        <v>83</v>
      </c>
      <c r="F17" s="514" t="s">
        <v>84</v>
      </c>
      <c r="G17" s="515" t="s">
        <v>174</v>
      </c>
      <c r="H17" s="516">
        <v>38</v>
      </c>
      <c r="I17" s="517">
        <f>LOOKUP(E17,valoriz!$A$13:$A$242,valoriz!I$13:I$242)</f>
        <v>0</v>
      </c>
      <c r="J17" s="518">
        <f t="shared" si="0"/>
        <v>0</v>
      </c>
      <c r="K17" s="425"/>
      <c r="L17" s="430"/>
    </row>
    <row r="18" spans="1:12" s="427" customFormat="1" ht="12.75">
      <c r="A18" s="420" t="s">
        <v>633</v>
      </c>
      <c r="B18" s="421"/>
      <c r="C18" s="422"/>
      <c r="D18" s="423"/>
      <c r="E18" s="519" t="s">
        <v>85</v>
      </c>
      <c r="F18" s="514" t="s">
        <v>86</v>
      </c>
      <c r="G18" s="515" t="s">
        <v>174</v>
      </c>
      <c r="H18" s="516">
        <v>17</v>
      </c>
      <c r="I18" s="517">
        <f>LOOKUP(E18,valoriz!$A$13:$A$242,valoriz!I$13:I$242)</f>
        <v>0</v>
      </c>
      <c r="J18" s="518">
        <f t="shared" si="0"/>
        <v>0</v>
      </c>
      <c r="K18" s="425"/>
      <c r="L18" s="430"/>
    </row>
    <row r="19" spans="1:12" s="427" customFormat="1" ht="12.75">
      <c r="A19" s="420"/>
      <c r="B19" s="421"/>
      <c r="C19" s="422"/>
      <c r="D19" s="423"/>
      <c r="E19" s="524"/>
      <c r="F19" s="422"/>
      <c r="G19" s="423"/>
      <c r="H19" s="424"/>
      <c r="I19" s="469"/>
      <c r="J19" s="459"/>
      <c r="K19" s="425"/>
      <c r="L19" s="430"/>
    </row>
    <row r="20" spans="1:12" s="427" customFormat="1" ht="12.75">
      <c r="A20" s="420" t="s">
        <v>804</v>
      </c>
      <c r="B20" s="532" t="s">
        <v>805</v>
      </c>
      <c r="C20" s="533"/>
      <c r="D20" s="534" t="s">
        <v>436</v>
      </c>
      <c r="E20" s="519"/>
      <c r="F20" s="514"/>
      <c r="G20" s="515"/>
      <c r="H20" s="516"/>
      <c r="I20" s="517"/>
      <c r="J20" s="535">
        <f>SUM(J21:J27)</f>
        <v>0</v>
      </c>
      <c r="K20" s="425">
        <v>12620.74</v>
      </c>
      <c r="L20" s="430"/>
    </row>
    <row r="21" spans="1:12" s="427" customFormat="1" ht="12.75">
      <c r="A21" s="420" t="s">
        <v>633</v>
      </c>
      <c r="B21" s="421"/>
      <c r="C21" s="422"/>
      <c r="D21" s="423"/>
      <c r="E21" s="525" t="s">
        <v>53</v>
      </c>
      <c r="F21" s="432" t="s">
        <v>54</v>
      </c>
      <c r="G21" s="433" t="s">
        <v>173</v>
      </c>
      <c r="H21" s="434">
        <v>1</v>
      </c>
      <c r="I21" s="470">
        <f>LOOKUP(E21,valoriz!$A$13:$A$242,valoriz!I$13:I$242)</f>
        <v>0</v>
      </c>
      <c r="J21" s="462">
        <f t="shared" ref="J21:J37" si="1">ROUND(I21*H21,2)</f>
        <v>0</v>
      </c>
      <c r="K21" s="425"/>
      <c r="L21" s="430"/>
    </row>
    <row r="22" spans="1:12" s="427" customFormat="1" ht="12.75">
      <c r="A22" s="420" t="s">
        <v>633</v>
      </c>
      <c r="B22" s="421"/>
      <c r="C22" s="422"/>
      <c r="D22" s="423"/>
      <c r="E22" s="519" t="s">
        <v>57</v>
      </c>
      <c r="F22" s="514" t="s">
        <v>58</v>
      </c>
      <c r="G22" s="515" t="s">
        <v>174</v>
      </c>
      <c r="H22" s="516">
        <v>0.30399999999999999</v>
      </c>
      <c r="I22" s="517">
        <f>LOOKUP(E22,valoriz!$A$13:$A$242,valoriz!I$13:I$242)</f>
        <v>0</v>
      </c>
      <c r="J22" s="518">
        <f t="shared" si="1"/>
        <v>0</v>
      </c>
      <c r="K22" s="425"/>
      <c r="L22" s="430"/>
    </row>
    <row r="23" spans="1:12" s="427" customFormat="1" ht="12.75">
      <c r="A23" s="420" t="s">
        <v>633</v>
      </c>
      <c r="B23" s="421"/>
      <c r="C23" s="422"/>
      <c r="D23" s="423"/>
      <c r="E23" s="519" t="s">
        <v>59</v>
      </c>
      <c r="F23" s="514" t="s">
        <v>60</v>
      </c>
      <c r="G23" s="515" t="s">
        <v>174</v>
      </c>
      <c r="H23" s="516">
        <v>0.06</v>
      </c>
      <c r="I23" s="517">
        <f>LOOKUP(E23,valoriz!$A$13:$A$242,valoriz!I$13:I$242)</f>
        <v>0</v>
      </c>
      <c r="J23" s="518">
        <f t="shared" si="1"/>
        <v>0</v>
      </c>
      <c r="K23" s="425"/>
      <c r="L23" s="430"/>
    </row>
    <row r="24" spans="1:12" s="427" customFormat="1" ht="12.75">
      <c r="A24" s="420" t="s">
        <v>633</v>
      </c>
      <c r="B24" s="421"/>
      <c r="C24" s="422"/>
      <c r="D24" s="423"/>
      <c r="E24" s="519" t="s">
        <v>61</v>
      </c>
      <c r="F24" s="514" t="s">
        <v>62</v>
      </c>
      <c r="G24" s="515" t="s">
        <v>174</v>
      </c>
      <c r="H24" s="516">
        <v>0.05</v>
      </c>
      <c r="I24" s="517">
        <f>LOOKUP(E24,valoriz!$A$13:$A$242,valoriz!I$13:I$242)</f>
        <v>0</v>
      </c>
      <c r="J24" s="518">
        <f t="shared" si="1"/>
        <v>0</v>
      </c>
      <c r="K24" s="425"/>
      <c r="L24" s="430"/>
    </row>
    <row r="25" spans="1:12" s="427" customFormat="1" ht="12.75">
      <c r="A25" s="420" t="s">
        <v>633</v>
      </c>
      <c r="B25" s="421"/>
      <c r="C25" s="422"/>
      <c r="D25" s="423"/>
      <c r="E25" s="519" t="s">
        <v>63</v>
      </c>
      <c r="F25" s="514" t="s">
        <v>64</v>
      </c>
      <c r="G25" s="515" t="s">
        <v>174</v>
      </c>
      <c r="H25" s="516">
        <v>0.5</v>
      </c>
      <c r="I25" s="517">
        <f>LOOKUP(E25,valoriz!$A$13:$A$242,valoriz!I$13:I$242)</f>
        <v>0</v>
      </c>
      <c r="J25" s="518">
        <f t="shared" si="1"/>
        <v>0</v>
      </c>
      <c r="K25" s="425"/>
      <c r="L25" s="430"/>
    </row>
    <row r="26" spans="1:12" s="427" customFormat="1" ht="12.75">
      <c r="A26" s="420" t="s">
        <v>633</v>
      </c>
      <c r="B26" s="421"/>
      <c r="C26" s="422"/>
      <c r="D26" s="423"/>
      <c r="E26" s="519" t="s">
        <v>65</v>
      </c>
      <c r="F26" s="514" t="s">
        <v>66</v>
      </c>
      <c r="G26" s="515" t="s">
        <v>174</v>
      </c>
      <c r="H26" s="516">
        <v>1.1200000000000001</v>
      </c>
      <c r="I26" s="517">
        <f>LOOKUP(E26,valoriz!$A$13:$A$242,valoriz!I$13:I$242)</f>
        <v>0</v>
      </c>
      <c r="J26" s="518">
        <f t="shared" si="1"/>
        <v>0</v>
      </c>
      <c r="K26" s="425"/>
      <c r="L26" s="430"/>
    </row>
    <row r="27" spans="1:12" s="427" customFormat="1" ht="12.75">
      <c r="A27" s="420" t="s">
        <v>633</v>
      </c>
      <c r="B27" s="421"/>
      <c r="C27" s="422"/>
      <c r="D27" s="423"/>
      <c r="E27" s="519" t="s">
        <v>67</v>
      </c>
      <c r="F27" s="514" t="s">
        <v>68</v>
      </c>
      <c r="G27" s="515" t="s">
        <v>174</v>
      </c>
      <c r="H27" s="516">
        <v>0.3</v>
      </c>
      <c r="I27" s="517">
        <f>LOOKUP(E27,valoriz!$A$13:$A$242,valoriz!I$13:I$242)</f>
        <v>0</v>
      </c>
      <c r="J27" s="518">
        <f t="shared" si="1"/>
        <v>0</v>
      </c>
      <c r="K27" s="425"/>
      <c r="L27" s="430"/>
    </row>
    <row r="28" spans="1:12" s="427" customFormat="1" ht="12.75">
      <c r="A28" s="420"/>
      <c r="B28" s="421"/>
      <c r="C28" s="422"/>
      <c r="D28" s="423"/>
      <c r="E28" s="519" t="s">
        <v>69</v>
      </c>
      <c r="F28" s="514" t="s">
        <v>70</v>
      </c>
      <c r="G28" s="515" t="s">
        <v>174</v>
      </c>
      <c r="H28" s="516">
        <v>1</v>
      </c>
      <c r="I28" s="517">
        <f>LOOKUP(E28,valoriz!$A$13:$A$242,valoriz!I$13:I$242)</f>
        <v>0</v>
      </c>
      <c r="J28" s="518">
        <f t="shared" si="1"/>
        <v>0</v>
      </c>
      <c r="K28" s="425"/>
      <c r="L28" s="430"/>
    </row>
    <row r="29" spans="1:12" s="427" customFormat="1" ht="12.75">
      <c r="A29" s="420"/>
      <c r="B29" s="421"/>
      <c r="C29" s="422"/>
      <c r="D29" s="423"/>
      <c r="E29" s="519" t="s">
        <v>71</v>
      </c>
      <c r="F29" s="514" t="s">
        <v>72</v>
      </c>
      <c r="G29" s="515" t="s">
        <v>174</v>
      </c>
      <c r="H29" s="516">
        <v>0.30399999999999999</v>
      </c>
      <c r="I29" s="517">
        <f>LOOKUP(E29,valoriz!$A$13:$A$242,valoriz!I$13:I$242)</f>
        <v>0</v>
      </c>
      <c r="J29" s="518">
        <f t="shared" si="1"/>
        <v>0</v>
      </c>
      <c r="K29" s="425"/>
      <c r="L29" s="430"/>
    </row>
    <row r="30" spans="1:12" s="427" customFormat="1" ht="12.75">
      <c r="A30" s="420"/>
      <c r="B30" s="421"/>
      <c r="C30" s="422"/>
      <c r="D30" s="423"/>
      <c r="E30" s="519" t="s">
        <v>73</v>
      </c>
      <c r="F30" s="514" t="s">
        <v>74</v>
      </c>
      <c r="G30" s="515" t="s">
        <v>174</v>
      </c>
      <c r="H30" s="516">
        <v>0.15</v>
      </c>
      <c r="I30" s="517">
        <f>LOOKUP(E30,valoriz!$A$13:$A$242,valoriz!I$13:I$242)</f>
        <v>0</v>
      </c>
      <c r="J30" s="518">
        <f t="shared" si="1"/>
        <v>0</v>
      </c>
      <c r="K30" s="425"/>
      <c r="L30" s="430"/>
    </row>
    <row r="31" spans="1:12" s="427" customFormat="1" ht="12.75">
      <c r="A31" s="420"/>
      <c r="B31" s="421"/>
      <c r="C31" s="422"/>
      <c r="D31" s="423"/>
      <c r="E31" s="519" t="s">
        <v>75</v>
      </c>
      <c r="F31" s="514" t="s">
        <v>76</v>
      </c>
      <c r="G31" s="515" t="s">
        <v>174</v>
      </c>
      <c r="H31" s="516">
        <v>0.30399999999999999</v>
      </c>
      <c r="I31" s="517">
        <f>LOOKUP(E31,valoriz!$A$13:$A$242,valoriz!I$13:I$242)</f>
        <v>0</v>
      </c>
      <c r="J31" s="518">
        <f t="shared" si="1"/>
        <v>0</v>
      </c>
      <c r="K31" s="425"/>
      <c r="L31" s="430"/>
    </row>
    <row r="32" spans="1:12" s="427" customFormat="1" ht="12.75">
      <c r="A32" s="420"/>
      <c r="B32" s="421"/>
      <c r="C32" s="422"/>
      <c r="D32" s="423"/>
      <c r="E32" s="519" t="s">
        <v>77</v>
      </c>
      <c r="F32" s="514" t="s">
        <v>78</v>
      </c>
      <c r="G32" s="515" t="s">
        <v>174</v>
      </c>
      <c r="H32" s="516">
        <v>0.30399999999999999</v>
      </c>
      <c r="I32" s="517">
        <f>LOOKUP(E32,valoriz!$A$13:$A$242,valoriz!I$13:I$242)</f>
        <v>0</v>
      </c>
      <c r="J32" s="518">
        <f t="shared" si="1"/>
        <v>0</v>
      </c>
      <c r="K32" s="425"/>
      <c r="L32" s="430"/>
    </row>
    <row r="33" spans="1:12" s="427" customFormat="1" ht="12.75">
      <c r="A33" s="420"/>
      <c r="B33" s="421"/>
      <c r="C33" s="422"/>
      <c r="D33" s="423"/>
      <c r="E33" s="519" t="s">
        <v>79</v>
      </c>
      <c r="F33" s="514" t="s">
        <v>80</v>
      </c>
      <c r="G33" s="515" t="s">
        <v>174</v>
      </c>
      <c r="H33" s="516">
        <v>0.15</v>
      </c>
      <c r="I33" s="517">
        <f>LOOKUP(E33,valoriz!$A$13:$A$242,valoriz!I$13:I$242)</f>
        <v>0</v>
      </c>
      <c r="J33" s="518">
        <f t="shared" si="1"/>
        <v>0</v>
      </c>
      <c r="K33" s="425"/>
      <c r="L33" s="430"/>
    </row>
    <row r="34" spans="1:12" s="427" customFormat="1" ht="12.75">
      <c r="A34" s="420"/>
      <c r="B34" s="421"/>
      <c r="C34" s="422"/>
      <c r="D34" s="423"/>
      <c r="E34" s="519" t="s">
        <v>81</v>
      </c>
      <c r="F34" s="514" t="s">
        <v>82</v>
      </c>
      <c r="G34" s="515" t="s">
        <v>601</v>
      </c>
      <c r="H34" s="516">
        <v>2.2000000000000002</v>
      </c>
      <c r="I34" s="517">
        <f>LOOKUP(E34,valoriz!$A$13:$A$242,valoriz!I$13:I$242)</f>
        <v>0</v>
      </c>
      <c r="J34" s="518">
        <f t="shared" si="1"/>
        <v>0</v>
      </c>
      <c r="K34" s="425"/>
      <c r="L34" s="430"/>
    </row>
    <row r="35" spans="1:12" s="427" customFormat="1" ht="12.75">
      <c r="A35" s="420"/>
      <c r="B35" s="421"/>
      <c r="C35" s="422"/>
      <c r="D35" s="423"/>
      <c r="E35" s="519" t="s">
        <v>83</v>
      </c>
      <c r="F35" s="514" t="s">
        <v>84</v>
      </c>
      <c r="G35" s="515" t="s">
        <v>174</v>
      </c>
      <c r="H35" s="516">
        <v>1.7</v>
      </c>
      <c r="I35" s="517">
        <f>LOOKUP(E35,valoriz!$A$13:$A$242,valoriz!I$13:I$242)</f>
        <v>0</v>
      </c>
      <c r="J35" s="518">
        <f t="shared" si="1"/>
        <v>0</v>
      </c>
      <c r="K35" s="425"/>
      <c r="L35" s="430"/>
    </row>
    <row r="36" spans="1:12" s="427" customFormat="1" ht="12.75">
      <c r="A36" s="420"/>
      <c r="B36" s="421"/>
      <c r="C36" s="422"/>
      <c r="D36" s="423"/>
      <c r="E36" s="519" t="s">
        <v>85</v>
      </c>
      <c r="F36" s="514" t="s">
        <v>86</v>
      </c>
      <c r="G36" s="515" t="s">
        <v>174</v>
      </c>
      <c r="H36" s="516">
        <v>1.5</v>
      </c>
      <c r="I36" s="517">
        <f>LOOKUP(E36,valoriz!$A$13:$A$242,valoriz!I$13:I$242)</f>
        <v>0</v>
      </c>
      <c r="J36" s="518">
        <f t="shared" si="1"/>
        <v>0</v>
      </c>
      <c r="K36" s="425"/>
      <c r="L36" s="430"/>
    </row>
    <row r="37" spans="1:12" s="427" customFormat="1" ht="12.75">
      <c r="A37" s="420"/>
      <c r="B37" s="421"/>
      <c r="C37" s="422"/>
      <c r="D37" s="423"/>
      <c r="E37" s="519" t="s">
        <v>116</v>
      </c>
      <c r="F37" s="514" t="s">
        <v>117</v>
      </c>
      <c r="G37" s="515" t="s">
        <v>174</v>
      </c>
      <c r="H37" s="516">
        <v>2</v>
      </c>
      <c r="I37" s="517">
        <f>LOOKUP(E37,valoriz!$A$13:$A$242,valoriz!I$13:I$242)</f>
        <v>0</v>
      </c>
      <c r="J37" s="518">
        <f t="shared" si="1"/>
        <v>0</v>
      </c>
      <c r="K37" s="425"/>
      <c r="L37" s="430"/>
    </row>
    <row r="38" spans="1:12" s="427" customFormat="1" ht="12.75" outlineLevel="1">
      <c r="A38" s="420"/>
      <c r="B38" s="421"/>
      <c r="C38" s="422"/>
      <c r="D38" s="423"/>
      <c r="E38" s="524"/>
      <c r="F38" s="422"/>
      <c r="G38" s="423"/>
      <c r="H38" s="424"/>
      <c r="I38" s="469"/>
      <c r="J38" s="459"/>
      <c r="K38" s="425"/>
      <c r="L38" s="430"/>
    </row>
    <row r="39" spans="1:12" s="427" customFormat="1" ht="12.75" outlineLevel="1">
      <c r="A39" s="420"/>
      <c r="B39" s="532" t="s">
        <v>176</v>
      </c>
      <c r="C39" s="533"/>
      <c r="D39" s="534" t="s">
        <v>436</v>
      </c>
      <c r="E39" s="519"/>
      <c r="F39" s="514"/>
      <c r="G39" s="515"/>
      <c r="H39" s="516"/>
      <c r="I39" s="517"/>
      <c r="J39" s="535">
        <f>SUM(J40:J56)</f>
        <v>0</v>
      </c>
      <c r="K39" s="425"/>
      <c r="L39" s="430"/>
    </row>
    <row r="40" spans="1:12" s="427" customFormat="1" ht="12.75" outlineLevel="1">
      <c r="A40" s="420"/>
      <c r="B40" s="421"/>
      <c r="C40" s="422"/>
      <c r="D40" s="423"/>
      <c r="E40" s="525" t="s">
        <v>53</v>
      </c>
      <c r="F40" s="432" t="s">
        <v>54</v>
      </c>
      <c r="G40" s="433" t="s">
        <v>173</v>
      </c>
      <c r="H40" s="434">
        <v>1</v>
      </c>
      <c r="I40" s="470">
        <f>LOOKUP(E40,valoriz!$A$13:$A$242,valoriz!I$13:I$242)</f>
        <v>0</v>
      </c>
      <c r="J40" s="462">
        <f t="shared" ref="J40:J56" si="2">ROUND(I40*H40,2)</f>
        <v>0</v>
      </c>
      <c r="K40" s="425"/>
      <c r="L40" s="430"/>
    </row>
    <row r="41" spans="1:12" s="427" customFormat="1" ht="12.75" outlineLevel="1">
      <c r="A41" s="420"/>
      <c r="B41" s="421"/>
      <c r="C41" s="422"/>
      <c r="D41" s="423"/>
      <c r="E41" s="519" t="s">
        <v>57</v>
      </c>
      <c r="F41" s="514" t="s">
        <v>58</v>
      </c>
      <c r="G41" s="515" t="s">
        <v>174</v>
      </c>
      <c r="H41" s="516">
        <v>0.30399999999999999</v>
      </c>
      <c r="I41" s="517">
        <f>LOOKUP(E41,valoriz!$A$13:$A$242,valoriz!I$13:I$242)</f>
        <v>0</v>
      </c>
      <c r="J41" s="518">
        <f t="shared" si="2"/>
        <v>0</v>
      </c>
      <c r="K41" s="425"/>
      <c r="L41" s="430"/>
    </row>
    <row r="42" spans="1:12" s="427" customFormat="1" ht="12.75" outlineLevel="1">
      <c r="A42" s="420"/>
      <c r="B42" s="421"/>
      <c r="C42" s="422"/>
      <c r="D42" s="423"/>
      <c r="E42" s="519" t="s">
        <v>59</v>
      </c>
      <c r="F42" s="514" t="s">
        <v>60</v>
      </c>
      <c r="G42" s="515" t="s">
        <v>174</v>
      </c>
      <c r="H42" s="516">
        <v>0.06</v>
      </c>
      <c r="I42" s="517">
        <f>LOOKUP(E42,valoriz!$A$13:$A$242,valoriz!I$13:I$242)</f>
        <v>0</v>
      </c>
      <c r="J42" s="518">
        <f t="shared" si="2"/>
        <v>0</v>
      </c>
      <c r="K42" s="425"/>
      <c r="L42" s="430"/>
    </row>
    <row r="43" spans="1:12" s="427" customFormat="1" ht="12.75" outlineLevel="1">
      <c r="A43" s="420"/>
      <c r="B43" s="421"/>
      <c r="C43" s="422"/>
      <c r="D43" s="423"/>
      <c r="E43" s="519" t="s">
        <v>61</v>
      </c>
      <c r="F43" s="514" t="s">
        <v>62</v>
      </c>
      <c r="G43" s="515" t="s">
        <v>174</v>
      </c>
      <c r="H43" s="516">
        <v>0.05</v>
      </c>
      <c r="I43" s="517">
        <f>LOOKUP(E43,valoriz!$A$13:$A$242,valoriz!I$13:I$242)</f>
        <v>0</v>
      </c>
      <c r="J43" s="518">
        <f t="shared" si="2"/>
        <v>0</v>
      </c>
      <c r="K43" s="425"/>
      <c r="L43" s="430"/>
    </row>
    <row r="44" spans="1:12" s="427" customFormat="1" ht="12.75" outlineLevel="1">
      <c r="A44" s="420"/>
      <c r="B44" s="421"/>
      <c r="C44" s="422"/>
      <c r="D44" s="423"/>
      <c r="E44" s="519" t="s">
        <v>63</v>
      </c>
      <c r="F44" s="514" t="s">
        <v>64</v>
      </c>
      <c r="G44" s="515" t="s">
        <v>174</v>
      </c>
      <c r="H44" s="516">
        <v>0.5</v>
      </c>
      <c r="I44" s="517">
        <f>LOOKUP(E44,valoriz!$A$13:$A$242,valoriz!I$13:I$242)</f>
        <v>0</v>
      </c>
      <c r="J44" s="518">
        <f t="shared" si="2"/>
        <v>0</v>
      </c>
      <c r="K44" s="425"/>
      <c r="L44" s="430"/>
    </row>
    <row r="45" spans="1:12" s="427" customFormat="1" ht="12.75" outlineLevel="1">
      <c r="A45" s="420"/>
      <c r="B45" s="421"/>
      <c r="C45" s="422"/>
      <c r="D45" s="423"/>
      <c r="E45" s="519" t="s">
        <v>65</v>
      </c>
      <c r="F45" s="514" t="s">
        <v>66</v>
      </c>
      <c r="G45" s="515" t="s">
        <v>174</v>
      </c>
      <c r="H45" s="516">
        <v>1.1200000000000001</v>
      </c>
      <c r="I45" s="517">
        <f>LOOKUP(E45,valoriz!$A$13:$A$242,valoriz!I$13:I$242)</f>
        <v>0</v>
      </c>
      <c r="J45" s="518">
        <f t="shared" si="2"/>
        <v>0</v>
      </c>
      <c r="K45" s="425"/>
      <c r="L45" s="430"/>
    </row>
    <row r="46" spans="1:12" s="427" customFormat="1" ht="12.75" outlineLevel="1">
      <c r="A46" s="420"/>
      <c r="B46" s="421"/>
      <c r="C46" s="422"/>
      <c r="D46" s="423"/>
      <c r="E46" s="519" t="s">
        <v>67</v>
      </c>
      <c r="F46" s="514" t="s">
        <v>68</v>
      </c>
      <c r="G46" s="515" t="s">
        <v>174</v>
      </c>
      <c r="H46" s="516">
        <v>0.3</v>
      </c>
      <c r="I46" s="517">
        <f>LOOKUP(E46,valoriz!$A$13:$A$242,valoriz!I$13:I$242)</f>
        <v>0</v>
      </c>
      <c r="J46" s="518">
        <f t="shared" si="2"/>
        <v>0</v>
      </c>
      <c r="K46" s="425"/>
      <c r="L46" s="430"/>
    </row>
    <row r="47" spans="1:12" s="427" customFormat="1" ht="12.75" outlineLevel="1">
      <c r="A47" s="420"/>
      <c r="B47" s="421"/>
      <c r="C47" s="422"/>
      <c r="D47" s="423"/>
      <c r="E47" s="519" t="s">
        <v>69</v>
      </c>
      <c r="F47" s="514" t="s">
        <v>70</v>
      </c>
      <c r="G47" s="515" t="s">
        <v>174</v>
      </c>
      <c r="H47" s="516">
        <v>1</v>
      </c>
      <c r="I47" s="517">
        <f>LOOKUP(E47,valoriz!$A$13:$A$242,valoriz!I$13:I$242)</f>
        <v>0</v>
      </c>
      <c r="J47" s="518">
        <f t="shared" si="2"/>
        <v>0</v>
      </c>
      <c r="K47" s="425"/>
      <c r="L47" s="430"/>
    </row>
    <row r="48" spans="1:12" s="427" customFormat="1" ht="12.75" outlineLevel="1">
      <c r="A48" s="420"/>
      <c r="B48" s="421"/>
      <c r="C48" s="422"/>
      <c r="D48" s="423"/>
      <c r="E48" s="519" t="s">
        <v>71</v>
      </c>
      <c r="F48" s="514" t="s">
        <v>72</v>
      </c>
      <c r="G48" s="515" t="s">
        <v>174</v>
      </c>
      <c r="H48" s="516">
        <v>0.30399999999999999</v>
      </c>
      <c r="I48" s="517">
        <f>LOOKUP(E48,valoriz!$A$13:$A$242,valoriz!I$13:I$242)</f>
        <v>0</v>
      </c>
      <c r="J48" s="518">
        <f t="shared" si="2"/>
        <v>0</v>
      </c>
      <c r="K48" s="425"/>
      <c r="L48" s="430"/>
    </row>
    <row r="49" spans="1:12" s="427" customFormat="1" ht="12.75" outlineLevel="1">
      <c r="A49" s="420"/>
      <c r="B49" s="421"/>
      <c r="C49" s="422"/>
      <c r="D49" s="423"/>
      <c r="E49" s="519" t="s">
        <v>73</v>
      </c>
      <c r="F49" s="514" t="s">
        <v>74</v>
      </c>
      <c r="G49" s="515" t="s">
        <v>174</v>
      </c>
      <c r="H49" s="516">
        <v>0.15</v>
      </c>
      <c r="I49" s="517">
        <f>LOOKUP(E49,valoriz!$A$13:$A$242,valoriz!I$13:I$242)</f>
        <v>0</v>
      </c>
      <c r="J49" s="518">
        <f t="shared" si="2"/>
        <v>0</v>
      </c>
      <c r="K49" s="425"/>
      <c r="L49" s="430"/>
    </row>
    <row r="50" spans="1:12" s="427" customFormat="1" ht="12.75" outlineLevel="1">
      <c r="A50" s="420"/>
      <c r="B50" s="421"/>
      <c r="C50" s="422"/>
      <c r="D50" s="423"/>
      <c r="E50" s="519" t="s">
        <v>75</v>
      </c>
      <c r="F50" s="514" t="s">
        <v>76</v>
      </c>
      <c r="G50" s="515" t="s">
        <v>174</v>
      </c>
      <c r="H50" s="516">
        <v>0.30399999999999999</v>
      </c>
      <c r="I50" s="517">
        <f>LOOKUP(E50,valoriz!$A$13:$A$242,valoriz!I$13:I$242)</f>
        <v>0</v>
      </c>
      <c r="J50" s="518">
        <f t="shared" si="2"/>
        <v>0</v>
      </c>
      <c r="K50" s="425"/>
      <c r="L50" s="430"/>
    </row>
    <row r="51" spans="1:12" s="427" customFormat="1" ht="12.75" outlineLevel="1">
      <c r="A51" s="420"/>
      <c r="B51" s="421"/>
      <c r="C51" s="422"/>
      <c r="D51" s="423"/>
      <c r="E51" s="519" t="s">
        <v>77</v>
      </c>
      <c r="F51" s="514" t="s">
        <v>78</v>
      </c>
      <c r="G51" s="515" t="s">
        <v>174</v>
      </c>
      <c r="H51" s="516">
        <v>0.30399999999999999</v>
      </c>
      <c r="I51" s="517">
        <f>LOOKUP(E51,valoriz!$A$13:$A$242,valoriz!I$13:I$242)</f>
        <v>0</v>
      </c>
      <c r="J51" s="518">
        <f t="shared" si="2"/>
        <v>0</v>
      </c>
      <c r="K51" s="425"/>
      <c r="L51" s="430"/>
    </row>
    <row r="52" spans="1:12" s="427" customFormat="1" ht="12.75" outlineLevel="1">
      <c r="A52" s="420"/>
      <c r="B52" s="421"/>
      <c r="C52" s="422"/>
      <c r="D52" s="423"/>
      <c r="E52" s="519" t="s">
        <v>79</v>
      </c>
      <c r="F52" s="514" t="s">
        <v>80</v>
      </c>
      <c r="G52" s="515" t="s">
        <v>174</v>
      </c>
      <c r="H52" s="516">
        <v>0.15</v>
      </c>
      <c r="I52" s="517">
        <f>LOOKUP(E52,valoriz!$A$13:$A$242,valoriz!I$13:I$242)</f>
        <v>0</v>
      </c>
      <c r="J52" s="518">
        <f t="shared" si="2"/>
        <v>0</v>
      </c>
      <c r="K52" s="425"/>
      <c r="L52" s="430"/>
    </row>
    <row r="53" spans="1:12" s="427" customFormat="1" ht="12.75" outlineLevel="1">
      <c r="A53" s="420"/>
      <c r="B53" s="421"/>
      <c r="C53" s="422"/>
      <c r="D53" s="423"/>
      <c r="E53" s="519" t="s">
        <v>81</v>
      </c>
      <c r="F53" s="514" t="s">
        <v>82</v>
      </c>
      <c r="G53" s="515" t="s">
        <v>601</v>
      </c>
      <c r="H53" s="516">
        <v>2.2000000000000002</v>
      </c>
      <c r="I53" s="517">
        <f>LOOKUP(E53,valoriz!$A$13:$A$242,valoriz!I$13:I$242)</f>
        <v>0</v>
      </c>
      <c r="J53" s="518">
        <f t="shared" si="2"/>
        <v>0</v>
      </c>
      <c r="K53" s="425"/>
      <c r="L53" s="430"/>
    </row>
    <row r="54" spans="1:12" s="427" customFormat="1" ht="12.75" outlineLevel="1">
      <c r="A54" s="420"/>
      <c r="B54" s="421"/>
      <c r="C54" s="422"/>
      <c r="D54" s="423"/>
      <c r="E54" s="519" t="s">
        <v>83</v>
      </c>
      <c r="F54" s="514" t="s">
        <v>84</v>
      </c>
      <c r="G54" s="515" t="s">
        <v>174</v>
      </c>
      <c r="H54" s="516">
        <v>1.7</v>
      </c>
      <c r="I54" s="517">
        <f>LOOKUP(E54,valoriz!$A$13:$A$242,valoriz!I$13:I$242)</f>
        <v>0</v>
      </c>
      <c r="J54" s="518">
        <f t="shared" si="2"/>
        <v>0</v>
      </c>
      <c r="K54" s="425"/>
      <c r="L54" s="430"/>
    </row>
    <row r="55" spans="1:12" s="427" customFormat="1" ht="12.75" outlineLevel="1">
      <c r="A55" s="420"/>
      <c r="B55" s="421"/>
      <c r="C55" s="422"/>
      <c r="D55" s="423"/>
      <c r="E55" s="519" t="s">
        <v>85</v>
      </c>
      <c r="F55" s="514" t="s">
        <v>86</v>
      </c>
      <c r="G55" s="515" t="s">
        <v>174</v>
      </c>
      <c r="H55" s="516">
        <v>1.5</v>
      </c>
      <c r="I55" s="517">
        <f>LOOKUP(E55,valoriz!$A$13:$A$242,valoriz!I$13:I$242)</f>
        <v>0</v>
      </c>
      <c r="J55" s="518">
        <f t="shared" si="2"/>
        <v>0</v>
      </c>
      <c r="K55" s="425"/>
      <c r="L55" s="430"/>
    </row>
    <row r="56" spans="1:12" s="427" customFormat="1" ht="12.75" outlineLevel="1">
      <c r="A56" s="420"/>
      <c r="B56" s="421"/>
      <c r="C56" s="422"/>
      <c r="D56" s="423"/>
      <c r="E56" s="519" t="s">
        <v>116</v>
      </c>
      <c r="F56" s="514" t="s">
        <v>117</v>
      </c>
      <c r="G56" s="515" t="s">
        <v>174</v>
      </c>
      <c r="H56" s="516">
        <v>2</v>
      </c>
      <c r="I56" s="517">
        <f>LOOKUP(E56,valoriz!$A$13:$A$242,valoriz!I$13:I$242)</f>
        <v>0</v>
      </c>
      <c r="J56" s="518">
        <f t="shared" si="2"/>
        <v>0</v>
      </c>
      <c r="K56" s="425"/>
      <c r="L56" s="430"/>
    </row>
    <row r="57" spans="1:12" s="427" customFormat="1" ht="12.75" outlineLevel="1">
      <c r="A57" s="420"/>
      <c r="B57" s="421"/>
      <c r="C57" s="422"/>
      <c r="D57" s="423"/>
      <c r="E57" s="524"/>
      <c r="F57" s="422"/>
      <c r="G57" s="423"/>
      <c r="H57" s="424"/>
      <c r="I57" s="469"/>
      <c r="J57" s="459"/>
      <c r="K57" s="425"/>
      <c r="L57" s="430"/>
    </row>
    <row r="58" spans="1:12" s="427" customFormat="1" ht="12.75" outlineLevel="1">
      <c r="A58" s="420"/>
      <c r="B58" s="421"/>
      <c r="C58" s="422"/>
      <c r="D58" s="423"/>
      <c r="E58" s="524"/>
      <c r="F58" s="422"/>
      <c r="G58" s="423"/>
      <c r="H58" s="424"/>
      <c r="I58" s="469"/>
      <c r="J58" s="459"/>
      <c r="K58" s="425"/>
      <c r="L58" s="430"/>
    </row>
    <row r="59" spans="1:12" s="427" customFormat="1" ht="12.75" outlineLevel="1">
      <c r="A59" s="420"/>
      <c r="B59" s="421"/>
      <c r="C59" s="422"/>
      <c r="D59" s="423"/>
      <c r="E59" s="524"/>
      <c r="F59" s="422"/>
      <c r="G59" s="423"/>
      <c r="H59" s="424"/>
      <c r="I59" s="469"/>
      <c r="J59" s="459"/>
      <c r="K59" s="425"/>
      <c r="L59" s="430"/>
    </row>
    <row r="60" spans="1:12" s="427" customFormat="1" ht="12.75" outlineLevel="1">
      <c r="A60" s="420"/>
      <c r="B60" s="421"/>
      <c r="C60" s="422"/>
      <c r="D60" s="423"/>
      <c r="E60" s="524"/>
      <c r="F60" s="422"/>
      <c r="G60" s="423"/>
      <c r="H60" s="424"/>
      <c r="I60" s="469"/>
      <c r="J60" s="459"/>
      <c r="K60" s="425"/>
      <c r="L60" s="430"/>
    </row>
    <row r="61" spans="1:12" s="427" customFormat="1" ht="12.75" outlineLevel="1">
      <c r="A61" s="420"/>
      <c r="B61" s="421"/>
      <c r="C61" s="422"/>
      <c r="D61" s="423"/>
      <c r="E61" s="524"/>
      <c r="F61" s="422"/>
      <c r="G61" s="423"/>
      <c r="H61" s="424"/>
      <c r="I61" s="469"/>
      <c r="J61" s="459"/>
      <c r="K61" s="425"/>
      <c r="L61" s="430"/>
    </row>
    <row r="62" spans="1:12" s="427" customFormat="1" ht="12.75" outlineLevel="1">
      <c r="A62" s="420"/>
      <c r="B62" s="421"/>
      <c r="C62" s="422"/>
      <c r="D62" s="423"/>
      <c r="E62" s="524"/>
      <c r="F62" s="422"/>
      <c r="G62" s="423"/>
      <c r="H62" s="424"/>
      <c r="I62" s="469"/>
      <c r="J62" s="459"/>
      <c r="K62" s="425"/>
      <c r="L62" s="430"/>
    </row>
    <row r="63" spans="1:12" s="427" customFormat="1" ht="12.75" outlineLevel="1">
      <c r="A63" s="420"/>
      <c r="B63" s="421"/>
      <c r="C63" s="422"/>
      <c r="D63" s="423"/>
      <c r="E63" s="524"/>
      <c r="F63" s="422"/>
      <c r="G63" s="423"/>
      <c r="H63" s="424"/>
      <c r="I63" s="469"/>
      <c r="J63" s="459"/>
      <c r="K63" s="425"/>
      <c r="L63" s="430"/>
    </row>
    <row r="64" spans="1:12" s="427" customFormat="1" ht="12.75" outlineLevel="1">
      <c r="A64" s="420"/>
      <c r="B64" s="421"/>
      <c r="C64" s="422"/>
      <c r="D64" s="423"/>
      <c r="E64" s="524"/>
      <c r="F64" s="422"/>
      <c r="G64" s="423"/>
      <c r="H64" s="424"/>
      <c r="I64" s="469"/>
      <c r="J64" s="459"/>
      <c r="K64" s="425"/>
      <c r="L64" s="430"/>
    </row>
    <row r="65" spans="1:12" s="427" customFormat="1" ht="12.75" outlineLevel="1">
      <c r="A65" s="420"/>
      <c r="B65" s="421"/>
      <c r="C65" s="422"/>
      <c r="D65" s="423"/>
      <c r="E65" s="524"/>
      <c r="F65" s="422"/>
      <c r="G65" s="423"/>
      <c r="H65" s="424"/>
      <c r="I65" s="469"/>
      <c r="J65" s="459"/>
      <c r="K65" s="425"/>
      <c r="L65" s="430"/>
    </row>
    <row r="66" spans="1:12" s="427" customFormat="1" ht="12.75" outlineLevel="1">
      <c r="A66" s="420"/>
      <c r="B66" s="421"/>
      <c r="C66" s="422"/>
      <c r="D66" s="423"/>
      <c r="E66" s="524"/>
      <c r="F66" s="422"/>
      <c r="G66" s="423"/>
      <c r="H66" s="424"/>
      <c r="I66" s="469"/>
      <c r="J66" s="459"/>
      <c r="K66" s="425"/>
      <c r="L66" s="430"/>
    </row>
    <row r="67" spans="1:12" s="427" customFormat="1" ht="12.75" outlineLevel="1">
      <c r="A67" s="420"/>
      <c r="B67" s="421"/>
      <c r="C67" s="422"/>
      <c r="D67" s="423"/>
      <c r="E67" s="524"/>
      <c r="F67" s="422"/>
      <c r="G67" s="423"/>
      <c r="H67" s="424"/>
      <c r="I67" s="469"/>
      <c r="J67" s="459"/>
      <c r="K67" s="425"/>
      <c r="L67" s="430"/>
    </row>
    <row r="68" spans="1:12" s="427" customFormat="1" ht="12.75" outlineLevel="1">
      <c r="A68" s="420" t="s">
        <v>806</v>
      </c>
      <c r="B68" s="532" t="s">
        <v>807</v>
      </c>
      <c r="C68" s="533"/>
      <c r="D68" s="534" t="s">
        <v>436</v>
      </c>
      <c r="E68" s="519"/>
      <c r="F68" s="514"/>
      <c r="G68" s="515"/>
      <c r="H68" s="516"/>
      <c r="I68" s="517"/>
      <c r="J68" s="535">
        <f>SUM(J69)</f>
        <v>0</v>
      </c>
      <c r="K68" s="425">
        <v>1321.99</v>
      </c>
      <c r="L68" s="430"/>
    </row>
    <row r="69" spans="1:12" s="427" customFormat="1" ht="12.75" outlineLevel="1">
      <c r="A69" s="420" t="s">
        <v>633</v>
      </c>
      <c r="B69" s="421"/>
      <c r="C69" s="422"/>
      <c r="D69" s="423"/>
      <c r="E69" s="524" t="s">
        <v>681</v>
      </c>
      <c r="F69" s="422" t="s">
        <v>1117</v>
      </c>
      <c r="G69" s="423" t="s">
        <v>431</v>
      </c>
      <c r="H69" s="424">
        <v>1.0079999999999998</v>
      </c>
      <c r="I69" s="469">
        <f>LOOKUP(E69,valoriz!$A$13:$A$242,valoriz!I$13:I$242)</f>
        <v>0</v>
      </c>
      <c r="J69" s="460">
        <f>ROUND(I69*H69,2)</f>
        <v>0</v>
      </c>
      <c r="K69" s="425"/>
      <c r="L69" s="430"/>
    </row>
    <row r="70" spans="1:12" s="427" customFormat="1" ht="12.75" outlineLevel="1">
      <c r="A70" s="420"/>
      <c r="B70" s="431"/>
      <c r="C70" s="432"/>
      <c r="D70" s="433"/>
      <c r="E70" s="525"/>
      <c r="F70" s="432"/>
      <c r="G70" s="433"/>
      <c r="H70" s="434"/>
      <c r="I70" s="470"/>
      <c r="J70" s="461"/>
      <c r="K70" s="425"/>
      <c r="L70" s="430"/>
    </row>
    <row r="71" spans="1:12" s="427" customFormat="1" ht="12.75">
      <c r="A71" s="420"/>
      <c r="B71" s="421"/>
      <c r="C71" s="422"/>
      <c r="D71" s="423"/>
      <c r="E71" s="524"/>
      <c r="F71" s="422"/>
      <c r="G71" s="423"/>
      <c r="H71" s="424"/>
      <c r="I71" s="469"/>
      <c r="J71" s="459"/>
      <c r="K71" s="425"/>
      <c r="L71" s="430"/>
    </row>
    <row r="72" spans="1:12" s="427" customFormat="1" ht="12.75">
      <c r="A72" s="420" t="s">
        <v>808</v>
      </c>
      <c r="B72" s="532" t="s">
        <v>809</v>
      </c>
      <c r="C72" s="533"/>
      <c r="D72" s="534" t="s">
        <v>436</v>
      </c>
      <c r="E72" s="519"/>
      <c r="F72" s="514"/>
      <c r="G72" s="515"/>
      <c r="H72" s="516"/>
      <c r="I72" s="517"/>
      <c r="J72" s="535">
        <f>SUM(J73:J89)</f>
        <v>0.08</v>
      </c>
      <c r="K72" s="425">
        <v>10125.209999999999</v>
      </c>
      <c r="L72" s="430"/>
    </row>
    <row r="73" spans="1:12" s="427" customFormat="1" ht="12.75">
      <c r="A73" s="420" t="s">
        <v>633</v>
      </c>
      <c r="B73" s="421"/>
      <c r="C73" s="422"/>
      <c r="D73" s="423"/>
      <c r="E73" s="525" t="s">
        <v>634</v>
      </c>
      <c r="F73" s="432" t="s">
        <v>356</v>
      </c>
      <c r="G73" s="433" t="s">
        <v>433</v>
      </c>
      <c r="H73" s="434">
        <v>4</v>
      </c>
      <c r="I73" s="470">
        <f>LOOKUP(E73,valoriz!$A$13:$A$242,valoriz!I$13:I$242)</f>
        <v>0</v>
      </c>
      <c r="J73" s="462">
        <f t="shared" ref="J73:J89" si="3">ROUND(I73*H73,2)</f>
        <v>0</v>
      </c>
      <c r="K73" s="425"/>
      <c r="L73" s="430"/>
    </row>
    <row r="74" spans="1:12" s="427" customFormat="1" ht="12.75">
      <c r="A74" s="420" t="s">
        <v>633</v>
      </c>
      <c r="B74" s="421"/>
      <c r="C74" s="422"/>
      <c r="D74" s="423"/>
      <c r="E74" s="519" t="s">
        <v>636</v>
      </c>
      <c r="F74" s="514" t="s">
        <v>355</v>
      </c>
      <c r="G74" s="515" t="s">
        <v>354</v>
      </c>
      <c r="H74" s="531">
        <v>0.74314000000000002</v>
      </c>
      <c r="I74" s="517">
        <f>LOOKUP(E74,valoriz!$A$13:$A$242,valoriz!I$13:I$242)</f>
        <v>0.10999999999999999</v>
      </c>
      <c r="J74" s="518">
        <f t="shared" si="3"/>
        <v>0.08</v>
      </c>
      <c r="K74" s="425"/>
      <c r="L74" s="430"/>
    </row>
    <row r="75" spans="1:12" s="427" customFormat="1" ht="12.75">
      <c r="A75" s="420" t="s">
        <v>633</v>
      </c>
      <c r="B75" s="421"/>
      <c r="C75" s="422"/>
      <c r="D75" s="423"/>
      <c r="E75" s="519" t="s">
        <v>760</v>
      </c>
      <c r="F75" s="514" t="s">
        <v>605</v>
      </c>
      <c r="G75" s="515" t="s">
        <v>434</v>
      </c>
      <c r="H75" s="516">
        <v>0.2</v>
      </c>
      <c r="I75" s="517">
        <f>LOOKUP(E75,valoriz!$A$13:$A$242,valoriz!I$13:I$242)</f>
        <v>0</v>
      </c>
      <c r="J75" s="518">
        <f t="shared" si="3"/>
        <v>0</v>
      </c>
      <c r="K75" s="425"/>
      <c r="L75" s="430"/>
    </row>
    <row r="76" spans="1:12" s="427" customFormat="1" ht="12.75">
      <c r="A76" s="420" t="s">
        <v>633</v>
      </c>
      <c r="B76" s="421"/>
      <c r="C76" s="422"/>
      <c r="D76" s="423"/>
      <c r="E76" s="519" t="s">
        <v>761</v>
      </c>
      <c r="F76" s="514" t="s">
        <v>605</v>
      </c>
      <c r="G76" s="515" t="s">
        <v>434</v>
      </c>
      <c r="H76" s="516">
        <v>0.2</v>
      </c>
      <c r="I76" s="517">
        <f>LOOKUP(E76,valoriz!$A$13:$A$242,valoriz!I$13:I$242)</f>
        <v>0</v>
      </c>
      <c r="J76" s="518">
        <f t="shared" si="3"/>
        <v>0</v>
      </c>
      <c r="K76" s="425"/>
      <c r="L76" s="430"/>
    </row>
    <row r="77" spans="1:12" s="427" customFormat="1" ht="12.75">
      <c r="A77" s="420" t="s">
        <v>633</v>
      </c>
      <c r="B77" s="421"/>
      <c r="C77" s="422"/>
      <c r="D77" s="423"/>
      <c r="E77" s="519" t="s">
        <v>790</v>
      </c>
      <c r="F77" s="514" t="s">
        <v>605</v>
      </c>
      <c r="G77" s="515" t="s">
        <v>434</v>
      </c>
      <c r="H77" s="516">
        <v>0.2</v>
      </c>
      <c r="I77" s="517">
        <f>LOOKUP(E77,valoriz!$A$13:$A$242,valoriz!I$13:I$242)</f>
        <v>0</v>
      </c>
      <c r="J77" s="518">
        <f t="shared" si="3"/>
        <v>0</v>
      </c>
      <c r="K77" s="425"/>
      <c r="L77" s="430"/>
    </row>
    <row r="78" spans="1:12" s="427" customFormat="1" ht="12.75">
      <c r="A78" s="420" t="s">
        <v>633</v>
      </c>
      <c r="B78" s="421"/>
      <c r="C78" s="422"/>
      <c r="D78" s="423"/>
      <c r="E78" s="519" t="s">
        <v>762</v>
      </c>
      <c r="F78" s="514" t="s">
        <v>605</v>
      </c>
      <c r="G78" s="515" t="s">
        <v>434</v>
      </c>
      <c r="H78" s="516">
        <v>0.2</v>
      </c>
      <c r="I78" s="517">
        <f>LOOKUP(E78,valoriz!$A$13:$A$242,valoriz!I$13:I$242)</f>
        <v>0</v>
      </c>
      <c r="J78" s="518">
        <f t="shared" si="3"/>
        <v>0</v>
      </c>
      <c r="K78" s="425"/>
      <c r="L78" s="430"/>
    </row>
    <row r="79" spans="1:12" s="427" customFormat="1" ht="12.75">
      <c r="A79" s="420" t="s">
        <v>633</v>
      </c>
      <c r="B79" s="421"/>
      <c r="C79" s="422"/>
      <c r="D79" s="423"/>
      <c r="E79" s="519" t="s">
        <v>670</v>
      </c>
      <c r="F79" s="514" t="s">
        <v>606</v>
      </c>
      <c r="G79" s="515" t="s">
        <v>434</v>
      </c>
      <c r="H79" s="516">
        <v>0.2</v>
      </c>
      <c r="I79" s="517">
        <f>LOOKUP(E79,valoriz!$A$13:$A$242,valoriz!I$13:I$242)</f>
        <v>0</v>
      </c>
      <c r="J79" s="518">
        <f t="shared" si="3"/>
        <v>0</v>
      </c>
      <c r="K79" s="425"/>
      <c r="L79" s="430"/>
    </row>
    <row r="80" spans="1:12" s="427" customFormat="1" ht="12.75">
      <c r="A80" s="420" t="s">
        <v>633</v>
      </c>
      <c r="B80" s="421"/>
      <c r="C80" s="422"/>
      <c r="D80" s="423"/>
      <c r="E80" s="519" t="s">
        <v>769</v>
      </c>
      <c r="F80" s="514" t="s">
        <v>605</v>
      </c>
      <c r="G80" s="515" t="s">
        <v>434</v>
      </c>
      <c r="H80" s="516">
        <v>0.2</v>
      </c>
      <c r="I80" s="517">
        <f>LOOKUP(E80,valoriz!$A$13:$A$242,valoriz!I$13:I$242)</f>
        <v>0</v>
      </c>
      <c r="J80" s="518">
        <f t="shared" si="3"/>
        <v>0</v>
      </c>
      <c r="K80" s="425"/>
      <c r="L80" s="430"/>
    </row>
    <row r="81" spans="1:12" s="427" customFormat="1" ht="12.75">
      <c r="A81" s="420" t="s">
        <v>633</v>
      </c>
      <c r="B81" s="421"/>
      <c r="C81" s="422"/>
      <c r="D81" s="423"/>
      <c r="E81" s="519" t="s">
        <v>686</v>
      </c>
      <c r="F81" s="514" t="s">
        <v>1113</v>
      </c>
      <c r="G81" s="515" t="s">
        <v>431</v>
      </c>
      <c r="H81" s="516">
        <v>0.32</v>
      </c>
      <c r="I81" s="517">
        <f>LOOKUP(E81,valoriz!$A$13:$A$242,valoriz!I$13:I$242)</f>
        <v>0</v>
      </c>
      <c r="J81" s="518">
        <f t="shared" si="3"/>
        <v>0</v>
      </c>
      <c r="K81" s="425"/>
      <c r="L81" s="430"/>
    </row>
    <row r="82" spans="1:12" s="427" customFormat="1" ht="12.75">
      <c r="A82" s="420" t="s">
        <v>633</v>
      </c>
      <c r="B82" s="421"/>
      <c r="C82" s="422"/>
      <c r="D82" s="423"/>
      <c r="E82" s="519" t="s">
        <v>687</v>
      </c>
      <c r="F82" s="514" t="s">
        <v>1112</v>
      </c>
      <c r="G82" s="515" t="s">
        <v>433</v>
      </c>
      <c r="H82" s="516">
        <v>2.8800000000000003E-2</v>
      </c>
      <c r="I82" s="517">
        <f>LOOKUP(E82,valoriz!$A$13:$A$242,valoriz!I$13:I$242)</f>
        <v>0</v>
      </c>
      <c r="J82" s="518">
        <f t="shared" si="3"/>
        <v>0</v>
      </c>
      <c r="K82" s="425"/>
      <c r="L82" s="430"/>
    </row>
    <row r="83" spans="1:12" s="427" customFormat="1" ht="12.75">
      <c r="A83" s="420" t="s">
        <v>633</v>
      </c>
      <c r="B83" s="421"/>
      <c r="C83" s="422"/>
      <c r="D83" s="423"/>
      <c r="E83" s="519" t="s">
        <v>688</v>
      </c>
      <c r="F83" s="514" t="s">
        <v>1111</v>
      </c>
      <c r="G83" s="515" t="s">
        <v>433</v>
      </c>
      <c r="H83" s="516">
        <v>0.10010000000000001</v>
      </c>
      <c r="I83" s="517">
        <f>LOOKUP(E83,valoriz!$A$13:$A$242,valoriz!I$13:I$242)</f>
        <v>0</v>
      </c>
      <c r="J83" s="518">
        <f t="shared" si="3"/>
        <v>0</v>
      </c>
      <c r="K83" s="425"/>
      <c r="L83" s="430"/>
    </row>
    <row r="84" spans="1:12" s="427" customFormat="1" ht="12.75">
      <c r="A84" s="420" t="s">
        <v>633</v>
      </c>
      <c r="B84" s="421"/>
      <c r="C84" s="422"/>
      <c r="D84" s="423"/>
      <c r="E84" s="519" t="s">
        <v>775</v>
      </c>
      <c r="F84" s="514" t="s">
        <v>605</v>
      </c>
      <c r="G84" s="515" t="s">
        <v>434</v>
      </c>
      <c r="H84" s="516">
        <v>0.2</v>
      </c>
      <c r="I84" s="517">
        <f>LOOKUP(E84,valoriz!$A$13:$A$242,valoriz!I$13:I$242)</f>
        <v>0</v>
      </c>
      <c r="J84" s="518">
        <f t="shared" si="3"/>
        <v>0</v>
      </c>
      <c r="K84" s="425"/>
      <c r="L84" s="430"/>
    </row>
    <row r="85" spans="1:12" s="427" customFormat="1" ht="12.75">
      <c r="A85" s="420" t="s">
        <v>633</v>
      </c>
      <c r="B85" s="421"/>
      <c r="C85" s="422"/>
      <c r="D85" s="423"/>
      <c r="E85" s="519" t="s">
        <v>776</v>
      </c>
      <c r="F85" s="514" t="s">
        <v>605</v>
      </c>
      <c r="G85" s="515" t="s">
        <v>434</v>
      </c>
      <c r="H85" s="516">
        <v>0.2</v>
      </c>
      <c r="I85" s="517">
        <f>LOOKUP(E85,valoriz!$A$13:$A$242,valoriz!I$13:I$242)</f>
        <v>0</v>
      </c>
      <c r="J85" s="518">
        <f t="shared" si="3"/>
        <v>0</v>
      </c>
      <c r="K85" s="425"/>
      <c r="L85" s="430"/>
    </row>
    <row r="86" spans="1:12" s="427" customFormat="1" ht="12.75">
      <c r="A86" s="420" t="s">
        <v>633</v>
      </c>
      <c r="B86" s="421"/>
      <c r="C86" s="422"/>
      <c r="D86" s="423"/>
      <c r="E86" s="519" t="s">
        <v>707</v>
      </c>
      <c r="F86" s="514" t="s">
        <v>1096</v>
      </c>
      <c r="G86" s="515" t="s">
        <v>433</v>
      </c>
      <c r="H86" s="516">
        <v>0.10199999999999999</v>
      </c>
      <c r="I86" s="517">
        <f>LOOKUP(E86,valoriz!$A$13:$A$242,valoriz!I$13:I$242)</f>
        <v>0</v>
      </c>
      <c r="J86" s="518">
        <f t="shared" si="3"/>
        <v>0</v>
      </c>
      <c r="K86" s="425"/>
      <c r="L86" s="430"/>
    </row>
    <row r="87" spans="1:12" s="427" customFormat="1" ht="12.75">
      <c r="A87" s="420" t="s">
        <v>633</v>
      </c>
      <c r="B87" s="421"/>
      <c r="C87" s="422"/>
      <c r="D87" s="423"/>
      <c r="E87" s="519" t="s">
        <v>709</v>
      </c>
      <c r="F87" s="514" t="s">
        <v>1095</v>
      </c>
      <c r="G87" s="515" t="s">
        <v>433</v>
      </c>
      <c r="H87" s="516">
        <v>0.24</v>
      </c>
      <c r="I87" s="517">
        <f>LOOKUP(E87,valoriz!$A$13:$A$242,valoriz!I$13:I$242)</f>
        <v>0</v>
      </c>
      <c r="J87" s="518">
        <f t="shared" si="3"/>
        <v>0</v>
      </c>
      <c r="K87" s="425"/>
      <c r="L87" s="430"/>
    </row>
    <row r="88" spans="1:12" s="427" customFormat="1" ht="12.75">
      <c r="A88" s="420" t="s">
        <v>633</v>
      </c>
      <c r="B88" s="421"/>
      <c r="C88" s="422"/>
      <c r="D88" s="423"/>
      <c r="E88" s="519" t="s">
        <v>710</v>
      </c>
      <c r="F88" s="514" t="s">
        <v>1094</v>
      </c>
      <c r="G88" s="515" t="s">
        <v>433</v>
      </c>
      <c r="H88" s="516">
        <v>0.24</v>
      </c>
      <c r="I88" s="517">
        <f>LOOKUP(E88,valoriz!$A$13:$A$242,valoriz!I$13:I$242)</f>
        <v>0</v>
      </c>
      <c r="J88" s="518">
        <f t="shared" si="3"/>
        <v>0</v>
      </c>
      <c r="K88" s="425"/>
      <c r="L88" s="430"/>
    </row>
    <row r="89" spans="1:12" s="427" customFormat="1" ht="12.75">
      <c r="A89" s="420" t="s">
        <v>633</v>
      </c>
      <c r="B89" s="421"/>
      <c r="C89" s="422"/>
      <c r="D89" s="423"/>
      <c r="E89" s="519" t="s">
        <v>742</v>
      </c>
      <c r="F89" s="514" t="s">
        <v>1093</v>
      </c>
      <c r="G89" s="515" t="s">
        <v>433</v>
      </c>
      <c r="H89" s="516">
        <v>0.25600000000000001</v>
      </c>
      <c r="I89" s="517">
        <f>LOOKUP(E89,valoriz!$A$13:$A$242,valoriz!I$13:I$242)</f>
        <v>0</v>
      </c>
      <c r="J89" s="518">
        <f t="shared" si="3"/>
        <v>0</v>
      </c>
      <c r="K89" s="425"/>
      <c r="L89" s="430"/>
    </row>
    <row r="90" spans="1:12" s="427" customFormat="1" ht="12.75">
      <c r="A90" s="420"/>
      <c r="B90" s="421"/>
      <c r="C90" s="422"/>
      <c r="D90" s="423"/>
      <c r="E90" s="524"/>
      <c r="F90" s="422"/>
      <c r="G90" s="423"/>
      <c r="H90" s="424"/>
      <c r="I90" s="469"/>
      <c r="J90" s="460"/>
      <c r="K90" s="425"/>
      <c r="L90" s="430"/>
    </row>
    <row r="91" spans="1:12" s="427" customFormat="1" ht="12.75" outlineLevel="1">
      <c r="A91" s="420" t="s">
        <v>810</v>
      </c>
      <c r="B91" s="421"/>
      <c r="C91" s="422"/>
      <c r="D91" s="423"/>
      <c r="E91" s="524" t="s">
        <v>598</v>
      </c>
      <c r="F91" s="422" t="s">
        <v>436</v>
      </c>
      <c r="G91" s="423" t="s">
        <v>1079</v>
      </c>
      <c r="H91" s="424"/>
      <c r="I91" s="469"/>
      <c r="J91" s="460"/>
      <c r="K91" s="425"/>
      <c r="L91" s="430"/>
    </row>
    <row r="92" spans="1:12" s="427" customFormat="1" ht="12.75" outlineLevel="1">
      <c r="A92" s="420" t="s">
        <v>633</v>
      </c>
      <c r="B92" s="421"/>
      <c r="C92" s="422"/>
      <c r="D92" s="423"/>
      <c r="E92" s="524" t="s">
        <v>684</v>
      </c>
      <c r="F92" s="422" t="s">
        <v>795</v>
      </c>
      <c r="G92" s="423" t="s">
        <v>431</v>
      </c>
      <c r="H92" s="424">
        <v>1.7999999999999999E-2</v>
      </c>
      <c r="I92" s="469">
        <v>48182.58</v>
      </c>
      <c r="J92" s="460">
        <v>867.28643999999997</v>
      </c>
      <c r="K92" s="425"/>
      <c r="L92" s="430"/>
    </row>
    <row r="93" spans="1:12" s="427" customFormat="1" ht="12.75" outlineLevel="1">
      <c r="A93" s="420"/>
      <c r="B93" s="421"/>
      <c r="C93" s="422"/>
      <c r="D93" s="423"/>
      <c r="E93" s="524"/>
      <c r="F93" s="422"/>
      <c r="G93" s="423"/>
      <c r="H93" s="424"/>
      <c r="I93" s="469"/>
      <c r="J93" s="459">
        <f>SUBTOTAL(9,J92:J92)</f>
        <v>867.28643999999997</v>
      </c>
      <c r="K93" s="425">
        <v>867.29</v>
      </c>
      <c r="L93" s="430"/>
    </row>
    <row r="94" spans="1:12" s="427" customFormat="1" ht="12.75" outlineLevel="1">
      <c r="A94" s="420" t="s">
        <v>811</v>
      </c>
      <c r="B94" s="421"/>
      <c r="C94" s="422"/>
      <c r="D94" s="423"/>
      <c r="E94" s="524" t="s">
        <v>812</v>
      </c>
      <c r="F94" s="422" t="s">
        <v>436</v>
      </c>
      <c r="G94" s="423"/>
      <c r="H94" s="424"/>
      <c r="I94" s="469"/>
      <c r="J94" s="460"/>
      <c r="K94" s="425"/>
      <c r="L94" s="430"/>
    </row>
    <row r="95" spans="1:12" s="427" customFormat="1" ht="12.75" outlineLevel="1">
      <c r="A95" s="420" t="s">
        <v>633</v>
      </c>
      <c r="B95" s="421"/>
      <c r="C95" s="422"/>
      <c r="D95" s="423"/>
      <c r="E95" s="524" t="s">
        <v>677</v>
      </c>
      <c r="F95" s="422" t="s">
        <v>768</v>
      </c>
      <c r="G95" s="423"/>
      <c r="H95" s="424">
        <v>263.03100000000001</v>
      </c>
      <c r="I95" s="469"/>
      <c r="J95" s="460"/>
      <c r="K95" s="425"/>
      <c r="L95" s="430"/>
    </row>
    <row r="96" spans="1:12" s="427" customFormat="1" ht="12.75" outlineLevel="1">
      <c r="A96" s="420"/>
      <c r="B96" s="421"/>
      <c r="C96" s="422"/>
      <c r="D96" s="423"/>
      <c r="E96" s="524"/>
      <c r="F96" s="422"/>
      <c r="G96" s="423"/>
      <c r="H96" s="424">
        <v>263.03100000000001</v>
      </c>
      <c r="I96" s="469"/>
      <c r="J96" s="460"/>
      <c r="K96" s="425"/>
      <c r="L96" s="430"/>
    </row>
    <row r="97" spans="1:12" s="427" customFormat="1" ht="12.75" outlineLevel="1">
      <c r="A97" s="420" t="s">
        <v>813</v>
      </c>
      <c r="B97" s="421"/>
      <c r="C97" s="422"/>
      <c r="D97" s="423"/>
      <c r="E97" s="524" t="s">
        <v>814</v>
      </c>
      <c r="F97" s="422" t="s">
        <v>815</v>
      </c>
      <c r="G97" s="423"/>
      <c r="H97" s="424"/>
      <c r="I97" s="469"/>
      <c r="J97" s="460"/>
      <c r="K97" s="425"/>
      <c r="L97" s="430"/>
    </row>
    <row r="98" spans="1:12" s="427" customFormat="1" ht="12.75" outlineLevel="1">
      <c r="A98" s="420" t="s">
        <v>633</v>
      </c>
      <c r="B98" s="421"/>
      <c r="C98" s="422"/>
      <c r="D98" s="423"/>
      <c r="E98" s="524" t="s">
        <v>783</v>
      </c>
      <c r="F98" s="422" t="s">
        <v>708</v>
      </c>
      <c r="G98" s="423"/>
      <c r="H98" s="424">
        <v>410.46</v>
      </c>
      <c r="I98" s="469"/>
      <c r="J98" s="460"/>
      <c r="K98" s="425"/>
      <c r="L98" s="430"/>
    </row>
    <row r="99" spans="1:12" s="427" customFormat="1" ht="12.75" outlineLevel="1">
      <c r="A99" s="420"/>
      <c r="B99" s="421"/>
      <c r="C99" s="422"/>
      <c r="D99" s="423"/>
      <c r="E99" s="524"/>
      <c r="F99" s="422"/>
      <c r="G99" s="423"/>
      <c r="H99" s="424">
        <v>410.46</v>
      </c>
      <c r="I99" s="469"/>
      <c r="J99" s="460"/>
      <c r="K99" s="425"/>
      <c r="L99" s="430"/>
    </row>
    <row r="100" spans="1:12" s="427" customFormat="1" ht="12.75" outlineLevel="1">
      <c r="A100" s="420" t="s">
        <v>816</v>
      </c>
      <c r="B100" s="421"/>
      <c r="C100" s="422"/>
      <c r="D100" s="423"/>
      <c r="E100" s="524" t="s">
        <v>817</v>
      </c>
      <c r="F100" s="422" t="s">
        <v>815</v>
      </c>
      <c r="G100" s="423"/>
      <c r="H100" s="424"/>
      <c r="I100" s="469"/>
      <c r="J100" s="460"/>
      <c r="K100" s="425"/>
      <c r="L100" s="430"/>
    </row>
    <row r="101" spans="1:12" s="427" customFormat="1" ht="12.75" outlineLevel="1">
      <c r="A101" s="420" t="s">
        <v>633</v>
      </c>
      <c r="B101" s="421"/>
      <c r="C101" s="422"/>
      <c r="D101" s="423"/>
      <c r="E101" s="524" t="s">
        <v>784</v>
      </c>
      <c r="F101" s="422" t="s">
        <v>708</v>
      </c>
      <c r="G101" s="423"/>
      <c r="H101" s="424">
        <v>2957.6</v>
      </c>
      <c r="I101" s="469"/>
      <c r="J101" s="460"/>
      <c r="K101" s="425"/>
      <c r="L101" s="430"/>
    </row>
    <row r="102" spans="1:12" s="427" customFormat="1" ht="12.75" outlineLevel="1">
      <c r="A102" s="420"/>
      <c r="B102" s="421"/>
      <c r="C102" s="422"/>
      <c r="D102" s="423"/>
      <c r="E102" s="524"/>
      <c r="F102" s="422"/>
      <c r="G102" s="423"/>
      <c r="H102" s="424">
        <v>2957.6</v>
      </c>
      <c r="I102" s="469"/>
      <c r="J102" s="460"/>
      <c r="K102" s="425"/>
      <c r="L102" s="430"/>
    </row>
    <row r="103" spans="1:12" s="427" customFormat="1" ht="12.75" outlineLevel="1">
      <c r="A103" s="420" t="s">
        <v>823</v>
      </c>
      <c r="B103" s="421"/>
      <c r="C103" s="422"/>
      <c r="D103" s="423"/>
      <c r="E103" s="524" t="s">
        <v>824</v>
      </c>
      <c r="F103" s="422" t="s">
        <v>825</v>
      </c>
      <c r="G103" s="423"/>
      <c r="H103" s="424"/>
      <c r="I103" s="469"/>
      <c r="J103" s="460"/>
      <c r="K103" s="425"/>
      <c r="L103" s="430"/>
    </row>
    <row r="104" spans="1:12" s="427" customFormat="1" ht="12.75" outlineLevel="1">
      <c r="A104" s="420" t="s">
        <v>633</v>
      </c>
      <c r="B104" s="421"/>
      <c r="C104" s="422"/>
      <c r="D104" s="423"/>
      <c r="E104" s="524" t="s">
        <v>711</v>
      </c>
      <c r="F104" s="422" t="s">
        <v>712</v>
      </c>
      <c r="G104" s="423"/>
      <c r="H104" s="424">
        <v>792.93899999999996</v>
      </c>
      <c r="I104" s="469"/>
      <c r="J104" s="460"/>
      <c r="K104" s="425"/>
      <c r="L104" s="430"/>
    </row>
    <row r="105" spans="1:12" s="427" customFormat="1" ht="12.75" outlineLevel="1">
      <c r="A105" s="420"/>
      <c r="B105" s="421"/>
      <c r="C105" s="422"/>
      <c r="D105" s="423"/>
      <c r="E105" s="524"/>
      <c r="F105" s="422"/>
      <c r="G105" s="423"/>
      <c r="H105" s="424">
        <v>792.93899999999996</v>
      </c>
      <c r="I105" s="469"/>
      <c r="J105" s="460"/>
      <c r="K105" s="425"/>
      <c r="L105" s="430"/>
    </row>
    <row r="106" spans="1:12" s="427" customFormat="1" ht="12.75" outlineLevel="1">
      <c r="A106" s="420" t="s">
        <v>826</v>
      </c>
      <c r="B106" s="421"/>
      <c r="C106" s="422"/>
      <c r="D106" s="423"/>
      <c r="E106" s="524" t="s">
        <v>827</v>
      </c>
      <c r="F106" s="422" t="s">
        <v>436</v>
      </c>
      <c r="G106" s="423"/>
      <c r="H106" s="424"/>
      <c r="I106" s="469"/>
      <c r="J106" s="460"/>
      <c r="K106" s="425"/>
      <c r="L106" s="430"/>
    </row>
    <row r="107" spans="1:12" s="427" customFormat="1" ht="12.75" outlineLevel="1">
      <c r="A107" s="420" t="s">
        <v>633</v>
      </c>
      <c r="B107" s="421"/>
      <c r="C107" s="422"/>
      <c r="D107" s="423"/>
      <c r="E107" s="524" t="s">
        <v>677</v>
      </c>
      <c r="F107" s="422" t="s">
        <v>768</v>
      </c>
      <c r="G107" s="423"/>
      <c r="H107" s="424">
        <v>229.233</v>
      </c>
      <c r="I107" s="469"/>
      <c r="J107" s="460"/>
      <c r="K107" s="425"/>
      <c r="L107" s="430"/>
    </row>
    <row r="108" spans="1:12" s="427" customFormat="1" ht="12.75" outlineLevel="1">
      <c r="A108" s="420"/>
      <c r="B108" s="421"/>
      <c r="C108" s="422"/>
      <c r="D108" s="423"/>
      <c r="E108" s="524"/>
      <c r="F108" s="422"/>
      <c r="G108" s="423"/>
      <c r="H108" s="424">
        <v>229.233</v>
      </c>
      <c r="I108" s="469"/>
      <c r="J108" s="460"/>
      <c r="K108" s="425"/>
      <c r="L108" s="430"/>
    </row>
    <row r="109" spans="1:12" s="427" customFormat="1" ht="12.75" outlineLevel="1">
      <c r="A109" s="420" t="s">
        <v>828</v>
      </c>
      <c r="B109" s="421"/>
      <c r="C109" s="422"/>
      <c r="D109" s="423"/>
      <c r="E109" s="524" t="s">
        <v>829</v>
      </c>
      <c r="F109" s="422" t="s">
        <v>815</v>
      </c>
      <c r="G109" s="423"/>
      <c r="H109" s="424"/>
      <c r="I109" s="469"/>
      <c r="J109" s="460"/>
      <c r="K109" s="425"/>
      <c r="L109" s="430"/>
    </row>
    <row r="110" spans="1:12" s="427" customFormat="1" ht="12.75" outlineLevel="1">
      <c r="A110" s="420" t="s">
        <v>633</v>
      </c>
      <c r="B110" s="421"/>
      <c r="C110" s="422"/>
      <c r="D110" s="423"/>
      <c r="E110" s="524" t="s">
        <v>709</v>
      </c>
      <c r="F110" s="422" t="s">
        <v>796</v>
      </c>
      <c r="G110" s="423"/>
      <c r="H110" s="424">
        <v>604</v>
      </c>
      <c r="I110" s="469"/>
      <c r="J110" s="460"/>
      <c r="K110" s="425"/>
      <c r="L110" s="430"/>
    </row>
    <row r="111" spans="1:12" s="427" customFormat="1" ht="12.75" outlineLevel="1">
      <c r="A111" s="420" t="s">
        <v>633</v>
      </c>
      <c r="B111" s="421"/>
      <c r="C111" s="422"/>
      <c r="D111" s="423"/>
      <c r="E111" s="524" t="s">
        <v>710</v>
      </c>
      <c r="F111" s="422" t="s">
        <v>796</v>
      </c>
      <c r="G111" s="423"/>
      <c r="H111" s="424">
        <v>86</v>
      </c>
      <c r="I111" s="469"/>
      <c r="J111" s="460"/>
      <c r="K111" s="425"/>
      <c r="L111" s="430"/>
    </row>
    <row r="112" spans="1:12" s="427" customFormat="1" ht="12.75" outlineLevel="1">
      <c r="A112" s="420"/>
      <c r="B112" s="421"/>
      <c r="C112" s="422"/>
      <c r="D112" s="423"/>
      <c r="E112" s="524"/>
      <c r="F112" s="422"/>
      <c r="G112" s="423"/>
      <c r="H112" s="424">
        <v>690</v>
      </c>
      <c r="I112" s="469"/>
      <c r="J112" s="460"/>
      <c r="K112" s="425"/>
      <c r="L112" s="430"/>
    </row>
    <row r="113" spans="1:12" s="427" customFormat="1" ht="12.75" outlineLevel="1">
      <c r="A113" s="420" t="s">
        <v>830</v>
      </c>
      <c r="B113" s="421"/>
      <c r="C113" s="422"/>
      <c r="D113" s="423"/>
      <c r="E113" s="524" t="s">
        <v>831</v>
      </c>
      <c r="F113" s="422" t="s">
        <v>815</v>
      </c>
      <c r="G113" s="423"/>
      <c r="H113" s="424"/>
      <c r="I113" s="469"/>
      <c r="J113" s="460"/>
      <c r="K113" s="425"/>
      <c r="L113" s="430"/>
    </row>
    <row r="114" spans="1:12" s="427" customFormat="1" ht="12.75" outlineLevel="1">
      <c r="A114" s="420" t="s">
        <v>633</v>
      </c>
      <c r="B114" s="421"/>
      <c r="C114" s="422"/>
      <c r="D114" s="423"/>
      <c r="E114" s="524" t="s">
        <v>636</v>
      </c>
      <c r="F114" s="422" t="s">
        <v>755</v>
      </c>
      <c r="G114" s="423"/>
      <c r="H114" s="424">
        <v>8.0513600000000007</v>
      </c>
      <c r="I114" s="469"/>
      <c r="J114" s="460"/>
      <c r="K114" s="425"/>
      <c r="L114" s="430"/>
    </row>
    <row r="115" spans="1:12" s="427" customFormat="1" ht="12.75" outlineLevel="1">
      <c r="A115" s="420"/>
      <c r="B115" s="421"/>
      <c r="C115" s="422"/>
      <c r="D115" s="423"/>
      <c r="E115" s="524"/>
      <c r="F115" s="422"/>
      <c r="G115" s="423"/>
      <c r="H115" s="424">
        <v>8.0513600000000007</v>
      </c>
      <c r="I115" s="469"/>
      <c r="J115" s="460"/>
      <c r="K115" s="425"/>
      <c r="L115" s="430"/>
    </row>
    <row r="116" spans="1:12" s="427" customFormat="1" ht="12.75" outlineLevel="1">
      <c r="A116" s="420" t="s">
        <v>832</v>
      </c>
      <c r="B116" s="421"/>
      <c r="C116" s="422"/>
      <c r="D116" s="423"/>
      <c r="E116" s="524" t="s">
        <v>833</v>
      </c>
      <c r="F116" s="422" t="s">
        <v>436</v>
      </c>
      <c r="G116" s="423"/>
      <c r="H116" s="424"/>
      <c r="I116" s="469"/>
      <c r="J116" s="460"/>
      <c r="K116" s="425"/>
      <c r="L116" s="430"/>
    </row>
    <row r="117" spans="1:12" s="427" customFormat="1" ht="12.75" outlineLevel="1">
      <c r="A117" s="420" t="s">
        <v>633</v>
      </c>
      <c r="B117" s="421"/>
      <c r="C117" s="422"/>
      <c r="D117" s="423"/>
      <c r="E117" s="524" t="s">
        <v>677</v>
      </c>
      <c r="F117" s="422" t="s">
        <v>768</v>
      </c>
      <c r="G117" s="423"/>
      <c r="H117" s="424">
        <v>129.43</v>
      </c>
      <c r="I117" s="469"/>
      <c r="J117" s="460"/>
      <c r="K117" s="425"/>
      <c r="L117" s="430"/>
    </row>
    <row r="118" spans="1:12" s="427" customFormat="1" ht="12.75" outlineLevel="1">
      <c r="A118" s="420"/>
      <c r="B118" s="421"/>
      <c r="C118" s="422"/>
      <c r="D118" s="423"/>
      <c r="E118" s="524"/>
      <c r="F118" s="422"/>
      <c r="G118" s="423"/>
      <c r="H118" s="424">
        <v>129.43</v>
      </c>
      <c r="I118" s="469"/>
      <c r="J118" s="460"/>
      <c r="K118" s="425"/>
      <c r="L118" s="430"/>
    </row>
    <row r="119" spans="1:12" s="427" customFormat="1" ht="12.75" outlineLevel="1">
      <c r="A119" s="420"/>
      <c r="B119" s="431"/>
      <c r="C119" s="432"/>
      <c r="D119" s="433"/>
      <c r="E119" s="525"/>
      <c r="F119" s="432"/>
      <c r="G119" s="433"/>
      <c r="H119" s="434"/>
      <c r="I119" s="470"/>
      <c r="J119" s="462"/>
      <c r="K119" s="425"/>
      <c r="L119" s="430"/>
    </row>
    <row r="120" spans="1:12" s="427" customFormat="1" ht="12.75" outlineLevel="1" collapsed="1">
      <c r="A120" s="420"/>
      <c r="B120" s="421"/>
      <c r="C120" s="422"/>
      <c r="D120" s="423"/>
      <c r="E120" s="524"/>
      <c r="F120" s="422"/>
      <c r="G120" s="423"/>
      <c r="H120" s="424"/>
      <c r="I120" s="469"/>
      <c r="J120" s="460"/>
      <c r="K120" s="425"/>
      <c r="L120" s="430"/>
    </row>
    <row r="121" spans="1:12" s="427" customFormat="1" ht="12.75" outlineLevel="1">
      <c r="A121" s="420" t="s">
        <v>834</v>
      </c>
      <c r="B121" s="421" t="s">
        <v>835</v>
      </c>
      <c r="C121" s="428"/>
      <c r="D121" s="429" t="s">
        <v>436</v>
      </c>
      <c r="E121" s="524"/>
      <c r="F121" s="422"/>
      <c r="G121" s="423"/>
      <c r="H121" s="424"/>
      <c r="I121" s="469"/>
      <c r="J121" s="459">
        <f>SUM(J122)</f>
        <v>0</v>
      </c>
      <c r="K121" s="425">
        <v>25.12</v>
      </c>
      <c r="L121" s="430"/>
    </row>
    <row r="122" spans="1:12" s="427" customFormat="1" ht="12.75" outlineLevel="1">
      <c r="A122" s="420" t="s">
        <v>633</v>
      </c>
      <c r="B122" s="421"/>
      <c r="C122" s="422"/>
      <c r="D122" s="423"/>
      <c r="E122" s="524" t="s">
        <v>791</v>
      </c>
      <c r="F122" s="422" t="s">
        <v>360</v>
      </c>
      <c r="G122" s="423" t="s">
        <v>433</v>
      </c>
      <c r="H122" s="424">
        <v>3.14</v>
      </c>
      <c r="I122" s="469">
        <f>LOOKUP(E122,valoriz!$A$13:$A$242,valoriz!I$13:I$242)</f>
        <v>0</v>
      </c>
      <c r="J122" s="460">
        <f>ROUND(I122*H122,2)</f>
        <v>0</v>
      </c>
      <c r="K122" s="425"/>
      <c r="L122" s="430"/>
    </row>
    <row r="123" spans="1:12" s="427" customFormat="1" ht="12.75" outlineLevel="1">
      <c r="A123" s="420"/>
      <c r="B123" s="431"/>
      <c r="C123" s="432"/>
      <c r="D123" s="433"/>
      <c r="E123" s="525"/>
      <c r="F123" s="432"/>
      <c r="G123" s="433"/>
      <c r="H123" s="434"/>
      <c r="I123" s="470"/>
      <c r="J123" s="462"/>
      <c r="K123" s="425"/>
      <c r="L123" s="430"/>
    </row>
    <row r="124" spans="1:12" s="427" customFormat="1" ht="12.75" outlineLevel="1">
      <c r="A124" s="420" t="s">
        <v>836</v>
      </c>
      <c r="B124" s="421"/>
      <c r="C124" s="422"/>
      <c r="D124" s="423"/>
      <c r="E124" s="524" t="s">
        <v>837</v>
      </c>
      <c r="F124" s="422" t="s">
        <v>838</v>
      </c>
      <c r="G124" s="423"/>
      <c r="H124" s="424"/>
      <c r="I124" s="469"/>
      <c r="J124" s="460"/>
      <c r="K124" s="425"/>
      <c r="L124" s="430"/>
    </row>
    <row r="125" spans="1:12" s="427" customFormat="1" ht="12.75" outlineLevel="1">
      <c r="A125" s="420" t="s">
        <v>633</v>
      </c>
      <c r="B125" s="421"/>
      <c r="C125" s="422"/>
      <c r="D125" s="423"/>
      <c r="E125" s="524" t="s">
        <v>765</v>
      </c>
      <c r="F125" s="422" t="s">
        <v>766</v>
      </c>
      <c r="G125" s="423"/>
      <c r="H125" s="424">
        <v>6.1379999999999999</v>
      </c>
      <c r="I125" s="469"/>
      <c r="J125" s="460"/>
      <c r="K125" s="425"/>
      <c r="L125" s="430"/>
    </row>
    <row r="126" spans="1:12" s="427" customFormat="1" ht="12.75" outlineLevel="1">
      <c r="A126" s="420"/>
      <c r="B126" s="421"/>
      <c r="C126" s="422"/>
      <c r="D126" s="423"/>
      <c r="E126" s="524"/>
      <c r="F126" s="422"/>
      <c r="G126" s="423"/>
      <c r="H126" s="424">
        <v>6.1379999999999999</v>
      </c>
      <c r="I126" s="469"/>
      <c r="J126" s="460"/>
      <c r="K126" s="425"/>
      <c r="L126" s="430"/>
    </row>
    <row r="127" spans="1:12" s="427" customFormat="1" ht="12.75" outlineLevel="1">
      <c r="A127" s="420"/>
      <c r="B127" s="421"/>
      <c r="C127" s="422"/>
      <c r="D127" s="423"/>
      <c r="E127" s="524"/>
      <c r="F127" s="422"/>
      <c r="G127" s="423"/>
      <c r="H127" s="424"/>
      <c r="I127" s="469"/>
      <c r="J127" s="463"/>
      <c r="K127" s="425"/>
      <c r="L127" s="430"/>
    </row>
    <row r="128" spans="1:12" s="427" customFormat="1" ht="12.75">
      <c r="A128" s="420" t="s">
        <v>839</v>
      </c>
      <c r="B128" s="532" t="s">
        <v>764</v>
      </c>
      <c r="C128" s="533"/>
      <c r="D128" s="534" t="s">
        <v>436</v>
      </c>
      <c r="E128" s="519"/>
      <c r="F128" s="514"/>
      <c r="G128" s="515"/>
      <c r="H128" s="536"/>
      <c r="I128" s="517"/>
      <c r="J128" s="535">
        <f>SUM(J129:J142)</f>
        <v>0</v>
      </c>
      <c r="K128" s="425">
        <v>270698.59999999998</v>
      </c>
      <c r="L128" s="430"/>
    </row>
    <row r="129" spans="1:12" s="427" customFormat="1" ht="12.75">
      <c r="A129" s="420" t="s">
        <v>633</v>
      </c>
      <c r="B129" s="421"/>
      <c r="C129" s="422"/>
      <c r="D129" s="423"/>
      <c r="E129" s="525" t="s">
        <v>634</v>
      </c>
      <c r="F129" s="432" t="s">
        <v>356</v>
      </c>
      <c r="G129" s="433" t="s">
        <v>433</v>
      </c>
      <c r="H129" s="434">
        <v>52.53</v>
      </c>
      <c r="I129" s="470">
        <f>LOOKUP(E129,valoriz!$A$13:$A$242,valoriz!I$13:I$242)</f>
        <v>0</v>
      </c>
      <c r="J129" s="462">
        <f t="shared" ref="J129:J142" si="4">ROUND(I129*H129,2)</f>
        <v>0</v>
      </c>
      <c r="K129" s="425"/>
      <c r="L129" s="430"/>
    </row>
    <row r="130" spans="1:12" s="427" customFormat="1" ht="12.75">
      <c r="A130" s="420" t="s">
        <v>633</v>
      </c>
      <c r="B130" s="421"/>
      <c r="C130" s="422"/>
      <c r="D130" s="423"/>
      <c r="E130" s="519" t="s">
        <v>789</v>
      </c>
      <c r="F130" s="514" t="s">
        <v>359</v>
      </c>
      <c r="G130" s="515" t="s">
        <v>436</v>
      </c>
      <c r="H130" s="516">
        <v>1</v>
      </c>
      <c r="I130" s="517">
        <f>LOOKUP(E130,valoriz!$A$13:$A$242,valoriz!I$13:I$242)</f>
        <v>0</v>
      </c>
      <c r="J130" s="518">
        <f t="shared" si="4"/>
        <v>0</v>
      </c>
      <c r="K130" s="425"/>
      <c r="L130" s="430"/>
    </row>
    <row r="131" spans="1:12" s="427" customFormat="1" ht="12.75">
      <c r="A131" s="420" t="s">
        <v>633</v>
      </c>
      <c r="B131" s="421"/>
      <c r="C131" s="422"/>
      <c r="D131" s="423"/>
      <c r="E131" s="519" t="s">
        <v>763</v>
      </c>
      <c r="F131" s="514" t="s">
        <v>359</v>
      </c>
      <c r="G131" s="515" t="s">
        <v>436</v>
      </c>
      <c r="H131" s="516">
        <v>1.03</v>
      </c>
      <c r="I131" s="517">
        <f>LOOKUP(E131,valoriz!$A$13:$A$242,valoriz!I$13:I$242)</f>
        <v>0</v>
      </c>
      <c r="J131" s="518">
        <f t="shared" si="4"/>
        <v>0</v>
      </c>
      <c r="K131" s="425"/>
      <c r="L131" s="430"/>
    </row>
    <row r="132" spans="1:12" s="427" customFormat="1" ht="12.75">
      <c r="A132" s="420" t="s">
        <v>633</v>
      </c>
      <c r="B132" s="421"/>
      <c r="C132" s="422"/>
      <c r="D132" s="423"/>
      <c r="E132" s="519" t="s">
        <v>765</v>
      </c>
      <c r="F132" s="514" t="s">
        <v>1123</v>
      </c>
      <c r="G132" s="515" t="s">
        <v>431</v>
      </c>
      <c r="H132" s="516">
        <v>5.94</v>
      </c>
      <c r="I132" s="517">
        <f>LOOKUP(E132,valoriz!$A$13:$A$242,valoriz!I$13:I$242)</f>
        <v>0</v>
      </c>
      <c r="J132" s="518">
        <f t="shared" si="4"/>
        <v>0</v>
      </c>
      <c r="K132" s="425"/>
      <c r="L132" s="430"/>
    </row>
    <row r="133" spans="1:12" s="427" customFormat="1" ht="12.75">
      <c r="A133" s="420" t="s">
        <v>633</v>
      </c>
      <c r="B133" s="421"/>
      <c r="C133" s="422"/>
      <c r="D133" s="423"/>
      <c r="E133" s="519" t="s">
        <v>791</v>
      </c>
      <c r="F133" s="514" t="s">
        <v>360</v>
      </c>
      <c r="G133" s="515" t="s">
        <v>433</v>
      </c>
      <c r="H133" s="516">
        <v>6</v>
      </c>
      <c r="I133" s="517">
        <f>LOOKUP(E133,valoriz!$A$13:$A$242,valoriz!I$13:I$242)</f>
        <v>0</v>
      </c>
      <c r="J133" s="518">
        <f t="shared" si="4"/>
        <v>0</v>
      </c>
      <c r="K133" s="425"/>
      <c r="L133" s="430"/>
    </row>
    <row r="134" spans="1:12" s="427" customFormat="1" ht="12.75">
      <c r="A134" s="420" t="s">
        <v>633</v>
      </c>
      <c r="B134" s="421"/>
      <c r="C134" s="422"/>
      <c r="D134" s="423"/>
      <c r="E134" s="519" t="s">
        <v>770</v>
      </c>
      <c r="F134" s="514" t="s">
        <v>359</v>
      </c>
      <c r="G134" s="515" t="s">
        <v>436</v>
      </c>
      <c r="H134" s="516">
        <v>1.03</v>
      </c>
      <c r="I134" s="517">
        <f>LOOKUP(E134,valoriz!$A$13:$A$242,valoriz!I$13:I$242)</f>
        <v>0</v>
      </c>
      <c r="J134" s="518">
        <f t="shared" si="4"/>
        <v>0</v>
      </c>
      <c r="K134" s="425"/>
      <c r="L134" s="430"/>
    </row>
    <row r="135" spans="1:12" s="427" customFormat="1" ht="12.75">
      <c r="A135" s="420" t="s">
        <v>633</v>
      </c>
      <c r="B135" s="421"/>
      <c r="C135" s="422"/>
      <c r="D135" s="423"/>
      <c r="E135" s="519" t="s">
        <v>687</v>
      </c>
      <c r="F135" s="514" t="s">
        <v>1112</v>
      </c>
      <c r="G135" s="515" t="s">
        <v>433</v>
      </c>
      <c r="H135" s="516">
        <v>4.0788000000000002</v>
      </c>
      <c r="I135" s="517">
        <f>LOOKUP(E135,valoriz!$A$13:$A$242,valoriz!I$13:I$242)</f>
        <v>0</v>
      </c>
      <c r="J135" s="518">
        <f t="shared" si="4"/>
        <v>0</v>
      </c>
      <c r="K135" s="425"/>
      <c r="L135" s="430"/>
    </row>
    <row r="136" spans="1:12" s="427" customFormat="1" ht="12.75">
      <c r="A136" s="420" t="s">
        <v>633</v>
      </c>
      <c r="B136" s="421"/>
      <c r="C136" s="422"/>
      <c r="D136" s="423"/>
      <c r="E136" s="519" t="s">
        <v>688</v>
      </c>
      <c r="F136" s="514" t="s">
        <v>1111</v>
      </c>
      <c r="G136" s="515" t="s">
        <v>433</v>
      </c>
      <c r="H136" s="516">
        <v>7.21</v>
      </c>
      <c r="I136" s="517">
        <f>LOOKUP(E136,valoriz!$A$13:$A$242,valoriz!I$13:I$242)</f>
        <v>0</v>
      </c>
      <c r="J136" s="518">
        <f t="shared" si="4"/>
        <v>0</v>
      </c>
      <c r="K136" s="425"/>
      <c r="L136" s="430"/>
    </row>
    <row r="137" spans="1:12" s="427" customFormat="1" ht="12.75">
      <c r="A137" s="420" t="s">
        <v>633</v>
      </c>
      <c r="B137" s="421"/>
      <c r="C137" s="422"/>
      <c r="D137" s="423"/>
      <c r="E137" s="519" t="s">
        <v>777</v>
      </c>
      <c r="F137" s="514" t="s">
        <v>359</v>
      </c>
      <c r="G137" s="515" t="s">
        <v>436</v>
      </c>
      <c r="H137" s="516">
        <v>2.39</v>
      </c>
      <c r="I137" s="517">
        <f>LOOKUP(E137,valoriz!$A$13:$A$242,valoriz!I$13:I$242)</f>
        <v>0</v>
      </c>
      <c r="J137" s="518">
        <f t="shared" si="4"/>
        <v>0</v>
      </c>
      <c r="K137" s="425"/>
      <c r="L137" s="430"/>
    </row>
    <row r="138" spans="1:12" s="427" customFormat="1" ht="12.75">
      <c r="A138" s="420" t="s">
        <v>633</v>
      </c>
      <c r="B138" s="421"/>
      <c r="C138" s="422"/>
      <c r="D138" s="423"/>
      <c r="E138" s="519" t="s">
        <v>707</v>
      </c>
      <c r="F138" s="514" t="s">
        <v>1096</v>
      </c>
      <c r="G138" s="515" t="s">
        <v>433</v>
      </c>
      <c r="H138" s="516">
        <v>2.3690000000000002</v>
      </c>
      <c r="I138" s="517">
        <f>LOOKUP(E138,valoriz!$A$13:$A$242,valoriz!I$13:I$242)</f>
        <v>0</v>
      </c>
      <c r="J138" s="518">
        <f t="shared" si="4"/>
        <v>0</v>
      </c>
      <c r="K138" s="425"/>
      <c r="L138" s="430"/>
    </row>
    <row r="139" spans="1:12" s="427" customFormat="1" ht="12.75">
      <c r="A139" s="420" t="s">
        <v>633</v>
      </c>
      <c r="B139" s="421"/>
      <c r="C139" s="422"/>
      <c r="D139" s="423"/>
      <c r="E139" s="519" t="s">
        <v>709</v>
      </c>
      <c r="F139" s="514" t="s">
        <v>1095</v>
      </c>
      <c r="G139" s="515" t="s">
        <v>433</v>
      </c>
      <c r="H139" s="516">
        <v>9.27</v>
      </c>
      <c r="I139" s="517">
        <f>LOOKUP(E139,valoriz!$A$13:$A$242,valoriz!I$13:I$242)</f>
        <v>0</v>
      </c>
      <c r="J139" s="518">
        <f t="shared" si="4"/>
        <v>0</v>
      </c>
      <c r="K139" s="425"/>
      <c r="L139" s="430"/>
    </row>
    <row r="140" spans="1:12" s="427" customFormat="1" ht="12.75">
      <c r="A140" s="420" t="s">
        <v>633</v>
      </c>
      <c r="B140" s="421"/>
      <c r="C140" s="422"/>
      <c r="D140" s="423"/>
      <c r="E140" s="519" t="s">
        <v>710</v>
      </c>
      <c r="F140" s="514" t="s">
        <v>1094</v>
      </c>
      <c r="G140" s="515" t="s">
        <v>433</v>
      </c>
      <c r="H140" s="516">
        <v>9.27</v>
      </c>
      <c r="I140" s="517">
        <f>LOOKUP(E140,valoriz!$A$13:$A$242,valoriz!I$13:I$242)</f>
        <v>0</v>
      </c>
      <c r="J140" s="518">
        <f t="shared" si="4"/>
        <v>0</v>
      </c>
      <c r="K140" s="425"/>
      <c r="L140" s="430"/>
    </row>
    <row r="141" spans="1:12" s="427" customFormat="1" ht="12.75">
      <c r="A141" s="420" t="s">
        <v>633</v>
      </c>
      <c r="B141" s="421"/>
      <c r="C141" s="422"/>
      <c r="D141" s="423"/>
      <c r="E141" s="519" t="s">
        <v>742</v>
      </c>
      <c r="F141" s="514" t="s">
        <v>1093</v>
      </c>
      <c r="G141" s="515" t="s">
        <v>433</v>
      </c>
      <c r="H141" s="516">
        <v>24.72</v>
      </c>
      <c r="I141" s="517">
        <f>LOOKUP(E141,valoriz!$A$13:$A$242,valoriz!I$13:I$242)</f>
        <v>0</v>
      </c>
      <c r="J141" s="518">
        <f t="shared" si="4"/>
        <v>0</v>
      </c>
      <c r="K141" s="425"/>
      <c r="L141" s="430"/>
    </row>
    <row r="142" spans="1:12" s="427" customFormat="1" ht="12.75">
      <c r="A142" s="420" t="s">
        <v>633</v>
      </c>
      <c r="B142" s="421"/>
      <c r="C142" s="422"/>
      <c r="D142" s="423"/>
      <c r="E142" s="519" t="s">
        <v>713</v>
      </c>
      <c r="F142" s="514" t="s">
        <v>437</v>
      </c>
      <c r="G142" s="515" t="s">
        <v>433</v>
      </c>
      <c r="H142" s="516">
        <v>2.4457399999999998</v>
      </c>
      <c r="I142" s="517">
        <f>LOOKUP(E142,valoriz!$A$13:$A$242,valoriz!I$13:I$242)</f>
        <v>0</v>
      </c>
      <c r="J142" s="518">
        <f t="shared" si="4"/>
        <v>0</v>
      </c>
      <c r="K142" s="425"/>
      <c r="L142" s="430"/>
    </row>
    <row r="143" spans="1:12" s="427" customFormat="1" ht="12.75">
      <c r="A143" s="436"/>
      <c r="B143" s="431"/>
      <c r="C143" s="432"/>
      <c r="D143" s="433"/>
      <c r="E143" s="525"/>
      <c r="F143" s="432"/>
      <c r="G143" s="433"/>
      <c r="H143" s="434"/>
      <c r="I143" s="470"/>
      <c r="J143" s="461"/>
      <c r="K143" s="425"/>
      <c r="L143" s="430"/>
    </row>
    <row r="144" spans="1:12" s="427" customFormat="1" ht="12.75" hidden="1" outlineLevel="1">
      <c r="A144" s="436"/>
      <c r="B144" s="437"/>
      <c r="D144" s="438"/>
      <c r="E144" s="526"/>
      <c r="G144" s="438"/>
      <c r="H144" s="435"/>
      <c r="I144" s="469"/>
      <c r="J144" s="459"/>
      <c r="K144" s="425"/>
      <c r="L144" s="430"/>
    </row>
    <row r="145" spans="1:12" s="427" customFormat="1" ht="12.75" hidden="1" outlineLevel="1">
      <c r="A145" s="420" t="s">
        <v>840</v>
      </c>
      <c r="B145" s="421"/>
      <c r="C145" s="422"/>
      <c r="D145" s="423"/>
      <c r="E145" s="524" t="s">
        <v>841</v>
      </c>
      <c r="F145" s="422" t="s">
        <v>842</v>
      </c>
      <c r="G145" s="423"/>
      <c r="H145" s="424"/>
      <c r="I145" s="469"/>
      <c r="J145" s="463"/>
      <c r="K145" s="425"/>
      <c r="L145" s="430"/>
    </row>
    <row r="146" spans="1:12" s="427" customFormat="1" ht="12.75" hidden="1" outlineLevel="1">
      <c r="A146" s="420" t="s">
        <v>633</v>
      </c>
      <c r="B146" s="421"/>
      <c r="C146" s="422"/>
      <c r="D146" s="423"/>
      <c r="E146" s="524" t="s">
        <v>709</v>
      </c>
      <c r="F146" s="422" t="s">
        <v>708</v>
      </c>
      <c r="G146" s="423"/>
      <c r="H146" s="424">
        <v>1887.5</v>
      </c>
      <c r="I146" s="469"/>
      <c r="J146" s="463"/>
      <c r="K146" s="425"/>
      <c r="L146" s="430"/>
    </row>
    <row r="147" spans="1:12" s="427" customFormat="1" ht="12.75" hidden="1" outlineLevel="1">
      <c r="A147" s="420" t="s">
        <v>633</v>
      </c>
      <c r="B147" s="421"/>
      <c r="C147" s="422"/>
      <c r="D147" s="423"/>
      <c r="E147" s="524" t="s">
        <v>710</v>
      </c>
      <c r="F147" s="422" t="s">
        <v>708</v>
      </c>
      <c r="G147" s="423"/>
      <c r="H147" s="424">
        <v>455.8</v>
      </c>
      <c r="I147" s="469"/>
      <c r="J147" s="463"/>
      <c r="K147" s="425"/>
      <c r="L147" s="430"/>
    </row>
    <row r="148" spans="1:12" s="427" customFormat="1" ht="12.75" hidden="1" outlineLevel="1">
      <c r="A148" s="420" t="s">
        <v>633</v>
      </c>
      <c r="B148" s="421"/>
      <c r="C148" s="422"/>
      <c r="D148" s="423"/>
      <c r="E148" s="524" t="s">
        <v>783</v>
      </c>
      <c r="F148" s="422" t="s">
        <v>708</v>
      </c>
      <c r="G148" s="423"/>
      <c r="H148" s="424">
        <v>225.75299999999999</v>
      </c>
      <c r="I148" s="469"/>
      <c r="J148" s="463"/>
      <c r="K148" s="425"/>
      <c r="L148" s="430"/>
    </row>
    <row r="149" spans="1:12" s="427" customFormat="1" ht="12.75" hidden="1" outlineLevel="1">
      <c r="A149" s="420"/>
      <c r="B149" s="421"/>
      <c r="C149" s="422"/>
      <c r="D149" s="423"/>
      <c r="E149" s="524"/>
      <c r="F149" s="422"/>
      <c r="G149" s="423"/>
      <c r="H149" s="424">
        <v>2569.0530000000003</v>
      </c>
      <c r="I149" s="469"/>
      <c r="J149" s="463"/>
      <c r="K149" s="425"/>
      <c r="L149" s="430"/>
    </row>
    <row r="150" spans="1:12" s="427" customFormat="1" ht="12.75" hidden="1" outlineLevel="1">
      <c r="A150" s="420" t="s">
        <v>843</v>
      </c>
      <c r="B150" s="421"/>
      <c r="C150" s="422"/>
      <c r="D150" s="423"/>
      <c r="E150" s="524" t="s">
        <v>844</v>
      </c>
      <c r="F150" s="422" t="s">
        <v>842</v>
      </c>
      <c r="G150" s="423"/>
      <c r="H150" s="424"/>
      <c r="I150" s="469"/>
      <c r="J150" s="463"/>
      <c r="K150" s="425"/>
      <c r="L150" s="430"/>
    </row>
    <row r="151" spans="1:12" s="427" customFormat="1" ht="12.75" hidden="1" outlineLevel="1">
      <c r="A151" s="420" t="s">
        <v>633</v>
      </c>
      <c r="B151" s="421"/>
      <c r="C151" s="422"/>
      <c r="D151" s="423"/>
      <c r="E151" s="524" t="s">
        <v>783</v>
      </c>
      <c r="F151" s="422" t="s">
        <v>708</v>
      </c>
      <c r="G151" s="423"/>
      <c r="H151" s="424">
        <v>738.82799999999997</v>
      </c>
      <c r="I151" s="469"/>
      <c r="J151" s="463"/>
      <c r="K151" s="425"/>
      <c r="L151" s="430"/>
    </row>
    <row r="152" spans="1:12" s="427" customFormat="1" ht="12.75" hidden="1" outlineLevel="1">
      <c r="A152" s="420"/>
      <c r="B152" s="421"/>
      <c r="C152" s="422"/>
      <c r="D152" s="423"/>
      <c r="E152" s="524"/>
      <c r="F152" s="422"/>
      <c r="G152" s="423"/>
      <c r="H152" s="424">
        <v>738.82799999999997</v>
      </c>
      <c r="I152" s="469"/>
      <c r="J152" s="463"/>
      <c r="K152" s="425"/>
      <c r="L152" s="430"/>
    </row>
    <row r="153" spans="1:12" s="427" customFormat="1" ht="12.75" collapsed="1">
      <c r="A153" s="420" t="s">
        <v>845</v>
      </c>
      <c r="B153" s="532" t="s">
        <v>846</v>
      </c>
      <c r="C153" s="533"/>
      <c r="D153" s="534" t="s">
        <v>431</v>
      </c>
      <c r="E153" s="519"/>
      <c r="F153" s="514"/>
      <c r="G153" s="515"/>
      <c r="H153" s="516"/>
      <c r="I153" s="517"/>
      <c r="J153" s="535">
        <f>SUM(J154:J155)</f>
        <v>0</v>
      </c>
      <c r="K153" s="425">
        <v>742.85</v>
      </c>
      <c r="L153" s="430"/>
    </row>
    <row r="154" spans="1:12" s="427" customFormat="1" ht="12.75">
      <c r="A154" s="420" t="s">
        <v>633</v>
      </c>
      <c r="B154" s="421"/>
      <c r="C154" s="422"/>
      <c r="D154" s="423"/>
      <c r="E154" s="525" t="s">
        <v>650</v>
      </c>
      <c r="F154" s="432" t="s">
        <v>1130</v>
      </c>
      <c r="G154" s="433" t="s">
        <v>431</v>
      </c>
      <c r="H154" s="434">
        <v>1.03</v>
      </c>
      <c r="I154" s="470">
        <f>LOOKUP(E154,valoriz!$A$13:$A$242,valoriz!I$13:I$242)</f>
        <v>0</v>
      </c>
      <c r="J154" s="462">
        <f>ROUND(I154*H154,2)</f>
        <v>0</v>
      </c>
      <c r="K154" s="425"/>
      <c r="L154" s="430"/>
    </row>
    <row r="155" spans="1:12" s="427" customFormat="1" ht="12.75">
      <c r="A155" s="420" t="s">
        <v>633</v>
      </c>
      <c r="B155" s="421"/>
      <c r="C155" s="422"/>
      <c r="D155" s="423"/>
      <c r="E155" s="519" t="s">
        <v>666</v>
      </c>
      <c r="F155" s="514" t="s">
        <v>1130</v>
      </c>
      <c r="G155" s="515" t="s">
        <v>431</v>
      </c>
      <c r="H155" s="516">
        <v>1</v>
      </c>
      <c r="I155" s="517">
        <f>LOOKUP(E155,valoriz!$A$13:$A$242,valoriz!I$13:I$242)</f>
        <v>0</v>
      </c>
      <c r="J155" s="518">
        <f>ROUND(I155*H155,2)</f>
        <v>0</v>
      </c>
      <c r="K155" s="425"/>
      <c r="L155" s="430"/>
    </row>
    <row r="156" spans="1:12" s="427" customFormat="1" ht="12.75">
      <c r="A156" s="420"/>
      <c r="B156" s="421"/>
      <c r="C156" s="422"/>
      <c r="D156" s="423"/>
      <c r="E156" s="524"/>
      <c r="F156" s="422"/>
      <c r="G156" s="423"/>
      <c r="H156" s="424"/>
      <c r="I156" s="469"/>
      <c r="J156" s="459"/>
      <c r="K156" s="425"/>
      <c r="L156" s="430"/>
    </row>
    <row r="157" spans="1:12" s="427" customFormat="1" ht="12.75">
      <c r="A157" s="420" t="s">
        <v>848</v>
      </c>
      <c r="B157" s="532" t="s">
        <v>849</v>
      </c>
      <c r="C157" s="533"/>
      <c r="D157" s="534" t="s">
        <v>431</v>
      </c>
      <c r="E157" s="519"/>
      <c r="F157" s="514"/>
      <c r="G157" s="515"/>
      <c r="H157" s="516"/>
      <c r="I157" s="517"/>
      <c r="J157" s="535">
        <f>SUM(J158:J159)</f>
        <v>0</v>
      </c>
      <c r="K157" s="425">
        <v>117.09</v>
      </c>
      <c r="L157" s="430"/>
    </row>
    <row r="158" spans="1:12" s="427" customFormat="1" ht="12.75">
      <c r="A158" s="420" t="s">
        <v>633</v>
      </c>
      <c r="B158" s="421"/>
      <c r="C158" s="422"/>
      <c r="D158" s="423"/>
      <c r="E158" s="525" t="s">
        <v>646</v>
      </c>
      <c r="F158" s="432" t="s">
        <v>1133</v>
      </c>
      <c r="G158" s="433" t="s">
        <v>431</v>
      </c>
      <c r="H158" s="434">
        <v>1.03</v>
      </c>
      <c r="I158" s="470">
        <f>LOOKUP(E158,valoriz!$A$13:$A$242,valoriz!I$13:I$242)</f>
        <v>0</v>
      </c>
      <c r="J158" s="462">
        <f>ROUND(I158*H158,2)</f>
        <v>0</v>
      </c>
      <c r="K158" s="425"/>
      <c r="L158" s="430"/>
    </row>
    <row r="159" spans="1:12" s="427" customFormat="1" ht="12.75">
      <c r="A159" s="420" t="s">
        <v>633</v>
      </c>
      <c r="B159" s="421"/>
      <c r="C159" s="422"/>
      <c r="D159" s="423"/>
      <c r="E159" s="519" t="s">
        <v>663</v>
      </c>
      <c r="F159" s="514" t="s">
        <v>1133</v>
      </c>
      <c r="G159" s="515" t="s">
        <v>431</v>
      </c>
      <c r="H159" s="516">
        <v>1.03</v>
      </c>
      <c r="I159" s="517">
        <f>LOOKUP(E159,valoriz!$A$13:$A$242,valoriz!I$13:I$242)</f>
        <v>0</v>
      </c>
      <c r="J159" s="518">
        <f>ROUND(I159*H159,2)</f>
        <v>0</v>
      </c>
      <c r="K159" s="425"/>
      <c r="L159" s="430"/>
    </row>
    <row r="160" spans="1:12" s="427" customFormat="1" ht="12.75">
      <c r="A160" s="420"/>
      <c r="B160" s="421"/>
      <c r="C160" s="422"/>
      <c r="D160" s="423"/>
      <c r="E160" s="524"/>
      <c r="F160" s="422"/>
      <c r="G160" s="423"/>
      <c r="H160" s="424"/>
      <c r="I160" s="469"/>
      <c r="J160" s="459"/>
      <c r="K160" s="425"/>
      <c r="L160" s="430"/>
    </row>
    <row r="161" spans="1:12" s="427" customFormat="1" ht="12.75">
      <c r="A161" s="420" t="s">
        <v>850</v>
      </c>
      <c r="B161" s="532" t="s">
        <v>851</v>
      </c>
      <c r="C161" s="533"/>
      <c r="D161" s="534" t="s">
        <v>431</v>
      </c>
      <c r="E161" s="519"/>
      <c r="F161" s="514"/>
      <c r="G161" s="515"/>
      <c r="H161" s="516"/>
      <c r="I161" s="517"/>
      <c r="J161" s="535">
        <f>SUM(J162:J163)</f>
        <v>703.31000000000006</v>
      </c>
      <c r="K161" s="425">
        <v>305.27999999999997</v>
      </c>
      <c r="L161" s="430"/>
    </row>
    <row r="162" spans="1:12" s="427" customFormat="1" ht="12.75">
      <c r="A162" s="420" t="s">
        <v>633</v>
      </c>
      <c r="B162" s="421"/>
      <c r="C162" s="422"/>
      <c r="D162" s="423"/>
      <c r="E162" s="525" t="s">
        <v>648</v>
      </c>
      <c r="F162" s="537" t="s">
        <v>1132</v>
      </c>
      <c r="G162" s="433" t="s">
        <v>431</v>
      </c>
      <c r="H162" s="538">
        <v>1.03</v>
      </c>
      <c r="I162" s="470">
        <f>LOOKUP(E162,valoriz!$A$13:$A$242,valoriz!I$13:I$242)</f>
        <v>619.61000000000013</v>
      </c>
      <c r="J162" s="539">
        <f>ROUND(I162*H162,2)</f>
        <v>638.20000000000005</v>
      </c>
      <c r="K162" s="425"/>
      <c r="L162" s="430"/>
    </row>
    <row r="163" spans="1:12" s="427" customFormat="1" ht="12.75">
      <c r="A163" s="420" t="s">
        <v>633</v>
      </c>
      <c r="B163" s="421"/>
      <c r="C163" s="422"/>
      <c r="D163" s="423"/>
      <c r="E163" s="519" t="s">
        <v>664</v>
      </c>
      <c r="F163" s="522" t="s">
        <v>1132</v>
      </c>
      <c r="G163" s="515" t="s">
        <v>431</v>
      </c>
      <c r="H163" s="520">
        <v>1.03</v>
      </c>
      <c r="I163" s="517">
        <f>LOOKUP(E163,valoriz!$A$13:$A$242,valoriz!I$13:I$242)</f>
        <v>63.20999999999998</v>
      </c>
      <c r="J163" s="521">
        <f>ROUND(I163*H163,2)</f>
        <v>65.11</v>
      </c>
      <c r="K163" s="425"/>
      <c r="L163" s="430"/>
    </row>
    <row r="164" spans="1:12" s="427" customFormat="1" ht="12.75">
      <c r="A164" s="420"/>
      <c r="B164" s="421"/>
      <c r="C164" s="422"/>
      <c r="D164" s="423"/>
      <c r="E164" s="524"/>
      <c r="F164" s="422"/>
      <c r="G164" s="423"/>
      <c r="H164" s="424"/>
      <c r="I164" s="469"/>
      <c r="J164" s="459"/>
      <c r="K164" s="425"/>
      <c r="L164" s="430"/>
    </row>
    <row r="165" spans="1:12" s="427" customFormat="1" ht="12.75">
      <c r="A165" s="420" t="s">
        <v>852</v>
      </c>
      <c r="B165" s="532" t="s">
        <v>853</v>
      </c>
      <c r="C165" s="533"/>
      <c r="D165" s="534" t="s">
        <v>431</v>
      </c>
      <c r="E165" s="519"/>
      <c r="F165" s="514"/>
      <c r="G165" s="515"/>
      <c r="H165" s="516"/>
      <c r="I165" s="517"/>
      <c r="J165" s="535">
        <f>SUM(J166:J167)</f>
        <v>0</v>
      </c>
      <c r="K165" s="425">
        <v>777.22</v>
      </c>
      <c r="L165" s="430"/>
    </row>
    <row r="166" spans="1:12" s="427" customFormat="1" ht="12.75">
      <c r="A166" s="420" t="s">
        <v>633</v>
      </c>
      <c r="B166" s="421"/>
      <c r="C166" s="422"/>
      <c r="D166" s="423"/>
      <c r="E166" s="525" t="s">
        <v>649</v>
      </c>
      <c r="F166" s="432" t="s">
        <v>1131</v>
      </c>
      <c r="G166" s="433" t="s">
        <v>431</v>
      </c>
      <c r="H166" s="434">
        <v>1.03</v>
      </c>
      <c r="I166" s="470">
        <f>LOOKUP(E166,valoriz!$A$13:$A$242,valoriz!I$13:I$242)</f>
        <v>0</v>
      </c>
      <c r="J166" s="462">
        <f>ROUND(I166*H166,2)</f>
        <v>0</v>
      </c>
      <c r="K166" s="425"/>
      <c r="L166" s="430"/>
    </row>
    <row r="167" spans="1:12" s="427" customFormat="1" ht="12.75">
      <c r="A167" s="420" t="s">
        <v>633</v>
      </c>
      <c r="B167" s="421"/>
      <c r="C167" s="422"/>
      <c r="D167" s="423"/>
      <c r="E167" s="519" t="s">
        <v>665</v>
      </c>
      <c r="F167" s="514" t="s">
        <v>1131</v>
      </c>
      <c r="G167" s="515" t="s">
        <v>431</v>
      </c>
      <c r="H167" s="516">
        <v>1.03</v>
      </c>
      <c r="I167" s="517">
        <f>LOOKUP(E167,valoriz!$A$13:$A$242,valoriz!I$13:I$242)</f>
        <v>0</v>
      </c>
      <c r="J167" s="518">
        <f>ROUND(I167*H167,2)</f>
        <v>0</v>
      </c>
      <c r="K167" s="425"/>
      <c r="L167" s="430"/>
    </row>
    <row r="168" spans="1:12" s="427" customFormat="1" ht="12.75">
      <c r="A168" s="420"/>
      <c r="B168" s="421"/>
      <c r="C168" s="422"/>
      <c r="D168" s="423"/>
      <c r="E168" s="524"/>
      <c r="F168" s="422"/>
      <c r="G168" s="423"/>
      <c r="H168" s="424"/>
      <c r="I168" s="469"/>
      <c r="J168" s="459"/>
      <c r="K168" s="425"/>
      <c r="L168" s="430"/>
    </row>
    <row r="169" spans="1:12" s="427" customFormat="1" ht="12.75" hidden="1" outlineLevel="1">
      <c r="A169" s="420" t="s">
        <v>854</v>
      </c>
      <c r="B169" s="421" t="s">
        <v>855</v>
      </c>
      <c r="C169" s="428"/>
      <c r="D169" s="429" t="s">
        <v>856</v>
      </c>
      <c r="E169" s="524"/>
      <c r="F169" s="422"/>
      <c r="G169" s="423"/>
      <c r="H169" s="424"/>
      <c r="I169" s="469"/>
      <c r="J169" s="459">
        <f>SUM(J170:J172)</f>
        <v>0</v>
      </c>
      <c r="K169" s="425">
        <v>88536.49</v>
      </c>
      <c r="L169" s="430"/>
    </row>
    <row r="170" spans="1:12" s="427" customFormat="1" ht="12.75" hidden="1" outlineLevel="1">
      <c r="A170" s="420" t="s">
        <v>633</v>
      </c>
      <c r="B170" s="421"/>
      <c r="C170" s="422"/>
      <c r="D170" s="511"/>
      <c r="E170" s="512" t="s">
        <v>857</v>
      </c>
      <c r="F170" s="422" t="s">
        <v>358</v>
      </c>
      <c r="G170" s="423" t="s">
        <v>435</v>
      </c>
      <c r="H170" s="424">
        <v>1.05</v>
      </c>
      <c r="I170" s="469">
        <f>LOOKUP(E170,valoriz!$A$13:$A$242,valoriz!I$13:I$242)</f>
        <v>0</v>
      </c>
      <c r="J170" s="460">
        <f>ROUND(I170*H170,2)</f>
        <v>0</v>
      </c>
      <c r="K170" s="425"/>
      <c r="L170" s="430"/>
    </row>
    <row r="171" spans="1:12" s="427" customFormat="1" ht="12.75" hidden="1" outlineLevel="1">
      <c r="A171" s="420" t="s">
        <v>633</v>
      </c>
      <c r="B171" s="421"/>
      <c r="C171" s="422"/>
      <c r="D171" s="423"/>
      <c r="E171" s="512" t="s">
        <v>681</v>
      </c>
      <c r="F171" s="422" t="s">
        <v>1117</v>
      </c>
      <c r="G171" s="423" t="s">
        <v>431</v>
      </c>
      <c r="H171" s="424">
        <v>0.13300000000000001</v>
      </c>
      <c r="I171" s="469">
        <f>LOOKUP(E171,valoriz!$A$13:$A$242,valoriz!I$13:I$242)</f>
        <v>0</v>
      </c>
      <c r="J171" s="460">
        <f>ROUND(I171*H171,2)</f>
        <v>0</v>
      </c>
      <c r="K171" s="425"/>
      <c r="L171" s="430"/>
    </row>
    <row r="172" spans="1:12" s="427" customFormat="1" ht="12.75" hidden="1" outlineLevel="1">
      <c r="A172" s="420" t="s">
        <v>633</v>
      </c>
      <c r="B172" s="421"/>
      <c r="C172" s="422"/>
      <c r="D172" s="423"/>
      <c r="E172" s="512" t="s">
        <v>686</v>
      </c>
      <c r="F172" s="422" t="s">
        <v>1113</v>
      </c>
      <c r="G172" s="423" t="s">
        <v>431</v>
      </c>
      <c r="H172" s="424">
        <v>1.7999999999999999E-2</v>
      </c>
      <c r="I172" s="469">
        <f>LOOKUP(E172,valoriz!$A$13:$A$242,valoriz!I$13:I$242)</f>
        <v>0</v>
      </c>
      <c r="J172" s="460">
        <f>ROUND(I172*H172,2)</f>
        <v>0</v>
      </c>
      <c r="K172" s="425"/>
      <c r="L172" s="430"/>
    </row>
    <row r="173" spans="1:12" s="427" customFormat="1" ht="12.75" hidden="1" outlineLevel="1">
      <c r="A173" s="420"/>
      <c r="B173" s="431"/>
      <c r="C173" s="432"/>
      <c r="D173" s="433"/>
      <c r="E173" s="525"/>
      <c r="F173" s="432"/>
      <c r="G173" s="433"/>
      <c r="H173" s="434"/>
      <c r="I173" s="470"/>
      <c r="J173" s="461"/>
      <c r="K173" s="425"/>
      <c r="L173" s="430"/>
    </row>
    <row r="174" spans="1:12" s="427" customFormat="1" ht="12.75" hidden="1" outlineLevel="1">
      <c r="A174" s="420"/>
      <c r="B174" s="421"/>
      <c r="C174" s="422"/>
      <c r="D174" s="423"/>
      <c r="E174" s="524"/>
      <c r="F174" s="422"/>
      <c r="G174" s="423"/>
      <c r="H174" s="424"/>
      <c r="I174" s="469"/>
      <c r="J174" s="459"/>
      <c r="K174" s="425"/>
      <c r="L174" s="430"/>
    </row>
    <row r="175" spans="1:12" s="427" customFormat="1" ht="12.75" hidden="1" outlineLevel="1">
      <c r="A175" s="420" t="s">
        <v>858</v>
      </c>
      <c r="B175" s="421" t="s">
        <v>859</v>
      </c>
      <c r="C175" s="428"/>
      <c r="D175" s="429" t="s">
        <v>856</v>
      </c>
      <c r="E175" s="524"/>
      <c r="F175" s="422"/>
      <c r="G175" s="423"/>
      <c r="H175" s="424"/>
      <c r="I175" s="469"/>
      <c r="J175" s="459">
        <f>SUM(J176)</f>
        <v>0</v>
      </c>
      <c r="K175" s="425">
        <v>226663.39</v>
      </c>
      <c r="L175" s="430"/>
    </row>
    <row r="176" spans="1:12" s="427" customFormat="1" ht="12.75" hidden="1" outlineLevel="1">
      <c r="A176" s="420" t="s">
        <v>633</v>
      </c>
      <c r="B176" s="421"/>
      <c r="C176" s="422"/>
      <c r="D176" s="423"/>
      <c r="E176" s="524" t="s">
        <v>860</v>
      </c>
      <c r="F176" s="422" t="s">
        <v>357</v>
      </c>
      <c r="G176" s="423" t="s">
        <v>435</v>
      </c>
      <c r="H176" s="424">
        <v>1.05</v>
      </c>
      <c r="I176" s="469">
        <f>LOOKUP(E176,valoriz!$A$13:$A$242,valoriz!I$13:I$242)</f>
        <v>0</v>
      </c>
      <c r="J176" s="460">
        <f>ROUND(I176*H176,2)</f>
        <v>0</v>
      </c>
      <c r="K176" s="425"/>
      <c r="L176" s="430"/>
    </row>
    <row r="177" spans="1:12" s="427" customFormat="1" ht="12.75" hidden="1" outlineLevel="1">
      <c r="A177" s="420"/>
      <c r="B177" s="431"/>
      <c r="C177" s="432"/>
      <c r="D177" s="433"/>
      <c r="E177" s="525"/>
      <c r="F177" s="432"/>
      <c r="G177" s="433"/>
      <c r="H177" s="434"/>
      <c r="I177" s="470"/>
      <c r="J177" s="461"/>
      <c r="K177" s="425"/>
      <c r="L177" s="430"/>
    </row>
    <row r="178" spans="1:12" s="427" customFormat="1" ht="12.75" collapsed="1">
      <c r="A178" s="420" t="s">
        <v>861</v>
      </c>
      <c r="B178" s="532" t="s">
        <v>862</v>
      </c>
      <c r="C178" s="533"/>
      <c r="D178" s="534" t="s">
        <v>863</v>
      </c>
      <c r="E178" s="519"/>
      <c r="F178" s="514"/>
      <c r="G178" s="515"/>
      <c r="H178" s="540"/>
      <c r="I178" s="517"/>
      <c r="J178" s="535">
        <f>SUM(J179:J213)</f>
        <v>3028.77</v>
      </c>
      <c r="K178" s="425">
        <v>206321.19</v>
      </c>
      <c r="L178" s="430"/>
    </row>
    <row r="179" spans="1:12" s="427" customFormat="1" ht="12.75">
      <c r="A179" s="420" t="s">
        <v>633</v>
      </c>
      <c r="B179" s="421"/>
      <c r="C179" s="422"/>
      <c r="D179" s="423"/>
      <c r="E179" s="525" t="s">
        <v>634</v>
      </c>
      <c r="F179" s="432" t="s">
        <v>356</v>
      </c>
      <c r="G179" s="433" t="s">
        <v>433</v>
      </c>
      <c r="H179" s="434">
        <v>20</v>
      </c>
      <c r="I179" s="470">
        <f>LOOKUP(E179,valoriz!$A$13:$A$242,valoriz!I$13:I$242)</f>
        <v>0</v>
      </c>
      <c r="J179" s="462">
        <f t="shared" ref="J179:J213" si="5">ROUND(I179*H179,2)</f>
        <v>0</v>
      </c>
      <c r="K179" s="425"/>
      <c r="L179" s="430"/>
    </row>
    <row r="180" spans="1:12" s="427" customFormat="1" ht="12.75">
      <c r="A180" s="420" t="s">
        <v>633</v>
      </c>
      <c r="B180" s="421"/>
      <c r="C180" s="422"/>
      <c r="D180" s="423"/>
      <c r="E180" s="519" t="s">
        <v>636</v>
      </c>
      <c r="F180" s="514" t="s">
        <v>355</v>
      </c>
      <c r="G180" s="515" t="s">
        <v>354</v>
      </c>
      <c r="H180" s="531">
        <v>0.17085</v>
      </c>
      <c r="I180" s="517">
        <f>LOOKUP(E180,valoriz!$A$13:$A$242,valoriz!I$13:I$242)</f>
        <v>0.10999999999999999</v>
      </c>
      <c r="J180" s="518">
        <f t="shared" si="5"/>
        <v>0.02</v>
      </c>
      <c r="K180" s="425"/>
      <c r="L180" s="430"/>
    </row>
    <row r="181" spans="1:12" s="427" customFormat="1" ht="12.75">
      <c r="A181" s="420" t="s">
        <v>633</v>
      </c>
      <c r="B181" s="421"/>
      <c r="C181" s="422"/>
      <c r="D181" s="423"/>
      <c r="E181" s="519" t="s">
        <v>653</v>
      </c>
      <c r="F181" s="514" t="s">
        <v>1129</v>
      </c>
      <c r="G181" s="515" t="s">
        <v>432</v>
      </c>
      <c r="H181" s="516">
        <v>5.25</v>
      </c>
      <c r="I181" s="517">
        <f>LOOKUP(E181,valoriz!$A$13:$A$242,valoriz!I$13:I$242)</f>
        <v>0</v>
      </c>
      <c r="J181" s="518">
        <f t="shared" si="5"/>
        <v>0</v>
      </c>
      <c r="K181" s="425"/>
      <c r="L181" s="430"/>
    </row>
    <row r="182" spans="1:12" s="427" customFormat="1" ht="12.75">
      <c r="A182" s="420" t="s">
        <v>633</v>
      </c>
      <c r="B182" s="421"/>
      <c r="C182" s="422"/>
      <c r="D182" s="423"/>
      <c r="E182" s="519" t="s">
        <v>655</v>
      </c>
      <c r="F182" s="514" t="s">
        <v>1128</v>
      </c>
      <c r="G182" s="515" t="s">
        <v>434</v>
      </c>
      <c r="H182" s="516">
        <v>0.68</v>
      </c>
      <c r="I182" s="517">
        <f>LOOKUP(E182,valoriz!$A$13:$A$242,valoriz!I$13:I$242)</f>
        <v>0</v>
      </c>
      <c r="J182" s="518">
        <f t="shared" si="5"/>
        <v>0</v>
      </c>
      <c r="K182" s="425"/>
      <c r="L182" s="430"/>
    </row>
    <row r="183" spans="1:12" s="427" customFormat="1" ht="12.75">
      <c r="A183" s="420" t="s">
        <v>633</v>
      </c>
      <c r="B183" s="421"/>
      <c r="C183" s="422"/>
      <c r="D183" s="423"/>
      <c r="E183" s="519" t="s">
        <v>657</v>
      </c>
      <c r="F183" s="514" t="s">
        <v>1134</v>
      </c>
      <c r="G183" s="515" t="s">
        <v>432</v>
      </c>
      <c r="H183" s="531">
        <v>0.33767999999999998</v>
      </c>
      <c r="I183" s="517">
        <f>LOOKUP(E183,valoriz!$A$13:$A$242,valoriz!I$13:I$242)</f>
        <v>0</v>
      </c>
      <c r="J183" s="518">
        <f t="shared" si="5"/>
        <v>0</v>
      </c>
      <c r="K183" s="425"/>
      <c r="L183" s="430"/>
    </row>
    <row r="184" spans="1:12" s="427" customFormat="1" ht="12.75">
      <c r="A184" s="420" t="s">
        <v>633</v>
      </c>
      <c r="B184" s="421"/>
      <c r="C184" s="422"/>
      <c r="D184" s="423"/>
      <c r="E184" s="519" t="s">
        <v>659</v>
      </c>
      <c r="F184" s="514" t="s">
        <v>1104</v>
      </c>
      <c r="G184" s="515" t="s">
        <v>432</v>
      </c>
      <c r="H184" s="516">
        <v>8.5</v>
      </c>
      <c r="I184" s="517">
        <f>LOOKUP(E184,valoriz!$A$13:$A$242,valoriz!I$13:I$242)</f>
        <v>0</v>
      </c>
      <c r="J184" s="518">
        <f t="shared" si="5"/>
        <v>0</v>
      </c>
      <c r="K184" s="425"/>
      <c r="L184" s="430"/>
    </row>
    <row r="185" spans="1:12" s="427" customFormat="1" ht="12.75">
      <c r="A185" s="420" t="s">
        <v>633</v>
      </c>
      <c r="B185" s="421"/>
      <c r="C185" s="422"/>
      <c r="D185" s="423"/>
      <c r="E185" s="519" t="s">
        <v>662</v>
      </c>
      <c r="F185" s="514" t="s">
        <v>1128</v>
      </c>
      <c r="G185" s="515" t="s">
        <v>434</v>
      </c>
      <c r="H185" s="516">
        <v>0.68</v>
      </c>
      <c r="I185" s="517">
        <f>LOOKUP(E185,valoriz!$A$13:$A$242,valoriz!I$13:I$242)</f>
        <v>0</v>
      </c>
      <c r="J185" s="518">
        <f t="shared" si="5"/>
        <v>0</v>
      </c>
      <c r="K185" s="425"/>
      <c r="L185" s="430"/>
    </row>
    <row r="186" spans="1:12" s="427" customFormat="1" ht="12.75">
      <c r="A186" s="420" t="s">
        <v>633</v>
      </c>
      <c r="B186" s="421"/>
      <c r="C186" s="422"/>
      <c r="D186" s="423"/>
      <c r="E186" s="519" t="s">
        <v>667</v>
      </c>
      <c r="F186" s="514" t="s">
        <v>1129</v>
      </c>
      <c r="G186" s="515" t="s">
        <v>432</v>
      </c>
      <c r="H186" s="516">
        <v>5.25</v>
      </c>
      <c r="I186" s="517">
        <f>LOOKUP(E186,valoriz!$A$13:$A$242,valoriz!I$13:I$242)</f>
        <v>510.75</v>
      </c>
      <c r="J186" s="518">
        <f t="shared" si="5"/>
        <v>2681.44</v>
      </c>
      <c r="K186" s="425"/>
      <c r="L186" s="430"/>
    </row>
    <row r="187" spans="1:12" s="427" customFormat="1" ht="12.75">
      <c r="A187" s="420" t="s">
        <v>633</v>
      </c>
      <c r="B187" s="421"/>
      <c r="C187" s="422"/>
      <c r="D187" s="423"/>
      <c r="E187" s="519" t="s">
        <v>668</v>
      </c>
      <c r="F187" s="514" t="s">
        <v>1128</v>
      </c>
      <c r="G187" s="515" t="s">
        <v>434</v>
      </c>
      <c r="H187" s="516">
        <v>0.68</v>
      </c>
      <c r="I187" s="517">
        <f>LOOKUP(E187,valoriz!$A$13:$A$242,valoriz!I$13:I$242)</f>
        <v>510.75</v>
      </c>
      <c r="J187" s="518">
        <f t="shared" si="5"/>
        <v>347.31</v>
      </c>
      <c r="K187" s="425"/>
      <c r="L187" s="430"/>
    </row>
    <row r="188" spans="1:12" s="427" customFormat="1" ht="12.75">
      <c r="A188" s="420" t="s">
        <v>633</v>
      </c>
      <c r="B188" s="421"/>
      <c r="C188" s="422"/>
      <c r="D188" s="423"/>
      <c r="E188" s="519" t="s">
        <v>672</v>
      </c>
      <c r="F188" s="514" t="s">
        <v>1127</v>
      </c>
      <c r="G188" s="515" t="s">
        <v>432</v>
      </c>
      <c r="H188" s="516">
        <v>11</v>
      </c>
      <c r="I188" s="517">
        <f>LOOKUP(E188,valoriz!$A$13:$A$242,valoriz!I$13:I$242)</f>
        <v>0</v>
      </c>
      <c r="J188" s="518">
        <f t="shared" si="5"/>
        <v>0</v>
      </c>
      <c r="K188" s="425"/>
      <c r="L188" s="430"/>
    </row>
    <row r="189" spans="1:12" s="427" customFormat="1" ht="12.75">
      <c r="A189" s="420" t="s">
        <v>633</v>
      </c>
      <c r="B189" s="421"/>
      <c r="C189" s="422"/>
      <c r="D189" s="423"/>
      <c r="E189" s="519" t="s">
        <v>673</v>
      </c>
      <c r="F189" s="514" t="s">
        <v>1126</v>
      </c>
      <c r="G189" s="515" t="s">
        <v>432</v>
      </c>
      <c r="H189" s="516">
        <v>8.5</v>
      </c>
      <c r="I189" s="517">
        <f>LOOKUP(E189,valoriz!$A$13:$A$242,valoriz!I$13:I$242)</f>
        <v>0</v>
      </c>
      <c r="J189" s="518">
        <f t="shared" si="5"/>
        <v>0</v>
      </c>
      <c r="K189" s="425"/>
      <c r="L189" s="430"/>
    </row>
    <row r="190" spans="1:12" s="427" customFormat="1" ht="12.75">
      <c r="A190" s="420" t="s">
        <v>633</v>
      </c>
      <c r="B190" s="421"/>
      <c r="C190" s="422"/>
      <c r="D190" s="423"/>
      <c r="E190" s="519" t="s">
        <v>674</v>
      </c>
      <c r="F190" s="514" t="s">
        <v>1125</v>
      </c>
      <c r="G190" s="515" t="s">
        <v>432</v>
      </c>
      <c r="H190" s="516">
        <v>8.5</v>
      </c>
      <c r="I190" s="517">
        <f>LOOKUP(E190,valoriz!$A$13:$A$242,valoriz!I$13:I$242)</f>
        <v>0</v>
      </c>
      <c r="J190" s="518">
        <f t="shared" si="5"/>
        <v>0</v>
      </c>
      <c r="K190" s="425"/>
      <c r="L190" s="430"/>
    </row>
    <row r="191" spans="1:12" s="427" customFormat="1" ht="12.75">
      <c r="A191" s="420" t="s">
        <v>633</v>
      </c>
      <c r="B191" s="421"/>
      <c r="C191" s="422"/>
      <c r="D191" s="423"/>
      <c r="E191" s="519" t="s">
        <v>675</v>
      </c>
      <c r="F191" s="514" t="s">
        <v>1124</v>
      </c>
      <c r="G191" s="515" t="s">
        <v>432</v>
      </c>
      <c r="H191" s="516">
        <v>4.5</v>
      </c>
      <c r="I191" s="517">
        <f>LOOKUP(E191,valoriz!$A$13:$A$242,valoriz!I$13:I$242)</f>
        <v>0</v>
      </c>
      <c r="J191" s="518">
        <f t="shared" si="5"/>
        <v>0</v>
      </c>
      <c r="K191" s="425"/>
      <c r="L191" s="430"/>
    </row>
    <row r="192" spans="1:12" s="427" customFormat="1" ht="12.75">
      <c r="A192" s="420" t="s">
        <v>633</v>
      </c>
      <c r="B192" s="421"/>
      <c r="C192" s="422"/>
      <c r="D192" s="423"/>
      <c r="E192" s="519" t="s">
        <v>677</v>
      </c>
      <c r="F192" s="514" t="s">
        <v>1122</v>
      </c>
      <c r="G192" s="515" t="s">
        <v>431</v>
      </c>
      <c r="H192" s="516">
        <v>0.19600000000000001</v>
      </c>
      <c r="I192" s="517">
        <f>LOOKUP(E192,valoriz!$A$13:$A$242,valoriz!I$13:I$242)</f>
        <v>0</v>
      </c>
      <c r="J192" s="518">
        <f t="shared" si="5"/>
        <v>0</v>
      </c>
      <c r="K192" s="425"/>
      <c r="L192" s="430"/>
    </row>
    <row r="193" spans="1:12" s="427" customFormat="1" ht="12.75">
      <c r="A193" s="420" t="s">
        <v>633</v>
      </c>
      <c r="B193" s="421"/>
      <c r="C193" s="422"/>
      <c r="D193" s="423"/>
      <c r="E193" s="519" t="s">
        <v>680</v>
      </c>
      <c r="F193" s="514" t="s">
        <v>1118</v>
      </c>
      <c r="G193" s="515" t="s">
        <v>432</v>
      </c>
      <c r="H193" s="516">
        <v>9.5</v>
      </c>
      <c r="I193" s="517">
        <f>LOOKUP(E193,valoriz!$A$13:$A$242,valoriz!I$13:I$242)</f>
        <v>0</v>
      </c>
      <c r="J193" s="518">
        <f t="shared" si="5"/>
        <v>0</v>
      </c>
      <c r="K193" s="425"/>
      <c r="L193" s="430"/>
    </row>
    <row r="194" spans="1:12" s="427" customFormat="1" ht="12.75">
      <c r="A194" s="420" t="s">
        <v>633</v>
      </c>
      <c r="B194" s="421"/>
      <c r="C194" s="422"/>
      <c r="D194" s="423"/>
      <c r="E194" s="519" t="s">
        <v>683</v>
      </c>
      <c r="F194" s="514" t="s">
        <v>1116</v>
      </c>
      <c r="G194" s="515" t="s">
        <v>434</v>
      </c>
      <c r="H194" s="516">
        <v>1.0625</v>
      </c>
      <c r="I194" s="517">
        <f>LOOKUP(E194,valoriz!$A$13:$A$242,valoriz!I$13:I$242)</f>
        <v>0</v>
      </c>
      <c r="J194" s="518">
        <f t="shared" si="5"/>
        <v>0</v>
      </c>
      <c r="K194" s="425"/>
      <c r="L194" s="430"/>
    </row>
    <row r="195" spans="1:12" s="427" customFormat="1" ht="12.75">
      <c r="A195" s="420" t="s">
        <v>633</v>
      </c>
      <c r="B195" s="421"/>
      <c r="C195" s="422"/>
      <c r="D195" s="423"/>
      <c r="E195" s="519" t="s">
        <v>736</v>
      </c>
      <c r="F195" s="514" t="s">
        <v>1115</v>
      </c>
      <c r="G195" s="515" t="s">
        <v>432</v>
      </c>
      <c r="H195" s="516">
        <v>3</v>
      </c>
      <c r="I195" s="517">
        <f>LOOKUP(E195,valoriz!$A$13:$A$242,valoriz!I$13:I$242)</f>
        <v>0</v>
      </c>
      <c r="J195" s="518">
        <f t="shared" si="5"/>
        <v>0</v>
      </c>
      <c r="K195" s="425"/>
      <c r="L195" s="430"/>
    </row>
    <row r="196" spans="1:12" s="427" customFormat="1" ht="12.75">
      <c r="A196" s="420" t="s">
        <v>633</v>
      </c>
      <c r="B196" s="421"/>
      <c r="C196" s="422"/>
      <c r="D196" s="423"/>
      <c r="E196" s="519" t="s">
        <v>684</v>
      </c>
      <c r="F196" s="514" t="s">
        <v>1114</v>
      </c>
      <c r="G196" s="515" t="s">
        <v>431</v>
      </c>
      <c r="H196" s="531">
        <v>1.46685</v>
      </c>
      <c r="I196" s="517">
        <f>LOOKUP(E196,valoriz!$A$13:$A$242,valoriz!I$13:I$242)</f>
        <v>0</v>
      </c>
      <c r="J196" s="518">
        <f t="shared" si="5"/>
        <v>0</v>
      </c>
      <c r="K196" s="425"/>
      <c r="L196" s="430"/>
    </row>
    <row r="197" spans="1:12" s="427" customFormat="1" ht="12.75">
      <c r="A197" s="420" t="s">
        <v>633</v>
      </c>
      <c r="B197" s="421"/>
      <c r="C197" s="422"/>
      <c r="D197" s="423"/>
      <c r="E197" s="519" t="s">
        <v>686</v>
      </c>
      <c r="F197" s="514" t="s">
        <v>1113</v>
      </c>
      <c r="G197" s="515" t="s">
        <v>431</v>
      </c>
      <c r="H197" s="516">
        <v>1.35</v>
      </c>
      <c r="I197" s="517">
        <f>LOOKUP(E197,valoriz!$A$13:$A$242,valoriz!I$13:I$242)</f>
        <v>0</v>
      </c>
      <c r="J197" s="518">
        <f t="shared" si="5"/>
        <v>0</v>
      </c>
      <c r="K197" s="425"/>
      <c r="L197" s="430"/>
    </row>
    <row r="198" spans="1:12" s="427" customFormat="1" ht="12.75">
      <c r="A198" s="420" t="s">
        <v>633</v>
      </c>
      <c r="B198" s="421"/>
      <c r="C198" s="422"/>
      <c r="D198" s="423"/>
      <c r="E198" s="519" t="s">
        <v>687</v>
      </c>
      <c r="F198" s="514" t="s">
        <v>1112</v>
      </c>
      <c r="G198" s="515" t="s">
        <v>433</v>
      </c>
      <c r="H198" s="516">
        <v>0.68</v>
      </c>
      <c r="I198" s="517">
        <f>LOOKUP(E198,valoriz!$A$13:$A$242,valoriz!I$13:I$242)</f>
        <v>0</v>
      </c>
      <c r="J198" s="518">
        <f t="shared" si="5"/>
        <v>0</v>
      </c>
      <c r="K198" s="425"/>
      <c r="L198" s="430"/>
    </row>
    <row r="199" spans="1:12" s="427" customFormat="1" ht="12.75">
      <c r="A199" s="420" t="s">
        <v>633</v>
      </c>
      <c r="B199" s="421"/>
      <c r="C199" s="422"/>
      <c r="D199" s="423"/>
      <c r="E199" s="519" t="s">
        <v>688</v>
      </c>
      <c r="F199" s="514" t="s">
        <v>1111</v>
      </c>
      <c r="G199" s="515" t="s">
        <v>433</v>
      </c>
      <c r="H199" s="516">
        <v>1.2749999999999999</v>
      </c>
      <c r="I199" s="517">
        <f>LOOKUP(E199,valoriz!$A$13:$A$242,valoriz!I$13:I$242)</f>
        <v>0</v>
      </c>
      <c r="J199" s="518">
        <f t="shared" si="5"/>
        <v>0</v>
      </c>
      <c r="K199" s="425"/>
      <c r="L199" s="430"/>
    </row>
    <row r="200" spans="1:12" s="427" customFormat="1" ht="12.75">
      <c r="A200" s="420" t="s">
        <v>633</v>
      </c>
      <c r="B200" s="421"/>
      <c r="C200" s="422"/>
      <c r="D200" s="423"/>
      <c r="E200" s="519" t="s">
        <v>690</v>
      </c>
      <c r="F200" s="514" t="s">
        <v>1107</v>
      </c>
      <c r="G200" s="515" t="s">
        <v>434</v>
      </c>
      <c r="H200" s="516">
        <v>0.68</v>
      </c>
      <c r="I200" s="517">
        <f>LOOKUP(E200,valoriz!$A$13:$A$242,valoriz!I$13:I$242)</f>
        <v>0</v>
      </c>
      <c r="J200" s="518">
        <f t="shared" si="5"/>
        <v>0</v>
      </c>
      <c r="K200" s="425"/>
      <c r="L200" s="430"/>
    </row>
    <row r="201" spans="1:12" s="427" customFormat="1" ht="12.75">
      <c r="A201" s="420" t="s">
        <v>633</v>
      </c>
      <c r="B201" s="421"/>
      <c r="C201" s="422"/>
      <c r="D201" s="423"/>
      <c r="E201" s="519" t="s">
        <v>691</v>
      </c>
      <c r="F201" s="514" t="s">
        <v>1107</v>
      </c>
      <c r="G201" s="515" t="s">
        <v>434</v>
      </c>
      <c r="H201" s="516">
        <v>0.68</v>
      </c>
      <c r="I201" s="517">
        <f>LOOKUP(E201,valoriz!$A$13:$A$242,valoriz!I$13:I$242)</f>
        <v>0</v>
      </c>
      <c r="J201" s="518">
        <f t="shared" si="5"/>
        <v>0</v>
      </c>
      <c r="K201" s="425"/>
      <c r="L201" s="430"/>
    </row>
    <row r="202" spans="1:12" s="427" customFormat="1" ht="12.75">
      <c r="A202" s="420" t="s">
        <v>633</v>
      </c>
      <c r="B202" s="421"/>
      <c r="C202" s="422"/>
      <c r="D202" s="423"/>
      <c r="E202" s="519" t="s">
        <v>693</v>
      </c>
      <c r="F202" s="514" t="s">
        <v>1107</v>
      </c>
      <c r="G202" s="515" t="s">
        <v>434</v>
      </c>
      <c r="H202" s="516">
        <v>0.68</v>
      </c>
      <c r="I202" s="517">
        <f>LOOKUP(E202,valoriz!$A$13:$A$242,valoriz!I$13:I$242)</f>
        <v>0</v>
      </c>
      <c r="J202" s="518">
        <f t="shared" si="5"/>
        <v>0</v>
      </c>
      <c r="K202" s="425"/>
      <c r="L202" s="430"/>
    </row>
    <row r="203" spans="1:12" s="427" customFormat="1" ht="12.75">
      <c r="A203" s="420" t="s">
        <v>633</v>
      </c>
      <c r="B203" s="421"/>
      <c r="C203" s="422"/>
      <c r="D203" s="423"/>
      <c r="E203" s="519" t="s">
        <v>694</v>
      </c>
      <c r="F203" s="514" t="s">
        <v>1108</v>
      </c>
      <c r="G203" s="515" t="s">
        <v>432</v>
      </c>
      <c r="H203" s="516">
        <v>4.9000000000000004</v>
      </c>
      <c r="I203" s="517">
        <f>LOOKUP(E203,valoriz!$A$13:$A$242,valoriz!I$13:I$242)</f>
        <v>0</v>
      </c>
      <c r="J203" s="518">
        <f t="shared" si="5"/>
        <v>0</v>
      </c>
      <c r="K203" s="425"/>
      <c r="L203" s="430"/>
    </row>
    <row r="204" spans="1:12" s="427" customFormat="1" ht="12.75">
      <c r="A204" s="420" t="s">
        <v>633</v>
      </c>
      <c r="B204" s="421"/>
      <c r="C204" s="422"/>
      <c r="D204" s="423"/>
      <c r="E204" s="519" t="s">
        <v>695</v>
      </c>
      <c r="F204" s="514" t="s">
        <v>1107</v>
      </c>
      <c r="G204" s="515" t="s">
        <v>434</v>
      </c>
      <c r="H204" s="516">
        <v>0.68</v>
      </c>
      <c r="I204" s="517">
        <f>LOOKUP(E204,valoriz!$A$13:$A$242,valoriz!I$13:I$242)</f>
        <v>0</v>
      </c>
      <c r="J204" s="518">
        <f t="shared" si="5"/>
        <v>0</v>
      </c>
      <c r="K204" s="425"/>
      <c r="L204" s="430"/>
    </row>
    <row r="205" spans="1:12" s="427" customFormat="1" ht="12.75">
      <c r="A205" s="420" t="s">
        <v>633</v>
      </c>
      <c r="B205" s="421"/>
      <c r="C205" s="422"/>
      <c r="D205" s="423"/>
      <c r="E205" s="519" t="s">
        <v>697</v>
      </c>
      <c r="F205" s="514" t="s">
        <v>1105</v>
      </c>
      <c r="G205" s="515" t="s">
        <v>432</v>
      </c>
      <c r="H205" s="531">
        <v>0.33767999999999998</v>
      </c>
      <c r="I205" s="517">
        <f>LOOKUP(E205,valoriz!$A$13:$A$242,valoriz!I$13:I$242)</f>
        <v>0</v>
      </c>
      <c r="J205" s="518">
        <f t="shared" si="5"/>
        <v>0</v>
      </c>
      <c r="K205" s="425"/>
      <c r="L205" s="430"/>
    </row>
    <row r="206" spans="1:12" s="427" customFormat="1" ht="12.75">
      <c r="A206" s="420" t="s">
        <v>633</v>
      </c>
      <c r="B206" s="421"/>
      <c r="C206" s="422"/>
      <c r="D206" s="423"/>
      <c r="E206" s="519" t="s">
        <v>698</v>
      </c>
      <c r="F206" s="514" t="s">
        <v>1104</v>
      </c>
      <c r="G206" s="515" t="s">
        <v>432</v>
      </c>
      <c r="H206" s="516">
        <v>8.5</v>
      </c>
      <c r="I206" s="517">
        <f>LOOKUP(E206,valoriz!$A$13:$A$242,valoriz!I$13:I$242)</f>
        <v>0</v>
      </c>
      <c r="J206" s="518">
        <f t="shared" si="5"/>
        <v>0</v>
      </c>
      <c r="K206" s="425"/>
      <c r="L206" s="430"/>
    </row>
    <row r="207" spans="1:12" s="427" customFormat="1" ht="12.75">
      <c r="A207" s="420" t="s">
        <v>633</v>
      </c>
      <c r="B207" s="421"/>
      <c r="C207" s="422"/>
      <c r="D207" s="423"/>
      <c r="E207" s="519" t="s">
        <v>699</v>
      </c>
      <c r="F207" s="514" t="s">
        <v>1103</v>
      </c>
      <c r="G207" s="515" t="s">
        <v>432</v>
      </c>
      <c r="H207" s="516">
        <v>5.25</v>
      </c>
      <c r="I207" s="517">
        <f>LOOKUP(E207,valoriz!$A$13:$A$242,valoriz!I$13:I$242)</f>
        <v>0</v>
      </c>
      <c r="J207" s="518">
        <f t="shared" si="5"/>
        <v>0</v>
      </c>
      <c r="K207" s="425"/>
      <c r="L207" s="430"/>
    </row>
    <row r="208" spans="1:12" s="427" customFormat="1" ht="12.75">
      <c r="A208" s="420" t="s">
        <v>633</v>
      </c>
      <c r="B208" s="421"/>
      <c r="C208" s="422"/>
      <c r="D208" s="423"/>
      <c r="E208" s="519" t="s">
        <v>707</v>
      </c>
      <c r="F208" s="514" t="s">
        <v>1096</v>
      </c>
      <c r="G208" s="515" t="s">
        <v>433</v>
      </c>
      <c r="H208" s="531">
        <v>0.77787499999999998</v>
      </c>
      <c r="I208" s="517">
        <f>LOOKUP(E208,valoriz!$A$13:$A$242,valoriz!I$13:I$242)</f>
        <v>0</v>
      </c>
      <c r="J208" s="518">
        <f t="shared" si="5"/>
        <v>0</v>
      </c>
      <c r="K208" s="425"/>
      <c r="L208" s="430"/>
    </row>
    <row r="209" spans="1:12" s="427" customFormat="1" ht="12.75">
      <c r="A209" s="420" t="s">
        <v>633</v>
      </c>
      <c r="B209" s="421"/>
      <c r="C209" s="422"/>
      <c r="D209" s="423"/>
      <c r="E209" s="519" t="s">
        <v>709</v>
      </c>
      <c r="F209" s="514" t="s">
        <v>1095</v>
      </c>
      <c r="G209" s="515" t="s">
        <v>433</v>
      </c>
      <c r="H209" s="516">
        <v>1.8374999999999999</v>
      </c>
      <c r="I209" s="517">
        <f>LOOKUP(E209,valoriz!$A$13:$A$242,valoriz!I$13:I$242)</f>
        <v>0</v>
      </c>
      <c r="J209" s="518">
        <f t="shared" si="5"/>
        <v>0</v>
      </c>
      <c r="K209" s="425"/>
      <c r="L209" s="430"/>
    </row>
    <row r="210" spans="1:12" s="427" customFormat="1" ht="12.75">
      <c r="A210" s="420" t="s">
        <v>633</v>
      </c>
      <c r="B210" s="421"/>
      <c r="C210" s="422"/>
      <c r="D210" s="423"/>
      <c r="E210" s="519" t="s">
        <v>710</v>
      </c>
      <c r="F210" s="514" t="s">
        <v>1094</v>
      </c>
      <c r="G210" s="515" t="s">
        <v>433</v>
      </c>
      <c r="H210" s="516">
        <v>1.8374999999999999</v>
      </c>
      <c r="I210" s="517">
        <f>LOOKUP(E210,valoriz!$A$13:$A$242,valoriz!I$13:I$242)</f>
        <v>0</v>
      </c>
      <c r="J210" s="518">
        <f t="shared" si="5"/>
        <v>0</v>
      </c>
      <c r="K210" s="425"/>
      <c r="L210" s="430"/>
    </row>
    <row r="211" spans="1:12" s="427" customFormat="1" ht="12.75">
      <c r="A211" s="420" t="s">
        <v>633</v>
      </c>
      <c r="B211" s="421"/>
      <c r="C211" s="422"/>
      <c r="D211" s="423"/>
      <c r="E211" s="519" t="s">
        <v>742</v>
      </c>
      <c r="F211" s="514" t="s">
        <v>1093</v>
      </c>
      <c r="G211" s="515" t="s">
        <v>433</v>
      </c>
      <c r="H211" s="516">
        <v>3.6860750000000002</v>
      </c>
      <c r="I211" s="517">
        <f>LOOKUP(E211,valoriz!$A$13:$A$242,valoriz!I$13:I$242)</f>
        <v>0</v>
      </c>
      <c r="J211" s="518">
        <f t="shared" si="5"/>
        <v>0</v>
      </c>
      <c r="K211" s="425"/>
      <c r="L211" s="430"/>
    </row>
    <row r="212" spans="1:12" s="427" customFormat="1" ht="12.75">
      <c r="A212" s="420" t="s">
        <v>633</v>
      </c>
      <c r="B212" s="421"/>
      <c r="C212" s="422"/>
      <c r="D212" s="423"/>
      <c r="E212" s="519" t="s">
        <v>711</v>
      </c>
      <c r="F212" s="514" t="s">
        <v>1092</v>
      </c>
      <c r="G212" s="515" t="s">
        <v>431</v>
      </c>
      <c r="H212" s="516">
        <v>0.2205</v>
      </c>
      <c r="I212" s="517">
        <f>LOOKUP(E212,valoriz!$A$13:$A$242,valoriz!I$13:I$242)</f>
        <v>0</v>
      </c>
      <c r="J212" s="518">
        <f t="shared" si="5"/>
        <v>0</v>
      </c>
      <c r="K212" s="425"/>
      <c r="L212" s="430"/>
    </row>
    <row r="213" spans="1:12" s="427" customFormat="1" ht="12.75">
      <c r="A213" s="420" t="s">
        <v>633</v>
      </c>
      <c r="B213" s="421"/>
      <c r="C213" s="422"/>
      <c r="D213" s="423"/>
      <c r="E213" s="519" t="s">
        <v>713</v>
      </c>
      <c r="F213" s="514" t="s">
        <v>437</v>
      </c>
      <c r="G213" s="515" t="s">
        <v>433</v>
      </c>
      <c r="H213" s="516">
        <v>0.92679999999999996</v>
      </c>
      <c r="I213" s="517">
        <f>LOOKUP(E213,valoriz!$A$13:$A$242,valoriz!I$13:I$242)</f>
        <v>0</v>
      </c>
      <c r="J213" s="518">
        <f t="shared" si="5"/>
        <v>0</v>
      </c>
      <c r="K213" s="425"/>
      <c r="L213" s="430"/>
    </row>
    <row r="214" spans="1:12" s="427" customFormat="1" ht="12.75">
      <c r="A214" s="420"/>
      <c r="B214" s="431"/>
      <c r="C214" s="432"/>
      <c r="D214" s="433"/>
      <c r="E214" s="525"/>
      <c r="F214" s="432"/>
      <c r="G214" s="433"/>
      <c r="H214" s="434"/>
      <c r="I214" s="470"/>
      <c r="J214" s="461"/>
      <c r="K214" s="425"/>
      <c r="L214" s="430"/>
    </row>
    <row r="215" spans="1:12" s="427" customFormat="1" ht="12.75" hidden="1" outlineLevel="1">
      <c r="A215" s="420" t="s">
        <v>864</v>
      </c>
      <c r="B215" s="421"/>
      <c r="C215" s="422"/>
      <c r="D215" s="423"/>
      <c r="E215" s="524" t="s">
        <v>865</v>
      </c>
      <c r="F215" s="422" t="s">
        <v>431</v>
      </c>
      <c r="G215" s="423"/>
      <c r="H215" s="424"/>
      <c r="I215" s="469"/>
      <c r="J215" s="460"/>
      <c r="K215" s="425"/>
      <c r="L215" s="430"/>
    </row>
    <row r="216" spans="1:12" s="427" customFormat="1" ht="12.75" hidden="1" outlineLevel="1">
      <c r="A216" s="420" t="s">
        <v>633</v>
      </c>
      <c r="B216" s="421"/>
      <c r="C216" s="422"/>
      <c r="D216" s="423"/>
      <c r="E216" s="524" t="s">
        <v>642</v>
      </c>
      <c r="F216" s="422" t="s">
        <v>757</v>
      </c>
      <c r="G216" s="423"/>
      <c r="H216" s="424">
        <v>125038.36289999999</v>
      </c>
      <c r="I216" s="469"/>
      <c r="J216" s="460"/>
      <c r="K216" s="425"/>
      <c r="L216" s="430"/>
    </row>
    <row r="217" spans="1:12" s="427" customFormat="1" ht="12.75" hidden="1" outlineLevel="1">
      <c r="A217" s="420" t="s">
        <v>633</v>
      </c>
      <c r="B217" s="421"/>
      <c r="C217" s="422"/>
      <c r="D217" s="423"/>
      <c r="E217" s="524" t="s">
        <v>643</v>
      </c>
      <c r="F217" s="422" t="s">
        <v>758</v>
      </c>
      <c r="G217" s="423"/>
      <c r="H217" s="424">
        <v>233858.31</v>
      </c>
      <c r="I217" s="469"/>
      <c r="J217" s="460"/>
      <c r="K217" s="425"/>
      <c r="L217" s="430"/>
    </row>
    <row r="218" spans="1:12" s="427" customFormat="1" ht="12.75" hidden="1" outlineLevel="1">
      <c r="A218" s="420"/>
      <c r="B218" s="421"/>
      <c r="C218" s="422"/>
      <c r="D218" s="423"/>
      <c r="E218" s="524"/>
      <c r="F218" s="422"/>
      <c r="G218" s="423"/>
      <c r="H218" s="424">
        <v>358896.67290000001</v>
      </c>
      <c r="I218" s="469"/>
      <c r="J218" s="460"/>
      <c r="K218" s="425"/>
      <c r="L218" s="430"/>
    </row>
    <row r="219" spans="1:12" s="427" customFormat="1" ht="12.75" hidden="1" outlineLevel="1">
      <c r="A219" s="420"/>
      <c r="B219" s="421"/>
      <c r="C219" s="422"/>
      <c r="D219" s="423"/>
      <c r="E219" s="524"/>
      <c r="F219" s="422"/>
      <c r="G219" s="423"/>
      <c r="H219" s="424"/>
      <c r="I219" s="469"/>
      <c r="J219" s="460"/>
      <c r="K219" s="425"/>
      <c r="L219" s="430"/>
    </row>
    <row r="220" spans="1:12" s="427" customFormat="1" ht="12.75" hidden="1" outlineLevel="1" collapsed="1">
      <c r="A220" s="420" t="s">
        <v>866</v>
      </c>
      <c r="B220" s="421" t="s">
        <v>867</v>
      </c>
      <c r="C220" s="428"/>
      <c r="D220" s="429" t="s">
        <v>431</v>
      </c>
      <c r="E220" s="524"/>
      <c r="F220" s="422"/>
      <c r="G220" s="423"/>
      <c r="H220" s="424"/>
      <c r="I220" s="469"/>
      <c r="J220" s="459">
        <f>SUM(J221:J222)</f>
        <v>0</v>
      </c>
      <c r="K220" s="425">
        <v>106642.06</v>
      </c>
      <c r="L220" s="430"/>
    </row>
    <row r="221" spans="1:12" s="427" customFormat="1" ht="12.75" hidden="1" outlineLevel="1">
      <c r="A221" s="420" t="s">
        <v>633</v>
      </c>
      <c r="B221" s="421"/>
      <c r="C221" s="422"/>
      <c r="D221" s="423"/>
      <c r="E221" s="524" t="s">
        <v>642</v>
      </c>
      <c r="F221" s="422" t="s">
        <v>351</v>
      </c>
      <c r="G221" s="423" t="s">
        <v>432</v>
      </c>
      <c r="H221" s="424">
        <v>0.05</v>
      </c>
      <c r="I221" s="469">
        <f>LOOKUP(E221,valoriz!$A$13:$A$242,valoriz!I$13:I$242)</f>
        <v>0</v>
      </c>
      <c r="J221" s="460">
        <f>ROUND(I221*H221,2)</f>
        <v>0</v>
      </c>
      <c r="K221" s="425"/>
      <c r="L221" s="430"/>
    </row>
    <row r="222" spans="1:12" s="427" customFormat="1" ht="12.75" hidden="1" outlineLevel="1">
      <c r="A222" s="420" t="s">
        <v>633</v>
      </c>
      <c r="B222" s="421"/>
      <c r="C222" s="422"/>
      <c r="D222" s="423"/>
      <c r="E222" s="524" t="s">
        <v>643</v>
      </c>
      <c r="F222" s="422" t="s">
        <v>350</v>
      </c>
      <c r="G222" s="423" t="s">
        <v>432</v>
      </c>
      <c r="H222" s="424">
        <v>0.1875</v>
      </c>
      <c r="I222" s="469">
        <f>LOOKUP(E222,valoriz!$A$13:$A$242,valoriz!I$13:I$242)</f>
        <v>0</v>
      </c>
      <c r="J222" s="460">
        <f>ROUND(I222*H222,2)</f>
        <v>0</v>
      </c>
      <c r="K222" s="425"/>
      <c r="L222" s="430"/>
    </row>
    <row r="223" spans="1:12" s="427" customFormat="1" ht="12.75" hidden="1" outlineLevel="1">
      <c r="A223" s="420"/>
      <c r="B223" s="431"/>
      <c r="C223" s="432"/>
      <c r="D223" s="433"/>
      <c r="E223" s="525"/>
      <c r="F223" s="432"/>
      <c r="G223" s="433"/>
      <c r="H223" s="434"/>
      <c r="I223" s="470"/>
      <c r="J223" s="462"/>
      <c r="K223" s="425"/>
      <c r="L223" s="430"/>
    </row>
    <row r="224" spans="1:12" s="427" customFormat="1" ht="12.75" hidden="1" outlineLevel="1">
      <c r="A224" s="420"/>
      <c r="B224" s="421"/>
      <c r="C224" s="422"/>
      <c r="D224" s="423"/>
      <c r="E224" s="524"/>
      <c r="F224" s="422"/>
      <c r="G224" s="423"/>
      <c r="H224" s="424"/>
      <c r="I224" s="469"/>
      <c r="J224" s="460"/>
      <c r="K224" s="425"/>
      <c r="L224" s="430"/>
    </row>
    <row r="225" spans="1:12" s="427" customFormat="1" ht="12.75" hidden="1" outlineLevel="1">
      <c r="A225" s="420" t="s">
        <v>868</v>
      </c>
      <c r="B225" s="421" t="s">
        <v>869</v>
      </c>
      <c r="C225" s="428"/>
      <c r="D225" s="429" t="s">
        <v>838</v>
      </c>
      <c r="E225" s="524"/>
      <c r="F225" s="422"/>
      <c r="G225" s="423"/>
      <c r="H225" s="424"/>
      <c r="I225" s="469"/>
      <c r="J225" s="459">
        <f>SUM(J226)</f>
        <v>0</v>
      </c>
      <c r="K225" s="425">
        <v>23385.83</v>
      </c>
      <c r="L225" s="430"/>
    </row>
    <row r="226" spans="1:12" s="427" customFormat="1" ht="12.75" hidden="1" outlineLevel="1">
      <c r="A226" s="420" t="s">
        <v>633</v>
      </c>
      <c r="B226" s="421"/>
      <c r="C226" s="422"/>
      <c r="D226" s="423"/>
      <c r="E226" s="524" t="s">
        <v>643</v>
      </c>
      <c r="F226" s="422" t="s">
        <v>350</v>
      </c>
      <c r="G226" s="423" t="s">
        <v>432</v>
      </c>
      <c r="H226" s="424">
        <v>0.05</v>
      </c>
      <c r="I226" s="469">
        <f>LOOKUP(E226,valoriz!$A$13:$A$242,valoriz!I$13:I$242)</f>
        <v>0</v>
      </c>
      <c r="J226" s="460">
        <f>ROUND(I226*H226,2)</f>
        <v>0</v>
      </c>
      <c r="K226" s="425"/>
      <c r="L226" s="430"/>
    </row>
    <row r="227" spans="1:12" s="427" customFormat="1" ht="12.75" hidden="1" outlineLevel="1">
      <c r="A227" s="420"/>
      <c r="B227" s="431"/>
      <c r="C227" s="432"/>
      <c r="D227" s="433"/>
      <c r="E227" s="525"/>
      <c r="F227" s="432"/>
      <c r="G227" s="433"/>
      <c r="H227" s="434"/>
      <c r="I227" s="470"/>
      <c r="J227" s="462"/>
      <c r="K227" s="425"/>
      <c r="L227" s="430"/>
    </row>
    <row r="228" spans="1:12" s="427" customFormat="1" ht="12.75" hidden="1" outlineLevel="1">
      <c r="A228" s="420"/>
      <c r="B228" s="421"/>
      <c r="C228" s="422"/>
      <c r="D228" s="423"/>
      <c r="E228" s="524"/>
      <c r="F228" s="422"/>
      <c r="G228" s="423"/>
      <c r="H228" s="424"/>
      <c r="I228" s="469"/>
      <c r="J228" s="460"/>
      <c r="K228" s="425"/>
      <c r="L228" s="430"/>
    </row>
    <row r="229" spans="1:12" s="427" customFormat="1" ht="12.75" hidden="1" outlineLevel="1">
      <c r="A229" s="420" t="s">
        <v>870</v>
      </c>
      <c r="B229" s="421" t="s">
        <v>871</v>
      </c>
      <c r="C229" s="428"/>
      <c r="D229" s="429" t="s">
        <v>431</v>
      </c>
      <c r="E229" s="524"/>
      <c r="F229" s="422"/>
      <c r="G229" s="423"/>
      <c r="H229" s="424"/>
      <c r="I229" s="469"/>
      <c r="J229" s="459">
        <f>SUM(J230:J231)</f>
        <v>0</v>
      </c>
      <c r="K229" s="425">
        <v>846620.75</v>
      </c>
      <c r="L229" s="430"/>
    </row>
    <row r="230" spans="1:12" s="427" customFormat="1" ht="12.75" hidden="1" outlineLevel="1">
      <c r="A230" s="420" t="s">
        <v>633</v>
      </c>
      <c r="B230" s="421"/>
      <c r="C230" s="422"/>
      <c r="D230" s="423"/>
      <c r="E230" s="524" t="s">
        <v>642</v>
      </c>
      <c r="F230" s="422" t="s">
        <v>351</v>
      </c>
      <c r="G230" s="423" t="s">
        <v>432</v>
      </c>
      <c r="H230" s="424">
        <v>1</v>
      </c>
      <c r="I230" s="469">
        <f>LOOKUP(E230,valoriz!$A$13:$A$242,valoriz!I$13:I$242)</f>
        <v>0</v>
      </c>
      <c r="J230" s="460">
        <f>ROUND(I230*H230,2)</f>
        <v>0</v>
      </c>
      <c r="K230" s="425"/>
      <c r="L230" s="430"/>
    </row>
    <row r="231" spans="1:12" s="427" customFormat="1" ht="12.75" hidden="1" outlineLevel="1">
      <c r="A231" s="420" t="s">
        <v>633</v>
      </c>
      <c r="B231" s="421"/>
      <c r="C231" s="422"/>
      <c r="D231" s="423"/>
      <c r="E231" s="524" t="s">
        <v>643</v>
      </c>
      <c r="F231" s="422" t="s">
        <v>350</v>
      </c>
      <c r="G231" s="423" t="s">
        <v>432</v>
      </c>
      <c r="H231" s="424">
        <v>1</v>
      </c>
      <c r="I231" s="469">
        <f>LOOKUP(E231,valoriz!$A$13:$A$242,valoriz!I$13:I$242)</f>
        <v>0</v>
      </c>
      <c r="J231" s="460">
        <f>ROUND(I231*H231,2)</f>
        <v>0</v>
      </c>
      <c r="K231" s="425"/>
      <c r="L231" s="430"/>
    </row>
    <row r="232" spans="1:12" s="427" customFormat="1" ht="12.75" hidden="1" outlineLevel="1">
      <c r="A232" s="420"/>
      <c r="B232" s="431"/>
      <c r="C232" s="432"/>
      <c r="D232" s="433"/>
      <c r="E232" s="525"/>
      <c r="F232" s="432"/>
      <c r="G232" s="433"/>
      <c r="H232" s="434"/>
      <c r="I232" s="470"/>
      <c r="J232" s="462"/>
      <c r="K232" s="425"/>
      <c r="L232" s="430"/>
    </row>
    <row r="233" spans="1:12" s="427" customFormat="1" ht="12.75" hidden="1" outlineLevel="1">
      <c r="A233" s="420"/>
      <c r="B233" s="421"/>
      <c r="C233" s="422"/>
      <c r="D233" s="423"/>
      <c r="E233" s="524"/>
      <c r="F233" s="422"/>
      <c r="G233" s="423"/>
      <c r="H233" s="424"/>
      <c r="I233" s="469"/>
      <c r="J233" s="460"/>
      <c r="K233" s="425"/>
      <c r="L233" s="430"/>
    </row>
    <row r="234" spans="1:12" s="427" customFormat="1" ht="12.75" hidden="1" outlineLevel="1">
      <c r="A234" s="420" t="s">
        <v>872</v>
      </c>
      <c r="B234" s="421" t="s">
        <v>873</v>
      </c>
      <c r="C234" s="428"/>
      <c r="D234" s="429" t="s">
        <v>815</v>
      </c>
      <c r="E234" s="524"/>
      <c r="F234" s="422"/>
      <c r="G234" s="423"/>
      <c r="H234" s="424"/>
      <c r="I234" s="469"/>
      <c r="J234" s="459">
        <f>SUM(J235:J236)</f>
        <v>0</v>
      </c>
      <c r="K234" s="425">
        <v>846620.75</v>
      </c>
      <c r="L234" s="430"/>
    </row>
    <row r="235" spans="1:12" s="427" customFormat="1" ht="12.75" hidden="1" outlineLevel="1">
      <c r="A235" s="420" t="s">
        <v>633</v>
      </c>
      <c r="B235" s="421"/>
      <c r="C235" s="422"/>
      <c r="D235" s="423"/>
      <c r="E235" s="524" t="s">
        <v>642</v>
      </c>
      <c r="F235" s="422" t="s">
        <v>351</v>
      </c>
      <c r="G235" s="423" t="s">
        <v>432</v>
      </c>
      <c r="H235" s="424">
        <v>1</v>
      </c>
      <c r="I235" s="469">
        <f>LOOKUP(E235,valoriz!$A$13:$A$242,valoriz!I$13:I$242)</f>
        <v>0</v>
      </c>
      <c r="J235" s="460">
        <f>ROUND(I235*H235,2)</f>
        <v>0</v>
      </c>
      <c r="K235" s="425"/>
      <c r="L235" s="430"/>
    </row>
    <row r="236" spans="1:12" s="427" customFormat="1" ht="12.75" hidden="1" outlineLevel="1">
      <c r="A236" s="420" t="s">
        <v>633</v>
      </c>
      <c r="B236" s="421"/>
      <c r="C236" s="422"/>
      <c r="D236" s="423"/>
      <c r="E236" s="524" t="s">
        <v>643</v>
      </c>
      <c r="F236" s="422" t="s">
        <v>350</v>
      </c>
      <c r="G236" s="423" t="s">
        <v>432</v>
      </c>
      <c r="H236" s="424">
        <v>1</v>
      </c>
      <c r="I236" s="469">
        <f>LOOKUP(E236,valoriz!$A$13:$A$242,valoriz!I$13:I$242)</f>
        <v>0</v>
      </c>
      <c r="J236" s="460">
        <f>ROUND(I236*H236,2)</f>
        <v>0</v>
      </c>
      <c r="K236" s="425"/>
      <c r="L236" s="430"/>
    </row>
    <row r="237" spans="1:12" s="427" customFormat="1" ht="12.75" hidden="1" outlineLevel="1">
      <c r="A237" s="420"/>
      <c r="B237" s="431"/>
      <c r="C237" s="432"/>
      <c r="D237" s="433"/>
      <c r="E237" s="525"/>
      <c r="F237" s="432"/>
      <c r="G237" s="433"/>
      <c r="H237" s="434"/>
      <c r="I237" s="470"/>
      <c r="J237" s="462"/>
      <c r="K237" s="425"/>
      <c r="L237" s="430"/>
    </row>
    <row r="238" spans="1:12" s="427" customFormat="1" ht="12.75" hidden="1" outlineLevel="1">
      <c r="A238" s="420"/>
      <c r="B238" s="421"/>
      <c r="C238" s="422"/>
      <c r="D238" s="423"/>
      <c r="E238" s="524"/>
      <c r="F238" s="422"/>
      <c r="G238" s="423"/>
      <c r="H238" s="424"/>
      <c r="I238" s="469"/>
      <c r="J238" s="460"/>
      <c r="K238" s="425"/>
      <c r="L238" s="430"/>
    </row>
    <row r="239" spans="1:12" s="427" customFormat="1" ht="12.75" hidden="1" outlineLevel="1">
      <c r="A239" s="420" t="s">
        <v>874</v>
      </c>
      <c r="B239" s="421" t="s">
        <v>875</v>
      </c>
      <c r="C239" s="428"/>
      <c r="D239" s="429" t="s">
        <v>436</v>
      </c>
      <c r="E239" s="527"/>
      <c r="F239" s="443"/>
      <c r="G239" s="444"/>
      <c r="H239" s="445"/>
      <c r="I239" s="471"/>
      <c r="J239" s="464">
        <f>SUM(J240:J241)</f>
        <v>0</v>
      </c>
      <c r="K239" s="425">
        <v>271748.71999999997</v>
      </c>
      <c r="L239" s="430"/>
    </row>
    <row r="240" spans="1:12" s="427" customFormat="1" ht="12.75" hidden="1" outlineLevel="1">
      <c r="A240" s="420" t="s">
        <v>633</v>
      </c>
      <c r="B240" s="421"/>
      <c r="C240" s="422"/>
      <c r="D240" s="423"/>
      <c r="E240" s="524" t="s">
        <v>642</v>
      </c>
      <c r="F240" s="422" t="s">
        <v>351</v>
      </c>
      <c r="G240" s="423" t="s">
        <v>432</v>
      </c>
      <c r="H240" s="424">
        <v>0.1</v>
      </c>
      <c r="I240" s="469">
        <f>LOOKUP(E240,valoriz!$A$13:$A$242,valoriz!I$13:I$242)</f>
        <v>0</v>
      </c>
      <c r="J240" s="460">
        <f>ROUND(I240*H240,2)</f>
        <v>0</v>
      </c>
      <c r="K240" s="425"/>
      <c r="L240" s="430"/>
    </row>
    <row r="241" spans="1:12" s="427" customFormat="1" ht="12.75" hidden="1" outlineLevel="1">
      <c r="A241" s="420" t="s">
        <v>633</v>
      </c>
      <c r="B241" s="421"/>
      <c r="C241" s="422"/>
      <c r="D241" s="423"/>
      <c r="E241" s="524" t="s">
        <v>643</v>
      </c>
      <c r="F241" s="422" t="s">
        <v>350</v>
      </c>
      <c r="G241" s="423" t="s">
        <v>432</v>
      </c>
      <c r="H241" s="424">
        <v>0.5</v>
      </c>
      <c r="I241" s="469">
        <f>LOOKUP(E241,valoriz!$A$13:$A$242,valoriz!I$13:I$242)</f>
        <v>0</v>
      </c>
      <c r="J241" s="460">
        <f>ROUND(I241*H241,2)</f>
        <v>0</v>
      </c>
      <c r="K241" s="425"/>
      <c r="L241" s="430"/>
    </row>
    <row r="242" spans="1:12" s="427" customFormat="1" ht="12.75" hidden="1" outlineLevel="2">
      <c r="A242" s="420"/>
      <c r="B242" s="421"/>
      <c r="C242" s="422"/>
      <c r="D242" s="423"/>
      <c r="E242" s="524"/>
      <c r="F242" s="422"/>
      <c r="G242" s="423"/>
      <c r="H242" s="424"/>
      <c r="I242" s="469"/>
      <c r="J242" s="460"/>
      <c r="K242" s="425"/>
      <c r="L242" s="430"/>
    </row>
    <row r="243" spans="1:12" s="427" customFormat="1" ht="12.75" hidden="1" outlineLevel="2">
      <c r="A243" s="420" t="s">
        <v>876</v>
      </c>
      <c r="B243" s="421"/>
      <c r="C243" s="422"/>
      <c r="D243" s="423"/>
      <c r="E243" s="524" t="s">
        <v>877</v>
      </c>
      <c r="F243" s="422" t="s">
        <v>815</v>
      </c>
      <c r="G243" s="423"/>
      <c r="H243" s="424"/>
      <c r="I243" s="469"/>
      <c r="J243" s="460"/>
      <c r="K243" s="425"/>
      <c r="L243" s="430"/>
    </row>
    <row r="244" spans="1:12" s="427" customFormat="1" ht="12.75" hidden="1" outlineLevel="2">
      <c r="A244" s="420" t="s">
        <v>633</v>
      </c>
      <c r="B244" s="421"/>
      <c r="C244" s="422"/>
      <c r="D244" s="423"/>
      <c r="E244" s="524" t="s">
        <v>642</v>
      </c>
      <c r="F244" s="422" t="s">
        <v>798</v>
      </c>
      <c r="G244" s="423"/>
      <c r="H244" s="424"/>
      <c r="I244" s="469"/>
      <c r="J244" s="460"/>
      <c r="K244" s="425"/>
      <c r="L244" s="430"/>
    </row>
    <row r="245" spans="1:12" s="427" customFormat="1" ht="12.75" hidden="1" outlineLevel="2">
      <c r="A245" s="420" t="s">
        <v>633</v>
      </c>
      <c r="B245" s="421"/>
      <c r="C245" s="422"/>
      <c r="D245" s="423"/>
      <c r="E245" s="524" t="s">
        <v>643</v>
      </c>
      <c r="F245" s="422" t="s">
        <v>799</v>
      </c>
      <c r="G245" s="423"/>
      <c r="H245" s="424"/>
      <c r="I245" s="469"/>
      <c r="J245" s="460"/>
      <c r="K245" s="425"/>
      <c r="L245" s="430"/>
    </row>
    <row r="246" spans="1:12" s="427" customFormat="1" ht="12.75" hidden="1" outlineLevel="2">
      <c r="A246" s="420"/>
      <c r="B246" s="431"/>
      <c r="C246" s="432"/>
      <c r="D246" s="433"/>
      <c r="E246" s="525"/>
      <c r="F246" s="432"/>
      <c r="G246" s="433"/>
      <c r="H246" s="434"/>
      <c r="I246" s="470"/>
      <c r="J246" s="462"/>
      <c r="K246" s="425"/>
      <c r="L246" s="430"/>
    </row>
    <row r="247" spans="1:12" s="427" customFormat="1" ht="12.75" hidden="1" outlineLevel="1" collapsed="1">
      <c r="A247" s="420"/>
      <c r="B247" s="421"/>
      <c r="C247" s="422"/>
      <c r="D247" s="423"/>
      <c r="E247" s="524"/>
      <c r="F247" s="422"/>
      <c r="G247" s="423"/>
      <c r="H247" s="424"/>
      <c r="I247" s="469"/>
      <c r="J247" s="460"/>
      <c r="K247" s="425"/>
      <c r="L247" s="430"/>
    </row>
    <row r="248" spans="1:12" s="427" customFormat="1" ht="12.75" hidden="1" outlineLevel="1">
      <c r="A248" s="420" t="s">
        <v>878</v>
      </c>
      <c r="B248" s="421" t="s">
        <v>879</v>
      </c>
      <c r="C248" s="428"/>
      <c r="D248" s="429" t="s">
        <v>436</v>
      </c>
      <c r="E248" s="524"/>
      <c r="F248" s="422"/>
      <c r="G248" s="423"/>
      <c r="H248" s="424"/>
      <c r="I248" s="469"/>
      <c r="J248" s="459">
        <f>SUM(J249:J250)</f>
        <v>0</v>
      </c>
      <c r="K248" s="425">
        <v>107811.37</v>
      </c>
      <c r="L248" s="430"/>
    </row>
    <row r="249" spans="1:12" s="427" customFormat="1" ht="12.75" hidden="1" outlineLevel="1">
      <c r="A249" s="420" t="s">
        <v>633</v>
      </c>
      <c r="B249" s="421"/>
      <c r="C249" s="422"/>
      <c r="D249" s="423"/>
      <c r="E249" s="524" t="s">
        <v>642</v>
      </c>
      <c r="F249" s="422" t="s">
        <v>351</v>
      </c>
      <c r="G249" s="423" t="s">
        <v>432</v>
      </c>
      <c r="H249" s="424">
        <v>0.05</v>
      </c>
      <c r="I249" s="469">
        <f>LOOKUP(E249,valoriz!$A$13:$A$242,valoriz!I$13:I$242)</f>
        <v>0</v>
      </c>
      <c r="J249" s="460">
        <f>ROUND(I249*H249,2)</f>
        <v>0</v>
      </c>
      <c r="K249" s="425"/>
      <c r="L249" s="430"/>
    </row>
    <row r="250" spans="1:12" s="427" customFormat="1" ht="12.75" hidden="1" outlineLevel="1">
      <c r="A250" s="420" t="s">
        <v>633</v>
      </c>
      <c r="B250" s="421"/>
      <c r="C250" s="422"/>
      <c r="D250" s="423"/>
      <c r="E250" s="524" t="s">
        <v>643</v>
      </c>
      <c r="F250" s="422" t="s">
        <v>350</v>
      </c>
      <c r="G250" s="423" t="s">
        <v>432</v>
      </c>
      <c r="H250" s="424">
        <v>0.19</v>
      </c>
      <c r="I250" s="469">
        <f>LOOKUP(E250,valoriz!$A$13:$A$242,valoriz!I$13:I$242)</f>
        <v>0</v>
      </c>
      <c r="J250" s="460">
        <f>ROUND(I250*H250,2)</f>
        <v>0</v>
      </c>
      <c r="K250" s="425"/>
      <c r="L250" s="430"/>
    </row>
    <row r="251" spans="1:12" s="427" customFormat="1" ht="12.75" hidden="1" outlineLevel="1">
      <c r="A251" s="420"/>
      <c r="B251" s="431"/>
      <c r="C251" s="432"/>
      <c r="D251" s="433"/>
      <c r="E251" s="525"/>
      <c r="F251" s="432"/>
      <c r="G251" s="433"/>
      <c r="H251" s="434"/>
      <c r="I251" s="470"/>
      <c r="J251" s="462"/>
      <c r="K251" s="425"/>
      <c r="L251" s="430"/>
    </row>
    <row r="252" spans="1:12" s="427" customFormat="1" ht="12.75" hidden="1" outlineLevel="1">
      <c r="A252" s="420"/>
      <c r="B252" s="421"/>
      <c r="C252" s="422"/>
      <c r="D252" s="423"/>
      <c r="E252" s="524"/>
      <c r="F252" s="422"/>
      <c r="G252" s="423"/>
      <c r="H252" s="424"/>
      <c r="I252" s="469"/>
      <c r="J252" s="460"/>
      <c r="K252" s="425"/>
      <c r="L252" s="430"/>
    </row>
    <row r="253" spans="1:12" s="427" customFormat="1" ht="12.75" hidden="1" outlineLevel="1">
      <c r="A253" s="420" t="s">
        <v>880</v>
      </c>
      <c r="B253" s="421" t="s">
        <v>881</v>
      </c>
      <c r="C253" s="428"/>
      <c r="D253" s="429" t="s">
        <v>436</v>
      </c>
      <c r="E253" s="524"/>
      <c r="F253" s="422"/>
      <c r="G253" s="423"/>
      <c r="H253" s="424"/>
      <c r="I253" s="469"/>
      <c r="J253" s="459">
        <f>SUM(J254:J255)</f>
        <v>0</v>
      </c>
      <c r="K253" s="425">
        <v>25713.26</v>
      </c>
      <c r="L253" s="430"/>
    </row>
    <row r="254" spans="1:12" s="427" customFormat="1" ht="12.75" hidden="1" outlineLevel="1">
      <c r="A254" s="420" t="s">
        <v>633</v>
      </c>
      <c r="B254" s="421"/>
      <c r="C254" s="422"/>
      <c r="D254" s="423"/>
      <c r="E254" s="524" t="s">
        <v>642</v>
      </c>
      <c r="F254" s="422" t="s">
        <v>351</v>
      </c>
      <c r="G254" s="423" t="s">
        <v>432</v>
      </c>
      <c r="H254" s="424">
        <v>0.01</v>
      </c>
      <c r="I254" s="469">
        <f>LOOKUP(E254,valoriz!$A$13:$A$242,valoriz!I$13:I$242)</f>
        <v>0</v>
      </c>
      <c r="J254" s="460">
        <f>ROUND(I254*H254,2)</f>
        <v>0</v>
      </c>
      <c r="K254" s="425"/>
      <c r="L254" s="430"/>
    </row>
    <row r="255" spans="1:12" s="427" customFormat="1" ht="12.75" hidden="1" outlineLevel="1">
      <c r="A255" s="420" t="s">
        <v>633</v>
      </c>
      <c r="B255" s="421"/>
      <c r="C255" s="422"/>
      <c r="D255" s="423"/>
      <c r="E255" s="524" t="s">
        <v>643</v>
      </c>
      <c r="F255" s="422" t="s">
        <v>350</v>
      </c>
      <c r="G255" s="423" t="s">
        <v>432</v>
      </c>
      <c r="H255" s="513">
        <v>4.6875E-2</v>
      </c>
      <c r="I255" s="469">
        <f>LOOKUP(E255,valoriz!$A$13:$A$242,valoriz!I$13:I$242)</f>
        <v>0</v>
      </c>
      <c r="J255" s="460">
        <f>ROUND(I255*H255,2)</f>
        <v>0</v>
      </c>
      <c r="K255" s="425"/>
      <c r="L255" s="430"/>
    </row>
    <row r="256" spans="1:12" s="427" customFormat="1" ht="12.75" hidden="1" outlineLevel="1">
      <c r="A256" s="420"/>
      <c r="B256" s="431"/>
      <c r="C256" s="432"/>
      <c r="D256" s="433"/>
      <c r="E256" s="525"/>
      <c r="F256" s="432"/>
      <c r="G256" s="433"/>
      <c r="H256" s="434"/>
      <c r="I256" s="470"/>
      <c r="J256" s="462"/>
      <c r="K256" s="425"/>
      <c r="L256" s="430"/>
    </row>
    <row r="257" spans="1:12" s="427" customFormat="1" ht="12.75" hidden="1" outlineLevel="1">
      <c r="A257" s="420" t="s">
        <v>882</v>
      </c>
      <c r="B257" s="421"/>
      <c r="C257" s="422"/>
      <c r="D257" s="423"/>
      <c r="E257" s="524" t="s">
        <v>883</v>
      </c>
      <c r="F257" s="422" t="s">
        <v>436</v>
      </c>
      <c r="G257" s="423"/>
      <c r="H257" s="424"/>
      <c r="I257" s="469"/>
      <c r="J257" s="460"/>
      <c r="K257" s="425"/>
      <c r="L257" s="430"/>
    </row>
    <row r="258" spans="1:12" s="427" customFormat="1" ht="12.75" hidden="1" outlineLevel="1">
      <c r="A258" s="420" t="s">
        <v>633</v>
      </c>
      <c r="B258" s="421"/>
      <c r="C258" s="422"/>
      <c r="D258" s="423"/>
      <c r="E258" s="524" t="s">
        <v>714</v>
      </c>
      <c r="F258" s="422" t="s">
        <v>652</v>
      </c>
      <c r="G258" s="423"/>
      <c r="H258" s="424">
        <v>300</v>
      </c>
      <c r="I258" s="469"/>
      <c r="J258" s="460"/>
      <c r="K258" s="425"/>
      <c r="L258" s="430"/>
    </row>
    <row r="259" spans="1:12" s="427" customFormat="1" ht="12.75" hidden="1" outlineLevel="1">
      <c r="A259" s="420"/>
      <c r="B259" s="421"/>
      <c r="C259" s="422"/>
      <c r="D259" s="423"/>
      <c r="E259" s="524"/>
      <c r="F259" s="422"/>
      <c r="G259" s="423"/>
      <c r="H259" s="424">
        <v>300</v>
      </c>
      <c r="I259" s="469"/>
      <c r="J259" s="460"/>
      <c r="K259" s="425"/>
      <c r="L259" s="430"/>
    </row>
    <row r="260" spans="1:12" s="427" customFormat="1" ht="12.75" hidden="1" outlineLevel="1">
      <c r="A260" s="420" t="s">
        <v>884</v>
      </c>
      <c r="B260" s="421"/>
      <c r="C260" s="422"/>
      <c r="D260" s="423"/>
      <c r="E260" s="524" t="s">
        <v>885</v>
      </c>
      <c r="F260" s="422" t="s">
        <v>863</v>
      </c>
      <c r="G260" s="423"/>
      <c r="H260" s="424"/>
      <c r="I260" s="469"/>
      <c r="J260" s="460"/>
      <c r="K260" s="425"/>
      <c r="L260" s="430"/>
    </row>
    <row r="261" spans="1:12" s="427" customFormat="1" ht="12.75" hidden="1" outlineLevel="1">
      <c r="A261" s="420" t="s">
        <v>633</v>
      </c>
      <c r="B261" s="421"/>
      <c r="C261" s="422"/>
      <c r="D261" s="423"/>
      <c r="E261" s="524" t="s">
        <v>636</v>
      </c>
      <c r="F261" s="422" t="s">
        <v>756</v>
      </c>
      <c r="G261" s="423"/>
      <c r="H261" s="424">
        <v>1199.796</v>
      </c>
      <c r="I261" s="469"/>
      <c r="J261" s="460"/>
      <c r="K261" s="425"/>
      <c r="L261" s="430"/>
    </row>
    <row r="262" spans="1:12" s="427" customFormat="1" ht="12.75" hidden="1" outlineLevel="1">
      <c r="A262" s="420" t="s">
        <v>633</v>
      </c>
      <c r="B262" s="421"/>
      <c r="C262" s="422"/>
      <c r="D262" s="423"/>
      <c r="E262" s="524" t="s">
        <v>636</v>
      </c>
      <c r="F262" s="422" t="s">
        <v>637</v>
      </c>
      <c r="G262" s="423"/>
      <c r="H262" s="424">
        <v>44.18</v>
      </c>
      <c r="I262" s="469"/>
      <c r="J262" s="460"/>
      <c r="K262" s="425"/>
      <c r="L262" s="430"/>
    </row>
    <row r="263" spans="1:12" s="427" customFormat="1" ht="12.75" hidden="1" outlineLevel="1">
      <c r="A263" s="420"/>
      <c r="B263" s="421"/>
      <c r="C263" s="422"/>
      <c r="D263" s="423"/>
      <c r="E263" s="524"/>
      <c r="F263" s="422"/>
      <c r="G263" s="423"/>
      <c r="H263" s="424">
        <v>1243.9760000000001</v>
      </c>
      <c r="I263" s="469"/>
      <c r="J263" s="460"/>
      <c r="K263" s="425"/>
      <c r="L263" s="430"/>
    </row>
    <row r="264" spans="1:12" s="427" customFormat="1" ht="12.75" hidden="1" outlineLevel="1">
      <c r="A264" s="420" t="s">
        <v>886</v>
      </c>
      <c r="B264" s="421"/>
      <c r="C264" s="422"/>
      <c r="D264" s="423"/>
      <c r="E264" s="524" t="s">
        <v>887</v>
      </c>
      <c r="F264" s="422" t="s">
        <v>434</v>
      </c>
      <c r="G264" s="423"/>
      <c r="H264" s="424"/>
      <c r="I264" s="469"/>
      <c r="J264" s="460"/>
      <c r="K264" s="425"/>
      <c r="L264" s="430"/>
    </row>
    <row r="265" spans="1:12" s="427" customFormat="1" ht="12.75" hidden="1" outlineLevel="1">
      <c r="A265" s="420" t="s">
        <v>633</v>
      </c>
      <c r="B265" s="421"/>
      <c r="C265" s="422"/>
      <c r="D265" s="423"/>
      <c r="E265" s="524" t="s">
        <v>684</v>
      </c>
      <c r="F265" s="422" t="s">
        <v>771</v>
      </c>
      <c r="G265" s="423"/>
      <c r="H265" s="424">
        <v>1618.93469</v>
      </c>
      <c r="I265" s="469"/>
      <c r="J265" s="460"/>
      <c r="K265" s="425"/>
      <c r="L265" s="430"/>
    </row>
    <row r="266" spans="1:12" s="427" customFormat="1" ht="12.75" hidden="1" outlineLevel="1">
      <c r="A266" s="420"/>
      <c r="B266" s="421"/>
      <c r="C266" s="422"/>
      <c r="D266" s="423"/>
      <c r="E266" s="524"/>
      <c r="F266" s="422"/>
      <c r="G266" s="423"/>
      <c r="H266" s="424">
        <v>1618.93469</v>
      </c>
      <c r="I266" s="469"/>
      <c r="J266" s="460"/>
      <c r="K266" s="425"/>
      <c r="L266" s="430"/>
    </row>
    <row r="267" spans="1:12" s="427" customFormat="1" ht="12.75" hidden="1" outlineLevel="1">
      <c r="A267" s="420" t="s">
        <v>888</v>
      </c>
      <c r="B267" s="421"/>
      <c r="C267" s="422"/>
      <c r="D267" s="423"/>
      <c r="E267" s="524" t="s">
        <v>889</v>
      </c>
      <c r="F267" s="422" t="s">
        <v>890</v>
      </c>
      <c r="G267" s="423"/>
      <c r="H267" s="424"/>
      <c r="I267" s="469"/>
      <c r="J267" s="460"/>
      <c r="K267" s="425"/>
      <c r="L267" s="430"/>
    </row>
    <row r="268" spans="1:12" s="427" customFormat="1" ht="12.75" hidden="1" outlineLevel="1">
      <c r="A268" s="420" t="s">
        <v>633</v>
      </c>
      <c r="B268" s="421"/>
      <c r="C268" s="422"/>
      <c r="D268" s="423"/>
      <c r="E268" s="524" t="s">
        <v>765</v>
      </c>
      <c r="F268" s="422" t="s">
        <v>766</v>
      </c>
      <c r="G268" s="423"/>
      <c r="H268" s="424">
        <v>37200</v>
      </c>
      <c r="I268" s="469"/>
      <c r="J268" s="460"/>
      <c r="K268" s="425"/>
      <c r="L268" s="430"/>
    </row>
    <row r="269" spans="1:12" s="427" customFormat="1" ht="12.75" hidden="1" outlineLevel="1">
      <c r="A269" s="420" t="s">
        <v>633</v>
      </c>
      <c r="B269" s="421"/>
      <c r="C269" s="422"/>
      <c r="D269" s="423"/>
      <c r="E269" s="524" t="s">
        <v>791</v>
      </c>
      <c r="F269" s="422" t="s">
        <v>792</v>
      </c>
      <c r="G269" s="423"/>
      <c r="H269" s="424">
        <v>24000</v>
      </c>
      <c r="I269" s="469"/>
      <c r="J269" s="460"/>
      <c r="K269" s="425"/>
      <c r="L269" s="430"/>
    </row>
    <row r="270" spans="1:12" s="427" customFormat="1" ht="12.75" hidden="1" outlineLevel="1">
      <c r="A270" s="420"/>
      <c r="B270" s="421"/>
      <c r="C270" s="422"/>
      <c r="D270" s="423"/>
      <c r="E270" s="524"/>
      <c r="F270" s="422"/>
      <c r="G270" s="423"/>
      <c r="H270" s="424">
        <v>61200</v>
      </c>
      <c r="I270" s="469"/>
      <c r="J270" s="460"/>
      <c r="K270" s="425"/>
      <c r="L270" s="430"/>
    </row>
    <row r="271" spans="1:12" s="427" customFormat="1" ht="12.75" hidden="1" outlineLevel="1">
      <c r="A271" s="420" t="s">
        <v>891</v>
      </c>
      <c r="B271" s="421"/>
      <c r="C271" s="422"/>
      <c r="D271" s="423"/>
      <c r="E271" s="524" t="s">
        <v>892</v>
      </c>
      <c r="F271" s="422" t="s">
        <v>815</v>
      </c>
      <c r="G271" s="423"/>
      <c r="H271" s="424"/>
      <c r="I271" s="469"/>
      <c r="J271" s="460"/>
      <c r="K271" s="425"/>
      <c r="L271" s="430"/>
    </row>
    <row r="272" spans="1:12" s="427" customFormat="1" ht="12.75" hidden="1" outlineLevel="1">
      <c r="A272" s="420" t="s">
        <v>633</v>
      </c>
      <c r="B272" s="421"/>
      <c r="C272" s="422"/>
      <c r="D272" s="423"/>
      <c r="E272" s="524" t="s">
        <v>699</v>
      </c>
      <c r="F272" s="422" t="s">
        <v>778</v>
      </c>
      <c r="G272" s="423"/>
      <c r="H272" s="424">
        <v>901.72816999999998</v>
      </c>
      <c r="I272" s="469"/>
      <c r="J272" s="460"/>
      <c r="K272" s="425"/>
      <c r="L272" s="430"/>
    </row>
    <row r="273" spans="1:12" s="427" customFormat="1" ht="12.75" hidden="1" outlineLevel="1">
      <c r="A273" s="420"/>
      <c r="B273" s="421"/>
      <c r="C273" s="422"/>
      <c r="D273" s="423"/>
      <c r="E273" s="524"/>
      <c r="F273" s="422"/>
      <c r="G273" s="423"/>
      <c r="H273" s="424">
        <v>901.72816999999998</v>
      </c>
      <c r="I273" s="469"/>
      <c r="J273" s="460"/>
      <c r="K273" s="425"/>
      <c r="L273" s="430"/>
    </row>
    <row r="274" spans="1:12" s="427" customFormat="1" ht="12.75" hidden="1" outlineLevel="1">
      <c r="A274" s="420" t="s">
        <v>893</v>
      </c>
      <c r="B274" s="421"/>
      <c r="C274" s="422"/>
      <c r="D274" s="423"/>
      <c r="E274" s="524" t="s">
        <v>894</v>
      </c>
      <c r="F274" s="422" t="s">
        <v>856</v>
      </c>
      <c r="G274" s="423"/>
      <c r="H274" s="424"/>
      <c r="I274" s="469"/>
      <c r="J274" s="460"/>
      <c r="K274" s="425"/>
      <c r="L274" s="430"/>
    </row>
    <row r="275" spans="1:12" s="427" customFormat="1" ht="12.75" hidden="1" outlineLevel="1">
      <c r="A275" s="420" t="s">
        <v>633</v>
      </c>
      <c r="B275" s="421"/>
      <c r="C275" s="422"/>
      <c r="D275" s="423"/>
      <c r="E275" s="524" t="s">
        <v>707</v>
      </c>
      <c r="F275" s="422" t="s">
        <v>708</v>
      </c>
      <c r="G275" s="423"/>
      <c r="H275" s="424">
        <v>1.125</v>
      </c>
      <c r="I275" s="469"/>
      <c r="J275" s="460"/>
      <c r="K275" s="425"/>
      <c r="L275" s="430"/>
    </row>
    <row r="276" spans="1:12" s="427" customFormat="1" ht="12.75" hidden="1" outlineLevel="1">
      <c r="A276" s="420" t="s">
        <v>633</v>
      </c>
      <c r="B276" s="421"/>
      <c r="C276" s="422"/>
      <c r="D276" s="423"/>
      <c r="E276" s="524" t="s">
        <v>709</v>
      </c>
      <c r="F276" s="422" t="s">
        <v>797</v>
      </c>
      <c r="G276" s="423"/>
      <c r="H276" s="424">
        <v>2.4462000000000002</v>
      </c>
      <c r="I276" s="469"/>
      <c r="J276" s="460"/>
      <c r="K276" s="425"/>
      <c r="L276" s="430"/>
    </row>
    <row r="277" spans="1:12" s="427" customFormat="1" ht="12.75" hidden="1" outlineLevel="1">
      <c r="A277" s="420" t="s">
        <v>633</v>
      </c>
      <c r="B277" s="421"/>
      <c r="C277" s="422"/>
      <c r="D277" s="423"/>
      <c r="E277" s="524" t="s">
        <v>709</v>
      </c>
      <c r="F277" s="422" t="s">
        <v>708</v>
      </c>
      <c r="G277" s="423"/>
      <c r="H277" s="424">
        <v>0.30199999999999999</v>
      </c>
      <c r="I277" s="469"/>
      <c r="J277" s="460"/>
      <c r="K277" s="425"/>
      <c r="L277" s="430"/>
    </row>
    <row r="278" spans="1:12" s="427" customFormat="1" ht="12.75" hidden="1" outlineLevel="1">
      <c r="A278" s="420" t="s">
        <v>633</v>
      </c>
      <c r="B278" s="421"/>
      <c r="C278" s="422"/>
      <c r="D278" s="423"/>
      <c r="E278" s="524" t="s">
        <v>710</v>
      </c>
      <c r="F278" s="422" t="s">
        <v>797</v>
      </c>
      <c r="G278" s="423"/>
      <c r="H278" s="424">
        <v>0.3483</v>
      </c>
      <c r="I278" s="469"/>
      <c r="J278" s="460"/>
      <c r="K278" s="425"/>
      <c r="L278" s="430"/>
    </row>
    <row r="279" spans="1:12" s="427" customFormat="1" ht="12.75" hidden="1" outlineLevel="1">
      <c r="A279" s="420" t="s">
        <v>633</v>
      </c>
      <c r="B279" s="421"/>
      <c r="C279" s="422"/>
      <c r="D279" s="423"/>
      <c r="E279" s="524" t="s">
        <v>710</v>
      </c>
      <c r="F279" s="422" t="s">
        <v>708</v>
      </c>
      <c r="G279" s="423"/>
      <c r="H279" s="424">
        <v>0.17199999999999999</v>
      </c>
      <c r="I279" s="469"/>
      <c r="J279" s="460"/>
      <c r="K279" s="425"/>
      <c r="L279" s="430"/>
    </row>
    <row r="280" spans="1:12" s="427" customFormat="1" ht="12.75" hidden="1" outlineLevel="1">
      <c r="A280" s="420" t="s">
        <v>633</v>
      </c>
      <c r="B280" s="421"/>
      <c r="C280" s="422"/>
      <c r="D280" s="423"/>
      <c r="E280" s="524" t="s">
        <v>783</v>
      </c>
      <c r="F280" s="422" t="s">
        <v>708</v>
      </c>
      <c r="G280" s="423"/>
      <c r="H280" s="424">
        <v>1.3682000000000003</v>
      </c>
      <c r="I280" s="469"/>
      <c r="J280" s="460"/>
      <c r="K280" s="425"/>
      <c r="L280" s="430"/>
    </row>
    <row r="281" spans="1:12" s="427" customFormat="1" ht="12.75" hidden="1" outlineLevel="1">
      <c r="A281" s="420" t="s">
        <v>633</v>
      </c>
      <c r="B281" s="421"/>
      <c r="C281" s="422"/>
      <c r="D281" s="423"/>
      <c r="E281" s="524" t="s">
        <v>713</v>
      </c>
      <c r="F281" s="422" t="s">
        <v>708</v>
      </c>
      <c r="G281" s="423"/>
      <c r="H281" s="424">
        <v>12.34</v>
      </c>
      <c r="I281" s="469"/>
      <c r="J281" s="460"/>
      <c r="K281" s="425"/>
      <c r="L281" s="430"/>
    </row>
    <row r="282" spans="1:12" s="427" customFormat="1" ht="12.75" hidden="1" outlineLevel="1">
      <c r="A282" s="420"/>
      <c r="B282" s="421"/>
      <c r="C282" s="422"/>
      <c r="D282" s="423"/>
      <c r="E282" s="524"/>
      <c r="F282" s="422"/>
      <c r="G282" s="423"/>
      <c r="H282" s="424">
        <v>18.101700000000001</v>
      </c>
      <c r="I282" s="469"/>
      <c r="J282" s="460"/>
      <c r="K282" s="425"/>
      <c r="L282" s="430"/>
    </row>
    <row r="283" spans="1:12" s="427" customFormat="1" ht="12.75" hidden="1" outlineLevel="1">
      <c r="A283" s="420" t="s">
        <v>895</v>
      </c>
      <c r="B283" s="421"/>
      <c r="C283" s="422"/>
      <c r="D283" s="423"/>
      <c r="E283" s="524" t="s">
        <v>896</v>
      </c>
      <c r="F283" s="422" t="s">
        <v>436</v>
      </c>
      <c r="G283" s="423"/>
      <c r="H283" s="424"/>
      <c r="I283" s="469"/>
      <c r="J283" s="460"/>
      <c r="K283" s="425"/>
      <c r="L283" s="430"/>
    </row>
    <row r="284" spans="1:12" s="427" customFormat="1" ht="12.75" hidden="1" outlineLevel="1">
      <c r="A284" s="420" t="s">
        <v>633</v>
      </c>
      <c r="B284" s="421"/>
      <c r="C284" s="422"/>
      <c r="D284" s="423"/>
      <c r="E284" s="524" t="s">
        <v>765</v>
      </c>
      <c r="F284" s="422" t="s">
        <v>766</v>
      </c>
      <c r="G284" s="423"/>
      <c r="H284" s="424">
        <v>14.88</v>
      </c>
      <c r="I284" s="469"/>
      <c r="J284" s="460"/>
      <c r="K284" s="425"/>
      <c r="L284" s="430"/>
    </row>
    <row r="285" spans="1:12" s="427" customFormat="1" ht="12.75" hidden="1" outlineLevel="1">
      <c r="A285" s="420" t="s">
        <v>633</v>
      </c>
      <c r="B285" s="421"/>
      <c r="C285" s="422"/>
      <c r="D285" s="423"/>
      <c r="E285" s="524" t="s">
        <v>677</v>
      </c>
      <c r="F285" s="422" t="s">
        <v>767</v>
      </c>
      <c r="G285" s="423"/>
      <c r="H285" s="424">
        <v>86</v>
      </c>
      <c r="I285" s="469"/>
      <c r="J285" s="460"/>
      <c r="K285" s="425"/>
      <c r="L285" s="430"/>
    </row>
    <row r="286" spans="1:12" s="427" customFormat="1" ht="12.75" hidden="1" outlineLevel="1">
      <c r="A286" s="420" t="s">
        <v>633</v>
      </c>
      <c r="B286" s="421"/>
      <c r="C286" s="422"/>
      <c r="D286" s="423"/>
      <c r="E286" s="524" t="s">
        <v>677</v>
      </c>
      <c r="F286" s="422" t="s">
        <v>768</v>
      </c>
      <c r="G286" s="423"/>
      <c r="H286" s="424">
        <v>335.4</v>
      </c>
      <c r="I286" s="469"/>
      <c r="J286" s="460"/>
      <c r="K286" s="425"/>
      <c r="L286" s="430"/>
    </row>
    <row r="287" spans="1:12" s="427" customFormat="1" ht="12.75" hidden="1" outlineLevel="1">
      <c r="A287" s="420" t="s">
        <v>633</v>
      </c>
      <c r="B287" s="421"/>
      <c r="C287" s="422"/>
      <c r="D287" s="423"/>
      <c r="E287" s="524" t="s">
        <v>709</v>
      </c>
      <c r="F287" s="422" t="s">
        <v>708</v>
      </c>
      <c r="G287" s="423"/>
      <c r="H287" s="424">
        <v>25.518999999999995</v>
      </c>
      <c r="I287" s="469"/>
      <c r="J287" s="460"/>
      <c r="K287" s="425"/>
      <c r="L287" s="430"/>
    </row>
    <row r="288" spans="1:12" s="427" customFormat="1" ht="12.75" hidden="1" outlineLevel="1">
      <c r="A288" s="420" t="s">
        <v>633</v>
      </c>
      <c r="B288" s="421"/>
      <c r="C288" s="422"/>
      <c r="D288" s="423"/>
      <c r="E288" s="524" t="s">
        <v>710</v>
      </c>
      <c r="F288" s="422" t="s">
        <v>708</v>
      </c>
      <c r="G288" s="423"/>
      <c r="H288" s="424">
        <v>3.6549999999999998</v>
      </c>
      <c r="I288" s="469"/>
      <c r="J288" s="460"/>
      <c r="K288" s="425"/>
      <c r="L288" s="430"/>
    </row>
    <row r="289" spans="1:12" s="427" customFormat="1" ht="12.75" hidden="1" outlineLevel="1">
      <c r="A289" s="420" t="s">
        <v>633</v>
      </c>
      <c r="B289" s="421"/>
      <c r="C289" s="422"/>
      <c r="D289" s="423"/>
      <c r="E289" s="524" t="s">
        <v>783</v>
      </c>
      <c r="F289" s="422" t="s">
        <v>708</v>
      </c>
      <c r="G289" s="423"/>
      <c r="H289" s="424">
        <v>68.41</v>
      </c>
      <c r="I289" s="469"/>
      <c r="J289" s="460"/>
      <c r="K289" s="425"/>
      <c r="L289" s="430"/>
    </row>
    <row r="290" spans="1:12" s="427" customFormat="1" ht="12.75" hidden="1" outlineLevel="1">
      <c r="A290" s="420" t="s">
        <v>633</v>
      </c>
      <c r="B290" s="421"/>
      <c r="C290" s="422"/>
      <c r="D290" s="423"/>
      <c r="E290" s="524" t="s">
        <v>784</v>
      </c>
      <c r="F290" s="422" t="s">
        <v>708</v>
      </c>
      <c r="G290" s="423"/>
      <c r="H290" s="424">
        <v>277.27499999999998</v>
      </c>
      <c r="I290" s="469"/>
      <c r="J290" s="460"/>
      <c r="K290" s="425"/>
      <c r="L290" s="430"/>
    </row>
    <row r="291" spans="1:12" s="427" customFormat="1" ht="12.75" hidden="1" outlineLevel="1">
      <c r="A291" s="420"/>
      <c r="B291" s="421"/>
      <c r="C291" s="422"/>
      <c r="D291" s="423"/>
      <c r="E291" s="524"/>
      <c r="F291" s="422"/>
      <c r="G291" s="423"/>
      <c r="H291" s="424">
        <v>811.1389999999999</v>
      </c>
      <c r="I291" s="469"/>
      <c r="J291" s="460"/>
      <c r="K291" s="425"/>
      <c r="L291" s="430"/>
    </row>
    <row r="292" spans="1:12" s="427" customFormat="1" ht="12.75" hidden="1" outlineLevel="1">
      <c r="A292" s="420" t="s">
        <v>897</v>
      </c>
      <c r="B292" s="421"/>
      <c r="C292" s="422"/>
      <c r="D292" s="423"/>
      <c r="E292" s="524" t="s">
        <v>898</v>
      </c>
      <c r="F292" s="422" t="s">
        <v>815</v>
      </c>
      <c r="G292" s="423"/>
      <c r="H292" s="424"/>
      <c r="I292" s="469"/>
      <c r="J292" s="460"/>
      <c r="K292" s="425"/>
      <c r="L292" s="430"/>
    </row>
    <row r="293" spans="1:12" s="427" customFormat="1" ht="12.75" hidden="1" outlineLevel="1">
      <c r="A293" s="420" t="s">
        <v>633</v>
      </c>
      <c r="B293" s="421"/>
      <c r="C293" s="422"/>
      <c r="D293" s="423"/>
      <c r="E293" s="524" t="s">
        <v>642</v>
      </c>
      <c r="F293" s="422" t="s">
        <v>798</v>
      </c>
      <c r="G293" s="423"/>
      <c r="H293" s="424">
        <v>151.56164999999999</v>
      </c>
      <c r="I293" s="469"/>
      <c r="J293" s="460"/>
      <c r="K293" s="425"/>
      <c r="L293" s="430"/>
    </row>
    <row r="294" spans="1:12" s="427" customFormat="1" ht="12.75" hidden="1" outlineLevel="1">
      <c r="A294" s="420" t="s">
        <v>633</v>
      </c>
      <c r="B294" s="421"/>
      <c r="C294" s="422"/>
      <c r="D294" s="423"/>
      <c r="E294" s="524" t="s">
        <v>643</v>
      </c>
      <c r="F294" s="422" t="s">
        <v>799</v>
      </c>
      <c r="G294" s="423"/>
      <c r="H294" s="424">
        <v>1490.8467300000002</v>
      </c>
      <c r="I294" s="469"/>
      <c r="J294" s="460"/>
      <c r="K294" s="425"/>
      <c r="L294" s="430"/>
    </row>
    <row r="295" spans="1:12" s="427" customFormat="1" ht="12.75" hidden="1" outlineLevel="1">
      <c r="A295" s="420"/>
      <c r="B295" s="421"/>
      <c r="C295" s="422"/>
      <c r="D295" s="423"/>
      <c r="E295" s="524"/>
      <c r="F295" s="422"/>
      <c r="G295" s="423"/>
      <c r="H295" s="424">
        <v>1642.4083800000003</v>
      </c>
      <c r="I295" s="469"/>
      <c r="J295" s="460"/>
      <c r="K295" s="425"/>
      <c r="L295" s="430"/>
    </row>
    <row r="296" spans="1:12" s="427" customFormat="1" ht="12.75" hidden="1" outlineLevel="1">
      <c r="A296" s="420" t="s">
        <v>899</v>
      </c>
      <c r="B296" s="421"/>
      <c r="C296" s="422"/>
      <c r="D296" s="423"/>
      <c r="E296" s="524" t="s">
        <v>900</v>
      </c>
      <c r="F296" s="422" t="s">
        <v>815</v>
      </c>
      <c r="G296" s="423"/>
      <c r="H296" s="424"/>
      <c r="I296" s="469"/>
      <c r="J296" s="460"/>
      <c r="K296" s="425"/>
      <c r="L296" s="430"/>
    </row>
    <row r="297" spans="1:12" s="427" customFormat="1" ht="12.75" hidden="1" outlineLevel="1">
      <c r="A297" s="420" t="s">
        <v>633</v>
      </c>
      <c r="B297" s="421"/>
      <c r="C297" s="422"/>
      <c r="D297" s="423"/>
      <c r="E297" s="524" t="s">
        <v>642</v>
      </c>
      <c r="F297" s="422" t="s">
        <v>757</v>
      </c>
      <c r="G297" s="423"/>
      <c r="H297" s="424">
        <v>1250.38363</v>
      </c>
      <c r="I297" s="469"/>
      <c r="J297" s="460"/>
      <c r="K297" s="425"/>
      <c r="L297" s="430"/>
    </row>
    <row r="298" spans="1:12" s="427" customFormat="1" ht="12.75" hidden="1" outlineLevel="1">
      <c r="A298" s="420"/>
      <c r="B298" s="421"/>
      <c r="C298" s="422"/>
      <c r="D298" s="423"/>
      <c r="E298" s="524"/>
      <c r="F298" s="422"/>
      <c r="G298" s="423"/>
      <c r="H298" s="424">
        <v>1250.38363</v>
      </c>
      <c r="I298" s="469"/>
      <c r="J298" s="460"/>
      <c r="K298" s="425"/>
      <c r="L298" s="430"/>
    </row>
    <row r="299" spans="1:12" s="427" customFormat="1" ht="12.75" hidden="1" outlineLevel="1">
      <c r="A299" s="420" t="s">
        <v>901</v>
      </c>
      <c r="B299" s="421"/>
      <c r="C299" s="422"/>
      <c r="D299" s="423"/>
      <c r="E299" s="524" t="s">
        <v>902</v>
      </c>
      <c r="F299" s="422" t="s">
        <v>815</v>
      </c>
      <c r="G299" s="423"/>
      <c r="H299" s="424"/>
      <c r="I299" s="469"/>
      <c r="J299" s="460"/>
      <c r="K299" s="425"/>
      <c r="L299" s="430"/>
    </row>
    <row r="300" spans="1:12" s="427" customFormat="1" ht="12.75" hidden="1" outlineLevel="1">
      <c r="A300" s="420" t="s">
        <v>633</v>
      </c>
      <c r="B300" s="421"/>
      <c r="C300" s="422"/>
      <c r="D300" s="423"/>
      <c r="E300" s="524" t="s">
        <v>643</v>
      </c>
      <c r="F300" s="422" t="s">
        <v>758</v>
      </c>
      <c r="G300" s="423"/>
      <c r="H300" s="424">
        <v>93.54331999999998</v>
      </c>
      <c r="I300" s="469"/>
      <c r="J300" s="460"/>
      <c r="K300" s="425"/>
      <c r="L300" s="430"/>
    </row>
    <row r="301" spans="1:12" s="427" customFormat="1" ht="12.75" hidden="1" outlineLevel="1">
      <c r="A301" s="420"/>
      <c r="B301" s="421"/>
      <c r="C301" s="422"/>
      <c r="D301" s="423"/>
      <c r="E301" s="524"/>
      <c r="F301" s="422"/>
      <c r="G301" s="423"/>
      <c r="H301" s="424">
        <v>93.54331999999998</v>
      </c>
      <c r="I301" s="469"/>
      <c r="J301" s="460"/>
      <c r="K301" s="425"/>
      <c r="L301" s="430"/>
    </row>
    <row r="302" spans="1:12" s="427" customFormat="1" ht="12.75" hidden="1" outlineLevel="1">
      <c r="A302" s="420" t="s">
        <v>903</v>
      </c>
      <c r="B302" s="421"/>
      <c r="C302" s="422"/>
      <c r="D302" s="423"/>
      <c r="E302" s="524" t="s">
        <v>904</v>
      </c>
      <c r="F302" s="422" t="s">
        <v>815</v>
      </c>
      <c r="G302" s="423"/>
      <c r="H302" s="424"/>
      <c r="I302" s="469"/>
      <c r="J302" s="460"/>
      <c r="K302" s="425"/>
      <c r="L302" s="430"/>
    </row>
    <row r="303" spans="1:12" s="427" customFormat="1" ht="12.75" hidden="1" outlineLevel="1">
      <c r="A303" s="420" t="s">
        <v>633</v>
      </c>
      <c r="B303" s="421"/>
      <c r="C303" s="422"/>
      <c r="D303" s="423"/>
      <c r="E303" s="524" t="s">
        <v>643</v>
      </c>
      <c r="F303" s="422" t="s">
        <v>758</v>
      </c>
      <c r="G303" s="423"/>
      <c r="H303" s="424">
        <v>93.54331999999998</v>
      </c>
      <c r="I303" s="469"/>
      <c r="J303" s="460"/>
      <c r="K303" s="425"/>
      <c r="L303" s="430"/>
    </row>
    <row r="304" spans="1:12" s="427" customFormat="1" ht="12.75" hidden="1" outlineLevel="1">
      <c r="A304" s="420"/>
      <c r="B304" s="421"/>
      <c r="C304" s="422"/>
      <c r="D304" s="423"/>
      <c r="E304" s="524"/>
      <c r="F304" s="422"/>
      <c r="G304" s="423"/>
      <c r="H304" s="424">
        <v>93.54331999999998</v>
      </c>
      <c r="I304" s="469"/>
      <c r="J304" s="460"/>
      <c r="K304" s="425"/>
      <c r="L304" s="430"/>
    </row>
    <row r="305" spans="1:12" s="427" customFormat="1" ht="12.75" hidden="1" outlineLevel="1">
      <c r="A305" s="420" t="s">
        <v>905</v>
      </c>
      <c r="B305" s="421"/>
      <c r="C305" s="422"/>
      <c r="D305" s="423"/>
      <c r="E305" s="524" t="s">
        <v>906</v>
      </c>
      <c r="F305" s="422" t="s">
        <v>815</v>
      </c>
      <c r="G305" s="423"/>
      <c r="H305" s="424"/>
      <c r="I305" s="469"/>
      <c r="J305" s="460"/>
      <c r="K305" s="425"/>
      <c r="L305" s="430"/>
    </row>
    <row r="306" spans="1:12" s="427" customFormat="1" ht="12.75" hidden="1" outlineLevel="1">
      <c r="A306" s="420" t="s">
        <v>633</v>
      </c>
      <c r="B306" s="421"/>
      <c r="C306" s="422"/>
      <c r="D306" s="423"/>
      <c r="E306" s="524" t="s">
        <v>643</v>
      </c>
      <c r="F306" s="422" t="s">
        <v>758</v>
      </c>
      <c r="G306" s="423"/>
      <c r="H306" s="424">
        <v>93.54331999999998</v>
      </c>
      <c r="I306" s="469"/>
      <c r="J306" s="460"/>
      <c r="K306" s="425"/>
      <c r="L306" s="430"/>
    </row>
    <row r="307" spans="1:12" s="427" customFormat="1" ht="12.75" hidden="1" outlineLevel="1">
      <c r="A307" s="420"/>
      <c r="B307" s="421"/>
      <c r="C307" s="422"/>
      <c r="D307" s="423"/>
      <c r="E307" s="524"/>
      <c r="F307" s="422"/>
      <c r="G307" s="423"/>
      <c r="H307" s="424">
        <v>93.54331999999998</v>
      </c>
      <c r="I307" s="469"/>
      <c r="J307" s="460"/>
      <c r="K307" s="425"/>
      <c r="L307" s="430"/>
    </row>
    <row r="308" spans="1:12" s="427" customFormat="1" ht="12.75" hidden="1" outlineLevel="1">
      <c r="A308" s="420" t="s">
        <v>907</v>
      </c>
      <c r="B308" s="421"/>
      <c r="C308" s="422"/>
      <c r="D308" s="423"/>
      <c r="E308" s="524" t="s">
        <v>908</v>
      </c>
      <c r="F308" s="422" t="s">
        <v>856</v>
      </c>
      <c r="G308" s="423"/>
      <c r="H308" s="424"/>
      <c r="I308" s="469"/>
      <c r="J308" s="460"/>
      <c r="K308" s="425"/>
      <c r="L308" s="430"/>
    </row>
    <row r="309" spans="1:12" s="427" customFormat="1" ht="12.75" hidden="1" outlineLevel="1">
      <c r="A309" s="420" t="s">
        <v>633</v>
      </c>
      <c r="B309" s="421"/>
      <c r="C309" s="422"/>
      <c r="D309" s="423"/>
      <c r="E309" s="524" t="s">
        <v>636</v>
      </c>
      <c r="F309" s="422" t="s">
        <v>759</v>
      </c>
      <c r="G309" s="423"/>
      <c r="H309" s="424">
        <v>0.14491999999999999</v>
      </c>
      <c r="I309" s="469"/>
      <c r="J309" s="460"/>
      <c r="K309" s="425"/>
      <c r="L309" s="430"/>
    </row>
    <row r="310" spans="1:12" s="427" customFormat="1" ht="12.75" hidden="1" outlineLevel="1">
      <c r="A310" s="420" t="s">
        <v>633</v>
      </c>
      <c r="B310" s="421"/>
      <c r="C310" s="422"/>
      <c r="D310" s="423"/>
      <c r="E310" s="524" t="s">
        <v>653</v>
      </c>
      <c r="F310" s="422" t="s">
        <v>788</v>
      </c>
      <c r="G310" s="423"/>
      <c r="H310" s="424">
        <v>19.835419999999999</v>
      </c>
      <c r="I310" s="469"/>
      <c r="J310" s="460"/>
      <c r="K310" s="425"/>
      <c r="L310" s="430"/>
    </row>
    <row r="311" spans="1:12" s="427" customFormat="1" ht="12.75" hidden="1" outlineLevel="1">
      <c r="A311" s="420" t="s">
        <v>633</v>
      </c>
      <c r="B311" s="421"/>
      <c r="C311" s="422"/>
      <c r="D311" s="423"/>
      <c r="E311" s="524" t="s">
        <v>659</v>
      </c>
      <c r="F311" s="422" t="s">
        <v>660</v>
      </c>
      <c r="G311" s="423"/>
      <c r="H311" s="424">
        <v>137.1456</v>
      </c>
      <c r="I311" s="469"/>
      <c r="J311" s="460"/>
      <c r="K311" s="425"/>
      <c r="L311" s="430"/>
    </row>
    <row r="312" spans="1:12" s="427" customFormat="1" ht="12.75" hidden="1" outlineLevel="1">
      <c r="A312" s="420" t="s">
        <v>633</v>
      </c>
      <c r="B312" s="421"/>
      <c r="C312" s="422"/>
      <c r="D312" s="423"/>
      <c r="E312" s="524" t="s">
        <v>667</v>
      </c>
      <c r="F312" s="422" t="s">
        <v>788</v>
      </c>
      <c r="G312" s="423"/>
      <c r="H312" s="424">
        <v>237.42936</v>
      </c>
      <c r="I312" s="469"/>
      <c r="J312" s="460"/>
      <c r="K312" s="425"/>
      <c r="L312" s="430"/>
    </row>
    <row r="313" spans="1:12" s="427" customFormat="1" ht="12.75" hidden="1" outlineLevel="1">
      <c r="A313" s="420" t="s">
        <v>633</v>
      </c>
      <c r="B313" s="421"/>
      <c r="C313" s="422"/>
      <c r="D313" s="423"/>
      <c r="E313" s="524" t="s">
        <v>672</v>
      </c>
      <c r="F313" s="422" t="s">
        <v>660</v>
      </c>
      <c r="G313" s="423"/>
      <c r="H313" s="424">
        <v>10.83888</v>
      </c>
      <c r="I313" s="469"/>
      <c r="J313" s="460"/>
      <c r="K313" s="425"/>
      <c r="L313" s="430"/>
    </row>
    <row r="314" spans="1:12" s="427" customFormat="1" ht="12.75" hidden="1" outlineLevel="1">
      <c r="A314" s="420" t="s">
        <v>633</v>
      </c>
      <c r="B314" s="421"/>
      <c r="C314" s="422"/>
      <c r="D314" s="423"/>
      <c r="E314" s="524" t="s">
        <v>673</v>
      </c>
      <c r="F314" s="422" t="s">
        <v>660</v>
      </c>
      <c r="G314" s="423"/>
      <c r="H314" s="424">
        <v>16.308</v>
      </c>
      <c r="I314" s="469"/>
      <c r="J314" s="460"/>
      <c r="K314" s="425"/>
      <c r="L314" s="430"/>
    </row>
    <row r="315" spans="1:12" s="427" customFormat="1" ht="12.75" hidden="1" outlineLevel="1">
      <c r="A315" s="420" t="s">
        <v>633</v>
      </c>
      <c r="B315" s="421"/>
      <c r="C315" s="422"/>
      <c r="D315" s="423"/>
      <c r="E315" s="524" t="s">
        <v>674</v>
      </c>
      <c r="F315" s="422" t="s">
        <v>660</v>
      </c>
      <c r="G315" s="423"/>
      <c r="H315" s="424">
        <v>13.265280000000001</v>
      </c>
      <c r="I315" s="469"/>
      <c r="J315" s="460"/>
      <c r="K315" s="425"/>
      <c r="L315" s="430"/>
    </row>
    <row r="316" spans="1:12" s="427" customFormat="1" ht="12.75" hidden="1" outlineLevel="1">
      <c r="A316" s="420" t="s">
        <v>633</v>
      </c>
      <c r="B316" s="421"/>
      <c r="C316" s="422"/>
      <c r="D316" s="423"/>
      <c r="E316" s="524" t="s">
        <v>680</v>
      </c>
      <c r="F316" s="422" t="s">
        <v>660</v>
      </c>
      <c r="G316" s="423"/>
      <c r="H316" s="424">
        <v>246.80591999999996</v>
      </c>
      <c r="I316" s="469"/>
      <c r="J316" s="460"/>
      <c r="K316" s="425"/>
      <c r="L316" s="430"/>
    </row>
    <row r="317" spans="1:12" s="427" customFormat="1" ht="12.75" hidden="1" outlineLevel="1">
      <c r="A317" s="420" t="s">
        <v>633</v>
      </c>
      <c r="B317" s="421"/>
      <c r="C317" s="422"/>
      <c r="D317" s="423"/>
      <c r="E317" s="524" t="s">
        <v>736</v>
      </c>
      <c r="F317" s="422" t="s">
        <v>759</v>
      </c>
      <c r="G317" s="423"/>
      <c r="H317" s="424">
        <v>115.2</v>
      </c>
      <c r="I317" s="469"/>
      <c r="J317" s="460"/>
      <c r="K317" s="425"/>
      <c r="L317" s="430"/>
    </row>
    <row r="318" spans="1:12" s="427" customFormat="1" ht="12.75" hidden="1" outlineLevel="1">
      <c r="A318" s="420" t="s">
        <v>633</v>
      </c>
      <c r="B318" s="421"/>
      <c r="C318" s="422"/>
      <c r="D318" s="423"/>
      <c r="E318" s="524" t="s">
        <v>684</v>
      </c>
      <c r="F318" s="422" t="s">
        <v>759</v>
      </c>
      <c r="G318" s="423"/>
      <c r="H318" s="424">
        <v>1356.9910600000001</v>
      </c>
      <c r="I318" s="469"/>
      <c r="J318" s="460"/>
      <c r="K318" s="425"/>
      <c r="L318" s="430"/>
    </row>
    <row r="319" spans="1:12" s="427" customFormat="1" ht="12.75" hidden="1" outlineLevel="1">
      <c r="A319" s="420" t="s">
        <v>633</v>
      </c>
      <c r="B319" s="421"/>
      <c r="C319" s="422"/>
      <c r="D319" s="423"/>
      <c r="E319" s="524" t="s">
        <v>684</v>
      </c>
      <c r="F319" s="422" t="s">
        <v>795</v>
      </c>
      <c r="G319" s="423"/>
      <c r="H319" s="424">
        <v>2457.31158</v>
      </c>
      <c r="I319" s="469"/>
      <c r="J319" s="460"/>
      <c r="K319" s="425"/>
      <c r="L319" s="430"/>
    </row>
    <row r="320" spans="1:12" s="427" customFormat="1" ht="12.75" hidden="1" outlineLevel="1">
      <c r="A320" s="420" t="s">
        <v>633</v>
      </c>
      <c r="B320" s="421"/>
      <c r="C320" s="422"/>
      <c r="D320" s="423"/>
      <c r="E320" s="524" t="s">
        <v>686</v>
      </c>
      <c r="F320" s="422" t="s">
        <v>759</v>
      </c>
      <c r="G320" s="423"/>
      <c r="H320" s="424">
        <v>11.301119999999999</v>
      </c>
      <c r="I320" s="469"/>
      <c r="J320" s="460"/>
      <c r="K320" s="425"/>
      <c r="L320" s="430"/>
    </row>
    <row r="321" spans="1:12" s="427" customFormat="1" ht="12.75" hidden="1" outlineLevel="1">
      <c r="A321" s="420" t="s">
        <v>633</v>
      </c>
      <c r="B321" s="421"/>
      <c r="C321" s="422"/>
      <c r="D321" s="423"/>
      <c r="E321" s="524" t="s">
        <v>687</v>
      </c>
      <c r="F321" s="422" t="s">
        <v>773</v>
      </c>
      <c r="G321" s="423"/>
      <c r="H321" s="424">
        <v>5.0227199999999996</v>
      </c>
      <c r="I321" s="469"/>
      <c r="J321" s="460"/>
      <c r="K321" s="425"/>
      <c r="L321" s="430"/>
    </row>
    <row r="322" spans="1:12" s="427" customFormat="1" ht="12.75" hidden="1" outlineLevel="1">
      <c r="A322" s="420" t="s">
        <v>633</v>
      </c>
      <c r="B322" s="421"/>
      <c r="C322" s="422"/>
      <c r="D322" s="423"/>
      <c r="E322" s="524" t="s">
        <v>688</v>
      </c>
      <c r="F322" s="422" t="s">
        <v>773</v>
      </c>
      <c r="G322" s="423"/>
      <c r="H322" s="424">
        <v>2.6568000000000001</v>
      </c>
      <c r="I322" s="469"/>
      <c r="J322" s="460"/>
      <c r="K322" s="425"/>
      <c r="L322" s="430"/>
    </row>
    <row r="323" spans="1:12" s="427" customFormat="1" ht="12.75" hidden="1" outlineLevel="1">
      <c r="A323" s="420" t="s">
        <v>633</v>
      </c>
      <c r="B323" s="421"/>
      <c r="C323" s="422"/>
      <c r="D323" s="423"/>
      <c r="E323" s="524" t="s">
        <v>694</v>
      </c>
      <c r="F323" s="422" t="s">
        <v>654</v>
      </c>
      <c r="G323" s="423"/>
      <c r="H323" s="424">
        <v>2.21861</v>
      </c>
      <c r="I323" s="469"/>
      <c r="J323" s="460"/>
      <c r="K323" s="425"/>
      <c r="L323" s="430"/>
    </row>
    <row r="324" spans="1:12" s="427" customFormat="1" ht="12.75" hidden="1" outlineLevel="1">
      <c r="A324" s="420" t="s">
        <v>633</v>
      </c>
      <c r="B324" s="421"/>
      <c r="C324" s="422"/>
      <c r="D324" s="423"/>
      <c r="E324" s="524" t="s">
        <v>698</v>
      </c>
      <c r="F324" s="422" t="s">
        <v>660</v>
      </c>
      <c r="G324" s="423"/>
      <c r="H324" s="424">
        <v>39.863520000000001</v>
      </c>
      <c r="I324" s="469"/>
      <c r="J324" s="460"/>
      <c r="K324" s="425"/>
      <c r="L324" s="430"/>
    </row>
    <row r="325" spans="1:12" s="427" customFormat="1" ht="12.75" hidden="1" outlineLevel="1">
      <c r="A325" s="420" t="s">
        <v>633</v>
      </c>
      <c r="B325" s="421"/>
      <c r="C325" s="422"/>
      <c r="D325" s="423"/>
      <c r="E325" s="524" t="s">
        <v>699</v>
      </c>
      <c r="F325" s="422" t="s">
        <v>788</v>
      </c>
      <c r="G325" s="423"/>
      <c r="H325" s="424">
        <v>1389.61771</v>
      </c>
      <c r="I325" s="469"/>
      <c r="J325" s="460"/>
      <c r="K325" s="425"/>
      <c r="L325" s="430"/>
    </row>
    <row r="326" spans="1:12" s="427" customFormat="1" ht="12.75" hidden="1" outlineLevel="1">
      <c r="A326" s="420" t="s">
        <v>633</v>
      </c>
      <c r="B326" s="421"/>
      <c r="C326" s="422"/>
      <c r="D326" s="423"/>
      <c r="E326" s="524" t="s">
        <v>707</v>
      </c>
      <c r="F326" s="422" t="s">
        <v>782</v>
      </c>
      <c r="G326" s="423"/>
      <c r="H326" s="424">
        <v>0.56699999999999995</v>
      </c>
      <c r="I326" s="469"/>
      <c r="J326" s="460"/>
      <c r="K326" s="425"/>
      <c r="L326" s="430"/>
    </row>
    <row r="327" spans="1:12" s="427" customFormat="1" ht="12.75" hidden="1" outlineLevel="1">
      <c r="A327" s="420" t="s">
        <v>633</v>
      </c>
      <c r="B327" s="421"/>
      <c r="C327" s="422"/>
      <c r="D327" s="423"/>
      <c r="E327" s="524" t="s">
        <v>707</v>
      </c>
      <c r="F327" s="422" t="s">
        <v>759</v>
      </c>
      <c r="G327" s="423"/>
      <c r="H327" s="424">
        <v>0.14288000000000001</v>
      </c>
      <c r="I327" s="469"/>
      <c r="J327" s="460"/>
      <c r="K327" s="425"/>
      <c r="L327" s="430"/>
    </row>
    <row r="328" spans="1:12" s="427" customFormat="1" ht="12.75" hidden="1" outlineLevel="1">
      <c r="A328" s="420" t="s">
        <v>633</v>
      </c>
      <c r="B328" s="421"/>
      <c r="C328" s="422"/>
      <c r="D328" s="423"/>
      <c r="E328" s="524" t="s">
        <v>709</v>
      </c>
      <c r="F328" s="422" t="s">
        <v>782</v>
      </c>
      <c r="G328" s="423"/>
      <c r="H328" s="424">
        <v>11.4156</v>
      </c>
      <c r="I328" s="469"/>
      <c r="J328" s="460"/>
      <c r="K328" s="425"/>
      <c r="L328" s="430"/>
    </row>
    <row r="329" spans="1:12" s="427" customFormat="1" ht="12.75" hidden="1" outlineLevel="1">
      <c r="A329" s="420" t="s">
        <v>633</v>
      </c>
      <c r="B329" s="421"/>
      <c r="C329" s="422"/>
      <c r="D329" s="423"/>
      <c r="E329" s="524" t="s">
        <v>710</v>
      </c>
      <c r="F329" s="422" t="s">
        <v>782</v>
      </c>
      <c r="G329" s="423"/>
      <c r="H329" s="424">
        <v>1.6254</v>
      </c>
      <c r="I329" s="469"/>
      <c r="J329" s="460"/>
      <c r="K329" s="425"/>
      <c r="L329" s="430"/>
    </row>
    <row r="330" spans="1:12" s="427" customFormat="1" ht="12.75" hidden="1" outlineLevel="1">
      <c r="A330" s="420" t="s">
        <v>633</v>
      </c>
      <c r="B330" s="421"/>
      <c r="C330" s="422"/>
      <c r="D330" s="423"/>
      <c r="E330" s="524" t="s">
        <v>742</v>
      </c>
      <c r="F330" s="422" t="s">
        <v>782</v>
      </c>
      <c r="G330" s="423"/>
      <c r="H330" s="424">
        <v>1.9152</v>
      </c>
      <c r="I330" s="469"/>
      <c r="J330" s="460"/>
      <c r="K330" s="425"/>
      <c r="L330" s="430"/>
    </row>
    <row r="331" spans="1:12" s="427" customFormat="1" ht="12.75" hidden="1" outlineLevel="1">
      <c r="A331" s="420" t="s">
        <v>633</v>
      </c>
      <c r="B331" s="421"/>
      <c r="C331" s="422"/>
      <c r="D331" s="423"/>
      <c r="E331" s="524" t="s">
        <v>742</v>
      </c>
      <c r="F331" s="422" t="s">
        <v>759</v>
      </c>
      <c r="G331" s="423"/>
      <c r="H331" s="424">
        <v>0.90183999999999997</v>
      </c>
      <c r="I331" s="469"/>
      <c r="J331" s="460"/>
      <c r="K331" s="425"/>
      <c r="L331" s="430"/>
    </row>
    <row r="332" spans="1:12" s="427" customFormat="1" ht="12.75" hidden="1" outlineLevel="1">
      <c r="A332" s="420" t="s">
        <v>633</v>
      </c>
      <c r="B332" s="421"/>
      <c r="C332" s="422"/>
      <c r="D332" s="423"/>
      <c r="E332" s="524" t="s">
        <v>711</v>
      </c>
      <c r="F332" s="422" t="s">
        <v>782</v>
      </c>
      <c r="G332" s="423"/>
      <c r="H332" s="424">
        <v>10.276490000000001</v>
      </c>
      <c r="I332" s="469"/>
      <c r="J332" s="460"/>
      <c r="K332" s="425"/>
      <c r="L332" s="430"/>
    </row>
    <row r="333" spans="1:12" s="427" customFormat="1" ht="12.75" hidden="1" outlineLevel="1">
      <c r="A333" s="420" t="s">
        <v>633</v>
      </c>
      <c r="B333" s="421"/>
      <c r="C333" s="422"/>
      <c r="D333" s="423"/>
      <c r="E333" s="524" t="s">
        <v>713</v>
      </c>
      <c r="F333" s="422" t="s">
        <v>782</v>
      </c>
      <c r="G333" s="423"/>
      <c r="H333" s="424">
        <v>11.763479999999999</v>
      </c>
      <c r="I333" s="469"/>
      <c r="J333" s="460"/>
      <c r="K333" s="425"/>
      <c r="L333" s="430"/>
    </row>
    <row r="334" spans="1:12" s="427" customFormat="1" ht="12.75" hidden="1" outlineLevel="1">
      <c r="A334" s="420"/>
      <c r="B334" s="421"/>
      <c r="C334" s="422"/>
      <c r="D334" s="423"/>
      <c r="E334" s="524"/>
      <c r="F334" s="422"/>
      <c r="G334" s="423"/>
      <c r="H334" s="424">
        <v>6100.5643900000014</v>
      </c>
      <c r="I334" s="469"/>
      <c r="J334" s="460"/>
      <c r="K334" s="425"/>
      <c r="L334" s="430"/>
    </row>
    <row r="335" spans="1:12" s="427" customFormat="1" ht="12.75" hidden="1" outlineLevel="1">
      <c r="A335" s="420" t="s">
        <v>909</v>
      </c>
      <c r="B335" s="421"/>
      <c r="C335" s="422"/>
      <c r="D335" s="423"/>
      <c r="E335" s="524" t="s">
        <v>910</v>
      </c>
      <c r="F335" s="422" t="s">
        <v>434</v>
      </c>
      <c r="G335" s="423"/>
      <c r="H335" s="424"/>
      <c r="I335" s="469"/>
      <c r="J335" s="460"/>
      <c r="K335" s="425"/>
      <c r="L335" s="430"/>
    </row>
    <row r="336" spans="1:12" s="427" customFormat="1" ht="12.75" hidden="1" outlineLevel="1">
      <c r="A336" s="420" t="s">
        <v>633</v>
      </c>
      <c r="B336" s="421"/>
      <c r="C336" s="422"/>
      <c r="D336" s="423"/>
      <c r="E336" s="524" t="s">
        <v>709</v>
      </c>
      <c r="F336" s="422" t="s">
        <v>708</v>
      </c>
      <c r="G336" s="423"/>
      <c r="H336" s="424">
        <v>169.12</v>
      </c>
      <c r="I336" s="469"/>
      <c r="J336" s="460"/>
      <c r="K336" s="425"/>
      <c r="L336" s="430"/>
    </row>
    <row r="337" spans="1:12" s="427" customFormat="1" ht="12.75" hidden="1" outlineLevel="1">
      <c r="A337" s="420" t="s">
        <v>633</v>
      </c>
      <c r="B337" s="421"/>
      <c r="C337" s="422"/>
      <c r="D337" s="423"/>
      <c r="E337" s="524" t="s">
        <v>710</v>
      </c>
      <c r="F337" s="422" t="s">
        <v>708</v>
      </c>
      <c r="G337" s="423"/>
      <c r="H337" s="424">
        <v>41.28</v>
      </c>
      <c r="I337" s="469"/>
      <c r="J337" s="460"/>
      <c r="K337" s="425"/>
      <c r="L337" s="430"/>
    </row>
    <row r="338" spans="1:12" s="427" customFormat="1" ht="12.75" hidden="1" outlineLevel="1">
      <c r="A338" s="420" t="s">
        <v>633</v>
      </c>
      <c r="B338" s="421"/>
      <c r="C338" s="422"/>
      <c r="D338" s="423"/>
      <c r="E338" s="524" t="s">
        <v>783</v>
      </c>
      <c r="F338" s="422" t="s">
        <v>708</v>
      </c>
      <c r="G338" s="423"/>
      <c r="H338" s="424">
        <v>68.41</v>
      </c>
      <c r="I338" s="469"/>
      <c r="J338" s="460"/>
      <c r="K338" s="425"/>
      <c r="L338" s="430"/>
    </row>
    <row r="339" spans="1:12" s="427" customFormat="1" ht="12.75" hidden="1" outlineLevel="1">
      <c r="A339" s="420"/>
      <c r="B339" s="421"/>
      <c r="C339" s="422"/>
      <c r="D339" s="423"/>
      <c r="E339" s="524"/>
      <c r="F339" s="422"/>
      <c r="G339" s="423"/>
      <c r="H339" s="424">
        <v>278.81</v>
      </c>
      <c r="I339" s="469"/>
      <c r="J339" s="460"/>
      <c r="K339" s="425"/>
      <c r="L339" s="430"/>
    </row>
    <row r="340" spans="1:12" s="427" customFormat="1" ht="12.75" hidden="1" outlineLevel="1">
      <c r="A340" s="420" t="s">
        <v>911</v>
      </c>
      <c r="B340" s="421"/>
      <c r="C340" s="422"/>
      <c r="D340" s="423"/>
      <c r="E340" s="524" t="s">
        <v>912</v>
      </c>
      <c r="F340" s="422" t="s">
        <v>842</v>
      </c>
      <c r="G340" s="423"/>
      <c r="H340" s="424"/>
      <c r="I340" s="469"/>
      <c r="J340" s="460"/>
      <c r="K340" s="425"/>
      <c r="L340" s="430"/>
    </row>
    <row r="341" spans="1:12" s="427" customFormat="1" ht="12.75" hidden="1" outlineLevel="1">
      <c r="A341" s="420" t="s">
        <v>633</v>
      </c>
      <c r="B341" s="421"/>
      <c r="C341" s="422"/>
      <c r="D341" s="423"/>
      <c r="E341" s="524" t="s">
        <v>713</v>
      </c>
      <c r="F341" s="422" t="s">
        <v>708</v>
      </c>
      <c r="G341" s="423"/>
      <c r="H341" s="424">
        <v>215.95</v>
      </c>
      <c r="I341" s="469"/>
      <c r="J341" s="460"/>
      <c r="K341" s="425"/>
      <c r="L341" s="430"/>
    </row>
    <row r="342" spans="1:12" s="427" customFormat="1" ht="12.75" hidden="1" outlineLevel="1">
      <c r="A342" s="420"/>
      <c r="B342" s="421"/>
      <c r="C342" s="422"/>
      <c r="D342" s="423"/>
      <c r="E342" s="524"/>
      <c r="F342" s="422"/>
      <c r="G342" s="423"/>
      <c r="H342" s="424">
        <v>215.95</v>
      </c>
      <c r="I342" s="469"/>
      <c r="J342" s="460"/>
      <c r="K342" s="425"/>
      <c r="L342" s="430"/>
    </row>
    <row r="343" spans="1:12" s="427" customFormat="1" ht="12.75" hidden="1" outlineLevel="1">
      <c r="A343" s="420" t="s">
        <v>913</v>
      </c>
      <c r="B343" s="421"/>
      <c r="C343" s="422"/>
      <c r="D343" s="423"/>
      <c r="E343" s="524" t="s">
        <v>914</v>
      </c>
      <c r="F343" s="422" t="s">
        <v>856</v>
      </c>
      <c r="G343" s="423"/>
      <c r="H343" s="424"/>
      <c r="I343" s="469"/>
      <c r="J343" s="460"/>
      <c r="K343" s="425"/>
      <c r="L343" s="430"/>
    </row>
    <row r="344" spans="1:12" s="427" customFormat="1" ht="12.75" hidden="1" outlineLevel="1">
      <c r="A344" s="420" t="s">
        <v>633</v>
      </c>
      <c r="B344" s="421"/>
      <c r="C344" s="422"/>
      <c r="D344" s="423"/>
      <c r="E344" s="524" t="s">
        <v>709</v>
      </c>
      <c r="F344" s="422" t="s">
        <v>708</v>
      </c>
      <c r="G344" s="423"/>
      <c r="H344" s="424">
        <v>4.53</v>
      </c>
      <c r="I344" s="469"/>
      <c r="J344" s="460"/>
      <c r="K344" s="425"/>
      <c r="L344" s="430"/>
    </row>
    <row r="345" spans="1:12" s="427" customFormat="1" ht="12.75" hidden="1" outlineLevel="1">
      <c r="A345" s="420" t="s">
        <v>633</v>
      </c>
      <c r="B345" s="421"/>
      <c r="C345" s="422"/>
      <c r="D345" s="423"/>
      <c r="E345" s="524" t="s">
        <v>710</v>
      </c>
      <c r="F345" s="422" t="s">
        <v>708</v>
      </c>
      <c r="G345" s="423"/>
      <c r="H345" s="424">
        <v>0.38700000000000001</v>
      </c>
      <c r="I345" s="469"/>
      <c r="J345" s="460"/>
      <c r="K345" s="425"/>
      <c r="L345" s="430"/>
    </row>
    <row r="346" spans="1:12" s="427" customFormat="1" ht="12.75" hidden="1" outlineLevel="1">
      <c r="A346" s="420"/>
      <c r="B346" s="421"/>
      <c r="C346" s="422"/>
      <c r="D346" s="423"/>
      <c r="E346" s="524"/>
      <c r="F346" s="422"/>
      <c r="G346" s="423"/>
      <c r="H346" s="424">
        <v>4.9169999999999998</v>
      </c>
      <c r="I346" s="469"/>
      <c r="J346" s="460"/>
      <c r="K346" s="425"/>
      <c r="L346" s="430"/>
    </row>
    <row r="347" spans="1:12" s="427" customFormat="1" ht="12.75" hidden="1" outlineLevel="1">
      <c r="A347" s="420" t="s">
        <v>915</v>
      </c>
      <c r="B347" s="421"/>
      <c r="C347" s="422"/>
      <c r="D347" s="423"/>
      <c r="E347" s="524" t="s">
        <v>916</v>
      </c>
      <c r="F347" s="422" t="s">
        <v>856</v>
      </c>
      <c r="G347" s="423"/>
      <c r="H347" s="424"/>
      <c r="I347" s="469"/>
      <c r="J347" s="460"/>
      <c r="K347" s="425"/>
      <c r="L347" s="430"/>
    </row>
    <row r="348" spans="1:12" s="427" customFormat="1" ht="12.75" hidden="1" outlineLevel="1">
      <c r="A348" s="420" t="s">
        <v>633</v>
      </c>
      <c r="B348" s="421"/>
      <c r="C348" s="422"/>
      <c r="D348" s="423"/>
      <c r="E348" s="524" t="s">
        <v>710</v>
      </c>
      <c r="F348" s="422" t="s">
        <v>708</v>
      </c>
      <c r="G348" s="423"/>
      <c r="H348" s="424">
        <v>0.129</v>
      </c>
      <c r="I348" s="469"/>
      <c r="J348" s="460"/>
      <c r="K348" s="425"/>
      <c r="L348" s="430"/>
    </row>
    <row r="349" spans="1:12" s="427" customFormat="1" ht="12.75" hidden="1" outlineLevel="1">
      <c r="A349" s="420"/>
      <c r="B349" s="421"/>
      <c r="C349" s="422"/>
      <c r="D349" s="423"/>
      <c r="E349" s="524"/>
      <c r="F349" s="422"/>
      <c r="G349" s="423"/>
      <c r="H349" s="424">
        <v>0.129</v>
      </c>
      <c r="I349" s="469"/>
      <c r="J349" s="460"/>
      <c r="K349" s="425"/>
      <c r="L349" s="430"/>
    </row>
    <row r="350" spans="1:12" s="427" customFormat="1" ht="12.75" hidden="1" outlineLevel="1">
      <c r="A350" s="420" t="s">
        <v>917</v>
      </c>
      <c r="B350" s="421"/>
      <c r="C350" s="422"/>
      <c r="D350" s="423"/>
      <c r="E350" s="524" t="s">
        <v>918</v>
      </c>
      <c r="F350" s="422" t="s">
        <v>856</v>
      </c>
      <c r="G350" s="423"/>
      <c r="H350" s="424"/>
      <c r="I350" s="469"/>
      <c r="J350" s="460"/>
      <c r="K350" s="425"/>
      <c r="L350" s="430"/>
    </row>
    <row r="351" spans="1:12" s="427" customFormat="1" ht="12.75" hidden="1" outlineLevel="1">
      <c r="A351" s="420" t="s">
        <v>633</v>
      </c>
      <c r="B351" s="421"/>
      <c r="C351" s="422"/>
      <c r="D351" s="423"/>
      <c r="E351" s="524" t="s">
        <v>760</v>
      </c>
      <c r="F351" s="422" t="s">
        <v>671</v>
      </c>
      <c r="G351" s="423"/>
      <c r="H351" s="424">
        <v>37.179499999999997</v>
      </c>
      <c r="I351" s="469"/>
      <c r="J351" s="460"/>
      <c r="K351" s="425"/>
      <c r="L351" s="430"/>
    </row>
    <row r="352" spans="1:12" s="427" customFormat="1" ht="12.75" hidden="1" outlineLevel="1">
      <c r="A352" s="420" t="s">
        <v>633</v>
      </c>
      <c r="B352" s="421"/>
      <c r="C352" s="422"/>
      <c r="D352" s="423"/>
      <c r="E352" s="524" t="s">
        <v>761</v>
      </c>
      <c r="F352" s="422" t="s">
        <v>671</v>
      </c>
      <c r="G352" s="423"/>
      <c r="H352" s="424">
        <v>206.07650000000001</v>
      </c>
      <c r="I352" s="469"/>
      <c r="J352" s="460"/>
      <c r="K352" s="425"/>
      <c r="L352" s="430"/>
    </row>
    <row r="353" spans="1:12" s="427" customFormat="1" ht="12.75" hidden="1" outlineLevel="1">
      <c r="A353" s="420" t="s">
        <v>633</v>
      </c>
      <c r="B353" s="421"/>
      <c r="C353" s="422"/>
      <c r="D353" s="423"/>
      <c r="E353" s="524" t="s">
        <v>790</v>
      </c>
      <c r="F353" s="422" t="s">
        <v>671</v>
      </c>
      <c r="G353" s="423"/>
      <c r="H353" s="424">
        <v>406.101</v>
      </c>
      <c r="I353" s="469"/>
      <c r="J353" s="460"/>
      <c r="K353" s="425"/>
      <c r="L353" s="430"/>
    </row>
    <row r="354" spans="1:12" s="427" customFormat="1" ht="12.75" hidden="1" outlineLevel="1">
      <c r="A354" s="420" t="s">
        <v>633</v>
      </c>
      <c r="B354" s="421"/>
      <c r="C354" s="422"/>
      <c r="D354" s="423"/>
      <c r="E354" s="524" t="s">
        <v>762</v>
      </c>
      <c r="F354" s="422" t="s">
        <v>671</v>
      </c>
      <c r="G354" s="423"/>
      <c r="H354" s="424">
        <v>36.159500000000001</v>
      </c>
      <c r="I354" s="469"/>
      <c r="J354" s="460"/>
      <c r="K354" s="425"/>
      <c r="L354" s="430"/>
    </row>
    <row r="355" spans="1:12" s="427" customFormat="1" ht="12.75" hidden="1" outlineLevel="1">
      <c r="A355" s="420" t="s">
        <v>633</v>
      </c>
      <c r="B355" s="421"/>
      <c r="C355" s="422"/>
      <c r="D355" s="423"/>
      <c r="E355" s="524" t="s">
        <v>670</v>
      </c>
      <c r="F355" s="422" t="s">
        <v>671</v>
      </c>
      <c r="G355" s="423"/>
      <c r="H355" s="424">
        <v>2.7989999999999999</v>
      </c>
      <c r="I355" s="469"/>
      <c r="J355" s="460"/>
      <c r="K355" s="425"/>
      <c r="L355" s="430"/>
    </row>
    <row r="356" spans="1:12" s="427" customFormat="1" ht="12.75" hidden="1" outlineLevel="1">
      <c r="A356" s="420" t="s">
        <v>633</v>
      </c>
      <c r="B356" s="421"/>
      <c r="C356" s="422"/>
      <c r="D356" s="423"/>
      <c r="E356" s="524" t="s">
        <v>769</v>
      </c>
      <c r="F356" s="422" t="s">
        <v>671</v>
      </c>
      <c r="G356" s="423"/>
      <c r="H356" s="424">
        <v>89.944999999999993</v>
      </c>
      <c r="I356" s="469"/>
      <c r="J356" s="460"/>
      <c r="K356" s="425"/>
      <c r="L356" s="430"/>
    </row>
    <row r="357" spans="1:12" s="427" customFormat="1" ht="12.75" hidden="1" outlineLevel="1">
      <c r="A357" s="420" t="s">
        <v>633</v>
      </c>
      <c r="B357" s="421"/>
      <c r="C357" s="422"/>
      <c r="D357" s="423"/>
      <c r="E357" s="524" t="s">
        <v>775</v>
      </c>
      <c r="F357" s="422" t="s">
        <v>671</v>
      </c>
      <c r="G357" s="423"/>
      <c r="H357" s="424">
        <v>4.5170000000000003</v>
      </c>
      <c r="I357" s="469"/>
      <c r="J357" s="460"/>
      <c r="K357" s="425"/>
      <c r="L357" s="430"/>
    </row>
    <row r="358" spans="1:12" s="427" customFormat="1" ht="12.75" hidden="1" outlineLevel="1">
      <c r="A358" s="420" t="s">
        <v>633</v>
      </c>
      <c r="B358" s="421"/>
      <c r="C358" s="422"/>
      <c r="D358" s="423"/>
      <c r="E358" s="524" t="s">
        <v>776</v>
      </c>
      <c r="F358" s="422" t="s">
        <v>671</v>
      </c>
      <c r="G358" s="423"/>
      <c r="H358" s="424">
        <v>1672.943</v>
      </c>
      <c r="I358" s="469"/>
      <c r="J358" s="460"/>
      <c r="K358" s="425"/>
      <c r="L358" s="430"/>
    </row>
    <row r="359" spans="1:12" s="427" customFormat="1" ht="12.75" hidden="1" outlineLevel="1">
      <c r="A359" s="420"/>
      <c r="B359" s="421"/>
      <c r="C359" s="422"/>
      <c r="D359" s="423"/>
      <c r="E359" s="524"/>
      <c r="F359" s="422"/>
      <c r="G359" s="423"/>
      <c r="H359" s="424">
        <v>2455.7204999999999</v>
      </c>
      <c r="I359" s="469"/>
      <c r="J359" s="460"/>
      <c r="K359" s="425"/>
      <c r="L359" s="430"/>
    </row>
    <row r="360" spans="1:12" s="427" customFormat="1" ht="12.75" hidden="1" outlineLevel="1">
      <c r="A360" s="420" t="s">
        <v>919</v>
      </c>
      <c r="B360" s="421"/>
      <c r="C360" s="422"/>
      <c r="D360" s="423"/>
      <c r="E360" s="524" t="s">
        <v>920</v>
      </c>
      <c r="F360" s="422" t="s">
        <v>838</v>
      </c>
      <c r="G360" s="423"/>
      <c r="H360" s="424"/>
      <c r="I360" s="469"/>
      <c r="J360" s="460"/>
      <c r="K360" s="425"/>
      <c r="L360" s="430"/>
    </row>
    <row r="361" spans="1:12" s="427" customFormat="1" ht="12.75" hidden="1" outlineLevel="1">
      <c r="A361" s="420" t="s">
        <v>633</v>
      </c>
      <c r="B361" s="421"/>
      <c r="C361" s="422"/>
      <c r="D361" s="423"/>
      <c r="E361" s="524" t="s">
        <v>677</v>
      </c>
      <c r="F361" s="422" t="s">
        <v>793</v>
      </c>
      <c r="G361" s="423"/>
      <c r="H361" s="424">
        <v>21.5</v>
      </c>
      <c r="I361" s="469"/>
      <c r="J361" s="460"/>
      <c r="K361" s="425"/>
      <c r="L361" s="430"/>
    </row>
    <row r="362" spans="1:12" s="427" customFormat="1" ht="12.75" hidden="1" outlineLevel="1">
      <c r="A362" s="420"/>
      <c r="B362" s="421"/>
      <c r="C362" s="422"/>
      <c r="D362" s="423"/>
      <c r="E362" s="524"/>
      <c r="F362" s="422"/>
      <c r="G362" s="423"/>
      <c r="H362" s="424">
        <v>21.5</v>
      </c>
      <c r="I362" s="469"/>
      <c r="J362" s="460"/>
      <c r="K362" s="425"/>
      <c r="L362" s="430"/>
    </row>
    <row r="363" spans="1:12" s="427" customFormat="1" ht="12.75" hidden="1" outlineLevel="1">
      <c r="A363" s="420" t="s">
        <v>921</v>
      </c>
      <c r="B363" s="421"/>
      <c r="C363" s="422"/>
      <c r="D363" s="423"/>
      <c r="E363" s="524" t="s">
        <v>923</v>
      </c>
      <c r="F363" s="422" t="s">
        <v>856</v>
      </c>
      <c r="G363" s="423"/>
      <c r="H363" s="424"/>
      <c r="I363" s="469"/>
      <c r="J363" s="460"/>
      <c r="K363" s="425"/>
      <c r="L363" s="430"/>
    </row>
    <row r="364" spans="1:12" s="427" customFormat="1" ht="12.75" hidden="1" outlineLevel="1">
      <c r="A364" s="420" t="s">
        <v>633</v>
      </c>
      <c r="B364" s="421"/>
      <c r="C364" s="422"/>
      <c r="D364" s="423"/>
      <c r="E364" s="524" t="s">
        <v>684</v>
      </c>
      <c r="F364" s="422" t="s">
        <v>771</v>
      </c>
      <c r="G364" s="423"/>
      <c r="H364" s="424">
        <v>91.739629999999991</v>
      </c>
      <c r="I364" s="469"/>
      <c r="J364" s="460"/>
      <c r="K364" s="425"/>
      <c r="L364" s="430"/>
    </row>
    <row r="365" spans="1:12" s="427" customFormat="1" ht="12.75" hidden="1" outlineLevel="1">
      <c r="A365" s="420" t="s">
        <v>633</v>
      </c>
      <c r="B365" s="421"/>
      <c r="C365" s="422"/>
      <c r="D365" s="423"/>
      <c r="E365" s="524" t="s">
        <v>684</v>
      </c>
      <c r="F365" s="422" t="s">
        <v>772</v>
      </c>
      <c r="G365" s="423"/>
      <c r="H365" s="424">
        <v>22.934909999999999</v>
      </c>
      <c r="I365" s="469"/>
      <c r="J365" s="460"/>
      <c r="K365" s="425"/>
      <c r="L365" s="430"/>
    </row>
    <row r="366" spans="1:12" s="427" customFormat="1" ht="12.75" hidden="1" outlineLevel="1">
      <c r="A366" s="420"/>
      <c r="B366" s="421"/>
      <c r="C366" s="422"/>
      <c r="D366" s="423"/>
      <c r="E366" s="524"/>
      <c r="F366" s="422"/>
      <c r="G366" s="423"/>
      <c r="H366" s="424">
        <v>114.67453999999999</v>
      </c>
      <c r="I366" s="469"/>
      <c r="J366" s="460"/>
      <c r="K366" s="425"/>
      <c r="L366" s="430"/>
    </row>
    <row r="367" spans="1:12" s="427" customFormat="1" ht="12.75" hidden="1" outlineLevel="1">
      <c r="A367" s="420" t="s">
        <v>924</v>
      </c>
      <c r="B367" s="421"/>
      <c r="C367" s="422"/>
      <c r="D367" s="423"/>
      <c r="E367" s="524" t="s">
        <v>925</v>
      </c>
      <c r="F367" s="422" t="s">
        <v>856</v>
      </c>
      <c r="G367" s="423"/>
      <c r="H367" s="424"/>
      <c r="I367" s="469"/>
      <c r="J367" s="460"/>
      <c r="K367" s="425"/>
      <c r="L367" s="430"/>
    </row>
    <row r="368" spans="1:12" s="427" customFormat="1" ht="12.75" hidden="1" outlineLevel="1">
      <c r="A368" s="420" t="s">
        <v>633</v>
      </c>
      <c r="B368" s="421"/>
      <c r="C368" s="422"/>
      <c r="D368" s="423"/>
      <c r="E368" s="524" t="s">
        <v>684</v>
      </c>
      <c r="F368" s="422" t="s">
        <v>771</v>
      </c>
      <c r="G368" s="423"/>
      <c r="H368" s="424">
        <v>91.739629999999991</v>
      </c>
      <c r="I368" s="469"/>
      <c r="J368" s="460"/>
      <c r="K368" s="425"/>
      <c r="L368" s="430"/>
    </row>
    <row r="369" spans="1:12" s="427" customFormat="1" ht="12.75" hidden="1" outlineLevel="1">
      <c r="A369" s="420" t="s">
        <v>633</v>
      </c>
      <c r="B369" s="421"/>
      <c r="C369" s="422"/>
      <c r="D369" s="423"/>
      <c r="E369" s="524" t="s">
        <v>684</v>
      </c>
      <c r="F369" s="422" t="s">
        <v>772</v>
      </c>
      <c r="G369" s="423"/>
      <c r="H369" s="424">
        <v>22.934909999999999</v>
      </c>
      <c r="I369" s="469"/>
      <c r="J369" s="460"/>
      <c r="K369" s="425"/>
      <c r="L369" s="430"/>
    </row>
    <row r="370" spans="1:12" s="427" customFormat="1" ht="12.75" hidden="1" outlineLevel="1">
      <c r="A370" s="420"/>
      <c r="B370" s="421"/>
      <c r="C370" s="422"/>
      <c r="D370" s="423"/>
      <c r="E370" s="524"/>
      <c r="F370" s="422"/>
      <c r="G370" s="423"/>
      <c r="H370" s="424">
        <v>114.67453999999999</v>
      </c>
      <c r="I370" s="469"/>
      <c r="J370" s="460"/>
      <c r="K370" s="425"/>
      <c r="L370" s="430"/>
    </row>
    <row r="371" spans="1:12" s="427" customFormat="1" ht="12.75" hidden="1" outlineLevel="1">
      <c r="A371" s="420" t="s">
        <v>926</v>
      </c>
      <c r="B371" s="421"/>
      <c r="C371" s="422"/>
      <c r="D371" s="423"/>
      <c r="E371" s="524" t="s">
        <v>927</v>
      </c>
      <c r="F371" s="422" t="s">
        <v>815</v>
      </c>
      <c r="G371" s="423"/>
      <c r="H371" s="424"/>
      <c r="I371" s="469"/>
      <c r="J371" s="460"/>
      <c r="K371" s="425"/>
      <c r="L371" s="430"/>
    </row>
    <row r="372" spans="1:12" s="427" customFormat="1" ht="12.75" hidden="1" outlineLevel="1">
      <c r="A372" s="420" t="s">
        <v>633</v>
      </c>
      <c r="B372" s="421"/>
      <c r="C372" s="422"/>
      <c r="D372" s="423"/>
      <c r="E372" s="524" t="s">
        <v>754</v>
      </c>
      <c r="F372" s="422" t="s">
        <v>800</v>
      </c>
      <c r="G372" s="423"/>
      <c r="H372" s="424">
        <v>30</v>
      </c>
      <c r="I372" s="469"/>
      <c r="J372" s="460"/>
      <c r="K372" s="425"/>
      <c r="L372" s="430"/>
    </row>
    <row r="373" spans="1:12" s="427" customFormat="1" ht="12.75" hidden="1" outlineLevel="1">
      <c r="A373" s="420"/>
      <c r="B373" s="421"/>
      <c r="C373" s="422"/>
      <c r="D373" s="423"/>
      <c r="E373" s="524"/>
      <c r="F373" s="422"/>
      <c r="G373" s="423"/>
      <c r="H373" s="424">
        <v>30</v>
      </c>
      <c r="I373" s="469"/>
      <c r="J373" s="460"/>
      <c r="K373" s="425"/>
      <c r="L373" s="430"/>
    </row>
    <row r="374" spans="1:12" s="427" customFormat="1" ht="12.75" hidden="1" outlineLevel="1">
      <c r="A374" s="420" t="s">
        <v>928</v>
      </c>
      <c r="B374" s="421"/>
      <c r="C374" s="422"/>
      <c r="D374" s="423"/>
      <c r="E374" s="524" t="s">
        <v>929</v>
      </c>
      <c r="F374" s="422" t="s">
        <v>815</v>
      </c>
      <c r="G374" s="423"/>
      <c r="H374" s="424"/>
      <c r="I374" s="469"/>
      <c r="J374" s="460"/>
      <c r="K374" s="425"/>
      <c r="L374" s="430"/>
    </row>
    <row r="375" spans="1:12" s="427" customFormat="1" ht="12.75" hidden="1" outlineLevel="1">
      <c r="A375" s="420" t="s">
        <v>633</v>
      </c>
      <c r="B375" s="421"/>
      <c r="C375" s="422"/>
      <c r="D375" s="423"/>
      <c r="E375" s="524" t="s">
        <v>754</v>
      </c>
      <c r="F375" s="422" t="s">
        <v>800</v>
      </c>
      <c r="G375" s="423"/>
      <c r="H375" s="424">
        <v>20</v>
      </c>
      <c r="I375" s="469"/>
      <c r="J375" s="460"/>
      <c r="K375" s="425"/>
      <c r="L375" s="430"/>
    </row>
    <row r="376" spans="1:12" s="427" customFormat="1" ht="12.75" hidden="1" outlineLevel="1">
      <c r="A376" s="420"/>
      <c r="B376" s="421"/>
      <c r="C376" s="422"/>
      <c r="D376" s="423"/>
      <c r="E376" s="524"/>
      <c r="F376" s="422"/>
      <c r="G376" s="423"/>
      <c r="H376" s="424">
        <v>20</v>
      </c>
      <c r="I376" s="469"/>
      <c r="J376" s="460"/>
      <c r="K376" s="425"/>
      <c r="L376" s="430"/>
    </row>
    <row r="377" spans="1:12" s="427" customFormat="1" ht="12.75" hidden="1" outlineLevel="1">
      <c r="A377" s="420" t="s">
        <v>930</v>
      </c>
      <c r="B377" s="421"/>
      <c r="C377" s="422"/>
      <c r="D377" s="423"/>
      <c r="E377" s="524" t="s">
        <v>931</v>
      </c>
      <c r="F377" s="422" t="s">
        <v>801</v>
      </c>
      <c r="G377" s="423"/>
      <c r="H377" s="424"/>
      <c r="I377" s="469"/>
      <c r="J377" s="460"/>
      <c r="K377" s="425"/>
      <c r="L377" s="430"/>
    </row>
    <row r="378" spans="1:12" s="427" customFormat="1" ht="12.75" hidden="1" outlineLevel="1">
      <c r="A378" s="420" t="s">
        <v>633</v>
      </c>
      <c r="B378" s="421"/>
      <c r="C378" s="422"/>
      <c r="D378" s="423"/>
      <c r="E378" s="524" t="s">
        <v>754</v>
      </c>
      <c r="F378" s="422" t="s">
        <v>800</v>
      </c>
      <c r="G378" s="423"/>
      <c r="H378" s="424">
        <v>0.5</v>
      </c>
      <c r="I378" s="469"/>
      <c r="J378" s="460"/>
      <c r="K378" s="425"/>
      <c r="L378" s="430"/>
    </row>
    <row r="379" spans="1:12" s="427" customFormat="1" ht="12.75" hidden="1" outlineLevel="1">
      <c r="A379" s="420"/>
      <c r="B379" s="421"/>
      <c r="C379" s="422"/>
      <c r="D379" s="423"/>
      <c r="E379" s="524"/>
      <c r="F379" s="422"/>
      <c r="G379" s="423"/>
      <c r="H379" s="424">
        <v>0.5</v>
      </c>
      <c r="I379" s="469"/>
      <c r="J379" s="460"/>
      <c r="K379" s="425"/>
      <c r="L379" s="430"/>
    </row>
    <row r="380" spans="1:12" s="427" customFormat="1" ht="12.75" hidden="1" outlineLevel="1">
      <c r="A380" s="420" t="s">
        <v>932</v>
      </c>
      <c r="B380" s="421"/>
      <c r="C380" s="422"/>
      <c r="D380" s="423"/>
      <c r="E380" s="524" t="s">
        <v>933</v>
      </c>
      <c r="F380" s="422" t="s">
        <v>934</v>
      </c>
      <c r="G380" s="423"/>
      <c r="H380" s="424"/>
      <c r="I380" s="469"/>
      <c r="J380" s="460"/>
      <c r="K380" s="425"/>
      <c r="L380" s="430"/>
    </row>
    <row r="381" spans="1:12" s="427" customFormat="1" ht="12.75" hidden="1" outlineLevel="1">
      <c r="A381" s="420" t="s">
        <v>633</v>
      </c>
      <c r="B381" s="421"/>
      <c r="C381" s="422"/>
      <c r="D381" s="423"/>
      <c r="E381" s="524" t="s">
        <v>935</v>
      </c>
      <c r="F381" s="422" t="s">
        <v>936</v>
      </c>
      <c r="G381" s="423"/>
      <c r="H381" s="424">
        <v>1</v>
      </c>
      <c r="I381" s="469"/>
      <c r="J381" s="460"/>
      <c r="K381" s="425"/>
      <c r="L381" s="430"/>
    </row>
    <row r="382" spans="1:12" s="427" customFormat="1" ht="12.75" hidden="1" outlineLevel="1">
      <c r="A382" s="420"/>
      <c r="B382" s="421"/>
      <c r="C382" s="422"/>
      <c r="D382" s="423"/>
      <c r="E382" s="524"/>
      <c r="F382" s="422"/>
      <c r="G382" s="423"/>
      <c r="H382" s="424">
        <v>1</v>
      </c>
      <c r="I382" s="469"/>
      <c r="J382" s="460"/>
      <c r="K382" s="425"/>
      <c r="L382" s="430"/>
    </row>
    <row r="383" spans="1:12" s="427" customFormat="1" ht="12.75" hidden="1" outlineLevel="1">
      <c r="A383" s="420" t="s">
        <v>937</v>
      </c>
      <c r="B383" s="421"/>
      <c r="C383" s="422"/>
      <c r="D383" s="423"/>
      <c r="E383" s="524" t="s">
        <v>938</v>
      </c>
      <c r="F383" s="422" t="s">
        <v>856</v>
      </c>
      <c r="G383" s="423"/>
      <c r="H383" s="424"/>
      <c r="I383" s="469"/>
      <c r="J383" s="460"/>
      <c r="K383" s="425"/>
      <c r="L383" s="430"/>
    </row>
    <row r="384" spans="1:12" s="427" customFormat="1" ht="12.75" hidden="1" outlineLevel="1">
      <c r="A384" s="420" t="s">
        <v>633</v>
      </c>
      <c r="B384" s="421"/>
      <c r="C384" s="422"/>
      <c r="D384" s="423"/>
      <c r="E384" s="524" t="s">
        <v>636</v>
      </c>
      <c r="F384" s="422" t="s">
        <v>637</v>
      </c>
      <c r="G384" s="423"/>
      <c r="H384" s="424">
        <v>0.22089999999999999</v>
      </c>
      <c r="I384" s="469"/>
      <c r="J384" s="460"/>
      <c r="K384" s="425"/>
      <c r="L384" s="430"/>
    </row>
    <row r="385" spans="1:12" s="427" customFormat="1" ht="12.75" hidden="1" outlineLevel="1">
      <c r="A385" s="420" t="s">
        <v>633</v>
      </c>
      <c r="B385" s="421"/>
      <c r="C385" s="422"/>
      <c r="D385" s="423"/>
      <c r="E385" s="524" t="s">
        <v>638</v>
      </c>
      <c r="F385" s="422" t="s">
        <v>639</v>
      </c>
      <c r="G385" s="423"/>
      <c r="H385" s="424">
        <v>3119.2</v>
      </c>
      <c r="I385" s="469"/>
      <c r="J385" s="460"/>
      <c r="K385" s="425"/>
      <c r="L385" s="430"/>
    </row>
    <row r="386" spans="1:12" s="427" customFormat="1" ht="12.75" hidden="1" outlineLevel="1">
      <c r="A386" s="420" t="s">
        <v>633</v>
      </c>
      <c r="B386" s="421"/>
      <c r="C386" s="422"/>
      <c r="D386" s="423"/>
      <c r="E386" s="524" t="s">
        <v>646</v>
      </c>
      <c r="F386" s="422" t="s">
        <v>647</v>
      </c>
      <c r="G386" s="423"/>
      <c r="H386" s="424">
        <v>52.483199999999997</v>
      </c>
      <c r="I386" s="469"/>
      <c r="J386" s="460"/>
      <c r="K386" s="425"/>
      <c r="L386" s="430"/>
    </row>
    <row r="387" spans="1:12" s="427" customFormat="1" ht="12.75" hidden="1" outlineLevel="1">
      <c r="A387" s="420" t="s">
        <v>633</v>
      </c>
      <c r="B387" s="421"/>
      <c r="C387" s="422"/>
      <c r="D387" s="423"/>
      <c r="E387" s="524" t="s">
        <v>648</v>
      </c>
      <c r="F387" s="422" t="s">
        <v>647</v>
      </c>
      <c r="G387" s="423"/>
      <c r="H387" s="424">
        <v>4.1566799999999997</v>
      </c>
      <c r="I387" s="469"/>
      <c r="J387" s="460"/>
      <c r="K387" s="425"/>
      <c r="L387" s="430"/>
    </row>
    <row r="388" spans="1:12" s="427" customFormat="1" ht="12.75" hidden="1" outlineLevel="1">
      <c r="A388" s="420" t="s">
        <v>633</v>
      </c>
      <c r="B388" s="421"/>
      <c r="C388" s="422"/>
      <c r="D388" s="423"/>
      <c r="E388" s="524" t="s">
        <v>649</v>
      </c>
      <c r="F388" s="422" t="s">
        <v>647</v>
      </c>
      <c r="G388" s="423"/>
      <c r="H388" s="424">
        <v>5.4497299999999997</v>
      </c>
      <c r="I388" s="469"/>
      <c r="J388" s="460"/>
      <c r="K388" s="425"/>
      <c r="L388" s="430"/>
    </row>
    <row r="389" spans="1:12" s="427" customFormat="1" ht="12.75" hidden="1" outlineLevel="1">
      <c r="A389" s="420" t="s">
        <v>633</v>
      </c>
      <c r="B389" s="421"/>
      <c r="C389" s="422"/>
      <c r="D389" s="423"/>
      <c r="E389" s="524" t="s">
        <v>650</v>
      </c>
      <c r="F389" s="422" t="s">
        <v>647</v>
      </c>
      <c r="G389" s="423"/>
      <c r="H389" s="424">
        <v>4.8502999999999998</v>
      </c>
      <c r="I389" s="469"/>
      <c r="J389" s="460"/>
      <c r="K389" s="425"/>
      <c r="L389" s="430"/>
    </row>
    <row r="390" spans="1:12" s="427" customFormat="1" ht="12.75" hidden="1" outlineLevel="1">
      <c r="A390" s="420" t="s">
        <v>633</v>
      </c>
      <c r="B390" s="421"/>
      <c r="C390" s="422"/>
      <c r="D390" s="423"/>
      <c r="E390" s="524" t="s">
        <v>651</v>
      </c>
      <c r="F390" s="422" t="s">
        <v>652</v>
      </c>
      <c r="G390" s="423"/>
      <c r="H390" s="424">
        <v>51.143680000000003</v>
      </c>
      <c r="I390" s="469"/>
      <c r="J390" s="460"/>
      <c r="K390" s="425"/>
      <c r="L390" s="430"/>
    </row>
    <row r="391" spans="1:12" s="427" customFormat="1" ht="12.75" hidden="1" outlineLevel="1">
      <c r="A391" s="420" t="s">
        <v>633</v>
      </c>
      <c r="B391" s="421"/>
      <c r="C391" s="422"/>
      <c r="D391" s="423"/>
      <c r="E391" s="524" t="s">
        <v>653</v>
      </c>
      <c r="F391" s="422" t="s">
        <v>654</v>
      </c>
      <c r="G391" s="423"/>
      <c r="H391" s="424">
        <v>49.195</v>
      </c>
      <c r="I391" s="469"/>
      <c r="J391" s="460"/>
      <c r="K391" s="425"/>
      <c r="L391" s="430"/>
    </row>
    <row r="392" spans="1:12" s="427" customFormat="1" ht="12.75" hidden="1" outlineLevel="1">
      <c r="A392" s="420" t="s">
        <v>633</v>
      </c>
      <c r="B392" s="421"/>
      <c r="C392" s="422"/>
      <c r="D392" s="423"/>
      <c r="E392" s="524" t="s">
        <v>655</v>
      </c>
      <c r="F392" s="422" t="s">
        <v>656</v>
      </c>
      <c r="G392" s="423"/>
      <c r="H392" s="424">
        <v>27.6892</v>
      </c>
      <c r="I392" s="469"/>
      <c r="J392" s="460"/>
      <c r="K392" s="425"/>
      <c r="L392" s="430"/>
    </row>
    <row r="393" spans="1:12" s="427" customFormat="1" ht="12.75" hidden="1" outlineLevel="1">
      <c r="A393" s="420" t="s">
        <v>633</v>
      </c>
      <c r="B393" s="421"/>
      <c r="C393" s="422"/>
      <c r="D393" s="423"/>
      <c r="E393" s="524" t="s">
        <v>657</v>
      </c>
      <c r="F393" s="422" t="s">
        <v>658</v>
      </c>
      <c r="G393" s="423"/>
      <c r="H393" s="424">
        <v>0.95806999999999998</v>
      </c>
      <c r="I393" s="469"/>
      <c r="J393" s="460"/>
      <c r="K393" s="425"/>
      <c r="L393" s="430"/>
    </row>
    <row r="394" spans="1:12" s="427" customFormat="1" ht="12.75" hidden="1" outlineLevel="1">
      <c r="A394" s="420" t="s">
        <v>633</v>
      </c>
      <c r="B394" s="421"/>
      <c r="C394" s="422"/>
      <c r="D394" s="423"/>
      <c r="E394" s="524" t="s">
        <v>659</v>
      </c>
      <c r="F394" s="422" t="s">
        <v>660</v>
      </c>
      <c r="G394" s="423"/>
      <c r="H394" s="424">
        <v>238.1</v>
      </c>
      <c r="I394" s="469"/>
      <c r="J394" s="460"/>
      <c r="K394" s="425"/>
      <c r="L394" s="430"/>
    </row>
    <row r="395" spans="1:12" s="427" customFormat="1" ht="12.75" hidden="1" outlineLevel="1">
      <c r="A395" s="420" t="s">
        <v>633</v>
      </c>
      <c r="B395" s="421"/>
      <c r="C395" s="422"/>
      <c r="D395" s="423"/>
      <c r="E395" s="524" t="s">
        <v>661</v>
      </c>
      <c r="F395" s="422" t="s">
        <v>652</v>
      </c>
      <c r="G395" s="423"/>
      <c r="H395" s="424">
        <v>211.74047999999999</v>
      </c>
      <c r="I395" s="469"/>
      <c r="J395" s="460"/>
      <c r="K395" s="425"/>
      <c r="L395" s="430"/>
    </row>
    <row r="396" spans="1:12" s="427" customFormat="1" ht="12.75" hidden="1" outlineLevel="1">
      <c r="A396" s="420" t="s">
        <v>633</v>
      </c>
      <c r="B396" s="421"/>
      <c r="C396" s="422"/>
      <c r="D396" s="423"/>
      <c r="E396" s="524" t="s">
        <v>662</v>
      </c>
      <c r="F396" s="422" t="s">
        <v>656</v>
      </c>
      <c r="G396" s="423"/>
      <c r="H396" s="424">
        <v>47.890639999999991</v>
      </c>
      <c r="I396" s="469"/>
      <c r="J396" s="460"/>
      <c r="K396" s="425"/>
      <c r="L396" s="430"/>
    </row>
    <row r="397" spans="1:12" s="427" customFormat="1" ht="12.75" hidden="1" outlineLevel="1">
      <c r="A397" s="420" t="s">
        <v>633</v>
      </c>
      <c r="B397" s="421"/>
      <c r="C397" s="422"/>
      <c r="D397" s="423"/>
      <c r="E397" s="524" t="s">
        <v>663</v>
      </c>
      <c r="F397" s="422" t="s">
        <v>647</v>
      </c>
      <c r="G397" s="423"/>
      <c r="H397" s="424">
        <v>11.179600000000001</v>
      </c>
      <c r="I397" s="469"/>
      <c r="J397" s="460"/>
      <c r="K397" s="425"/>
      <c r="L397" s="430"/>
    </row>
    <row r="398" spans="1:12" s="427" customFormat="1" ht="12.75" hidden="1" outlineLevel="1">
      <c r="A398" s="420" t="s">
        <v>633</v>
      </c>
      <c r="B398" s="421"/>
      <c r="C398" s="422"/>
      <c r="D398" s="423"/>
      <c r="E398" s="524" t="s">
        <v>664</v>
      </c>
      <c r="F398" s="422" t="s">
        <v>647</v>
      </c>
      <c r="G398" s="423"/>
      <c r="H398" s="424">
        <v>161.85679999999999</v>
      </c>
      <c r="I398" s="469"/>
      <c r="J398" s="460"/>
      <c r="K398" s="425"/>
      <c r="L398" s="430"/>
    </row>
    <row r="399" spans="1:12" s="427" customFormat="1" ht="12.75" hidden="1" outlineLevel="1">
      <c r="A399" s="420" t="s">
        <v>633</v>
      </c>
      <c r="B399" s="421"/>
      <c r="C399" s="422"/>
      <c r="D399" s="423"/>
      <c r="E399" s="524" t="s">
        <v>665</v>
      </c>
      <c r="F399" s="422" t="s">
        <v>647</v>
      </c>
      <c r="G399" s="423"/>
      <c r="H399" s="424">
        <v>332.59519999999998</v>
      </c>
      <c r="I399" s="469"/>
      <c r="J399" s="460"/>
      <c r="K399" s="425"/>
      <c r="L399" s="430"/>
    </row>
    <row r="400" spans="1:12" s="427" customFormat="1" ht="12.75" hidden="1" outlineLevel="1">
      <c r="A400" s="420" t="s">
        <v>633</v>
      </c>
      <c r="B400" s="421"/>
      <c r="C400" s="422"/>
      <c r="D400" s="423"/>
      <c r="E400" s="524" t="s">
        <v>666</v>
      </c>
      <c r="F400" s="422" t="s">
        <v>647</v>
      </c>
      <c r="G400" s="423"/>
      <c r="H400" s="424">
        <v>330.45774</v>
      </c>
      <c r="I400" s="469"/>
      <c r="J400" s="460"/>
      <c r="K400" s="425"/>
      <c r="L400" s="430"/>
    </row>
    <row r="401" spans="1:12" s="427" customFormat="1" ht="12.75" hidden="1" outlineLevel="1">
      <c r="A401" s="420" t="s">
        <v>633</v>
      </c>
      <c r="B401" s="421"/>
      <c r="C401" s="422"/>
      <c r="D401" s="423"/>
      <c r="E401" s="524" t="s">
        <v>667</v>
      </c>
      <c r="F401" s="422" t="s">
        <v>654</v>
      </c>
      <c r="G401" s="423"/>
      <c r="H401" s="424">
        <v>588.86249999999995</v>
      </c>
      <c r="I401" s="469"/>
      <c r="J401" s="460"/>
      <c r="K401" s="425"/>
      <c r="L401" s="430"/>
    </row>
    <row r="402" spans="1:12" s="427" customFormat="1" ht="12.75" hidden="1" outlineLevel="1">
      <c r="A402" s="420" t="s">
        <v>633</v>
      </c>
      <c r="B402" s="421"/>
      <c r="C402" s="422"/>
      <c r="D402" s="423"/>
      <c r="E402" s="524" t="s">
        <v>668</v>
      </c>
      <c r="F402" s="422" t="s">
        <v>656</v>
      </c>
      <c r="G402" s="423"/>
      <c r="H402" s="424">
        <v>264.42079999999999</v>
      </c>
      <c r="I402" s="469"/>
      <c r="J402" s="460"/>
      <c r="K402" s="425"/>
      <c r="L402" s="430"/>
    </row>
    <row r="403" spans="1:12" s="427" customFormat="1" ht="12.75" hidden="1" outlineLevel="1">
      <c r="A403" s="420" t="s">
        <v>633</v>
      </c>
      <c r="B403" s="421"/>
      <c r="C403" s="422"/>
      <c r="D403" s="423"/>
      <c r="E403" s="524" t="s">
        <v>669</v>
      </c>
      <c r="F403" s="422" t="s">
        <v>652</v>
      </c>
      <c r="G403" s="423"/>
      <c r="H403" s="424">
        <v>536.64351999999997</v>
      </c>
      <c r="I403" s="469"/>
      <c r="J403" s="460"/>
      <c r="K403" s="425"/>
      <c r="L403" s="430"/>
    </row>
    <row r="404" spans="1:12" s="427" customFormat="1" ht="12.75" hidden="1" outlineLevel="1">
      <c r="A404" s="420" t="s">
        <v>633</v>
      </c>
      <c r="B404" s="421"/>
      <c r="C404" s="422"/>
      <c r="D404" s="423"/>
      <c r="E404" s="524" t="s">
        <v>729</v>
      </c>
      <c r="F404" s="422" t="s">
        <v>726</v>
      </c>
      <c r="G404" s="423"/>
      <c r="H404" s="424">
        <v>11.728630000000001</v>
      </c>
      <c r="I404" s="469"/>
      <c r="J404" s="460"/>
      <c r="K404" s="425"/>
      <c r="L404" s="430"/>
    </row>
    <row r="405" spans="1:12" s="427" customFormat="1" ht="12.75" hidden="1" outlineLevel="1">
      <c r="A405" s="420" t="s">
        <v>633</v>
      </c>
      <c r="B405" s="421"/>
      <c r="C405" s="422"/>
      <c r="D405" s="423"/>
      <c r="E405" s="524" t="s">
        <v>670</v>
      </c>
      <c r="F405" s="422" t="s">
        <v>671</v>
      </c>
      <c r="G405" s="423"/>
      <c r="H405" s="424">
        <v>14.89068</v>
      </c>
      <c r="I405" s="469"/>
      <c r="J405" s="460"/>
      <c r="K405" s="425"/>
      <c r="L405" s="430"/>
    </row>
    <row r="406" spans="1:12" s="427" customFormat="1" ht="12.75" hidden="1" outlineLevel="1">
      <c r="A406" s="420" t="s">
        <v>633</v>
      </c>
      <c r="B406" s="421"/>
      <c r="C406" s="422"/>
      <c r="D406" s="423"/>
      <c r="E406" s="524" t="s">
        <v>672</v>
      </c>
      <c r="F406" s="422" t="s">
        <v>660</v>
      </c>
      <c r="G406" s="423"/>
      <c r="H406" s="424">
        <v>18.817499999999999</v>
      </c>
      <c r="I406" s="469"/>
      <c r="J406" s="460"/>
      <c r="K406" s="425"/>
      <c r="L406" s="430"/>
    </row>
    <row r="407" spans="1:12" s="427" customFormat="1" ht="12.75" hidden="1" outlineLevel="1">
      <c r="A407" s="420" t="s">
        <v>633</v>
      </c>
      <c r="B407" s="421"/>
      <c r="C407" s="422"/>
      <c r="D407" s="423"/>
      <c r="E407" s="524" t="s">
        <v>673</v>
      </c>
      <c r="F407" s="422" t="s">
        <v>660</v>
      </c>
      <c r="G407" s="423"/>
      <c r="H407" s="424">
        <v>28.3125</v>
      </c>
      <c r="I407" s="469"/>
      <c r="J407" s="460"/>
      <c r="K407" s="425"/>
      <c r="L407" s="430"/>
    </row>
    <row r="408" spans="1:12" s="427" customFormat="1" ht="12.75" hidden="1" outlineLevel="1">
      <c r="A408" s="420" t="s">
        <v>633</v>
      </c>
      <c r="B408" s="421"/>
      <c r="C408" s="422"/>
      <c r="D408" s="423"/>
      <c r="E408" s="524" t="s">
        <v>674</v>
      </c>
      <c r="F408" s="422" t="s">
        <v>660</v>
      </c>
      <c r="G408" s="423"/>
      <c r="H408" s="424">
        <v>44.21759999999999</v>
      </c>
      <c r="I408" s="469"/>
      <c r="J408" s="460"/>
      <c r="K408" s="425"/>
      <c r="L408" s="430"/>
    </row>
    <row r="409" spans="1:12" s="427" customFormat="1" ht="12.75" hidden="1" outlineLevel="1">
      <c r="A409" s="420" t="s">
        <v>633</v>
      </c>
      <c r="B409" s="421"/>
      <c r="C409" s="422"/>
      <c r="D409" s="423"/>
      <c r="E409" s="524" t="s">
        <v>675</v>
      </c>
      <c r="F409" s="422" t="s">
        <v>660</v>
      </c>
      <c r="G409" s="423"/>
      <c r="H409" s="424">
        <v>3.1627399999999999</v>
      </c>
      <c r="I409" s="469"/>
      <c r="J409" s="460"/>
      <c r="K409" s="425"/>
      <c r="L409" s="430"/>
    </row>
    <row r="410" spans="1:12" s="427" customFormat="1" ht="12.75" hidden="1" outlineLevel="1">
      <c r="A410" s="420" t="s">
        <v>633</v>
      </c>
      <c r="B410" s="421"/>
      <c r="C410" s="422"/>
      <c r="D410" s="423"/>
      <c r="E410" s="524" t="s">
        <v>676</v>
      </c>
      <c r="F410" s="422" t="s">
        <v>652</v>
      </c>
      <c r="G410" s="423"/>
      <c r="H410" s="424">
        <v>158.85184000000001</v>
      </c>
      <c r="I410" s="469"/>
      <c r="J410" s="460"/>
      <c r="K410" s="425"/>
      <c r="L410" s="430"/>
    </row>
    <row r="411" spans="1:12" s="427" customFormat="1" ht="12.75" hidden="1" outlineLevel="1">
      <c r="A411" s="420" t="s">
        <v>633</v>
      </c>
      <c r="B411" s="421"/>
      <c r="C411" s="422"/>
      <c r="D411" s="423"/>
      <c r="E411" s="524" t="s">
        <v>732</v>
      </c>
      <c r="F411" s="422" t="s">
        <v>726</v>
      </c>
      <c r="G411" s="423"/>
      <c r="H411" s="424">
        <v>30.097709999999996</v>
      </c>
      <c r="I411" s="469"/>
      <c r="J411" s="460"/>
      <c r="K411" s="425"/>
      <c r="L411" s="430"/>
    </row>
    <row r="412" spans="1:12" s="427" customFormat="1" ht="12.75" hidden="1" outlineLevel="1">
      <c r="A412" s="420" t="s">
        <v>633</v>
      </c>
      <c r="B412" s="421"/>
      <c r="C412" s="422"/>
      <c r="D412" s="423"/>
      <c r="E412" s="524" t="s">
        <v>679</v>
      </c>
      <c r="F412" s="422" t="s">
        <v>652</v>
      </c>
      <c r="G412" s="423"/>
      <c r="H412" s="424">
        <v>226.00287</v>
      </c>
      <c r="I412" s="469"/>
      <c r="J412" s="460"/>
      <c r="K412" s="425"/>
      <c r="L412" s="430"/>
    </row>
    <row r="413" spans="1:12" s="427" customFormat="1" ht="12.75" hidden="1" outlineLevel="1">
      <c r="A413" s="420" t="s">
        <v>633</v>
      </c>
      <c r="B413" s="421"/>
      <c r="C413" s="422"/>
      <c r="D413" s="423"/>
      <c r="E413" s="524" t="s">
        <v>680</v>
      </c>
      <c r="F413" s="422" t="s">
        <v>660</v>
      </c>
      <c r="G413" s="423"/>
      <c r="H413" s="424">
        <v>428.48250000000002</v>
      </c>
      <c r="I413" s="469"/>
      <c r="J413" s="460"/>
      <c r="K413" s="425"/>
      <c r="L413" s="430"/>
    </row>
    <row r="414" spans="1:12" s="427" customFormat="1" ht="12.75" hidden="1" outlineLevel="1">
      <c r="A414" s="420" t="s">
        <v>633</v>
      </c>
      <c r="B414" s="421"/>
      <c r="C414" s="422"/>
      <c r="D414" s="423"/>
      <c r="E414" s="524" t="s">
        <v>736</v>
      </c>
      <c r="F414" s="422" t="s">
        <v>641</v>
      </c>
      <c r="G414" s="423"/>
      <c r="H414" s="424">
        <v>177.8</v>
      </c>
      <c r="I414" s="469"/>
      <c r="J414" s="460"/>
      <c r="K414" s="425"/>
      <c r="L414" s="430"/>
    </row>
    <row r="415" spans="1:12" s="427" customFormat="1" ht="12.75" hidden="1" outlineLevel="1">
      <c r="A415" s="420" t="s">
        <v>633</v>
      </c>
      <c r="B415" s="421"/>
      <c r="C415" s="422"/>
      <c r="D415" s="423"/>
      <c r="E415" s="524" t="s">
        <v>684</v>
      </c>
      <c r="F415" s="422" t="s">
        <v>685</v>
      </c>
      <c r="G415" s="423"/>
      <c r="H415" s="424">
        <v>4109.9740700000002</v>
      </c>
      <c r="I415" s="469"/>
      <c r="J415" s="460"/>
      <c r="K415" s="425"/>
      <c r="L415" s="430"/>
    </row>
    <row r="416" spans="1:12" s="427" customFormat="1" ht="12.75" hidden="1" outlineLevel="1">
      <c r="A416" s="420" t="s">
        <v>633</v>
      </c>
      <c r="B416" s="421"/>
      <c r="C416" s="422"/>
      <c r="D416" s="423"/>
      <c r="E416" s="524" t="s">
        <v>686</v>
      </c>
      <c r="F416" s="422" t="s">
        <v>685</v>
      </c>
      <c r="G416" s="423"/>
      <c r="H416" s="424">
        <v>66.272000000000006</v>
      </c>
      <c r="I416" s="469"/>
      <c r="J416" s="460"/>
      <c r="K416" s="425"/>
      <c r="L416" s="430"/>
    </row>
    <row r="417" spans="1:12" s="427" customFormat="1" ht="12.75" hidden="1" outlineLevel="1">
      <c r="A417" s="420" t="s">
        <v>633</v>
      </c>
      <c r="B417" s="421"/>
      <c r="C417" s="422"/>
      <c r="D417" s="423"/>
      <c r="E417" s="524" t="s">
        <v>687</v>
      </c>
      <c r="F417" s="422" t="s">
        <v>647</v>
      </c>
      <c r="G417" s="423"/>
      <c r="H417" s="424">
        <v>8.7200000000000006</v>
      </c>
      <c r="I417" s="469"/>
      <c r="J417" s="460"/>
      <c r="K417" s="425"/>
      <c r="L417" s="430"/>
    </row>
    <row r="418" spans="1:12" s="427" customFormat="1" ht="12.75" hidden="1" outlineLevel="1">
      <c r="A418" s="420" t="s">
        <v>633</v>
      </c>
      <c r="B418" s="421"/>
      <c r="C418" s="422"/>
      <c r="D418" s="423"/>
      <c r="E418" s="524" t="s">
        <v>688</v>
      </c>
      <c r="F418" s="422" t="s">
        <v>647</v>
      </c>
      <c r="G418" s="423"/>
      <c r="H418" s="424">
        <v>4.6124999999999998</v>
      </c>
      <c r="I418" s="469"/>
      <c r="J418" s="460"/>
      <c r="K418" s="425"/>
      <c r="L418" s="430"/>
    </row>
    <row r="419" spans="1:12" s="427" customFormat="1" ht="12.75" hidden="1" outlineLevel="1">
      <c r="A419" s="420" t="s">
        <v>633</v>
      </c>
      <c r="B419" s="421"/>
      <c r="C419" s="422"/>
      <c r="D419" s="423"/>
      <c r="E419" s="524" t="s">
        <v>694</v>
      </c>
      <c r="F419" s="422" t="s">
        <v>654</v>
      </c>
      <c r="G419" s="423"/>
      <c r="H419" s="424">
        <v>3.4203500000000004</v>
      </c>
      <c r="I419" s="469"/>
      <c r="J419" s="460"/>
      <c r="K419" s="425"/>
      <c r="L419" s="430"/>
    </row>
    <row r="420" spans="1:12" s="427" customFormat="1" ht="12.75" hidden="1" outlineLevel="1">
      <c r="A420" s="420" t="s">
        <v>633</v>
      </c>
      <c r="B420" s="421"/>
      <c r="C420" s="422"/>
      <c r="D420" s="423"/>
      <c r="E420" s="524" t="s">
        <v>696</v>
      </c>
      <c r="F420" s="422" t="s">
        <v>652</v>
      </c>
      <c r="G420" s="423"/>
      <c r="H420" s="424">
        <v>26.698560000000001</v>
      </c>
      <c r="I420" s="469"/>
      <c r="J420" s="460"/>
      <c r="K420" s="425"/>
      <c r="L420" s="430"/>
    </row>
    <row r="421" spans="1:12" s="427" customFormat="1" ht="12.75" hidden="1" outlineLevel="1">
      <c r="A421" s="420" t="s">
        <v>633</v>
      </c>
      <c r="B421" s="421"/>
      <c r="C421" s="422"/>
      <c r="D421" s="423"/>
      <c r="E421" s="524" t="s">
        <v>697</v>
      </c>
      <c r="F421" s="422" t="s">
        <v>658</v>
      </c>
      <c r="G421" s="423"/>
      <c r="H421" s="424">
        <v>0.13986000000000001</v>
      </c>
      <c r="I421" s="469"/>
      <c r="J421" s="460"/>
      <c r="K421" s="425"/>
      <c r="L421" s="430"/>
    </row>
    <row r="422" spans="1:12" s="427" customFormat="1" ht="12.75" hidden="1" outlineLevel="1">
      <c r="A422" s="420" t="s">
        <v>633</v>
      </c>
      <c r="B422" s="421"/>
      <c r="C422" s="422"/>
      <c r="D422" s="423"/>
      <c r="E422" s="524" t="s">
        <v>698</v>
      </c>
      <c r="F422" s="422" t="s">
        <v>660</v>
      </c>
      <c r="G422" s="423"/>
      <c r="H422" s="424">
        <v>69.207499999999996</v>
      </c>
      <c r="I422" s="469"/>
      <c r="J422" s="460"/>
      <c r="K422" s="425"/>
      <c r="L422" s="430"/>
    </row>
    <row r="423" spans="1:12" s="427" customFormat="1" ht="12.75" hidden="1" outlineLevel="1">
      <c r="A423" s="420" t="s">
        <v>633</v>
      </c>
      <c r="B423" s="421"/>
      <c r="C423" s="422"/>
      <c r="D423" s="423"/>
      <c r="E423" s="524" t="s">
        <v>699</v>
      </c>
      <c r="F423" s="422" t="s">
        <v>654</v>
      </c>
      <c r="G423" s="423"/>
      <c r="H423" s="424">
        <v>7877.2575500000003</v>
      </c>
      <c r="I423" s="469"/>
      <c r="J423" s="460"/>
      <c r="K423" s="425"/>
      <c r="L423" s="430"/>
    </row>
    <row r="424" spans="1:12" s="427" customFormat="1" ht="12.75" hidden="1" outlineLevel="1">
      <c r="A424" s="420" t="s">
        <v>633</v>
      </c>
      <c r="B424" s="421"/>
      <c r="C424" s="422"/>
      <c r="D424" s="423"/>
      <c r="E424" s="524" t="s">
        <v>700</v>
      </c>
      <c r="F424" s="422" t="s">
        <v>652</v>
      </c>
      <c r="G424" s="423"/>
      <c r="H424" s="424">
        <v>2443.7212800000002</v>
      </c>
      <c r="I424" s="469"/>
      <c r="J424" s="460"/>
      <c r="K424" s="425"/>
      <c r="L424" s="430"/>
    </row>
    <row r="425" spans="1:12" s="427" customFormat="1" ht="12.75" hidden="1" outlineLevel="1">
      <c r="A425" s="420" t="s">
        <v>633</v>
      </c>
      <c r="B425" s="421"/>
      <c r="C425" s="422"/>
      <c r="D425" s="423"/>
      <c r="E425" s="524" t="s">
        <v>701</v>
      </c>
      <c r="F425" s="422" t="s">
        <v>652</v>
      </c>
      <c r="G425" s="423"/>
      <c r="H425" s="424">
        <v>535.59285</v>
      </c>
      <c r="I425" s="469"/>
      <c r="J425" s="460"/>
      <c r="K425" s="425"/>
      <c r="L425" s="430"/>
    </row>
    <row r="426" spans="1:12" s="427" customFormat="1" ht="12.75" hidden="1" outlineLevel="1">
      <c r="A426" s="420" t="s">
        <v>633</v>
      </c>
      <c r="B426" s="421"/>
      <c r="C426" s="422"/>
      <c r="D426" s="423"/>
      <c r="E426" s="524" t="s">
        <v>702</v>
      </c>
      <c r="F426" s="422" t="s">
        <v>652</v>
      </c>
      <c r="G426" s="423"/>
      <c r="H426" s="424">
        <v>82.163200000000003</v>
      </c>
      <c r="I426" s="469"/>
      <c r="J426" s="460"/>
      <c r="K426" s="425"/>
      <c r="L426" s="430"/>
    </row>
    <row r="427" spans="1:12" s="427" customFormat="1" ht="12.75" hidden="1" outlineLevel="1">
      <c r="A427" s="420" t="s">
        <v>633</v>
      </c>
      <c r="B427" s="421"/>
      <c r="C427" s="422"/>
      <c r="D427" s="423"/>
      <c r="E427" s="524" t="s">
        <v>739</v>
      </c>
      <c r="F427" s="422" t="s">
        <v>726</v>
      </c>
      <c r="G427" s="423"/>
      <c r="H427" s="424">
        <v>705.78872999999987</v>
      </c>
      <c r="I427" s="469"/>
      <c r="J427" s="460"/>
      <c r="K427" s="425"/>
      <c r="L427" s="430"/>
    </row>
    <row r="428" spans="1:12" s="427" customFormat="1" ht="12.75" hidden="1" outlineLevel="1">
      <c r="A428" s="420" t="s">
        <v>633</v>
      </c>
      <c r="B428" s="421"/>
      <c r="C428" s="422"/>
      <c r="D428" s="423"/>
      <c r="E428" s="524" t="s">
        <v>705</v>
      </c>
      <c r="F428" s="422" t="s">
        <v>652</v>
      </c>
      <c r="G428" s="423"/>
      <c r="H428" s="424">
        <v>386.25103999999999</v>
      </c>
      <c r="I428" s="469"/>
      <c r="J428" s="460"/>
      <c r="K428" s="425"/>
      <c r="L428" s="430"/>
    </row>
    <row r="429" spans="1:12" s="427" customFormat="1" ht="12.75" hidden="1" outlineLevel="1">
      <c r="A429" s="420" t="s">
        <v>633</v>
      </c>
      <c r="B429" s="421"/>
      <c r="C429" s="422"/>
      <c r="D429" s="423"/>
      <c r="E429" s="524" t="s">
        <v>707</v>
      </c>
      <c r="F429" s="422" t="s">
        <v>708</v>
      </c>
      <c r="G429" s="423"/>
      <c r="H429" s="424">
        <v>1.0980000000000001</v>
      </c>
      <c r="I429" s="469"/>
      <c r="J429" s="460"/>
      <c r="K429" s="425"/>
      <c r="L429" s="430"/>
    </row>
    <row r="430" spans="1:12" s="427" customFormat="1" ht="12.75" hidden="1" outlineLevel="1">
      <c r="A430" s="420" t="s">
        <v>633</v>
      </c>
      <c r="B430" s="421"/>
      <c r="C430" s="422"/>
      <c r="D430" s="423"/>
      <c r="E430" s="524" t="s">
        <v>709</v>
      </c>
      <c r="F430" s="422" t="s">
        <v>708</v>
      </c>
      <c r="G430" s="423"/>
      <c r="H430" s="424">
        <v>17.6066</v>
      </c>
      <c r="I430" s="469"/>
      <c r="J430" s="460"/>
      <c r="K430" s="425"/>
      <c r="L430" s="430"/>
    </row>
    <row r="431" spans="1:12" s="427" customFormat="1" ht="12.75" hidden="1" outlineLevel="1">
      <c r="A431" s="420" t="s">
        <v>633</v>
      </c>
      <c r="B431" s="421"/>
      <c r="C431" s="422"/>
      <c r="D431" s="423"/>
      <c r="E431" s="524" t="s">
        <v>710</v>
      </c>
      <c r="F431" s="422" t="s">
        <v>708</v>
      </c>
      <c r="G431" s="423"/>
      <c r="H431" s="424">
        <v>2.5112000000000001</v>
      </c>
      <c r="I431" s="469"/>
      <c r="J431" s="460"/>
      <c r="K431" s="425"/>
      <c r="L431" s="430"/>
    </row>
    <row r="432" spans="1:12" s="427" customFormat="1" ht="12.75" hidden="1" outlineLevel="1">
      <c r="A432" s="420" t="s">
        <v>633</v>
      </c>
      <c r="B432" s="421"/>
      <c r="C432" s="422"/>
      <c r="D432" s="423"/>
      <c r="E432" s="524" t="s">
        <v>742</v>
      </c>
      <c r="F432" s="422" t="s">
        <v>731</v>
      </c>
      <c r="G432" s="423"/>
      <c r="H432" s="424">
        <v>4.351</v>
      </c>
      <c r="I432" s="469"/>
      <c r="J432" s="460"/>
      <c r="K432" s="425"/>
      <c r="L432" s="430"/>
    </row>
    <row r="433" spans="1:12" s="427" customFormat="1" ht="12.75" hidden="1" outlineLevel="1">
      <c r="A433" s="420" t="s">
        <v>633</v>
      </c>
      <c r="B433" s="421"/>
      <c r="C433" s="422"/>
      <c r="D433" s="423"/>
      <c r="E433" s="524" t="s">
        <v>711</v>
      </c>
      <c r="F433" s="422" t="s">
        <v>712</v>
      </c>
      <c r="G433" s="423"/>
      <c r="H433" s="424">
        <v>15.858779999999999</v>
      </c>
      <c r="I433" s="469"/>
      <c r="J433" s="460"/>
      <c r="K433" s="425"/>
      <c r="L433" s="430"/>
    </row>
    <row r="434" spans="1:12" s="427" customFormat="1" ht="12.75" hidden="1" outlineLevel="1">
      <c r="A434" s="420" t="s">
        <v>633</v>
      </c>
      <c r="B434" s="421"/>
      <c r="C434" s="422"/>
      <c r="D434" s="423"/>
      <c r="E434" s="524" t="s">
        <v>713</v>
      </c>
      <c r="F434" s="422" t="s">
        <v>708</v>
      </c>
      <c r="G434" s="423"/>
      <c r="H434" s="424">
        <v>18.139800000000001</v>
      </c>
      <c r="I434" s="469"/>
      <c r="J434" s="460"/>
      <c r="K434" s="425"/>
      <c r="L434" s="430"/>
    </row>
    <row r="435" spans="1:12" s="427" customFormat="1" ht="12.75" hidden="1" outlineLevel="1">
      <c r="A435" s="420"/>
      <c r="B435" s="421"/>
      <c r="C435" s="422"/>
      <c r="D435" s="423"/>
      <c r="E435" s="524"/>
      <c r="F435" s="422"/>
      <c r="G435" s="423"/>
      <c r="H435" s="424">
        <v>23560.84348</v>
      </c>
      <c r="I435" s="469"/>
      <c r="J435" s="460"/>
      <c r="K435" s="425"/>
      <c r="L435" s="430"/>
    </row>
    <row r="436" spans="1:12" s="427" customFormat="1" ht="12.75" hidden="1" outlineLevel="1">
      <c r="A436" s="420" t="s">
        <v>939</v>
      </c>
      <c r="B436" s="421"/>
      <c r="C436" s="422"/>
      <c r="D436" s="423"/>
      <c r="E436" s="524" t="s">
        <v>940</v>
      </c>
      <c r="F436" s="422" t="s">
        <v>432</v>
      </c>
      <c r="G436" s="423"/>
      <c r="H436" s="424"/>
      <c r="I436" s="469"/>
      <c r="J436" s="460"/>
      <c r="K436" s="425"/>
      <c r="L436" s="430"/>
    </row>
    <row r="437" spans="1:12" s="427" customFormat="1" ht="12.75" hidden="1" outlineLevel="1">
      <c r="A437" s="420" t="s">
        <v>633</v>
      </c>
      <c r="B437" s="421"/>
      <c r="C437" s="422"/>
      <c r="D437" s="423"/>
      <c r="E437" s="524" t="s">
        <v>634</v>
      </c>
      <c r="F437" s="422" t="s">
        <v>635</v>
      </c>
      <c r="G437" s="423"/>
      <c r="H437" s="424">
        <v>1.054</v>
      </c>
      <c r="I437" s="469"/>
      <c r="J437" s="460"/>
      <c r="K437" s="425"/>
      <c r="L437" s="430"/>
    </row>
    <row r="438" spans="1:12" s="427" customFormat="1" ht="12.75" hidden="1" outlineLevel="1">
      <c r="A438" s="420"/>
      <c r="B438" s="421"/>
      <c r="C438" s="422"/>
      <c r="D438" s="423"/>
      <c r="E438" s="524"/>
      <c r="F438" s="422"/>
      <c r="G438" s="423"/>
      <c r="H438" s="424">
        <v>1.054</v>
      </c>
      <c r="I438" s="469"/>
      <c r="J438" s="460"/>
      <c r="K438" s="425"/>
      <c r="L438" s="430"/>
    </row>
    <row r="439" spans="1:12" s="427" customFormat="1" ht="12.75" hidden="1" outlineLevel="1">
      <c r="A439" s="420" t="s">
        <v>941</v>
      </c>
      <c r="B439" s="421"/>
      <c r="C439" s="422"/>
      <c r="D439" s="423"/>
      <c r="E439" s="524" t="s">
        <v>942</v>
      </c>
      <c r="F439" s="422" t="s">
        <v>838</v>
      </c>
      <c r="G439" s="423"/>
      <c r="H439" s="424"/>
      <c r="I439" s="469"/>
      <c r="J439" s="460"/>
      <c r="K439" s="425"/>
      <c r="L439" s="430"/>
    </row>
    <row r="440" spans="1:12" s="427" customFormat="1" ht="12.75" hidden="1" outlineLevel="1">
      <c r="A440" s="420" t="s">
        <v>633</v>
      </c>
      <c r="B440" s="421"/>
      <c r="C440" s="422"/>
      <c r="D440" s="423"/>
      <c r="E440" s="524" t="s">
        <v>636</v>
      </c>
      <c r="F440" s="422" t="s">
        <v>756</v>
      </c>
      <c r="G440" s="423"/>
      <c r="H440" s="424">
        <v>4.3192700000000004</v>
      </c>
      <c r="I440" s="469"/>
      <c r="J440" s="460"/>
      <c r="K440" s="425"/>
      <c r="L440" s="430"/>
    </row>
    <row r="441" spans="1:12" s="427" customFormat="1" ht="12.75" hidden="1" outlineLevel="1">
      <c r="A441" s="420" t="s">
        <v>633</v>
      </c>
      <c r="B441" s="421"/>
      <c r="C441" s="422"/>
      <c r="D441" s="423"/>
      <c r="E441" s="524" t="s">
        <v>636</v>
      </c>
      <c r="F441" s="422" t="s">
        <v>637</v>
      </c>
      <c r="G441" s="423"/>
      <c r="H441" s="424">
        <v>4.4180000000000001</v>
      </c>
      <c r="I441" s="469"/>
      <c r="J441" s="460"/>
      <c r="K441" s="425"/>
      <c r="L441" s="430"/>
    </row>
    <row r="442" spans="1:12" s="427" customFormat="1" ht="12.75" hidden="1" outlineLevel="1">
      <c r="A442" s="420"/>
      <c r="B442" s="421"/>
      <c r="C442" s="422"/>
      <c r="D442" s="423"/>
      <c r="E442" s="524"/>
      <c r="F442" s="422"/>
      <c r="G442" s="423"/>
      <c r="H442" s="424">
        <v>8.7372700000000005</v>
      </c>
      <c r="I442" s="469"/>
      <c r="J442" s="460"/>
      <c r="K442" s="425"/>
      <c r="L442" s="430"/>
    </row>
    <row r="443" spans="1:12" s="427" customFormat="1" ht="12.75" hidden="1" outlineLevel="1">
      <c r="A443" s="420" t="s">
        <v>943</v>
      </c>
      <c r="B443" s="421"/>
      <c r="C443" s="422"/>
      <c r="D443" s="423"/>
      <c r="E443" s="524" t="s">
        <v>944</v>
      </c>
      <c r="F443" s="422" t="s">
        <v>815</v>
      </c>
      <c r="G443" s="423"/>
      <c r="H443" s="424"/>
      <c r="I443" s="469"/>
      <c r="J443" s="460"/>
      <c r="K443" s="425"/>
      <c r="L443" s="430"/>
    </row>
    <row r="444" spans="1:12" s="427" customFormat="1" ht="12.75" hidden="1" outlineLevel="1">
      <c r="A444" s="420" t="s">
        <v>633</v>
      </c>
      <c r="B444" s="421"/>
      <c r="C444" s="422"/>
      <c r="D444" s="423"/>
      <c r="E444" s="524" t="s">
        <v>754</v>
      </c>
      <c r="F444" s="422" t="s">
        <v>800</v>
      </c>
      <c r="G444" s="423"/>
      <c r="H444" s="424">
        <v>20</v>
      </c>
      <c r="I444" s="469"/>
      <c r="J444" s="460"/>
      <c r="K444" s="425"/>
      <c r="L444" s="430"/>
    </row>
    <row r="445" spans="1:12" s="427" customFormat="1" ht="12.75" hidden="1" outlineLevel="1">
      <c r="A445" s="420"/>
      <c r="B445" s="421"/>
      <c r="C445" s="422"/>
      <c r="D445" s="423"/>
      <c r="E445" s="524"/>
      <c r="F445" s="422"/>
      <c r="G445" s="423"/>
      <c r="H445" s="424">
        <v>20</v>
      </c>
      <c r="I445" s="469"/>
      <c r="J445" s="460"/>
      <c r="K445" s="425"/>
      <c r="L445" s="430"/>
    </row>
    <row r="446" spans="1:12" s="427" customFormat="1" ht="12.75" hidden="1" outlineLevel="1">
      <c r="A446" s="420" t="s">
        <v>945</v>
      </c>
      <c r="B446" s="421"/>
      <c r="C446" s="422"/>
      <c r="D446" s="423"/>
      <c r="E446" s="524" t="s">
        <v>946</v>
      </c>
      <c r="F446" s="422" t="s">
        <v>815</v>
      </c>
      <c r="G446" s="423"/>
      <c r="H446" s="424"/>
      <c r="I446" s="469"/>
      <c r="J446" s="460"/>
      <c r="K446" s="425"/>
      <c r="L446" s="430"/>
    </row>
    <row r="447" spans="1:12" s="427" customFormat="1" ht="12.75" hidden="1" outlineLevel="1">
      <c r="A447" s="420" t="s">
        <v>633</v>
      </c>
      <c r="B447" s="421"/>
      <c r="C447" s="422"/>
      <c r="D447" s="423"/>
      <c r="E447" s="524" t="s">
        <v>754</v>
      </c>
      <c r="F447" s="422" t="s">
        <v>800</v>
      </c>
      <c r="G447" s="423"/>
      <c r="H447" s="424">
        <v>30</v>
      </c>
      <c r="I447" s="469"/>
      <c r="J447" s="460"/>
      <c r="K447" s="425"/>
      <c r="L447" s="430"/>
    </row>
    <row r="448" spans="1:12" s="427" customFormat="1" ht="12.75" hidden="1" outlineLevel="1">
      <c r="A448" s="420"/>
      <c r="B448" s="421"/>
      <c r="C448" s="422"/>
      <c r="D448" s="423"/>
      <c r="E448" s="524"/>
      <c r="F448" s="422"/>
      <c r="G448" s="423"/>
      <c r="H448" s="424">
        <v>30</v>
      </c>
      <c r="I448" s="469"/>
      <c r="J448" s="460"/>
      <c r="K448" s="425"/>
      <c r="L448" s="430"/>
    </row>
    <row r="449" spans="1:12" s="427" customFormat="1" ht="12.75" hidden="1" outlineLevel="1">
      <c r="A449" s="420" t="s">
        <v>947</v>
      </c>
      <c r="B449" s="421"/>
      <c r="C449" s="422"/>
      <c r="D449" s="423"/>
      <c r="E449" s="524" t="s">
        <v>948</v>
      </c>
      <c r="F449" s="422" t="s">
        <v>815</v>
      </c>
      <c r="G449" s="423"/>
      <c r="H449" s="424"/>
      <c r="I449" s="469"/>
      <c r="J449" s="460"/>
      <c r="K449" s="425"/>
      <c r="L449" s="430"/>
    </row>
    <row r="450" spans="1:12" s="427" customFormat="1" ht="12.75" hidden="1" outlineLevel="1">
      <c r="A450" s="420" t="s">
        <v>633</v>
      </c>
      <c r="B450" s="421"/>
      <c r="C450" s="422"/>
      <c r="D450" s="423"/>
      <c r="E450" s="524" t="s">
        <v>754</v>
      </c>
      <c r="F450" s="422" t="s">
        <v>800</v>
      </c>
      <c r="G450" s="423"/>
      <c r="H450" s="424">
        <v>30</v>
      </c>
      <c r="I450" s="469"/>
      <c r="J450" s="460"/>
      <c r="K450" s="425"/>
      <c r="L450" s="430"/>
    </row>
    <row r="451" spans="1:12" s="427" customFormat="1" ht="12.75" hidden="1" outlineLevel="1">
      <c r="A451" s="420"/>
      <c r="B451" s="421"/>
      <c r="C451" s="422"/>
      <c r="D451" s="423"/>
      <c r="E451" s="524"/>
      <c r="F451" s="422"/>
      <c r="G451" s="423"/>
      <c r="H451" s="424">
        <v>30</v>
      </c>
      <c r="I451" s="469"/>
      <c r="J451" s="460"/>
      <c r="K451" s="425"/>
      <c r="L451" s="430"/>
    </row>
    <row r="452" spans="1:12" s="427" customFormat="1" ht="12.75" hidden="1" outlineLevel="1">
      <c r="A452" s="420" t="s">
        <v>949</v>
      </c>
      <c r="B452" s="421"/>
      <c r="C452" s="422"/>
      <c r="D452" s="423"/>
      <c r="E452" s="524" t="s">
        <v>950</v>
      </c>
      <c r="F452" s="422" t="s">
        <v>815</v>
      </c>
      <c r="G452" s="423"/>
      <c r="H452" s="424"/>
      <c r="I452" s="469"/>
      <c r="J452" s="460"/>
      <c r="K452" s="425"/>
      <c r="L452" s="430"/>
    </row>
    <row r="453" spans="1:12" s="427" customFormat="1" ht="12.75" hidden="1" outlineLevel="1">
      <c r="A453" s="420" t="s">
        <v>633</v>
      </c>
      <c r="B453" s="421"/>
      <c r="C453" s="422"/>
      <c r="D453" s="423"/>
      <c r="E453" s="524" t="s">
        <v>754</v>
      </c>
      <c r="F453" s="422" t="s">
        <v>800</v>
      </c>
      <c r="G453" s="423"/>
      <c r="H453" s="424">
        <v>50</v>
      </c>
      <c r="I453" s="469"/>
      <c r="J453" s="460"/>
      <c r="K453" s="425"/>
      <c r="L453" s="430"/>
    </row>
    <row r="454" spans="1:12" s="427" customFormat="1" ht="12.75" hidden="1" outlineLevel="1">
      <c r="A454" s="420"/>
      <c r="B454" s="421"/>
      <c r="C454" s="422"/>
      <c r="D454" s="423"/>
      <c r="E454" s="524"/>
      <c r="F454" s="422"/>
      <c r="G454" s="423"/>
      <c r="H454" s="424">
        <v>50</v>
      </c>
      <c r="I454" s="469"/>
      <c r="J454" s="460"/>
      <c r="K454" s="425"/>
      <c r="L454" s="430"/>
    </row>
    <row r="455" spans="1:12" s="427" customFormat="1" ht="12.75" hidden="1" outlineLevel="1">
      <c r="A455" s="420" t="s">
        <v>951</v>
      </c>
      <c r="B455" s="421"/>
      <c r="C455" s="422"/>
      <c r="D455" s="423"/>
      <c r="E455" s="524" t="s">
        <v>952</v>
      </c>
      <c r="F455" s="422" t="s">
        <v>815</v>
      </c>
      <c r="G455" s="423"/>
      <c r="H455" s="424"/>
      <c r="I455" s="469"/>
      <c r="J455" s="460"/>
      <c r="K455" s="425"/>
      <c r="L455" s="430"/>
    </row>
    <row r="456" spans="1:12" s="427" customFormat="1" ht="12.75" hidden="1" outlineLevel="1">
      <c r="A456" s="420" t="s">
        <v>633</v>
      </c>
      <c r="B456" s="421"/>
      <c r="C456" s="422"/>
      <c r="D456" s="423"/>
      <c r="E456" s="524" t="s">
        <v>754</v>
      </c>
      <c r="F456" s="422" t="s">
        <v>800</v>
      </c>
      <c r="G456" s="423"/>
      <c r="H456" s="424">
        <v>10</v>
      </c>
      <c r="I456" s="469"/>
      <c r="J456" s="460"/>
      <c r="K456" s="425"/>
      <c r="L456" s="430"/>
    </row>
    <row r="457" spans="1:12" s="427" customFormat="1" ht="12.75" hidden="1" outlineLevel="1">
      <c r="A457" s="420"/>
      <c r="B457" s="421"/>
      <c r="C457" s="422"/>
      <c r="D457" s="423"/>
      <c r="E457" s="524"/>
      <c r="F457" s="422"/>
      <c r="G457" s="423"/>
      <c r="H457" s="424">
        <v>10</v>
      </c>
      <c r="I457" s="469"/>
      <c r="J457" s="460"/>
      <c r="K457" s="425"/>
      <c r="L457" s="430"/>
    </row>
    <row r="458" spans="1:12" s="427" customFormat="1" ht="12.75" hidden="1" outlineLevel="1">
      <c r="A458" s="420" t="s">
        <v>953</v>
      </c>
      <c r="B458" s="421"/>
      <c r="C458" s="422"/>
      <c r="D458" s="423"/>
      <c r="E458" s="524" t="s">
        <v>954</v>
      </c>
      <c r="F458" s="422" t="s">
        <v>815</v>
      </c>
      <c r="G458" s="423"/>
      <c r="H458" s="424"/>
      <c r="I458" s="469"/>
      <c r="J458" s="460"/>
      <c r="K458" s="425"/>
      <c r="L458" s="430"/>
    </row>
    <row r="459" spans="1:12" s="427" customFormat="1" ht="12.75" hidden="1" outlineLevel="1">
      <c r="A459" s="420" t="s">
        <v>633</v>
      </c>
      <c r="B459" s="421"/>
      <c r="C459" s="422"/>
      <c r="D459" s="423"/>
      <c r="E459" s="524" t="s">
        <v>754</v>
      </c>
      <c r="F459" s="422" t="s">
        <v>800</v>
      </c>
      <c r="G459" s="423"/>
      <c r="H459" s="424">
        <v>20</v>
      </c>
      <c r="I459" s="469"/>
      <c r="J459" s="460"/>
      <c r="K459" s="425"/>
      <c r="L459" s="430"/>
    </row>
    <row r="460" spans="1:12" s="427" customFormat="1" ht="12.75" hidden="1" outlineLevel="1">
      <c r="A460" s="420"/>
      <c r="B460" s="421"/>
      <c r="C460" s="422"/>
      <c r="D460" s="423"/>
      <c r="E460" s="524"/>
      <c r="F460" s="422"/>
      <c r="G460" s="423"/>
      <c r="H460" s="424">
        <v>20</v>
      </c>
      <c r="I460" s="469"/>
      <c r="J460" s="460"/>
      <c r="K460" s="425"/>
      <c r="L460" s="430"/>
    </row>
    <row r="461" spans="1:12" s="427" customFormat="1" ht="12.75" hidden="1" outlineLevel="1">
      <c r="A461" s="420"/>
      <c r="B461" s="421"/>
      <c r="C461" s="422"/>
      <c r="D461" s="423"/>
      <c r="E461" s="524"/>
      <c r="F461" s="422"/>
      <c r="G461" s="423"/>
      <c r="H461" s="424"/>
      <c r="I461" s="469"/>
      <c r="J461" s="460"/>
      <c r="K461" s="425"/>
      <c r="L461" s="430"/>
    </row>
    <row r="462" spans="1:12" s="427" customFormat="1" ht="12.75" collapsed="1">
      <c r="A462" s="420" t="s">
        <v>955</v>
      </c>
      <c r="B462" s="431" t="s">
        <v>956</v>
      </c>
      <c r="C462" s="541"/>
      <c r="D462" s="542" t="s">
        <v>842</v>
      </c>
      <c r="E462" s="525"/>
      <c r="F462" s="432"/>
      <c r="G462" s="433"/>
      <c r="H462" s="434"/>
      <c r="I462" s="470"/>
      <c r="J462" s="461">
        <f>SUM(J463:J480)</f>
        <v>6.1</v>
      </c>
      <c r="K462" s="425">
        <v>281190.65999999997</v>
      </c>
      <c r="L462" s="430"/>
    </row>
    <row r="463" spans="1:12" s="427" customFormat="1" ht="12.75">
      <c r="A463" s="420" t="s">
        <v>633</v>
      </c>
      <c r="B463" s="421"/>
      <c r="C463" s="422"/>
      <c r="D463" s="423"/>
      <c r="E463" s="525" t="s">
        <v>634</v>
      </c>
      <c r="F463" s="432" t="s">
        <v>356</v>
      </c>
      <c r="G463" s="433" t="s">
        <v>433</v>
      </c>
      <c r="H463" s="434">
        <v>22</v>
      </c>
      <c r="I463" s="470">
        <f>LOOKUP(E463,valoriz!$A$13:$A$242,valoriz!I$13:I$242)</f>
        <v>0</v>
      </c>
      <c r="J463" s="462">
        <f t="shared" ref="J463:J480" si="6">ROUND(I463*H463,2)</f>
        <v>0</v>
      </c>
      <c r="K463" s="425"/>
      <c r="L463" s="430"/>
    </row>
    <row r="464" spans="1:12" s="427" customFormat="1" ht="12.75">
      <c r="A464" s="420" t="s">
        <v>633</v>
      </c>
      <c r="B464" s="421"/>
      <c r="C464" s="422"/>
      <c r="D464" s="423"/>
      <c r="E464" s="519" t="s">
        <v>636</v>
      </c>
      <c r="F464" s="514" t="s">
        <v>355</v>
      </c>
      <c r="G464" s="515" t="s">
        <v>354</v>
      </c>
      <c r="H464" s="516">
        <v>55.43139882299684</v>
      </c>
      <c r="I464" s="517">
        <f>LOOKUP(E464,valoriz!$A$13:$A$242,valoriz!I$13:I$242)</f>
        <v>0.10999999999999999</v>
      </c>
      <c r="J464" s="518">
        <f t="shared" si="6"/>
        <v>6.1</v>
      </c>
      <c r="K464" s="425"/>
      <c r="L464" s="430"/>
    </row>
    <row r="465" spans="1:12" s="427" customFormat="1" ht="12.75">
      <c r="A465" s="420" t="s">
        <v>633</v>
      </c>
      <c r="B465" s="421"/>
      <c r="C465" s="422"/>
      <c r="D465" s="423"/>
      <c r="E465" s="519" t="s">
        <v>760</v>
      </c>
      <c r="F465" s="514" t="s">
        <v>605</v>
      </c>
      <c r="G465" s="515" t="s">
        <v>434</v>
      </c>
      <c r="H465" s="516">
        <v>4.6749999999999998</v>
      </c>
      <c r="I465" s="517">
        <f>LOOKUP(E465,valoriz!$A$13:$A$242,valoriz!I$13:I$242)</f>
        <v>0</v>
      </c>
      <c r="J465" s="518">
        <f t="shared" si="6"/>
        <v>0</v>
      </c>
      <c r="K465" s="425"/>
      <c r="L465" s="430"/>
    </row>
    <row r="466" spans="1:12" s="427" customFormat="1" ht="12.75">
      <c r="A466" s="420" t="s">
        <v>633</v>
      </c>
      <c r="B466" s="421"/>
      <c r="C466" s="422"/>
      <c r="D466" s="423"/>
      <c r="E466" s="519" t="s">
        <v>761</v>
      </c>
      <c r="F466" s="514" t="s">
        <v>605</v>
      </c>
      <c r="G466" s="515" t="s">
        <v>434</v>
      </c>
      <c r="H466" s="516">
        <v>4.6669999999999998</v>
      </c>
      <c r="I466" s="517">
        <f>LOOKUP(E466,valoriz!$A$13:$A$242,valoriz!I$13:I$242)</f>
        <v>0</v>
      </c>
      <c r="J466" s="518">
        <f t="shared" si="6"/>
        <v>0</v>
      </c>
      <c r="K466" s="425"/>
      <c r="L466" s="430"/>
    </row>
    <row r="467" spans="1:12" s="427" customFormat="1" ht="12.75">
      <c r="A467" s="420" t="s">
        <v>633</v>
      </c>
      <c r="B467" s="421"/>
      <c r="C467" s="422"/>
      <c r="D467" s="423"/>
      <c r="E467" s="519" t="s">
        <v>790</v>
      </c>
      <c r="F467" s="514" t="s">
        <v>605</v>
      </c>
      <c r="G467" s="515" t="s">
        <v>434</v>
      </c>
      <c r="H467" s="516">
        <v>4.6669999999999998</v>
      </c>
      <c r="I467" s="517">
        <f>LOOKUP(E467,valoriz!$A$13:$A$242,valoriz!I$13:I$242)</f>
        <v>0</v>
      </c>
      <c r="J467" s="518">
        <f t="shared" si="6"/>
        <v>0</v>
      </c>
      <c r="K467" s="425"/>
      <c r="L467" s="430"/>
    </row>
    <row r="468" spans="1:12" s="427" customFormat="1" ht="12.75">
      <c r="A468" s="420" t="s">
        <v>633</v>
      </c>
      <c r="B468" s="421"/>
      <c r="C468" s="422"/>
      <c r="D468" s="423"/>
      <c r="E468" s="519" t="s">
        <v>762</v>
      </c>
      <c r="F468" s="514" t="s">
        <v>605</v>
      </c>
      <c r="G468" s="515" t="s">
        <v>434</v>
      </c>
      <c r="H468" s="516">
        <v>4.6670000000000007</v>
      </c>
      <c r="I468" s="517">
        <f>LOOKUP(E468,valoriz!$A$13:$A$242,valoriz!I$13:I$242)</f>
        <v>0</v>
      </c>
      <c r="J468" s="518">
        <f t="shared" si="6"/>
        <v>0</v>
      </c>
      <c r="K468" s="425"/>
      <c r="L468" s="430"/>
    </row>
    <row r="469" spans="1:12" s="427" customFormat="1" ht="12.75">
      <c r="A469" s="420" t="s">
        <v>633</v>
      </c>
      <c r="B469" s="421"/>
      <c r="C469" s="422"/>
      <c r="D469" s="423"/>
      <c r="E469" s="519" t="s">
        <v>670</v>
      </c>
      <c r="F469" s="514" t="s">
        <v>606</v>
      </c>
      <c r="G469" s="515" t="s">
        <v>434</v>
      </c>
      <c r="H469" s="516">
        <v>5</v>
      </c>
      <c r="I469" s="517">
        <f>LOOKUP(E469,valoriz!$A$13:$A$242,valoriz!I$13:I$242)</f>
        <v>0</v>
      </c>
      <c r="J469" s="518">
        <f t="shared" si="6"/>
        <v>0</v>
      </c>
      <c r="K469" s="425"/>
      <c r="L469" s="430"/>
    </row>
    <row r="470" spans="1:12" s="427" customFormat="1" ht="12.75">
      <c r="A470" s="420" t="s">
        <v>633</v>
      </c>
      <c r="B470" s="421"/>
      <c r="C470" s="422"/>
      <c r="D470" s="423"/>
      <c r="E470" s="519" t="s">
        <v>769</v>
      </c>
      <c r="F470" s="514" t="s">
        <v>605</v>
      </c>
      <c r="G470" s="515" t="s">
        <v>434</v>
      </c>
      <c r="H470" s="516">
        <v>4.6669999999999998</v>
      </c>
      <c r="I470" s="517">
        <f>LOOKUP(E470,valoriz!$A$13:$A$242,valoriz!I$13:I$242)</f>
        <v>0</v>
      </c>
      <c r="J470" s="518">
        <f t="shared" si="6"/>
        <v>0</v>
      </c>
      <c r="K470" s="425"/>
      <c r="L470" s="430"/>
    </row>
    <row r="471" spans="1:12" s="427" customFormat="1" ht="12.75">
      <c r="A471" s="420" t="s">
        <v>633</v>
      </c>
      <c r="B471" s="421"/>
      <c r="C471" s="422"/>
      <c r="D471" s="423"/>
      <c r="E471" s="519" t="s">
        <v>684</v>
      </c>
      <c r="F471" s="514" t="s">
        <v>1114</v>
      </c>
      <c r="G471" s="515" t="s">
        <v>431</v>
      </c>
      <c r="H471" s="516">
        <v>0.9</v>
      </c>
      <c r="I471" s="517">
        <f>LOOKUP(E471,valoriz!$A$13:$A$242,valoriz!I$13:I$242)</f>
        <v>0</v>
      </c>
      <c r="J471" s="518">
        <f t="shared" si="6"/>
        <v>0</v>
      </c>
      <c r="K471" s="425"/>
      <c r="L471" s="430"/>
    </row>
    <row r="472" spans="1:12" s="427" customFormat="1" ht="12.75">
      <c r="A472" s="420" t="s">
        <v>633</v>
      </c>
      <c r="B472" s="421"/>
      <c r="C472" s="422"/>
      <c r="D472" s="423"/>
      <c r="E472" s="519" t="s">
        <v>686</v>
      </c>
      <c r="F472" s="514" t="s">
        <v>1113</v>
      </c>
      <c r="G472" s="515" t="s">
        <v>431</v>
      </c>
      <c r="H472" s="516">
        <v>7.4667199999999987</v>
      </c>
      <c r="I472" s="517">
        <f>LOOKUP(E472,valoriz!$A$13:$A$242,valoriz!I$13:I$242)</f>
        <v>0</v>
      </c>
      <c r="J472" s="518">
        <f t="shared" si="6"/>
        <v>0</v>
      </c>
      <c r="K472" s="425"/>
      <c r="L472" s="430"/>
    </row>
    <row r="473" spans="1:12" s="427" customFormat="1" ht="12.75">
      <c r="A473" s="420" t="s">
        <v>633</v>
      </c>
      <c r="B473" s="421"/>
      <c r="C473" s="422"/>
      <c r="D473" s="423"/>
      <c r="E473" s="519" t="s">
        <v>687</v>
      </c>
      <c r="F473" s="514" t="s">
        <v>1112</v>
      </c>
      <c r="G473" s="515" t="s">
        <v>433</v>
      </c>
      <c r="H473" s="516">
        <v>0.67200479357798171</v>
      </c>
      <c r="I473" s="517">
        <f>LOOKUP(E473,valoriz!$A$13:$A$242,valoriz!I$13:I$242)</f>
        <v>0</v>
      </c>
      <c r="J473" s="518">
        <f t="shared" si="6"/>
        <v>0</v>
      </c>
      <c r="K473" s="425"/>
      <c r="L473" s="430"/>
    </row>
    <row r="474" spans="1:12" s="427" customFormat="1" ht="12.75">
      <c r="A474" s="420" t="s">
        <v>633</v>
      </c>
      <c r="B474" s="421"/>
      <c r="C474" s="422"/>
      <c r="D474" s="423"/>
      <c r="E474" s="519" t="s">
        <v>688</v>
      </c>
      <c r="F474" s="514" t="s">
        <v>1111</v>
      </c>
      <c r="G474" s="515" t="s">
        <v>433</v>
      </c>
      <c r="H474" s="516">
        <v>2.3356833333333333</v>
      </c>
      <c r="I474" s="517">
        <f>LOOKUP(E474,valoriz!$A$13:$A$242,valoriz!I$13:I$242)</f>
        <v>0</v>
      </c>
      <c r="J474" s="518">
        <f t="shared" si="6"/>
        <v>0</v>
      </c>
      <c r="K474" s="425"/>
      <c r="L474" s="430"/>
    </row>
    <row r="475" spans="1:12" s="427" customFormat="1" ht="12.75">
      <c r="A475" s="420" t="s">
        <v>633</v>
      </c>
      <c r="B475" s="421"/>
      <c r="C475" s="422"/>
      <c r="D475" s="423"/>
      <c r="E475" s="519" t="s">
        <v>775</v>
      </c>
      <c r="F475" s="514" t="s">
        <v>605</v>
      </c>
      <c r="G475" s="515" t="s">
        <v>434</v>
      </c>
      <c r="H475" s="516">
        <v>4.6669999999999998</v>
      </c>
      <c r="I475" s="517">
        <f>LOOKUP(E475,valoriz!$A$13:$A$242,valoriz!I$13:I$242)</f>
        <v>0</v>
      </c>
      <c r="J475" s="518">
        <f t="shared" si="6"/>
        <v>0</v>
      </c>
      <c r="K475" s="425"/>
      <c r="L475" s="430"/>
    </row>
    <row r="476" spans="1:12" s="427" customFormat="1" ht="12.75">
      <c r="A476" s="420" t="s">
        <v>633</v>
      </c>
      <c r="B476" s="421"/>
      <c r="C476" s="422"/>
      <c r="D476" s="423"/>
      <c r="E476" s="519" t="s">
        <v>776</v>
      </c>
      <c r="F476" s="514" t="s">
        <v>605</v>
      </c>
      <c r="G476" s="515" t="s">
        <v>434</v>
      </c>
      <c r="H476" s="516">
        <v>4.6666999999402243</v>
      </c>
      <c r="I476" s="517">
        <f>LOOKUP(E476,valoriz!$A$13:$A$242,valoriz!I$13:I$242)</f>
        <v>0</v>
      </c>
      <c r="J476" s="518">
        <f t="shared" si="6"/>
        <v>0</v>
      </c>
      <c r="K476" s="425"/>
      <c r="L476" s="430"/>
    </row>
    <row r="477" spans="1:12" s="427" customFormat="1" ht="12.75">
      <c r="A477" s="420" t="s">
        <v>633</v>
      </c>
      <c r="B477" s="421"/>
      <c r="C477" s="422"/>
      <c r="D477" s="423"/>
      <c r="E477" s="519" t="s">
        <v>707</v>
      </c>
      <c r="F477" s="514" t="s">
        <v>1096</v>
      </c>
      <c r="G477" s="515" t="s">
        <v>433</v>
      </c>
      <c r="H477" s="516">
        <v>2.3800168888888886</v>
      </c>
      <c r="I477" s="517">
        <f>LOOKUP(E477,valoriz!$A$13:$A$242,valoriz!I$13:I$242)</f>
        <v>0</v>
      </c>
      <c r="J477" s="518">
        <f t="shared" si="6"/>
        <v>0</v>
      </c>
      <c r="K477" s="425"/>
      <c r="L477" s="430"/>
    </row>
    <row r="478" spans="1:12" s="427" customFormat="1" ht="12.75">
      <c r="A478" s="420" t="s">
        <v>633</v>
      </c>
      <c r="B478" s="421"/>
      <c r="C478" s="422"/>
      <c r="D478" s="423"/>
      <c r="E478" s="519" t="s">
        <v>709</v>
      </c>
      <c r="F478" s="514" t="s">
        <v>1095</v>
      </c>
      <c r="G478" s="515" t="s">
        <v>433</v>
      </c>
      <c r="H478" s="516">
        <v>5.6000400000000008</v>
      </c>
      <c r="I478" s="517">
        <f>LOOKUP(E478,valoriz!$A$13:$A$242,valoriz!I$13:I$242)</f>
        <v>0</v>
      </c>
      <c r="J478" s="518">
        <f t="shared" si="6"/>
        <v>0</v>
      </c>
      <c r="K478" s="425"/>
      <c r="L478" s="430"/>
    </row>
    <row r="479" spans="1:12" s="427" customFormat="1" ht="12.75">
      <c r="A479" s="420" t="s">
        <v>633</v>
      </c>
      <c r="B479" s="421"/>
      <c r="C479" s="422"/>
      <c r="D479" s="423"/>
      <c r="E479" s="519" t="s">
        <v>710</v>
      </c>
      <c r="F479" s="514" t="s">
        <v>1094</v>
      </c>
      <c r="G479" s="515" t="s">
        <v>433</v>
      </c>
      <c r="H479" s="516">
        <v>5.6000399999999999</v>
      </c>
      <c r="I479" s="517">
        <f>LOOKUP(E479,valoriz!$A$13:$A$242,valoriz!I$13:I$242)</f>
        <v>0</v>
      </c>
      <c r="J479" s="518">
        <f t="shared" si="6"/>
        <v>0</v>
      </c>
      <c r="K479" s="425"/>
      <c r="L479" s="430"/>
    </row>
    <row r="480" spans="1:12" s="427" customFormat="1" ht="12.75">
      <c r="A480" s="420" t="s">
        <v>633</v>
      </c>
      <c r="B480" s="421"/>
      <c r="C480" s="422"/>
      <c r="D480" s="423"/>
      <c r="E480" s="519" t="s">
        <v>742</v>
      </c>
      <c r="F480" s="514" t="s">
        <v>1093</v>
      </c>
      <c r="G480" s="515" t="s">
        <v>433</v>
      </c>
      <c r="H480" s="516">
        <v>5.9733760526315791</v>
      </c>
      <c r="I480" s="517">
        <f>LOOKUP(E480,valoriz!$A$13:$A$242,valoriz!I$13:I$242)</f>
        <v>0</v>
      </c>
      <c r="J480" s="518">
        <f t="shared" si="6"/>
        <v>0</v>
      </c>
      <c r="K480" s="425"/>
      <c r="L480" s="430"/>
    </row>
    <row r="481" spans="1:12" ht="12.75">
      <c r="B481" s="431"/>
      <c r="C481" s="432"/>
      <c r="D481" s="433"/>
      <c r="E481" s="525"/>
      <c r="F481" s="432"/>
      <c r="G481" s="433"/>
      <c r="H481" s="434"/>
      <c r="I481" s="470"/>
      <c r="J481" s="461"/>
      <c r="K481" s="425"/>
      <c r="L481" s="430"/>
    </row>
    <row r="482" spans="1:12" s="427" customFormat="1" ht="12.75" hidden="1" outlineLevel="1">
      <c r="A482" s="420" t="s">
        <v>957</v>
      </c>
      <c r="B482" s="421"/>
      <c r="C482" s="422"/>
      <c r="D482" s="423"/>
      <c r="E482" s="524" t="s">
        <v>958</v>
      </c>
      <c r="F482" s="422" t="s">
        <v>815</v>
      </c>
      <c r="G482" s="423"/>
      <c r="H482" s="442"/>
      <c r="I482" s="469"/>
      <c r="J482" s="460"/>
      <c r="K482" s="425"/>
      <c r="L482" s="430"/>
    </row>
    <row r="483" spans="1:12" s="427" customFormat="1" ht="12.75" hidden="1" outlineLevel="1">
      <c r="A483" s="420" t="s">
        <v>633</v>
      </c>
      <c r="B483" s="421"/>
      <c r="C483" s="422"/>
      <c r="D483" s="423"/>
      <c r="E483" s="524" t="s">
        <v>787</v>
      </c>
      <c r="F483" s="422" t="s">
        <v>731</v>
      </c>
      <c r="G483" s="423"/>
      <c r="H483" s="435">
        <v>4678</v>
      </c>
      <c r="I483" s="469"/>
      <c r="J483" s="460"/>
      <c r="K483" s="425"/>
      <c r="L483" s="430"/>
    </row>
    <row r="484" spans="1:12" s="427" customFormat="1" ht="12.75" hidden="1" outlineLevel="1">
      <c r="A484" s="436"/>
      <c r="B484" s="437"/>
      <c r="D484" s="438"/>
      <c r="E484" s="526"/>
      <c r="G484" s="438"/>
      <c r="H484" s="435">
        <v>4678</v>
      </c>
      <c r="I484" s="469"/>
      <c r="J484" s="460"/>
      <c r="K484" s="425"/>
      <c r="L484" s="430"/>
    </row>
    <row r="485" spans="1:12" s="427" customFormat="1" ht="12.75" hidden="1" outlineLevel="1">
      <c r="A485" s="420" t="s">
        <v>959</v>
      </c>
      <c r="B485" s="421"/>
      <c r="C485" s="422"/>
      <c r="D485" s="423"/>
      <c r="E485" s="524" t="s">
        <v>960</v>
      </c>
      <c r="F485" s="422" t="s">
        <v>815</v>
      </c>
      <c r="G485" s="423"/>
      <c r="H485" s="442"/>
      <c r="I485" s="469"/>
      <c r="J485" s="460"/>
      <c r="K485" s="425"/>
      <c r="L485" s="430"/>
    </row>
    <row r="486" spans="1:12" s="427" customFormat="1" ht="12.75" hidden="1" outlineLevel="1">
      <c r="A486" s="420" t="s">
        <v>633</v>
      </c>
      <c r="B486" s="421"/>
      <c r="C486" s="422"/>
      <c r="D486" s="423"/>
      <c r="E486" s="524" t="s">
        <v>706</v>
      </c>
      <c r="F486" s="422" t="s">
        <v>641</v>
      </c>
      <c r="G486" s="423"/>
      <c r="H486" s="435">
        <v>495.61500000000001</v>
      </c>
      <c r="I486" s="469"/>
      <c r="J486" s="460"/>
      <c r="K486" s="425"/>
      <c r="L486" s="430"/>
    </row>
    <row r="487" spans="1:12" s="427" customFormat="1" ht="12.75" hidden="1" outlineLevel="1">
      <c r="A487" s="436"/>
      <c r="B487" s="437"/>
      <c r="D487" s="438"/>
      <c r="E487" s="526"/>
      <c r="G487" s="438"/>
      <c r="H487" s="435">
        <v>495.61500000000001</v>
      </c>
      <c r="I487" s="469"/>
      <c r="J487" s="460"/>
      <c r="K487" s="425"/>
      <c r="L487" s="430"/>
    </row>
    <row r="488" spans="1:12" s="427" customFormat="1" ht="12.75" hidden="1" outlineLevel="1">
      <c r="A488" s="420" t="s">
        <v>961</v>
      </c>
      <c r="B488" s="421"/>
      <c r="C488" s="422"/>
      <c r="D488" s="423"/>
      <c r="E488" s="524" t="s">
        <v>962</v>
      </c>
      <c r="F488" s="422" t="s">
        <v>815</v>
      </c>
      <c r="G488" s="423"/>
      <c r="H488" s="442"/>
      <c r="I488" s="469"/>
      <c r="J488" s="460"/>
      <c r="K488" s="425"/>
      <c r="L488" s="430"/>
    </row>
    <row r="489" spans="1:12" s="427" customFormat="1" ht="12.75" hidden="1" outlineLevel="1">
      <c r="A489" s="420" t="s">
        <v>633</v>
      </c>
      <c r="B489" s="421"/>
      <c r="C489" s="422"/>
      <c r="D489" s="423"/>
      <c r="E489" s="524" t="s">
        <v>706</v>
      </c>
      <c r="F489" s="422" t="s">
        <v>641</v>
      </c>
      <c r="G489" s="423"/>
      <c r="H489" s="435">
        <v>639.44768999999997</v>
      </c>
      <c r="I489" s="469"/>
      <c r="J489" s="460"/>
      <c r="K489" s="425"/>
      <c r="L489" s="430"/>
    </row>
    <row r="490" spans="1:12" s="427" customFormat="1" ht="12.75" hidden="1" outlineLevel="1">
      <c r="A490" s="436"/>
      <c r="B490" s="437"/>
      <c r="D490" s="438"/>
      <c r="E490" s="526"/>
      <c r="G490" s="438"/>
      <c r="H490" s="435">
        <v>639.44768999999997</v>
      </c>
      <c r="I490" s="469"/>
      <c r="J490" s="460"/>
      <c r="K490" s="425"/>
      <c r="L490" s="430"/>
    </row>
    <row r="491" spans="1:12" s="427" customFormat="1" ht="12.75" hidden="1" outlineLevel="1">
      <c r="A491" s="420" t="s">
        <v>963</v>
      </c>
      <c r="B491" s="421"/>
      <c r="C491" s="422"/>
      <c r="D491" s="423"/>
      <c r="E491" s="524" t="s">
        <v>964</v>
      </c>
      <c r="F491" s="422" t="s">
        <v>838</v>
      </c>
      <c r="G491" s="423"/>
      <c r="H491" s="442"/>
      <c r="I491" s="469"/>
      <c r="J491" s="460"/>
      <c r="K491" s="425"/>
      <c r="L491" s="430"/>
    </row>
    <row r="492" spans="1:12" s="427" customFormat="1" ht="12.75" hidden="1" outlineLevel="1">
      <c r="A492" s="420" t="s">
        <v>633</v>
      </c>
      <c r="B492" s="421"/>
      <c r="C492" s="422"/>
      <c r="D492" s="423"/>
      <c r="E492" s="524" t="s">
        <v>765</v>
      </c>
      <c r="F492" s="422" t="s">
        <v>766</v>
      </c>
      <c r="G492" s="423"/>
      <c r="H492" s="435">
        <v>6.1993799999999997</v>
      </c>
      <c r="I492" s="469"/>
      <c r="J492" s="460"/>
      <c r="K492" s="425"/>
      <c r="L492" s="430"/>
    </row>
    <row r="493" spans="1:12" s="427" customFormat="1" ht="12.75" hidden="1" outlineLevel="1">
      <c r="A493" s="436"/>
      <c r="B493" s="437"/>
      <c r="D493" s="438"/>
      <c r="E493" s="526"/>
      <c r="G493" s="438"/>
      <c r="H493" s="435">
        <v>6.1993799999999997</v>
      </c>
      <c r="I493" s="469"/>
      <c r="J493" s="460"/>
      <c r="K493" s="425"/>
      <c r="L493" s="430"/>
    </row>
    <row r="494" spans="1:12" s="427" customFormat="1" ht="12.75" hidden="1" outlineLevel="1">
      <c r="A494" s="420" t="s">
        <v>965</v>
      </c>
      <c r="B494" s="421"/>
      <c r="C494" s="422"/>
      <c r="D494" s="423"/>
      <c r="E494" s="524" t="s">
        <v>966</v>
      </c>
      <c r="F494" s="422" t="s">
        <v>431</v>
      </c>
      <c r="G494" s="423"/>
      <c r="H494" s="442"/>
      <c r="I494" s="469"/>
      <c r="J494" s="460"/>
      <c r="K494" s="425"/>
      <c r="L494" s="430"/>
    </row>
    <row r="495" spans="1:12" s="427" customFormat="1" ht="12.75" hidden="1" outlineLevel="1">
      <c r="A495" s="420" t="s">
        <v>633</v>
      </c>
      <c r="B495" s="421"/>
      <c r="C495" s="422"/>
      <c r="D495" s="423"/>
      <c r="E495" s="524" t="s">
        <v>783</v>
      </c>
      <c r="F495" s="422" t="s">
        <v>708</v>
      </c>
      <c r="G495" s="423"/>
      <c r="H495" s="435">
        <v>342.05</v>
      </c>
      <c r="I495" s="469"/>
      <c r="J495" s="460"/>
      <c r="K495" s="425"/>
      <c r="L495" s="430"/>
    </row>
    <row r="496" spans="1:12" s="427" customFormat="1" ht="12.75" hidden="1" outlineLevel="1">
      <c r="A496" s="436"/>
      <c r="B496" s="437"/>
      <c r="D496" s="438"/>
      <c r="E496" s="526"/>
      <c r="G496" s="438"/>
      <c r="H496" s="435">
        <v>342.05</v>
      </c>
      <c r="I496" s="469"/>
      <c r="J496" s="460"/>
      <c r="K496" s="425"/>
      <c r="L496" s="430"/>
    </row>
    <row r="497" spans="1:12" s="427" customFormat="1" ht="12.75" hidden="1" outlineLevel="1">
      <c r="A497" s="420" t="s">
        <v>967</v>
      </c>
      <c r="B497" s="421"/>
      <c r="C497" s="422"/>
      <c r="D497" s="423"/>
      <c r="E497" s="524" t="s">
        <v>968</v>
      </c>
      <c r="F497" s="422" t="s">
        <v>431</v>
      </c>
      <c r="G497" s="423"/>
      <c r="H497" s="442"/>
      <c r="I497" s="469"/>
      <c r="J497" s="460"/>
      <c r="K497" s="425"/>
      <c r="L497" s="430"/>
    </row>
    <row r="498" spans="1:12" s="427" customFormat="1" ht="12.75" hidden="1" outlineLevel="1">
      <c r="A498" s="420" t="s">
        <v>633</v>
      </c>
      <c r="B498" s="421"/>
      <c r="C498" s="422"/>
      <c r="D498" s="423"/>
      <c r="E498" s="524" t="s">
        <v>709</v>
      </c>
      <c r="F498" s="422" t="s">
        <v>708</v>
      </c>
      <c r="G498" s="423"/>
      <c r="H498" s="435">
        <v>483.2</v>
      </c>
      <c r="I498" s="469"/>
      <c r="J498" s="460"/>
      <c r="K498" s="425"/>
      <c r="L498" s="430"/>
    </row>
    <row r="499" spans="1:12" s="427" customFormat="1" ht="12.75" hidden="1" outlineLevel="1">
      <c r="A499" s="420" t="s">
        <v>633</v>
      </c>
      <c r="B499" s="421"/>
      <c r="C499" s="422"/>
      <c r="D499" s="423"/>
      <c r="E499" s="524" t="s">
        <v>710</v>
      </c>
      <c r="F499" s="422" t="s">
        <v>708</v>
      </c>
      <c r="G499" s="423"/>
      <c r="H499" s="435">
        <v>55.9</v>
      </c>
      <c r="I499" s="469"/>
      <c r="J499" s="460"/>
      <c r="K499" s="425"/>
      <c r="L499" s="430"/>
    </row>
    <row r="500" spans="1:12" s="427" customFormat="1" ht="12.75" hidden="1" outlineLevel="1">
      <c r="A500" s="436"/>
      <c r="B500" s="437"/>
      <c r="D500" s="438"/>
      <c r="E500" s="526"/>
      <c r="G500" s="438"/>
      <c r="H500" s="435">
        <v>539.1</v>
      </c>
      <c r="I500" s="469"/>
      <c r="J500" s="460"/>
      <c r="K500" s="425"/>
      <c r="L500" s="430"/>
    </row>
    <row r="501" spans="1:12" s="427" customFormat="1" ht="12.75" hidden="1" outlineLevel="1">
      <c r="A501" s="420" t="s">
        <v>969</v>
      </c>
      <c r="B501" s="421"/>
      <c r="C501" s="422"/>
      <c r="D501" s="423"/>
      <c r="E501" s="524" t="s">
        <v>970</v>
      </c>
      <c r="F501" s="422" t="s">
        <v>431</v>
      </c>
      <c r="G501" s="423"/>
      <c r="H501" s="442"/>
      <c r="I501" s="469"/>
      <c r="J501" s="460"/>
      <c r="K501" s="425"/>
      <c r="L501" s="430"/>
    </row>
    <row r="502" spans="1:12" s="427" customFormat="1" ht="12.75" hidden="1" outlineLevel="1">
      <c r="A502" s="420" t="s">
        <v>633</v>
      </c>
      <c r="B502" s="421"/>
      <c r="C502" s="422"/>
      <c r="D502" s="423"/>
      <c r="E502" s="524" t="s">
        <v>784</v>
      </c>
      <c r="F502" s="422" t="s">
        <v>708</v>
      </c>
      <c r="G502" s="423"/>
      <c r="H502" s="435">
        <v>22.181999999999999</v>
      </c>
      <c r="I502" s="469"/>
      <c r="J502" s="460"/>
      <c r="K502" s="425"/>
      <c r="L502" s="430"/>
    </row>
    <row r="503" spans="1:12" s="427" customFormat="1" ht="12.75" hidden="1" outlineLevel="1">
      <c r="A503" s="436"/>
      <c r="B503" s="437"/>
      <c r="D503" s="438"/>
      <c r="E503" s="526"/>
      <c r="G503" s="438"/>
      <c r="H503" s="435">
        <v>22.181999999999999</v>
      </c>
      <c r="I503" s="469"/>
      <c r="J503" s="460"/>
      <c r="K503" s="425"/>
      <c r="L503" s="430"/>
    </row>
    <row r="504" spans="1:12" s="427" customFormat="1" ht="12.75" hidden="1" outlineLevel="1">
      <c r="A504" s="420" t="s">
        <v>971</v>
      </c>
      <c r="B504" s="421"/>
      <c r="C504" s="422"/>
      <c r="D504" s="423"/>
      <c r="E504" s="524" t="s">
        <v>972</v>
      </c>
      <c r="F504" s="422" t="s">
        <v>431</v>
      </c>
      <c r="G504" s="423"/>
      <c r="H504" s="442"/>
      <c r="I504" s="469"/>
      <c r="J504" s="460"/>
      <c r="K504" s="425"/>
      <c r="L504" s="430"/>
    </row>
    <row r="505" spans="1:12" s="427" customFormat="1" ht="12.75" hidden="1" outlineLevel="1">
      <c r="A505" s="420" t="s">
        <v>633</v>
      </c>
      <c r="B505" s="421"/>
      <c r="C505" s="422"/>
      <c r="D505" s="423"/>
      <c r="E505" s="524" t="s">
        <v>784</v>
      </c>
      <c r="F505" s="422" t="s">
        <v>708</v>
      </c>
      <c r="G505" s="423"/>
      <c r="H505" s="435">
        <v>29.576000000000001</v>
      </c>
      <c r="I505" s="469"/>
      <c r="J505" s="460"/>
      <c r="K505" s="425"/>
      <c r="L505" s="430"/>
    </row>
    <row r="506" spans="1:12" s="427" customFormat="1" ht="12.75" hidden="1" outlineLevel="1">
      <c r="A506" s="436"/>
      <c r="B506" s="437"/>
      <c r="D506" s="438"/>
      <c r="E506" s="526"/>
      <c r="G506" s="438"/>
      <c r="H506" s="435">
        <v>29.576000000000001</v>
      </c>
      <c r="I506" s="469"/>
      <c r="J506" s="460"/>
      <c r="K506" s="425"/>
      <c r="L506" s="430"/>
    </row>
    <row r="507" spans="1:12" s="427" customFormat="1" ht="12.75" hidden="1" outlineLevel="1">
      <c r="A507" s="420" t="s">
        <v>973</v>
      </c>
      <c r="B507" s="421"/>
      <c r="C507" s="422"/>
      <c r="D507" s="423"/>
      <c r="E507" s="524" t="s">
        <v>974</v>
      </c>
      <c r="F507" s="422" t="s">
        <v>431</v>
      </c>
      <c r="G507" s="423"/>
      <c r="H507" s="442"/>
      <c r="I507" s="469"/>
      <c r="J507" s="460"/>
      <c r="K507" s="425"/>
      <c r="L507" s="430"/>
    </row>
    <row r="508" spans="1:12" s="427" customFormat="1" ht="12.75" hidden="1" outlineLevel="1">
      <c r="A508" s="420" t="s">
        <v>633</v>
      </c>
      <c r="B508" s="421"/>
      <c r="C508" s="422"/>
      <c r="D508" s="423"/>
      <c r="E508" s="524" t="s">
        <v>791</v>
      </c>
      <c r="F508" s="422" t="s">
        <v>792</v>
      </c>
      <c r="G508" s="423"/>
      <c r="H508" s="435">
        <v>5.6</v>
      </c>
      <c r="I508" s="469"/>
      <c r="J508" s="460"/>
      <c r="K508" s="425"/>
      <c r="L508" s="430"/>
    </row>
    <row r="509" spans="1:12" s="427" customFormat="1" ht="12.75" hidden="1" outlineLevel="1">
      <c r="A509" s="436"/>
      <c r="B509" s="437"/>
      <c r="D509" s="438"/>
      <c r="E509" s="526"/>
      <c r="G509" s="438"/>
      <c r="H509" s="435">
        <v>5.6</v>
      </c>
      <c r="I509" s="469"/>
      <c r="J509" s="460"/>
      <c r="K509" s="425"/>
      <c r="L509" s="430"/>
    </row>
    <row r="510" spans="1:12" s="427" customFormat="1" ht="12.75" hidden="1" outlineLevel="1">
      <c r="A510" s="420" t="s">
        <v>975</v>
      </c>
      <c r="B510" s="421"/>
      <c r="C510" s="422"/>
      <c r="D510" s="423"/>
      <c r="E510" s="524" t="s">
        <v>976</v>
      </c>
      <c r="F510" s="422" t="s">
        <v>815</v>
      </c>
      <c r="G510" s="423"/>
      <c r="H510" s="442"/>
      <c r="I510" s="469"/>
      <c r="J510" s="460"/>
      <c r="K510" s="425"/>
      <c r="L510" s="430"/>
    </row>
    <row r="511" spans="1:12" s="427" customFormat="1" ht="12.75" hidden="1" outlineLevel="1">
      <c r="A511" s="420" t="s">
        <v>633</v>
      </c>
      <c r="B511" s="421"/>
      <c r="C511" s="422"/>
      <c r="D511" s="423"/>
      <c r="E511" s="524" t="s">
        <v>711</v>
      </c>
      <c r="F511" s="422" t="s">
        <v>712</v>
      </c>
      <c r="G511" s="423"/>
      <c r="H511" s="435">
        <v>611.69579999999996</v>
      </c>
      <c r="I511" s="469"/>
      <c r="J511" s="460"/>
      <c r="K511" s="425"/>
      <c r="L511" s="430"/>
    </row>
    <row r="512" spans="1:12" s="427" customFormat="1" ht="12.75" hidden="1" outlineLevel="1">
      <c r="A512" s="436"/>
      <c r="B512" s="437"/>
      <c r="D512" s="438"/>
      <c r="E512" s="526"/>
      <c r="G512" s="438"/>
      <c r="H512" s="435">
        <v>611.69579999999996</v>
      </c>
      <c r="I512" s="469"/>
      <c r="J512" s="460"/>
      <c r="K512" s="425"/>
      <c r="L512" s="430"/>
    </row>
    <row r="513" spans="1:12" s="427" customFormat="1" ht="12.75" hidden="1" outlineLevel="1">
      <c r="A513" s="436"/>
      <c r="B513" s="437"/>
      <c r="D513" s="438"/>
      <c r="E513" s="526"/>
      <c r="G513" s="438"/>
      <c r="H513" s="435"/>
      <c r="I513" s="469"/>
      <c r="J513" s="460"/>
      <c r="K513" s="425"/>
      <c r="L513" s="430"/>
    </row>
    <row r="514" spans="1:12" s="427" customFormat="1" ht="12.75" hidden="1" outlineLevel="1" collapsed="1">
      <c r="A514" s="420" t="s">
        <v>977</v>
      </c>
      <c r="B514" s="421" t="s">
        <v>978</v>
      </c>
      <c r="C514" s="428"/>
      <c r="D514" s="429" t="s">
        <v>856</v>
      </c>
      <c r="E514" s="524"/>
      <c r="F514" s="422"/>
      <c r="G514" s="423"/>
      <c r="H514" s="442"/>
      <c r="I514" s="469"/>
      <c r="J514" s="459">
        <f>SUM(J515:J517)</f>
        <v>0</v>
      </c>
      <c r="K514" s="425">
        <v>22156.29</v>
      </c>
      <c r="L514" s="430"/>
    </row>
    <row r="515" spans="1:12" s="427" customFormat="1" ht="12.75" hidden="1" outlineLevel="1">
      <c r="A515" s="420" t="s">
        <v>633</v>
      </c>
      <c r="B515" s="421"/>
      <c r="C515" s="422"/>
      <c r="D515" s="423"/>
      <c r="E515" s="526" t="s">
        <v>979</v>
      </c>
      <c r="F515" s="422" t="s">
        <v>603</v>
      </c>
      <c r="G515" s="423" t="s">
        <v>435</v>
      </c>
      <c r="H515" s="424">
        <v>1.05</v>
      </c>
      <c r="I515" s="469">
        <f>LOOKUP(E515,valoriz!$A$13:$A$242,valoriz!I$13:I$242)</f>
        <v>0</v>
      </c>
      <c r="J515" s="460">
        <f>ROUND(I515*H515,2)</f>
        <v>0</v>
      </c>
      <c r="K515" s="425"/>
      <c r="L515" s="430"/>
    </row>
    <row r="516" spans="1:12" s="427" customFormat="1" ht="12.75" hidden="1" outlineLevel="1">
      <c r="A516" s="420" t="s">
        <v>633</v>
      </c>
      <c r="B516" s="421"/>
      <c r="C516" s="422"/>
      <c r="D516" s="423"/>
      <c r="E516" s="524" t="s">
        <v>681</v>
      </c>
      <c r="F516" s="422" t="s">
        <v>1117</v>
      </c>
      <c r="G516" s="423" t="s">
        <v>431</v>
      </c>
      <c r="H516" s="424">
        <v>0.05</v>
      </c>
      <c r="I516" s="469">
        <f>LOOKUP(E516,valoriz!$A$13:$A$242,valoriz!I$13:I$242)</f>
        <v>0</v>
      </c>
      <c r="J516" s="460">
        <f>ROUND(I516*H516,2)</f>
        <v>0</v>
      </c>
      <c r="K516" s="425"/>
      <c r="L516" s="430"/>
    </row>
    <row r="517" spans="1:12" s="427" customFormat="1" ht="12.75" hidden="1" outlineLevel="1">
      <c r="A517" s="420" t="s">
        <v>633</v>
      </c>
      <c r="B517" s="421"/>
      <c r="C517" s="422"/>
      <c r="D517" s="423"/>
      <c r="E517" s="524" t="s">
        <v>686</v>
      </c>
      <c r="F517" s="422" t="s">
        <v>1113</v>
      </c>
      <c r="G517" s="423" t="s">
        <v>431</v>
      </c>
      <c r="H517" s="424">
        <v>5.0000000000000001E-3</v>
      </c>
      <c r="I517" s="469">
        <f>LOOKUP(E517,valoriz!$A$13:$A$242,valoriz!I$13:I$242)</f>
        <v>0</v>
      </c>
      <c r="J517" s="460">
        <f>ROUND(I517*H517,2)</f>
        <v>0</v>
      </c>
      <c r="K517" s="425"/>
      <c r="L517" s="430"/>
    </row>
    <row r="518" spans="1:12" s="427" customFormat="1" ht="12.75" hidden="1" outlineLevel="1">
      <c r="A518" s="436"/>
      <c r="B518" s="446"/>
      <c r="C518" s="447"/>
      <c r="D518" s="448"/>
      <c r="E518" s="528"/>
      <c r="F518" s="447"/>
      <c r="G518" s="448"/>
      <c r="H518" s="449"/>
      <c r="I518" s="470"/>
      <c r="J518" s="462"/>
      <c r="K518" s="425"/>
      <c r="L518" s="430"/>
    </row>
    <row r="519" spans="1:12" ht="12.75" hidden="1" outlineLevel="1" collapsed="1">
      <c r="B519" s="439"/>
      <c r="D519" s="440"/>
      <c r="E519" s="529"/>
      <c r="G519" s="440"/>
      <c r="H519" s="441"/>
      <c r="I519" s="472"/>
      <c r="J519" s="465"/>
      <c r="L519" s="430"/>
    </row>
    <row r="520" spans="1:12" s="427" customFormat="1" ht="12.75" hidden="1" outlineLevel="1">
      <c r="A520" s="420" t="s">
        <v>980</v>
      </c>
      <c r="B520" s="421" t="s">
        <v>981</v>
      </c>
      <c r="C520" s="428"/>
      <c r="D520" s="429" t="s">
        <v>856</v>
      </c>
      <c r="E520" s="524"/>
      <c r="F520" s="422"/>
      <c r="G520" s="423"/>
      <c r="H520" s="424"/>
      <c r="I520" s="469"/>
      <c r="J520" s="459">
        <f>SUM(J521:J625)</f>
        <v>12532.600000000002</v>
      </c>
      <c r="K520" s="425">
        <v>1110644.18</v>
      </c>
      <c r="L520" s="430"/>
    </row>
    <row r="521" spans="1:12" s="427" customFormat="1" ht="12.75" hidden="1" outlineLevel="1">
      <c r="A521" s="420" t="s">
        <v>633</v>
      </c>
      <c r="B521" s="421"/>
      <c r="C521" s="422"/>
      <c r="D521" s="423"/>
      <c r="E521" s="524" t="s">
        <v>634</v>
      </c>
      <c r="F521" s="422" t="s">
        <v>356</v>
      </c>
      <c r="G521" s="423" t="s">
        <v>433</v>
      </c>
      <c r="H521" s="424">
        <v>4.45</v>
      </c>
      <c r="I521" s="469">
        <f>LOOKUP(E521,valoriz!$A$13:$A$242,valoriz!I$13:I$242)</f>
        <v>0</v>
      </c>
      <c r="J521" s="460">
        <f t="shared" ref="J521:J584" si="7">ROUND(I521*H521,2)</f>
        <v>0</v>
      </c>
      <c r="K521" s="425"/>
      <c r="L521" s="430"/>
    </row>
    <row r="522" spans="1:12" s="427" customFormat="1" ht="12.75" hidden="1" outlineLevel="1">
      <c r="A522" s="420" t="s">
        <v>633</v>
      </c>
      <c r="B522" s="421"/>
      <c r="C522" s="422"/>
      <c r="D522" s="423"/>
      <c r="E522" s="524" t="s">
        <v>636</v>
      </c>
      <c r="F522" s="422" t="s">
        <v>355</v>
      </c>
      <c r="G522" s="423" t="s">
        <v>354</v>
      </c>
      <c r="H522" s="424">
        <v>115.69</v>
      </c>
      <c r="I522" s="469">
        <f>LOOKUP(E522,valoriz!$A$13:$A$242,valoriz!I$13:I$242)</f>
        <v>0.10999999999999999</v>
      </c>
      <c r="J522" s="460">
        <f t="shared" si="7"/>
        <v>12.73</v>
      </c>
      <c r="K522" s="425"/>
      <c r="L522" s="430"/>
    </row>
    <row r="523" spans="1:12" s="427" customFormat="1" ht="12.75" hidden="1" outlineLevel="1">
      <c r="A523" s="420" t="s">
        <v>633</v>
      </c>
      <c r="B523" s="421"/>
      <c r="C523" s="422"/>
      <c r="D523" s="423"/>
      <c r="E523" s="524" t="s">
        <v>638</v>
      </c>
      <c r="F523" s="422" t="s">
        <v>353</v>
      </c>
      <c r="G523" s="423" t="s">
        <v>602</v>
      </c>
      <c r="H523" s="424">
        <v>48.65</v>
      </c>
      <c r="I523" s="469">
        <f>LOOKUP(E523,valoriz!$A$13:$A$242,valoriz!I$13:I$242)</f>
        <v>0.10999999999999999</v>
      </c>
      <c r="J523" s="460">
        <f t="shared" si="7"/>
        <v>5.35</v>
      </c>
      <c r="K523" s="425"/>
      <c r="L523" s="430"/>
    </row>
    <row r="524" spans="1:12" s="427" customFormat="1" ht="12.75" hidden="1" outlineLevel="1">
      <c r="A524" s="420" t="s">
        <v>633</v>
      </c>
      <c r="B524" s="421"/>
      <c r="C524" s="422"/>
      <c r="D524" s="423"/>
      <c r="E524" s="524" t="s">
        <v>640</v>
      </c>
      <c r="F524" s="422" t="s">
        <v>352</v>
      </c>
      <c r="G524" s="423" t="s">
        <v>432</v>
      </c>
      <c r="H524" s="513">
        <v>0.1108</v>
      </c>
      <c r="I524" s="469">
        <f>LOOKUP(E524,valoriz!$A$13:$A$242,valoriz!I$13:I$242)</f>
        <v>0</v>
      </c>
      <c r="J524" s="460">
        <f t="shared" si="7"/>
        <v>0</v>
      </c>
      <c r="K524" s="425"/>
      <c r="L524" s="430"/>
    </row>
    <row r="525" spans="1:12" s="427" customFormat="1" ht="12.75" hidden="1" outlineLevel="1">
      <c r="A525" s="420" t="s">
        <v>633</v>
      </c>
      <c r="B525" s="421"/>
      <c r="C525" s="422"/>
      <c r="D525" s="423"/>
      <c r="E525" s="524" t="s">
        <v>642</v>
      </c>
      <c r="F525" s="422" t="s">
        <v>351</v>
      </c>
      <c r="G525" s="423" t="s">
        <v>432</v>
      </c>
      <c r="H525" s="513">
        <v>0.2223</v>
      </c>
      <c r="I525" s="469">
        <f>LOOKUP(E525,valoriz!$A$13:$A$242,valoriz!I$13:I$242)</f>
        <v>0</v>
      </c>
      <c r="J525" s="460">
        <f t="shared" si="7"/>
        <v>0</v>
      </c>
      <c r="K525" s="425"/>
      <c r="L525" s="430"/>
    </row>
    <row r="526" spans="1:12" s="427" customFormat="1" ht="12.75" hidden="1" outlineLevel="1">
      <c r="A526" s="420" t="s">
        <v>633</v>
      </c>
      <c r="B526" s="421"/>
      <c r="C526" s="422"/>
      <c r="D526" s="423"/>
      <c r="E526" s="524" t="s">
        <v>643</v>
      </c>
      <c r="F526" s="422" t="s">
        <v>350</v>
      </c>
      <c r="G526" s="423" t="s">
        <v>432</v>
      </c>
      <c r="H526" s="513">
        <v>0.3931</v>
      </c>
      <c r="I526" s="469">
        <f>LOOKUP(E526,valoriz!$A$13:$A$242,valoriz!I$13:I$242)</f>
        <v>0</v>
      </c>
      <c r="J526" s="460">
        <f t="shared" si="7"/>
        <v>0</v>
      </c>
      <c r="K526" s="425"/>
      <c r="L526" s="430"/>
    </row>
    <row r="527" spans="1:12" s="427" customFormat="1" ht="12.75" hidden="1" outlineLevel="1">
      <c r="A527" s="420" t="s">
        <v>633</v>
      </c>
      <c r="B527" s="421"/>
      <c r="C527" s="422"/>
      <c r="D527" s="423"/>
      <c r="E527" s="524" t="s">
        <v>644</v>
      </c>
      <c r="F527" s="422" t="s">
        <v>349</v>
      </c>
      <c r="G527" s="423" t="s">
        <v>434</v>
      </c>
      <c r="H527" s="513">
        <v>5.6599999999999998E-2</v>
      </c>
      <c r="I527" s="469">
        <f>LOOKUP(E527,valoriz!$A$13:$A$242,valoriz!I$13:I$242)</f>
        <v>0</v>
      </c>
      <c r="J527" s="460">
        <f t="shared" si="7"/>
        <v>0</v>
      </c>
      <c r="K527" s="425"/>
      <c r="L527" s="430"/>
    </row>
    <row r="528" spans="1:12" s="427" customFormat="1" ht="12.75" hidden="1" outlineLevel="1">
      <c r="A528" s="420" t="s">
        <v>633</v>
      </c>
      <c r="B528" s="421"/>
      <c r="C528" s="422"/>
      <c r="D528" s="423"/>
      <c r="E528" s="524" t="s">
        <v>715</v>
      </c>
      <c r="F528" s="422" t="s">
        <v>348</v>
      </c>
      <c r="G528" s="423" t="s">
        <v>432</v>
      </c>
      <c r="H528" s="513">
        <v>0.30840000000000001</v>
      </c>
      <c r="I528" s="469">
        <f>LOOKUP(E528,valoriz!$A$13:$A$242,valoriz!I$13:I$242)</f>
        <v>0</v>
      </c>
      <c r="J528" s="460">
        <f t="shared" si="7"/>
        <v>0</v>
      </c>
      <c r="K528" s="425"/>
      <c r="L528" s="430"/>
    </row>
    <row r="529" spans="1:12" s="427" customFormat="1" ht="12.75" hidden="1" outlineLevel="1">
      <c r="A529" s="420" t="s">
        <v>633</v>
      </c>
      <c r="B529" s="421"/>
      <c r="C529" s="422"/>
      <c r="D529" s="423"/>
      <c r="E529" s="524" t="s">
        <v>716</v>
      </c>
      <c r="F529" s="422" t="s">
        <v>347</v>
      </c>
      <c r="G529" s="423" t="s">
        <v>432</v>
      </c>
      <c r="H529" s="424">
        <v>0.33560000000000001</v>
      </c>
      <c r="I529" s="469">
        <f>LOOKUP(E529,valoriz!$A$13:$A$242,valoriz!I$13:I$242)</f>
        <v>0</v>
      </c>
      <c r="J529" s="460">
        <f t="shared" si="7"/>
        <v>0</v>
      </c>
      <c r="K529" s="425"/>
      <c r="L529" s="430"/>
    </row>
    <row r="530" spans="1:12" s="427" customFormat="1" ht="12.75" hidden="1" outlineLevel="1">
      <c r="A530" s="420" t="s">
        <v>633</v>
      </c>
      <c r="B530" s="421"/>
      <c r="C530" s="422"/>
      <c r="D530" s="423"/>
      <c r="E530" s="524" t="s">
        <v>717</v>
      </c>
      <c r="F530" s="422" t="s">
        <v>346</v>
      </c>
      <c r="G530" s="423" t="s">
        <v>434</v>
      </c>
      <c r="H530" s="513">
        <v>8.2299999999999998E-2</v>
      </c>
      <c r="I530" s="469">
        <f>LOOKUP(E530,valoriz!$A$13:$A$242,valoriz!I$13:I$242)</f>
        <v>0</v>
      </c>
      <c r="J530" s="460">
        <f t="shared" si="7"/>
        <v>0</v>
      </c>
      <c r="K530" s="425"/>
      <c r="L530" s="430"/>
    </row>
    <row r="531" spans="1:12" s="427" customFormat="1" ht="12.75" hidden="1" outlineLevel="1">
      <c r="A531" s="420" t="s">
        <v>633</v>
      </c>
      <c r="B531" s="421"/>
      <c r="C531" s="422"/>
      <c r="D531" s="423"/>
      <c r="E531" s="524" t="s">
        <v>718</v>
      </c>
      <c r="F531" s="422" t="s">
        <v>1142</v>
      </c>
      <c r="G531" s="423" t="s">
        <v>432</v>
      </c>
      <c r="H531" s="424">
        <v>0.81599999999999995</v>
      </c>
      <c r="I531" s="469">
        <f>LOOKUP(E531,valoriz!$A$13:$A$242,valoriz!I$13:I$242)</f>
        <v>0</v>
      </c>
      <c r="J531" s="460">
        <f t="shared" si="7"/>
        <v>0</v>
      </c>
      <c r="K531" s="425"/>
      <c r="L531" s="430"/>
    </row>
    <row r="532" spans="1:12" s="427" customFormat="1" ht="12.75" hidden="1" outlineLevel="1">
      <c r="A532" s="420" t="s">
        <v>633</v>
      </c>
      <c r="B532" s="421"/>
      <c r="C532" s="422"/>
      <c r="D532" s="423"/>
      <c r="E532" s="524" t="s">
        <v>719</v>
      </c>
      <c r="F532" s="422" t="s">
        <v>1141</v>
      </c>
      <c r="G532" s="423" t="s">
        <v>432</v>
      </c>
      <c r="H532" s="424">
        <v>0.15100000000000002</v>
      </c>
      <c r="I532" s="469">
        <f>LOOKUP(E532,valoriz!$A$13:$A$242,valoriz!I$13:I$242)</f>
        <v>0</v>
      </c>
      <c r="J532" s="460">
        <f t="shared" si="7"/>
        <v>0</v>
      </c>
      <c r="K532" s="425"/>
      <c r="L532" s="430"/>
    </row>
    <row r="533" spans="1:12" s="427" customFormat="1" ht="12.75" hidden="1" outlineLevel="1">
      <c r="A533" s="420" t="s">
        <v>633</v>
      </c>
      <c r="B533" s="421"/>
      <c r="C533" s="422"/>
      <c r="D533" s="423"/>
      <c r="E533" s="524" t="s">
        <v>720</v>
      </c>
      <c r="F533" s="422" t="s">
        <v>1140</v>
      </c>
      <c r="G533" s="423" t="s">
        <v>432</v>
      </c>
      <c r="H533" s="513">
        <v>1.0488</v>
      </c>
      <c r="I533" s="469">
        <f>LOOKUP(E533,valoriz!$A$13:$A$242,valoriz!I$13:I$242)</f>
        <v>0</v>
      </c>
      <c r="J533" s="460">
        <f t="shared" si="7"/>
        <v>0</v>
      </c>
      <c r="K533" s="425"/>
      <c r="L533" s="430"/>
    </row>
    <row r="534" spans="1:12" s="427" customFormat="1" ht="12.75" hidden="1" outlineLevel="1">
      <c r="A534" s="420" t="s">
        <v>633</v>
      </c>
      <c r="B534" s="421"/>
      <c r="C534" s="422"/>
      <c r="D534" s="423"/>
      <c r="E534" s="524" t="s">
        <v>721</v>
      </c>
      <c r="F534" s="422" t="s">
        <v>1139</v>
      </c>
      <c r="G534" s="423" t="s">
        <v>432</v>
      </c>
      <c r="H534" s="424">
        <v>1.2956999999999999</v>
      </c>
      <c r="I534" s="469">
        <f>LOOKUP(E534,valoriz!$A$13:$A$242,valoriz!I$13:I$242)</f>
        <v>0</v>
      </c>
      <c r="J534" s="460">
        <f t="shared" si="7"/>
        <v>0</v>
      </c>
      <c r="K534" s="425"/>
      <c r="L534" s="430"/>
    </row>
    <row r="535" spans="1:12" s="427" customFormat="1" ht="12.75" hidden="1" outlineLevel="1">
      <c r="A535" s="420" t="s">
        <v>633</v>
      </c>
      <c r="B535" s="421"/>
      <c r="C535" s="422"/>
      <c r="D535" s="423"/>
      <c r="E535" s="524" t="s">
        <v>722</v>
      </c>
      <c r="F535" s="422" t="s">
        <v>1138</v>
      </c>
      <c r="G535" s="423" t="s">
        <v>434</v>
      </c>
      <c r="H535" s="424">
        <v>2.01E-2</v>
      </c>
      <c r="I535" s="469">
        <f>LOOKUP(E535,valoriz!$A$13:$A$242,valoriz!I$13:I$242)</f>
        <v>0</v>
      </c>
      <c r="J535" s="460">
        <f t="shared" si="7"/>
        <v>0</v>
      </c>
      <c r="K535" s="425"/>
      <c r="L535" s="430"/>
    </row>
    <row r="536" spans="1:12" s="427" customFormat="1" ht="12.75" hidden="1" outlineLevel="1">
      <c r="A536" s="420" t="s">
        <v>633</v>
      </c>
      <c r="B536" s="421"/>
      <c r="C536" s="422"/>
      <c r="D536" s="423"/>
      <c r="E536" s="524" t="s">
        <v>723</v>
      </c>
      <c r="F536" s="422" t="s">
        <v>1137</v>
      </c>
      <c r="G536" s="423" t="s">
        <v>434</v>
      </c>
      <c r="H536" s="424">
        <v>0.1037</v>
      </c>
      <c r="I536" s="469">
        <f>LOOKUP(E536,valoriz!$A$13:$A$242,valoriz!I$13:I$242)</f>
        <v>0</v>
      </c>
      <c r="J536" s="460">
        <f t="shared" si="7"/>
        <v>0</v>
      </c>
      <c r="K536" s="425"/>
      <c r="L536" s="430"/>
    </row>
    <row r="537" spans="1:12" s="427" customFormat="1" ht="12.75" hidden="1" outlineLevel="1">
      <c r="A537" s="420" t="s">
        <v>633</v>
      </c>
      <c r="B537" s="421"/>
      <c r="C537" s="422"/>
      <c r="D537" s="423"/>
      <c r="E537" s="524" t="s">
        <v>724</v>
      </c>
      <c r="F537" s="422" t="s">
        <v>1136</v>
      </c>
      <c r="G537" s="423" t="s">
        <v>433</v>
      </c>
      <c r="H537" s="424">
        <v>6</v>
      </c>
      <c r="I537" s="469">
        <f>LOOKUP(E537,valoriz!$A$13:$A$242,valoriz!I$13:I$242)</f>
        <v>1635.7399999999998</v>
      </c>
      <c r="J537" s="460">
        <f t="shared" si="7"/>
        <v>9814.44</v>
      </c>
      <c r="K537" s="425"/>
      <c r="L537" s="430"/>
    </row>
    <row r="538" spans="1:12" s="427" customFormat="1" ht="12.75" hidden="1" outlineLevel="1">
      <c r="A538" s="420" t="s">
        <v>633</v>
      </c>
      <c r="B538" s="421"/>
      <c r="C538" s="422"/>
      <c r="D538" s="423"/>
      <c r="E538" s="524" t="s">
        <v>645</v>
      </c>
      <c r="F538" s="422" t="s">
        <v>1135</v>
      </c>
      <c r="G538" s="423" t="s">
        <v>432</v>
      </c>
      <c r="H538" s="513">
        <v>0.34129999999999999</v>
      </c>
      <c r="I538" s="469">
        <f>LOOKUP(E538,valoriz!$A$13:$A$242,valoriz!I$13:I$242)</f>
        <v>0</v>
      </c>
      <c r="J538" s="460">
        <f t="shared" si="7"/>
        <v>0</v>
      </c>
      <c r="K538" s="425"/>
      <c r="L538" s="430"/>
    </row>
    <row r="539" spans="1:12" s="427" customFormat="1" ht="12.75" hidden="1" outlineLevel="1">
      <c r="A539" s="420" t="s">
        <v>633</v>
      </c>
      <c r="B539" s="421"/>
      <c r="C539" s="422"/>
      <c r="D539" s="423"/>
      <c r="E539" s="524" t="s">
        <v>646</v>
      </c>
      <c r="F539" s="422" t="s">
        <v>1133</v>
      </c>
      <c r="G539" s="423" t="s">
        <v>431</v>
      </c>
      <c r="H539" s="424">
        <v>1.28</v>
      </c>
      <c r="I539" s="469">
        <f>LOOKUP(E539,valoriz!$A$13:$A$242,valoriz!I$13:I$242)</f>
        <v>0</v>
      </c>
      <c r="J539" s="460">
        <f t="shared" si="7"/>
        <v>0</v>
      </c>
      <c r="K539" s="425"/>
      <c r="L539" s="430"/>
    </row>
    <row r="540" spans="1:12" s="427" customFormat="1" ht="12.75" hidden="1" outlineLevel="1">
      <c r="A540" s="420" t="s">
        <v>633</v>
      </c>
      <c r="B540" s="421"/>
      <c r="C540" s="422"/>
      <c r="D540" s="423"/>
      <c r="E540" s="524" t="s">
        <v>648</v>
      </c>
      <c r="F540" s="422" t="s">
        <v>1132</v>
      </c>
      <c r="G540" s="423" t="s">
        <v>431</v>
      </c>
      <c r="H540" s="424">
        <v>1.73</v>
      </c>
      <c r="I540" s="469">
        <f>LOOKUP(E540,valoriz!$A$13:$A$242,valoriz!I$13:I$242)</f>
        <v>619.61000000000013</v>
      </c>
      <c r="J540" s="460">
        <f t="shared" si="7"/>
        <v>1071.93</v>
      </c>
      <c r="K540" s="425"/>
      <c r="L540" s="430"/>
    </row>
    <row r="541" spans="1:12" s="427" customFormat="1" ht="12.75" hidden="1" outlineLevel="1">
      <c r="A541" s="420" t="s">
        <v>633</v>
      </c>
      <c r="B541" s="421"/>
      <c r="C541" s="422"/>
      <c r="D541" s="423"/>
      <c r="E541" s="524" t="s">
        <v>649</v>
      </c>
      <c r="F541" s="422" t="s">
        <v>1131</v>
      </c>
      <c r="G541" s="423" t="s">
        <v>431</v>
      </c>
      <c r="H541" s="424">
        <v>2.21</v>
      </c>
      <c r="I541" s="469">
        <f>LOOKUP(E541,valoriz!$A$13:$A$242,valoriz!I$13:I$242)</f>
        <v>0</v>
      </c>
      <c r="J541" s="460">
        <f t="shared" si="7"/>
        <v>0</v>
      </c>
      <c r="K541" s="425"/>
      <c r="L541" s="430"/>
    </row>
    <row r="542" spans="1:12" s="427" customFormat="1" ht="12.75" hidden="1" outlineLevel="1">
      <c r="A542" s="420" t="s">
        <v>633</v>
      </c>
      <c r="B542" s="421"/>
      <c r="C542" s="422"/>
      <c r="D542" s="423"/>
      <c r="E542" s="524" t="s">
        <v>650</v>
      </c>
      <c r="F542" s="422" t="s">
        <v>1130</v>
      </c>
      <c r="G542" s="423" t="s">
        <v>431</v>
      </c>
      <c r="H542" s="424">
        <v>3.06</v>
      </c>
      <c r="I542" s="469">
        <f>LOOKUP(E542,valoriz!$A$13:$A$242,valoriz!I$13:I$242)</f>
        <v>0</v>
      </c>
      <c r="J542" s="460">
        <f t="shared" si="7"/>
        <v>0</v>
      </c>
      <c r="K542" s="425"/>
      <c r="L542" s="430"/>
    </row>
    <row r="543" spans="1:12" s="427" customFormat="1" ht="12.75" hidden="1" outlineLevel="1">
      <c r="A543" s="420" t="s">
        <v>633</v>
      </c>
      <c r="B543" s="421"/>
      <c r="C543" s="422"/>
      <c r="D543" s="423"/>
      <c r="E543" s="524" t="s">
        <v>651</v>
      </c>
      <c r="F543" s="422" t="s">
        <v>604</v>
      </c>
      <c r="G543" s="423" t="s">
        <v>432</v>
      </c>
      <c r="H543" s="424">
        <v>0.84</v>
      </c>
      <c r="I543" s="469">
        <f>LOOKUP(E543,valoriz!$A$13:$A$242,valoriz!I$13:I$242)</f>
        <v>0</v>
      </c>
      <c r="J543" s="460">
        <f t="shared" si="7"/>
        <v>0</v>
      </c>
      <c r="K543" s="425"/>
      <c r="L543" s="430"/>
    </row>
    <row r="544" spans="1:12" s="427" customFormat="1" ht="12.75" hidden="1" outlineLevel="1">
      <c r="A544" s="420" t="s">
        <v>633</v>
      </c>
      <c r="B544" s="421"/>
      <c r="C544" s="422"/>
      <c r="D544" s="423"/>
      <c r="E544" s="524" t="s">
        <v>653</v>
      </c>
      <c r="F544" s="422" t="s">
        <v>1129</v>
      </c>
      <c r="G544" s="423" t="s">
        <v>432</v>
      </c>
      <c r="H544" s="424">
        <v>1.55</v>
      </c>
      <c r="I544" s="469">
        <f>LOOKUP(E544,valoriz!$A$13:$A$242,valoriz!I$13:I$242)</f>
        <v>0</v>
      </c>
      <c r="J544" s="460">
        <f t="shared" si="7"/>
        <v>0</v>
      </c>
      <c r="K544" s="425"/>
      <c r="L544" s="430"/>
    </row>
    <row r="545" spans="1:12" s="427" customFormat="1" ht="12.75" hidden="1" outlineLevel="1">
      <c r="A545" s="420" t="s">
        <v>633</v>
      </c>
      <c r="B545" s="421"/>
      <c r="C545" s="422"/>
      <c r="D545" s="423"/>
      <c r="E545" s="524" t="s">
        <v>655</v>
      </c>
      <c r="F545" s="422" t="s">
        <v>1128</v>
      </c>
      <c r="G545" s="423" t="s">
        <v>434</v>
      </c>
      <c r="H545" s="424">
        <v>0.32</v>
      </c>
      <c r="I545" s="469">
        <f>LOOKUP(E545,valoriz!$A$13:$A$242,valoriz!I$13:I$242)</f>
        <v>0</v>
      </c>
      <c r="J545" s="460">
        <f t="shared" si="7"/>
        <v>0</v>
      </c>
      <c r="K545" s="425"/>
      <c r="L545" s="430"/>
    </row>
    <row r="546" spans="1:12" s="427" customFormat="1" ht="12.75" hidden="1" outlineLevel="1">
      <c r="A546" s="420" t="s">
        <v>633</v>
      </c>
      <c r="B546" s="421"/>
      <c r="C546" s="422"/>
      <c r="D546" s="423"/>
      <c r="E546" s="524" t="s">
        <v>725</v>
      </c>
      <c r="F546" s="422" t="s">
        <v>1106</v>
      </c>
      <c r="G546" s="423" t="s">
        <v>432</v>
      </c>
      <c r="H546" s="424">
        <v>0.2</v>
      </c>
      <c r="I546" s="469">
        <f>LOOKUP(E546,valoriz!$A$13:$A$242,valoriz!I$13:I$242)</f>
        <v>307.62000000000012</v>
      </c>
      <c r="J546" s="460">
        <f t="shared" si="7"/>
        <v>61.52</v>
      </c>
      <c r="K546" s="425"/>
      <c r="L546" s="430"/>
    </row>
    <row r="547" spans="1:12" s="427" customFormat="1" ht="12.75" hidden="1" outlineLevel="1">
      <c r="A547" s="420" t="s">
        <v>633</v>
      </c>
      <c r="B547" s="421"/>
      <c r="C547" s="422"/>
      <c r="D547" s="423"/>
      <c r="E547" s="524" t="s">
        <v>657</v>
      </c>
      <c r="F547" s="422" t="s">
        <v>1134</v>
      </c>
      <c r="G547" s="423" t="s">
        <v>432</v>
      </c>
      <c r="H547" s="424">
        <v>0.13</v>
      </c>
      <c r="I547" s="469">
        <f>LOOKUP(E547,valoriz!$A$13:$A$242,valoriz!I$13:I$242)</f>
        <v>0</v>
      </c>
      <c r="J547" s="460">
        <f t="shared" si="7"/>
        <v>0</v>
      </c>
      <c r="K547" s="425"/>
      <c r="L547" s="430"/>
    </row>
    <row r="548" spans="1:12" s="427" customFormat="1" ht="12.75" hidden="1" outlineLevel="1">
      <c r="A548" s="420" t="s">
        <v>633</v>
      </c>
      <c r="B548" s="421"/>
      <c r="C548" s="422"/>
      <c r="D548" s="423"/>
      <c r="E548" s="524" t="s">
        <v>659</v>
      </c>
      <c r="F548" s="422" t="s">
        <v>1104</v>
      </c>
      <c r="G548" s="423" t="s">
        <v>432</v>
      </c>
      <c r="H548" s="424">
        <v>1.75</v>
      </c>
      <c r="I548" s="469">
        <f>LOOKUP(E548,valoriz!$A$13:$A$242,valoriz!I$13:I$242)</f>
        <v>0</v>
      </c>
      <c r="J548" s="460">
        <f t="shared" si="7"/>
        <v>0</v>
      </c>
      <c r="K548" s="425"/>
      <c r="L548" s="430"/>
    </row>
    <row r="549" spans="1:12" s="427" customFormat="1" ht="12.75" hidden="1" outlineLevel="1">
      <c r="A549" s="420" t="s">
        <v>633</v>
      </c>
      <c r="B549" s="421"/>
      <c r="C549" s="422"/>
      <c r="D549" s="423"/>
      <c r="E549" s="524" t="s">
        <v>661</v>
      </c>
      <c r="F549" s="422" t="s">
        <v>604</v>
      </c>
      <c r="G549" s="423" t="s">
        <v>432</v>
      </c>
      <c r="H549" s="424">
        <v>0.874</v>
      </c>
      <c r="I549" s="469">
        <f>LOOKUP(E549,valoriz!$A$13:$A$242,valoriz!I$13:I$242)</f>
        <v>0</v>
      </c>
      <c r="J549" s="460">
        <f t="shared" si="7"/>
        <v>0</v>
      </c>
      <c r="K549" s="425"/>
      <c r="L549" s="430"/>
    </row>
    <row r="550" spans="1:12" s="427" customFormat="1" ht="12.75" hidden="1" outlineLevel="1">
      <c r="A550" s="420" t="s">
        <v>633</v>
      </c>
      <c r="B550" s="421"/>
      <c r="C550" s="422"/>
      <c r="D550" s="423"/>
      <c r="E550" s="524" t="s">
        <v>662</v>
      </c>
      <c r="F550" s="422" t="s">
        <v>1128</v>
      </c>
      <c r="G550" s="423" t="s">
        <v>434</v>
      </c>
      <c r="H550" s="424">
        <v>0.32</v>
      </c>
      <c r="I550" s="469">
        <f>LOOKUP(E550,valoriz!$A$13:$A$242,valoriz!I$13:I$242)</f>
        <v>0</v>
      </c>
      <c r="J550" s="460">
        <f t="shared" si="7"/>
        <v>0</v>
      </c>
      <c r="K550" s="425"/>
      <c r="L550" s="430"/>
    </row>
    <row r="551" spans="1:12" s="427" customFormat="1" ht="12.75" hidden="1" outlineLevel="1">
      <c r="A551" s="420" t="s">
        <v>633</v>
      </c>
      <c r="B551" s="421"/>
      <c r="C551" s="422"/>
      <c r="D551" s="423"/>
      <c r="E551" s="524" t="s">
        <v>727</v>
      </c>
      <c r="F551" s="422" t="s">
        <v>1106</v>
      </c>
      <c r="G551" s="423" t="s">
        <v>432</v>
      </c>
      <c r="H551" s="424">
        <v>0.2</v>
      </c>
      <c r="I551" s="469">
        <f>LOOKUP(E551,valoriz!$A$13:$A$242,valoriz!I$13:I$242)</f>
        <v>365.75</v>
      </c>
      <c r="J551" s="460">
        <f t="shared" si="7"/>
        <v>73.150000000000006</v>
      </c>
      <c r="K551" s="425"/>
      <c r="L551" s="430"/>
    </row>
    <row r="552" spans="1:12" s="427" customFormat="1" ht="12.75" hidden="1" outlineLevel="1">
      <c r="A552" s="420" t="s">
        <v>633</v>
      </c>
      <c r="B552" s="421"/>
      <c r="C552" s="422"/>
      <c r="D552" s="423"/>
      <c r="E552" s="524" t="s">
        <v>663</v>
      </c>
      <c r="F552" s="422" t="s">
        <v>1133</v>
      </c>
      <c r="G552" s="423" t="s">
        <v>431</v>
      </c>
      <c r="H552" s="424">
        <v>1.28</v>
      </c>
      <c r="I552" s="469">
        <f>LOOKUP(E552,valoriz!$A$13:$A$242,valoriz!I$13:I$242)</f>
        <v>0</v>
      </c>
      <c r="J552" s="460">
        <f t="shared" si="7"/>
        <v>0</v>
      </c>
      <c r="K552" s="425"/>
      <c r="L552" s="430"/>
    </row>
    <row r="553" spans="1:12" s="427" customFormat="1" ht="12.75" hidden="1" outlineLevel="1">
      <c r="A553" s="420" t="s">
        <v>633</v>
      </c>
      <c r="B553" s="421"/>
      <c r="C553" s="422"/>
      <c r="D553" s="423"/>
      <c r="E553" s="524" t="s">
        <v>664</v>
      </c>
      <c r="F553" s="422" t="s">
        <v>1132</v>
      </c>
      <c r="G553" s="423" t="s">
        <v>431</v>
      </c>
      <c r="H553" s="424">
        <v>1.73</v>
      </c>
      <c r="I553" s="469">
        <f>LOOKUP(E553,valoriz!$A$13:$A$242,valoriz!I$13:I$242)</f>
        <v>63.20999999999998</v>
      </c>
      <c r="J553" s="460">
        <f t="shared" si="7"/>
        <v>109.35</v>
      </c>
      <c r="K553" s="425"/>
      <c r="L553" s="430"/>
    </row>
    <row r="554" spans="1:12" s="427" customFormat="1" ht="12.75" hidden="1" outlineLevel="1">
      <c r="A554" s="420" t="s">
        <v>633</v>
      </c>
      <c r="B554" s="421"/>
      <c r="C554" s="422"/>
      <c r="D554" s="423"/>
      <c r="E554" s="524" t="s">
        <v>665</v>
      </c>
      <c r="F554" s="422" t="s">
        <v>1131</v>
      </c>
      <c r="G554" s="423" t="s">
        <v>431</v>
      </c>
      <c r="H554" s="424">
        <v>2.21</v>
      </c>
      <c r="I554" s="469">
        <f>LOOKUP(E554,valoriz!$A$13:$A$242,valoriz!I$13:I$242)</f>
        <v>0</v>
      </c>
      <c r="J554" s="460">
        <f t="shared" si="7"/>
        <v>0</v>
      </c>
      <c r="K554" s="425"/>
      <c r="L554" s="430"/>
    </row>
    <row r="555" spans="1:12" s="427" customFormat="1" ht="12.75" hidden="1" outlineLevel="1">
      <c r="A555" s="420" t="s">
        <v>633</v>
      </c>
      <c r="B555" s="421"/>
      <c r="C555" s="422"/>
      <c r="D555" s="423"/>
      <c r="E555" s="524" t="s">
        <v>666</v>
      </c>
      <c r="F555" s="422" t="s">
        <v>1130</v>
      </c>
      <c r="G555" s="423" t="s">
        <v>431</v>
      </c>
      <c r="H555" s="424">
        <v>0.05</v>
      </c>
      <c r="I555" s="469">
        <f>LOOKUP(E555,valoriz!$A$13:$A$242,valoriz!I$13:I$242)</f>
        <v>0</v>
      </c>
      <c r="J555" s="460">
        <f t="shared" si="7"/>
        <v>0</v>
      </c>
      <c r="K555" s="425"/>
      <c r="L555" s="430"/>
    </row>
    <row r="556" spans="1:12" s="427" customFormat="1" ht="12.75" hidden="1" outlineLevel="1">
      <c r="A556" s="420" t="s">
        <v>633</v>
      </c>
      <c r="B556" s="421"/>
      <c r="C556" s="422"/>
      <c r="D556" s="423"/>
      <c r="E556" s="524" t="s">
        <v>667</v>
      </c>
      <c r="F556" s="422" t="s">
        <v>1129</v>
      </c>
      <c r="G556" s="423" t="s">
        <v>432</v>
      </c>
      <c r="H556" s="424">
        <v>1.55</v>
      </c>
      <c r="I556" s="469">
        <f>LOOKUP(E556,valoriz!$A$13:$A$242,valoriz!I$13:I$242)</f>
        <v>510.75</v>
      </c>
      <c r="J556" s="460">
        <f t="shared" si="7"/>
        <v>791.66</v>
      </c>
      <c r="K556" s="425"/>
      <c r="L556" s="430"/>
    </row>
    <row r="557" spans="1:12" s="427" customFormat="1" ht="12.75" hidden="1" outlineLevel="1">
      <c r="A557" s="420" t="s">
        <v>633</v>
      </c>
      <c r="B557" s="421"/>
      <c r="C557" s="422"/>
      <c r="D557" s="423"/>
      <c r="E557" s="524" t="s">
        <v>668</v>
      </c>
      <c r="F557" s="422" t="s">
        <v>1128</v>
      </c>
      <c r="G557" s="423" t="s">
        <v>434</v>
      </c>
      <c r="H557" s="424">
        <v>0.32</v>
      </c>
      <c r="I557" s="469">
        <f>LOOKUP(E557,valoriz!$A$13:$A$242,valoriz!I$13:I$242)</f>
        <v>510.75</v>
      </c>
      <c r="J557" s="460">
        <f t="shared" si="7"/>
        <v>163.44</v>
      </c>
      <c r="K557" s="425"/>
      <c r="L557" s="430"/>
    </row>
    <row r="558" spans="1:12" s="427" customFormat="1" ht="12.75" hidden="1" outlineLevel="1">
      <c r="A558" s="420" t="s">
        <v>633</v>
      </c>
      <c r="B558" s="421"/>
      <c r="C558" s="422"/>
      <c r="D558" s="423"/>
      <c r="E558" s="524" t="s">
        <v>669</v>
      </c>
      <c r="F558" s="422" t="s">
        <v>604</v>
      </c>
      <c r="G558" s="423" t="s">
        <v>432</v>
      </c>
      <c r="H558" s="424">
        <v>0.84</v>
      </c>
      <c r="I558" s="469">
        <f>LOOKUP(E558,valoriz!$A$13:$A$242,valoriz!I$13:I$242)</f>
        <v>510.75</v>
      </c>
      <c r="J558" s="460">
        <f t="shared" si="7"/>
        <v>429.03</v>
      </c>
      <c r="K558" s="425"/>
      <c r="L558" s="430"/>
    </row>
    <row r="559" spans="1:12" s="427" customFormat="1" ht="12.75" hidden="1" outlineLevel="1">
      <c r="A559" s="420" t="s">
        <v>633</v>
      </c>
      <c r="B559" s="421"/>
      <c r="C559" s="422"/>
      <c r="D559" s="423"/>
      <c r="E559" s="524" t="s">
        <v>728</v>
      </c>
      <c r="F559" s="422" t="s">
        <v>1106</v>
      </c>
      <c r="G559" s="423" t="s">
        <v>432</v>
      </c>
      <c r="H559" s="424">
        <v>0.2</v>
      </c>
      <c r="I559" s="469">
        <f>LOOKUP(E559,valoriz!$A$13:$A$242,valoriz!I$13:I$242)</f>
        <v>0</v>
      </c>
      <c r="J559" s="460">
        <f t="shared" si="7"/>
        <v>0</v>
      </c>
      <c r="K559" s="425"/>
      <c r="L559" s="430"/>
    </row>
    <row r="560" spans="1:12" s="427" customFormat="1" ht="12.75" hidden="1" outlineLevel="1">
      <c r="A560" s="420" t="s">
        <v>633</v>
      </c>
      <c r="B560" s="421"/>
      <c r="C560" s="422"/>
      <c r="D560" s="423"/>
      <c r="E560" s="524" t="s">
        <v>729</v>
      </c>
      <c r="F560" s="422" t="s">
        <v>1100</v>
      </c>
      <c r="G560" s="423" t="s">
        <v>432</v>
      </c>
      <c r="H560" s="424">
        <v>0.19</v>
      </c>
      <c r="I560" s="469">
        <f>LOOKUP(E560,valoriz!$A$13:$A$242,valoriz!I$13:I$242)</f>
        <v>0</v>
      </c>
      <c r="J560" s="460">
        <f t="shared" si="7"/>
        <v>0</v>
      </c>
      <c r="K560" s="425"/>
      <c r="L560" s="430"/>
    </row>
    <row r="561" spans="1:12" s="427" customFormat="1" ht="12.75" hidden="1" outlineLevel="1">
      <c r="A561" s="420" t="s">
        <v>633</v>
      </c>
      <c r="B561" s="421"/>
      <c r="C561" s="422"/>
      <c r="D561" s="423"/>
      <c r="E561" s="524" t="s">
        <v>672</v>
      </c>
      <c r="F561" s="422" t="s">
        <v>1127</v>
      </c>
      <c r="G561" s="423" t="s">
        <v>432</v>
      </c>
      <c r="H561" s="424">
        <v>1.92</v>
      </c>
      <c r="I561" s="469">
        <f>LOOKUP(E561,valoriz!$A$13:$A$242,valoriz!I$13:I$242)</f>
        <v>0</v>
      </c>
      <c r="J561" s="460">
        <f t="shared" si="7"/>
        <v>0</v>
      </c>
      <c r="K561" s="425"/>
      <c r="L561" s="430"/>
    </row>
    <row r="562" spans="1:12" s="427" customFormat="1" ht="12.75" hidden="1" outlineLevel="1">
      <c r="A562" s="420" t="s">
        <v>633</v>
      </c>
      <c r="B562" s="421"/>
      <c r="C562" s="422"/>
      <c r="D562" s="423"/>
      <c r="E562" s="524" t="s">
        <v>673</v>
      </c>
      <c r="F562" s="422" t="s">
        <v>1126</v>
      </c>
      <c r="G562" s="423" t="s">
        <v>432</v>
      </c>
      <c r="H562" s="424">
        <v>1.75</v>
      </c>
      <c r="I562" s="469">
        <f>LOOKUP(E562,valoriz!$A$13:$A$242,valoriz!I$13:I$242)</f>
        <v>0</v>
      </c>
      <c r="J562" s="460">
        <f t="shared" si="7"/>
        <v>0</v>
      </c>
      <c r="K562" s="425"/>
      <c r="L562" s="430"/>
    </row>
    <row r="563" spans="1:12" s="427" customFormat="1" ht="12.75" hidden="1" outlineLevel="1">
      <c r="A563" s="420" t="s">
        <v>633</v>
      </c>
      <c r="B563" s="421"/>
      <c r="C563" s="422"/>
      <c r="D563" s="423"/>
      <c r="E563" s="524" t="s">
        <v>674</v>
      </c>
      <c r="F563" s="422" t="s">
        <v>1125</v>
      </c>
      <c r="G563" s="423" t="s">
        <v>432</v>
      </c>
      <c r="H563" s="424">
        <v>1.77</v>
      </c>
      <c r="I563" s="469">
        <f>LOOKUP(E563,valoriz!$A$13:$A$242,valoriz!I$13:I$242)</f>
        <v>0</v>
      </c>
      <c r="J563" s="460">
        <f t="shared" si="7"/>
        <v>0</v>
      </c>
      <c r="K563" s="425"/>
      <c r="L563" s="430"/>
    </row>
    <row r="564" spans="1:12" s="427" customFormat="1" ht="12.75" hidden="1" outlineLevel="1">
      <c r="A564" s="420" t="s">
        <v>633</v>
      </c>
      <c r="B564" s="421"/>
      <c r="C564" s="422"/>
      <c r="D564" s="423"/>
      <c r="E564" s="524" t="s">
        <v>675</v>
      </c>
      <c r="F564" s="422" t="s">
        <v>1124</v>
      </c>
      <c r="G564" s="423" t="s">
        <v>432</v>
      </c>
      <c r="H564" s="424">
        <v>1.76</v>
      </c>
      <c r="I564" s="469">
        <f>LOOKUP(E564,valoriz!$A$13:$A$242,valoriz!I$13:I$242)</f>
        <v>0</v>
      </c>
      <c r="J564" s="460">
        <f t="shared" si="7"/>
        <v>0</v>
      </c>
      <c r="K564" s="425"/>
      <c r="L564" s="430"/>
    </row>
    <row r="565" spans="1:12" s="427" customFormat="1" ht="12.75" hidden="1" outlineLevel="1">
      <c r="A565" s="420" t="s">
        <v>633</v>
      </c>
      <c r="B565" s="421"/>
      <c r="C565" s="422"/>
      <c r="D565" s="423"/>
      <c r="E565" s="524" t="s">
        <v>676</v>
      </c>
      <c r="F565" s="422" t="s">
        <v>604</v>
      </c>
      <c r="G565" s="423" t="s">
        <v>432</v>
      </c>
      <c r="H565" s="424">
        <v>0.84</v>
      </c>
      <c r="I565" s="469">
        <f>LOOKUP(E565,valoriz!$A$13:$A$242,valoriz!I$13:I$242)</f>
        <v>0</v>
      </c>
      <c r="J565" s="460">
        <f t="shared" si="7"/>
        <v>0</v>
      </c>
      <c r="K565" s="425"/>
      <c r="L565" s="430"/>
    </row>
    <row r="566" spans="1:12" s="427" customFormat="1" ht="12.75" hidden="1" outlineLevel="1">
      <c r="A566" s="420" t="s">
        <v>633</v>
      </c>
      <c r="B566" s="421"/>
      <c r="C566" s="422"/>
      <c r="D566" s="423"/>
      <c r="E566" s="524" t="s">
        <v>765</v>
      </c>
      <c r="F566" s="422" t="s">
        <v>1123</v>
      </c>
      <c r="G566" s="423" t="s">
        <v>431</v>
      </c>
      <c r="H566" s="424">
        <v>1.0667</v>
      </c>
      <c r="I566" s="469">
        <f>LOOKUP(E566,valoriz!$A$13:$A$242,valoriz!I$13:I$242)</f>
        <v>0</v>
      </c>
      <c r="J566" s="460">
        <f t="shared" si="7"/>
        <v>0</v>
      </c>
      <c r="K566" s="425"/>
      <c r="L566" s="430"/>
    </row>
    <row r="567" spans="1:12" s="427" customFormat="1" ht="12.75" hidden="1" outlineLevel="1">
      <c r="A567" s="420" t="s">
        <v>633</v>
      </c>
      <c r="B567" s="421"/>
      <c r="C567" s="422"/>
      <c r="D567" s="423"/>
      <c r="E567" s="524" t="s">
        <v>677</v>
      </c>
      <c r="F567" s="422" t="s">
        <v>1122</v>
      </c>
      <c r="G567" s="423" t="s">
        <v>431</v>
      </c>
      <c r="H567" s="424">
        <v>1.3744999999999998</v>
      </c>
      <c r="I567" s="469">
        <f>LOOKUP(E567,valoriz!$A$13:$A$242,valoriz!I$13:I$242)</f>
        <v>0</v>
      </c>
      <c r="J567" s="460">
        <f t="shared" si="7"/>
        <v>0</v>
      </c>
      <c r="K567" s="425"/>
      <c r="L567" s="430"/>
    </row>
    <row r="568" spans="1:12" s="427" customFormat="1" ht="12.75" hidden="1" outlineLevel="1">
      <c r="A568" s="420" t="s">
        <v>633</v>
      </c>
      <c r="B568" s="421"/>
      <c r="C568" s="422"/>
      <c r="D568" s="423"/>
      <c r="E568" s="524" t="s">
        <v>730</v>
      </c>
      <c r="F568" s="422" t="s">
        <v>607</v>
      </c>
      <c r="G568" s="423" t="s">
        <v>432</v>
      </c>
      <c r="H568" s="513">
        <v>0.17780000000000001</v>
      </c>
      <c r="I568" s="469">
        <f>LOOKUP(E568,valoriz!$A$13:$A$242,valoriz!I$13:I$242)</f>
        <v>0</v>
      </c>
      <c r="J568" s="460">
        <f t="shared" si="7"/>
        <v>0</v>
      </c>
      <c r="K568" s="425"/>
      <c r="L568" s="430"/>
    </row>
    <row r="569" spans="1:12" s="427" customFormat="1" ht="12.75" hidden="1" outlineLevel="1">
      <c r="A569" s="420" t="s">
        <v>633</v>
      </c>
      <c r="B569" s="421"/>
      <c r="C569" s="422"/>
      <c r="D569" s="423"/>
      <c r="E569" s="524" t="s">
        <v>732</v>
      </c>
      <c r="F569" s="422" t="s">
        <v>1121</v>
      </c>
      <c r="G569" s="423" t="s">
        <v>432</v>
      </c>
      <c r="H569" s="424">
        <v>0.19</v>
      </c>
      <c r="I569" s="469">
        <f>LOOKUP(E569,valoriz!$A$13:$A$242,valoriz!I$13:I$242)</f>
        <v>0</v>
      </c>
      <c r="J569" s="460">
        <f t="shared" si="7"/>
        <v>0</v>
      </c>
      <c r="K569" s="425"/>
      <c r="L569" s="430"/>
    </row>
    <row r="570" spans="1:12" s="427" customFormat="1" ht="12.75" hidden="1" outlineLevel="1">
      <c r="A570" s="420" t="s">
        <v>633</v>
      </c>
      <c r="B570" s="421"/>
      <c r="C570" s="422"/>
      <c r="D570" s="423"/>
      <c r="E570" s="524" t="s">
        <v>733</v>
      </c>
      <c r="F570" s="422" t="s">
        <v>1120</v>
      </c>
      <c r="G570" s="423" t="s">
        <v>432</v>
      </c>
      <c r="H570" s="424">
        <v>0.47610000000000002</v>
      </c>
      <c r="I570" s="469">
        <f>LOOKUP(E570,valoriz!$A$13:$A$242,valoriz!I$13:I$242)</f>
        <v>0</v>
      </c>
      <c r="J570" s="460">
        <f t="shared" si="7"/>
        <v>0</v>
      </c>
      <c r="K570" s="425"/>
      <c r="L570" s="430"/>
    </row>
    <row r="571" spans="1:12" s="427" customFormat="1" ht="12.75" hidden="1" outlineLevel="1">
      <c r="A571" s="420" t="s">
        <v>633</v>
      </c>
      <c r="B571" s="421"/>
      <c r="C571" s="422"/>
      <c r="D571" s="423"/>
      <c r="E571" s="524" t="s">
        <v>678</v>
      </c>
      <c r="F571" s="422" t="s">
        <v>1098</v>
      </c>
      <c r="G571" s="423" t="s">
        <v>432</v>
      </c>
      <c r="H571" s="424">
        <v>0.82899999999999996</v>
      </c>
      <c r="I571" s="469">
        <f>LOOKUP(E571,valoriz!$A$13:$A$242,valoriz!I$13:I$242)</f>
        <v>0</v>
      </c>
      <c r="J571" s="460">
        <f t="shared" si="7"/>
        <v>0</v>
      </c>
      <c r="K571" s="425"/>
      <c r="L571" s="430"/>
    </row>
    <row r="572" spans="1:12" s="427" customFormat="1" ht="12.75" hidden="1" outlineLevel="1">
      <c r="A572" s="420" t="s">
        <v>633</v>
      </c>
      <c r="B572" s="421"/>
      <c r="C572" s="422"/>
      <c r="D572" s="423"/>
      <c r="E572" s="524" t="s">
        <v>679</v>
      </c>
      <c r="F572" s="422" t="s">
        <v>608</v>
      </c>
      <c r="G572" s="423" t="s">
        <v>432</v>
      </c>
      <c r="H572" s="424">
        <v>1.36</v>
      </c>
      <c r="I572" s="469">
        <f>LOOKUP(E572,valoriz!$A$13:$A$242,valoriz!I$13:I$242)</f>
        <v>0</v>
      </c>
      <c r="J572" s="460">
        <f t="shared" si="7"/>
        <v>0</v>
      </c>
      <c r="K572" s="425"/>
      <c r="L572" s="430"/>
    </row>
    <row r="573" spans="1:12" s="427" customFormat="1" ht="12.75" hidden="1" outlineLevel="1">
      <c r="A573" s="420" t="s">
        <v>633</v>
      </c>
      <c r="B573" s="421"/>
      <c r="C573" s="422"/>
      <c r="D573" s="423"/>
      <c r="E573" s="524" t="s">
        <v>734</v>
      </c>
      <c r="F573" s="422" t="s">
        <v>1106</v>
      </c>
      <c r="G573" s="423" t="s">
        <v>432</v>
      </c>
      <c r="H573" s="424">
        <v>0.2</v>
      </c>
      <c r="I573" s="469">
        <f>LOOKUP(E573,valoriz!$A$13:$A$242,valoriz!I$13:I$242)</f>
        <v>0</v>
      </c>
      <c r="J573" s="460">
        <f t="shared" si="7"/>
        <v>0</v>
      </c>
      <c r="K573" s="425"/>
      <c r="L573" s="430"/>
    </row>
    <row r="574" spans="1:12" s="427" customFormat="1" ht="12.75" hidden="1" outlineLevel="1">
      <c r="A574" s="420" t="s">
        <v>633</v>
      </c>
      <c r="B574" s="421"/>
      <c r="C574" s="422"/>
      <c r="D574" s="423"/>
      <c r="E574" s="524" t="s">
        <v>735</v>
      </c>
      <c r="F574" s="422" t="s">
        <v>1119</v>
      </c>
      <c r="G574" s="423" t="s">
        <v>432</v>
      </c>
      <c r="H574" s="424">
        <v>1.0655000000000001</v>
      </c>
      <c r="I574" s="469">
        <f>LOOKUP(E574,valoriz!$A$13:$A$242,valoriz!I$13:I$242)</f>
        <v>0</v>
      </c>
      <c r="J574" s="460">
        <f t="shared" si="7"/>
        <v>0</v>
      </c>
      <c r="K574" s="425"/>
      <c r="L574" s="430"/>
    </row>
    <row r="575" spans="1:12" s="427" customFormat="1" ht="12.75" hidden="1" outlineLevel="1">
      <c r="A575" s="420" t="s">
        <v>633</v>
      </c>
      <c r="B575" s="421"/>
      <c r="C575" s="422"/>
      <c r="D575" s="423"/>
      <c r="E575" s="524" t="s">
        <v>680</v>
      </c>
      <c r="F575" s="422" t="s">
        <v>1118</v>
      </c>
      <c r="G575" s="423" t="s">
        <v>432</v>
      </c>
      <c r="H575" s="424">
        <v>1.7849999999999999</v>
      </c>
      <c r="I575" s="469">
        <f>LOOKUP(E575,valoriz!$A$13:$A$242,valoriz!I$13:I$242)</f>
        <v>0</v>
      </c>
      <c r="J575" s="460">
        <f t="shared" si="7"/>
        <v>0</v>
      </c>
      <c r="K575" s="425"/>
      <c r="L575" s="430"/>
    </row>
    <row r="576" spans="1:12" s="427" customFormat="1" ht="12.75" hidden="1" outlineLevel="1">
      <c r="A576" s="420" t="s">
        <v>633</v>
      </c>
      <c r="B576" s="421"/>
      <c r="C576" s="422"/>
      <c r="D576" s="423"/>
      <c r="E576" s="524" t="s">
        <v>681</v>
      </c>
      <c r="F576" s="422" t="s">
        <v>1117</v>
      </c>
      <c r="G576" s="423" t="s">
        <v>431</v>
      </c>
      <c r="H576" s="424">
        <v>2E-3</v>
      </c>
      <c r="I576" s="469">
        <f>LOOKUP(E576,valoriz!$A$13:$A$242,valoriz!I$13:I$242)</f>
        <v>0</v>
      </c>
      <c r="J576" s="460">
        <f t="shared" si="7"/>
        <v>0</v>
      </c>
      <c r="K576" s="425"/>
      <c r="L576" s="430"/>
    </row>
    <row r="577" spans="1:12" s="427" customFormat="1" ht="12.75" hidden="1" outlineLevel="1">
      <c r="A577" s="420" t="s">
        <v>633</v>
      </c>
      <c r="B577" s="421"/>
      <c r="C577" s="422"/>
      <c r="D577" s="423"/>
      <c r="E577" s="524" t="s">
        <v>683</v>
      </c>
      <c r="F577" s="422" t="s">
        <v>1116</v>
      </c>
      <c r="G577" s="423" t="s">
        <v>434</v>
      </c>
      <c r="H577" s="424">
        <v>0.25240000000000001</v>
      </c>
      <c r="I577" s="469">
        <f>LOOKUP(E577,valoriz!$A$13:$A$242,valoriz!I$13:I$242)</f>
        <v>0</v>
      </c>
      <c r="J577" s="460">
        <f t="shared" si="7"/>
        <v>0</v>
      </c>
      <c r="K577" s="425"/>
      <c r="L577" s="430"/>
    </row>
    <row r="578" spans="1:12" s="427" customFormat="1" ht="12.75" hidden="1" outlineLevel="1">
      <c r="A578" s="420" t="s">
        <v>633</v>
      </c>
      <c r="B578" s="421"/>
      <c r="C578" s="422"/>
      <c r="D578" s="423"/>
      <c r="E578" s="524" t="s">
        <v>736</v>
      </c>
      <c r="F578" s="422" t="s">
        <v>1115</v>
      </c>
      <c r="G578" s="423" t="s">
        <v>432</v>
      </c>
      <c r="H578" s="424">
        <v>1.04</v>
      </c>
      <c r="I578" s="469">
        <f>LOOKUP(E578,valoriz!$A$13:$A$242,valoriz!I$13:I$242)</f>
        <v>0</v>
      </c>
      <c r="J578" s="460">
        <f t="shared" si="7"/>
        <v>0</v>
      </c>
      <c r="K578" s="425"/>
      <c r="L578" s="430"/>
    </row>
    <row r="579" spans="1:12" s="427" customFormat="1" ht="12.75" hidden="1" outlineLevel="1">
      <c r="A579" s="420" t="s">
        <v>633</v>
      </c>
      <c r="B579" s="421"/>
      <c r="C579" s="422"/>
      <c r="D579" s="423"/>
      <c r="E579" s="524" t="s">
        <v>684</v>
      </c>
      <c r="F579" s="422" t="s">
        <v>1114</v>
      </c>
      <c r="G579" s="423" t="s">
        <v>431</v>
      </c>
      <c r="H579" s="424">
        <v>0.34</v>
      </c>
      <c r="I579" s="469">
        <f>LOOKUP(E579,valoriz!$A$13:$A$242,valoriz!I$13:I$242)</f>
        <v>0</v>
      </c>
      <c r="J579" s="460">
        <f t="shared" si="7"/>
        <v>0</v>
      </c>
      <c r="K579" s="425"/>
      <c r="L579" s="430"/>
    </row>
    <row r="580" spans="1:12" s="427" customFormat="1" ht="12.75" hidden="1" outlineLevel="1">
      <c r="A580" s="420" t="s">
        <v>633</v>
      </c>
      <c r="B580" s="421"/>
      <c r="C580" s="422"/>
      <c r="D580" s="423"/>
      <c r="E580" s="524" t="s">
        <v>686</v>
      </c>
      <c r="F580" s="422" t="s">
        <v>1113</v>
      </c>
      <c r="G580" s="423" t="s">
        <v>431</v>
      </c>
      <c r="H580" s="424">
        <v>0.33</v>
      </c>
      <c r="I580" s="469">
        <f>LOOKUP(E580,valoriz!$A$13:$A$242,valoriz!I$13:I$242)</f>
        <v>0</v>
      </c>
      <c r="J580" s="460">
        <f t="shared" si="7"/>
        <v>0</v>
      </c>
      <c r="K580" s="425"/>
      <c r="L580" s="430"/>
    </row>
    <row r="581" spans="1:12" s="427" customFormat="1" ht="12.75" hidden="1" outlineLevel="1">
      <c r="A581" s="420" t="s">
        <v>633</v>
      </c>
      <c r="B581" s="421"/>
      <c r="C581" s="422"/>
      <c r="D581" s="423"/>
      <c r="E581" s="524" t="s">
        <v>687</v>
      </c>
      <c r="F581" s="422" t="s">
        <v>1112</v>
      </c>
      <c r="G581" s="423" t="s">
        <v>433</v>
      </c>
      <c r="H581" s="424">
        <v>0.14000000000000001</v>
      </c>
      <c r="I581" s="469">
        <f>LOOKUP(E581,valoriz!$A$13:$A$242,valoriz!I$13:I$242)</f>
        <v>0</v>
      </c>
      <c r="J581" s="460">
        <f t="shared" si="7"/>
        <v>0</v>
      </c>
      <c r="K581" s="425"/>
      <c r="L581" s="430"/>
    </row>
    <row r="582" spans="1:12" s="427" customFormat="1" ht="12.75" hidden="1" outlineLevel="1">
      <c r="A582" s="420" t="s">
        <v>633</v>
      </c>
      <c r="B582" s="421"/>
      <c r="C582" s="422"/>
      <c r="D582" s="423"/>
      <c r="E582" s="524" t="s">
        <v>688</v>
      </c>
      <c r="F582" s="422" t="s">
        <v>1111</v>
      </c>
      <c r="G582" s="423" t="s">
        <v>433</v>
      </c>
      <c r="H582" s="424">
        <v>0.26</v>
      </c>
      <c r="I582" s="469">
        <f>LOOKUP(E582,valoriz!$A$13:$A$242,valoriz!I$13:I$242)</f>
        <v>0</v>
      </c>
      <c r="J582" s="460">
        <f t="shared" si="7"/>
        <v>0</v>
      </c>
      <c r="K582" s="425"/>
      <c r="L582" s="430"/>
    </row>
    <row r="583" spans="1:12" s="427" customFormat="1" ht="12.75" hidden="1" outlineLevel="1">
      <c r="A583" s="420" t="s">
        <v>633</v>
      </c>
      <c r="B583" s="421"/>
      <c r="C583" s="422"/>
      <c r="D583" s="423"/>
      <c r="E583" s="524" t="s">
        <v>689</v>
      </c>
      <c r="F583" s="422" t="s">
        <v>1110</v>
      </c>
      <c r="G583" s="423" t="s">
        <v>432</v>
      </c>
      <c r="H583" s="424">
        <v>0.82369999999999999</v>
      </c>
      <c r="I583" s="469">
        <f>LOOKUP(E583,valoriz!$A$13:$A$242,valoriz!I$13:I$242)</f>
        <v>0</v>
      </c>
      <c r="J583" s="460">
        <f t="shared" si="7"/>
        <v>0</v>
      </c>
      <c r="K583" s="425"/>
      <c r="L583" s="430"/>
    </row>
    <row r="584" spans="1:12" s="427" customFormat="1" ht="12.75" hidden="1" outlineLevel="1">
      <c r="A584" s="420" t="s">
        <v>633</v>
      </c>
      <c r="B584" s="421"/>
      <c r="C584" s="422"/>
      <c r="D584" s="423"/>
      <c r="E584" s="524" t="s">
        <v>690</v>
      </c>
      <c r="F584" s="422" t="s">
        <v>1107</v>
      </c>
      <c r="G584" s="423" t="s">
        <v>434</v>
      </c>
      <c r="H584" s="424">
        <v>0.14960000000000001</v>
      </c>
      <c r="I584" s="469">
        <f>LOOKUP(E584,valoriz!$A$13:$A$242,valoriz!I$13:I$242)</f>
        <v>0</v>
      </c>
      <c r="J584" s="460">
        <f t="shared" si="7"/>
        <v>0</v>
      </c>
      <c r="K584" s="425"/>
      <c r="L584" s="430"/>
    </row>
    <row r="585" spans="1:12" s="427" customFormat="1" ht="12.75" hidden="1" outlineLevel="1">
      <c r="A585" s="420" t="s">
        <v>633</v>
      </c>
      <c r="B585" s="421"/>
      <c r="C585" s="422"/>
      <c r="D585" s="423"/>
      <c r="E585" s="524" t="s">
        <v>691</v>
      </c>
      <c r="F585" s="422" t="s">
        <v>1107</v>
      </c>
      <c r="G585" s="423" t="s">
        <v>434</v>
      </c>
      <c r="H585" s="424">
        <v>0.14959999999999998</v>
      </c>
      <c r="I585" s="469">
        <f>LOOKUP(E585,valoriz!$A$13:$A$242,valoriz!I$13:I$242)</f>
        <v>0</v>
      </c>
      <c r="J585" s="460">
        <f t="shared" ref="J585:J625" si="8">ROUND(I585*H585,2)</f>
        <v>0</v>
      </c>
      <c r="K585" s="425"/>
      <c r="L585" s="430"/>
    </row>
    <row r="586" spans="1:12" s="427" customFormat="1" ht="12.75" hidden="1" outlineLevel="1">
      <c r="A586" s="420" t="s">
        <v>633</v>
      </c>
      <c r="B586" s="421"/>
      <c r="C586" s="422"/>
      <c r="D586" s="423"/>
      <c r="E586" s="524" t="s">
        <v>692</v>
      </c>
      <c r="F586" s="422" t="s">
        <v>1109</v>
      </c>
      <c r="G586" s="423" t="s">
        <v>432</v>
      </c>
      <c r="H586" s="424">
        <v>0.12889999999999999</v>
      </c>
      <c r="I586" s="469">
        <f>LOOKUP(E586,valoriz!$A$13:$A$242,valoriz!I$13:I$242)</f>
        <v>0</v>
      </c>
      <c r="J586" s="460">
        <f t="shared" si="8"/>
        <v>0</v>
      </c>
      <c r="K586" s="425"/>
      <c r="L586" s="430"/>
    </row>
    <row r="587" spans="1:12" s="427" customFormat="1" ht="12.75" hidden="1" outlineLevel="1">
      <c r="A587" s="420" t="s">
        <v>633</v>
      </c>
      <c r="B587" s="421"/>
      <c r="C587" s="422"/>
      <c r="D587" s="423"/>
      <c r="E587" s="524" t="s">
        <v>693</v>
      </c>
      <c r="F587" s="422" t="s">
        <v>1107</v>
      </c>
      <c r="G587" s="423" t="s">
        <v>434</v>
      </c>
      <c r="H587" s="424">
        <v>0.15</v>
      </c>
      <c r="I587" s="469">
        <f>LOOKUP(E587,valoriz!$A$13:$A$242,valoriz!I$13:I$242)</f>
        <v>0</v>
      </c>
      <c r="J587" s="460">
        <f t="shared" si="8"/>
        <v>0</v>
      </c>
      <c r="K587" s="425"/>
      <c r="L587" s="430"/>
    </row>
    <row r="588" spans="1:12" s="427" customFormat="1" ht="12.75" hidden="1" outlineLevel="1">
      <c r="A588" s="420" t="s">
        <v>633</v>
      </c>
      <c r="B588" s="421"/>
      <c r="C588" s="422"/>
      <c r="D588" s="423"/>
      <c r="E588" s="524" t="s">
        <v>694</v>
      </c>
      <c r="F588" s="422" t="s">
        <v>1108</v>
      </c>
      <c r="G588" s="423" t="s">
        <v>432</v>
      </c>
      <c r="H588" s="424">
        <v>1.47</v>
      </c>
      <c r="I588" s="469">
        <f>LOOKUP(E588,valoriz!$A$13:$A$242,valoriz!I$13:I$242)</f>
        <v>0</v>
      </c>
      <c r="J588" s="460">
        <f t="shared" si="8"/>
        <v>0</v>
      </c>
      <c r="K588" s="425"/>
      <c r="L588" s="430"/>
    </row>
    <row r="589" spans="1:12" s="427" customFormat="1" ht="12.75" hidden="1" outlineLevel="1">
      <c r="A589" s="420" t="s">
        <v>633</v>
      </c>
      <c r="B589" s="421"/>
      <c r="C589" s="422"/>
      <c r="D589" s="423"/>
      <c r="E589" s="524" t="s">
        <v>695</v>
      </c>
      <c r="F589" s="422" t="s">
        <v>1107</v>
      </c>
      <c r="G589" s="423" t="s">
        <v>434</v>
      </c>
      <c r="H589" s="424">
        <v>0.15</v>
      </c>
      <c r="I589" s="469">
        <f>LOOKUP(E589,valoriz!$A$13:$A$242,valoriz!I$13:I$242)</f>
        <v>0</v>
      </c>
      <c r="J589" s="460">
        <f t="shared" si="8"/>
        <v>0</v>
      </c>
      <c r="K589" s="425"/>
      <c r="L589" s="430"/>
    </row>
    <row r="590" spans="1:12" s="427" customFormat="1" ht="12.75" hidden="1" outlineLevel="1">
      <c r="A590" s="420" t="s">
        <v>633</v>
      </c>
      <c r="B590" s="421"/>
      <c r="C590" s="422"/>
      <c r="D590" s="423"/>
      <c r="E590" s="524" t="s">
        <v>696</v>
      </c>
      <c r="F590" s="422" t="s">
        <v>604</v>
      </c>
      <c r="G590" s="423" t="s">
        <v>432</v>
      </c>
      <c r="H590" s="424">
        <v>0.84</v>
      </c>
      <c r="I590" s="469">
        <f>LOOKUP(E590,valoriz!$A$13:$A$242,valoriz!I$13:I$242)</f>
        <v>0</v>
      </c>
      <c r="J590" s="460">
        <f t="shared" si="8"/>
        <v>0</v>
      </c>
      <c r="K590" s="425"/>
      <c r="L590" s="430"/>
    </row>
    <row r="591" spans="1:12" s="427" customFormat="1" ht="12.75" hidden="1" outlineLevel="1">
      <c r="A591" s="420" t="s">
        <v>633</v>
      </c>
      <c r="B591" s="421"/>
      <c r="C591" s="422"/>
      <c r="D591" s="423"/>
      <c r="E591" s="524" t="s">
        <v>737</v>
      </c>
      <c r="F591" s="422" t="s">
        <v>1106</v>
      </c>
      <c r="G591" s="423" t="s">
        <v>432</v>
      </c>
      <c r="H591" s="513">
        <v>0.2286</v>
      </c>
      <c r="I591" s="469">
        <f>LOOKUP(E591,valoriz!$A$13:$A$242,valoriz!I$13:I$242)</f>
        <v>0</v>
      </c>
      <c r="J591" s="460">
        <f t="shared" si="8"/>
        <v>0</v>
      </c>
      <c r="K591" s="425"/>
      <c r="L591" s="430"/>
    </row>
    <row r="592" spans="1:12" s="427" customFormat="1" ht="12.75" hidden="1" outlineLevel="1">
      <c r="A592" s="420" t="s">
        <v>633</v>
      </c>
      <c r="B592" s="421"/>
      <c r="C592" s="422"/>
      <c r="D592" s="423"/>
      <c r="E592" s="524" t="s">
        <v>697</v>
      </c>
      <c r="F592" s="422" t="s">
        <v>1105</v>
      </c>
      <c r="G592" s="423" t="s">
        <v>432</v>
      </c>
      <c r="H592" s="424">
        <v>0.13</v>
      </c>
      <c r="I592" s="469">
        <f>LOOKUP(E592,valoriz!$A$13:$A$242,valoriz!I$13:I$242)</f>
        <v>0</v>
      </c>
      <c r="J592" s="460">
        <f t="shared" si="8"/>
        <v>0</v>
      </c>
      <c r="K592" s="425"/>
      <c r="L592" s="430"/>
    </row>
    <row r="593" spans="1:12" s="427" customFormat="1" ht="12.75" hidden="1" outlineLevel="1">
      <c r="A593" s="420" t="s">
        <v>633</v>
      </c>
      <c r="B593" s="421"/>
      <c r="C593" s="422"/>
      <c r="D593" s="423"/>
      <c r="E593" s="524" t="s">
        <v>698</v>
      </c>
      <c r="F593" s="422" t="s">
        <v>1104</v>
      </c>
      <c r="G593" s="423" t="s">
        <v>432</v>
      </c>
      <c r="H593" s="424">
        <v>1.75</v>
      </c>
      <c r="I593" s="469">
        <f>LOOKUP(E593,valoriz!$A$13:$A$242,valoriz!I$13:I$242)</f>
        <v>0</v>
      </c>
      <c r="J593" s="460">
        <f t="shared" si="8"/>
        <v>0</v>
      </c>
      <c r="K593" s="425"/>
      <c r="L593" s="430"/>
    </row>
    <row r="594" spans="1:12" s="427" customFormat="1" ht="12.75" hidden="1" outlineLevel="1">
      <c r="A594" s="420" t="s">
        <v>633</v>
      </c>
      <c r="B594" s="421"/>
      <c r="C594" s="422"/>
      <c r="D594" s="423"/>
      <c r="E594" s="524" t="s">
        <v>699</v>
      </c>
      <c r="F594" s="422" t="s">
        <v>1103</v>
      </c>
      <c r="G594" s="423" t="s">
        <v>432</v>
      </c>
      <c r="H594" s="424">
        <v>1.55</v>
      </c>
      <c r="I594" s="469">
        <f>LOOKUP(E594,valoriz!$A$13:$A$242,valoriz!I$13:I$242)</f>
        <v>0</v>
      </c>
      <c r="J594" s="460">
        <f t="shared" si="8"/>
        <v>0</v>
      </c>
      <c r="K594" s="425"/>
      <c r="L594" s="430"/>
    </row>
    <row r="595" spans="1:12" s="427" customFormat="1" ht="12.75" hidden="1" outlineLevel="1">
      <c r="A595" s="420" t="s">
        <v>633</v>
      </c>
      <c r="B595" s="421"/>
      <c r="C595" s="422"/>
      <c r="D595" s="423"/>
      <c r="E595" s="524" t="s">
        <v>700</v>
      </c>
      <c r="F595" s="422" t="s">
        <v>604</v>
      </c>
      <c r="G595" s="423" t="s">
        <v>432</v>
      </c>
      <c r="H595" s="424">
        <v>0.84</v>
      </c>
      <c r="I595" s="469">
        <f>LOOKUP(E595,valoriz!$A$13:$A$242,valoriz!I$13:I$242)</f>
        <v>0</v>
      </c>
      <c r="J595" s="460">
        <f t="shared" si="8"/>
        <v>0</v>
      </c>
      <c r="K595" s="425"/>
      <c r="L595" s="430"/>
    </row>
    <row r="596" spans="1:12" s="427" customFormat="1" ht="12.75" hidden="1" outlineLevel="1">
      <c r="A596" s="420" t="s">
        <v>633</v>
      </c>
      <c r="B596" s="421"/>
      <c r="C596" s="422"/>
      <c r="D596" s="423"/>
      <c r="E596" s="524" t="s">
        <v>701</v>
      </c>
      <c r="F596" s="422" t="s">
        <v>608</v>
      </c>
      <c r="G596" s="423" t="s">
        <v>432</v>
      </c>
      <c r="H596" s="424">
        <v>1.36</v>
      </c>
      <c r="I596" s="469">
        <f>LOOKUP(E596,valoriz!$A$13:$A$242,valoriz!I$13:I$242)</f>
        <v>0</v>
      </c>
      <c r="J596" s="460">
        <f t="shared" si="8"/>
        <v>0</v>
      </c>
      <c r="K596" s="425"/>
      <c r="L596" s="430"/>
    </row>
    <row r="597" spans="1:12" s="427" customFormat="1" ht="12.75" hidden="1" outlineLevel="1">
      <c r="A597" s="420" t="s">
        <v>633</v>
      </c>
      <c r="B597" s="421"/>
      <c r="C597" s="422"/>
      <c r="D597" s="423"/>
      <c r="E597" s="524" t="s">
        <v>702</v>
      </c>
      <c r="F597" s="422" t="s">
        <v>1102</v>
      </c>
      <c r="G597" s="423" t="s">
        <v>432</v>
      </c>
      <c r="H597" s="424">
        <v>0.57999999999999996</v>
      </c>
      <c r="I597" s="469">
        <f>LOOKUP(E597,valoriz!$A$13:$A$242,valoriz!I$13:I$242)</f>
        <v>0</v>
      </c>
      <c r="J597" s="460">
        <f t="shared" si="8"/>
        <v>0</v>
      </c>
      <c r="K597" s="425"/>
      <c r="L597" s="430"/>
    </row>
    <row r="598" spans="1:12" s="427" customFormat="1" ht="12.75" hidden="1" outlineLevel="1">
      <c r="A598" s="420" t="s">
        <v>633</v>
      </c>
      <c r="B598" s="421"/>
      <c r="C598" s="422"/>
      <c r="D598" s="423"/>
      <c r="E598" s="524" t="s">
        <v>703</v>
      </c>
      <c r="F598" s="422" t="s">
        <v>1098</v>
      </c>
      <c r="G598" s="423" t="s">
        <v>432</v>
      </c>
      <c r="H598" s="424">
        <v>0.4890000000000001</v>
      </c>
      <c r="I598" s="469">
        <f>LOOKUP(E598,valoriz!$A$13:$A$242,valoriz!I$13:I$242)</f>
        <v>0</v>
      </c>
      <c r="J598" s="460">
        <f t="shared" si="8"/>
        <v>0</v>
      </c>
      <c r="K598" s="425"/>
      <c r="L598" s="430"/>
    </row>
    <row r="599" spans="1:12" s="427" customFormat="1" ht="12.75" hidden="1" outlineLevel="1">
      <c r="A599" s="420" t="s">
        <v>633</v>
      </c>
      <c r="B599" s="421"/>
      <c r="C599" s="422"/>
      <c r="D599" s="423"/>
      <c r="E599" s="524" t="s">
        <v>738</v>
      </c>
      <c r="F599" s="422" t="s">
        <v>1101</v>
      </c>
      <c r="G599" s="423" t="s">
        <v>432</v>
      </c>
      <c r="H599" s="424">
        <v>0.14499999999999999</v>
      </c>
      <c r="I599" s="469">
        <f>LOOKUP(E599,valoriz!$A$13:$A$242,valoriz!I$13:I$242)</f>
        <v>0</v>
      </c>
      <c r="J599" s="460">
        <f t="shared" si="8"/>
        <v>0</v>
      </c>
      <c r="K599" s="425"/>
      <c r="L599" s="430"/>
    </row>
    <row r="600" spans="1:12" s="427" customFormat="1" ht="12.75" hidden="1" outlineLevel="1">
      <c r="A600" s="420" t="s">
        <v>633</v>
      </c>
      <c r="B600" s="421"/>
      <c r="C600" s="422"/>
      <c r="D600" s="423"/>
      <c r="E600" s="524" t="s">
        <v>739</v>
      </c>
      <c r="F600" s="422" t="s">
        <v>1100</v>
      </c>
      <c r="G600" s="423" t="s">
        <v>432</v>
      </c>
      <c r="H600" s="424">
        <v>0.19</v>
      </c>
      <c r="I600" s="469">
        <f>LOOKUP(E600,valoriz!$A$13:$A$242,valoriz!I$13:I$242)</f>
        <v>0</v>
      </c>
      <c r="J600" s="460">
        <f t="shared" si="8"/>
        <v>0</v>
      </c>
      <c r="K600" s="425"/>
      <c r="L600" s="430"/>
    </row>
    <row r="601" spans="1:12" s="427" customFormat="1" ht="12.75" hidden="1" outlineLevel="1">
      <c r="A601" s="420" t="s">
        <v>633</v>
      </c>
      <c r="B601" s="421"/>
      <c r="C601" s="422"/>
      <c r="D601" s="423"/>
      <c r="E601" s="524" t="s">
        <v>740</v>
      </c>
      <c r="F601" s="422" t="s">
        <v>1099</v>
      </c>
      <c r="G601" s="423" t="s">
        <v>432</v>
      </c>
      <c r="H601" s="424">
        <v>0.17779999999999999</v>
      </c>
      <c r="I601" s="469">
        <f>LOOKUP(E601,valoriz!$A$13:$A$242,valoriz!I$13:I$242)</f>
        <v>0</v>
      </c>
      <c r="J601" s="460">
        <f t="shared" si="8"/>
        <v>0</v>
      </c>
      <c r="K601" s="425"/>
      <c r="L601" s="430"/>
    </row>
    <row r="602" spans="1:12" s="427" customFormat="1" ht="12.75" hidden="1" outlineLevel="1">
      <c r="A602" s="420" t="s">
        <v>633</v>
      </c>
      <c r="B602" s="421"/>
      <c r="C602" s="422"/>
      <c r="D602" s="423"/>
      <c r="E602" s="524" t="s">
        <v>704</v>
      </c>
      <c r="F602" s="422" t="s">
        <v>1098</v>
      </c>
      <c r="G602" s="423" t="s">
        <v>432</v>
      </c>
      <c r="H602" s="424">
        <v>0.82899999999999996</v>
      </c>
      <c r="I602" s="469">
        <f>LOOKUP(E602,valoriz!$A$13:$A$242,valoriz!I$13:I$242)</f>
        <v>0</v>
      </c>
      <c r="J602" s="460">
        <f t="shared" si="8"/>
        <v>0</v>
      </c>
      <c r="K602" s="425"/>
      <c r="L602" s="430"/>
    </row>
    <row r="603" spans="1:12" s="427" customFormat="1" ht="12.75" hidden="1" outlineLevel="1">
      <c r="A603" s="420" t="s">
        <v>633</v>
      </c>
      <c r="B603" s="421"/>
      <c r="C603" s="422"/>
      <c r="D603" s="423"/>
      <c r="E603" s="524" t="s">
        <v>705</v>
      </c>
      <c r="F603" s="422" t="s">
        <v>608</v>
      </c>
      <c r="G603" s="423" t="s">
        <v>432</v>
      </c>
      <c r="H603" s="424">
        <v>1.36</v>
      </c>
      <c r="I603" s="469">
        <f>LOOKUP(E603,valoriz!$A$13:$A$242,valoriz!I$13:I$242)</f>
        <v>0</v>
      </c>
      <c r="J603" s="460">
        <f t="shared" si="8"/>
        <v>0</v>
      </c>
      <c r="K603" s="425"/>
      <c r="L603" s="430"/>
    </row>
    <row r="604" spans="1:12" s="427" customFormat="1" ht="12.75" hidden="1" outlineLevel="1">
      <c r="A604" s="420" t="s">
        <v>633</v>
      </c>
      <c r="B604" s="421"/>
      <c r="C604" s="422"/>
      <c r="D604" s="423"/>
      <c r="E604" s="524" t="s">
        <v>741</v>
      </c>
      <c r="F604" s="422" t="s">
        <v>1097</v>
      </c>
      <c r="G604" s="423" t="s">
        <v>432</v>
      </c>
      <c r="H604" s="424">
        <v>0.18129999999999999</v>
      </c>
      <c r="I604" s="469">
        <f>LOOKUP(E604,valoriz!$A$13:$A$242,valoriz!I$13:I$242)</f>
        <v>0</v>
      </c>
      <c r="J604" s="460">
        <f t="shared" si="8"/>
        <v>0</v>
      </c>
      <c r="K604" s="425"/>
      <c r="L604" s="430"/>
    </row>
    <row r="605" spans="1:12" s="427" customFormat="1" ht="12.75" hidden="1" outlineLevel="1">
      <c r="A605" s="420" t="s">
        <v>633</v>
      </c>
      <c r="B605" s="421"/>
      <c r="C605" s="422"/>
      <c r="D605" s="423"/>
      <c r="E605" s="524" t="s">
        <v>706</v>
      </c>
      <c r="F605" s="422" t="s">
        <v>609</v>
      </c>
      <c r="G605" s="423" t="s">
        <v>432</v>
      </c>
      <c r="H605" s="424">
        <v>0.86480000000000012</v>
      </c>
      <c r="I605" s="469">
        <f>LOOKUP(E605,valoriz!$A$13:$A$242,valoriz!I$13:I$242)</f>
        <v>0</v>
      </c>
      <c r="J605" s="460">
        <f t="shared" si="8"/>
        <v>0</v>
      </c>
      <c r="K605" s="425"/>
      <c r="L605" s="430"/>
    </row>
    <row r="606" spans="1:12" s="427" customFormat="1" ht="12.75" hidden="1" outlineLevel="1">
      <c r="A606" s="420" t="s">
        <v>633</v>
      </c>
      <c r="B606" s="421"/>
      <c r="C606" s="422"/>
      <c r="D606" s="423"/>
      <c r="E606" s="524" t="s">
        <v>707</v>
      </c>
      <c r="F606" s="422" t="s">
        <v>1096</v>
      </c>
      <c r="G606" s="423" t="s">
        <v>433</v>
      </c>
      <c r="H606" s="424">
        <v>0.22</v>
      </c>
      <c r="I606" s="469">
        <f>LOOKUP(E606,valoriz!$A$13:$A$242,valoriz!I$13:I$242)</f>
        <v>0</v>
      </c>
      <c r="J606" s="460">
        <f t="shared" si="8"/>
        <v>0</v>
      </c>
      <c r="K606" s="425"/>
      <c r="L606" s="430"/>
    </row>
    <row r="607" spans="1:12" s="427" customFormat="1" ht="12.75" hidden="1" outlineLevel="1">
      <c r="A607" s="420" t="s">
        <v>633</v>
      </c>
      <c r="B607" s="421"/>
      <c r="C607" s="422"/>
      <c r="D607" s="423"/>
      <c r="E607" s="524" t="s">
        <v>709</v>
      </c>
      <c r="F607" s="422" t="s">
        <v>1095</v>
      </c>
      <c r="G607" s="423" t="s">
        <v>433</v>
      </c>
      <c r="H607" s="424">
        <v>1.53</v>
      </c>
      <c r="I607" s="469">
        <f>LOOKUP(E607,valoriz!$A$13:$A$242,valoriz!I$13:I$242)</f>
        <v>0</v>
      </c>
      <c r="J607" s="460">
        <f t="shared" si="8"/>
        <v>0</v>
      </c>
      <c r="K607" s="425"/>
      <c r="L607" s="430"/>
    </row>
    <row r="608" spans="1:12" s="427" customFormat="1" ht="12.75" hidden="1" outlineLevel="1">
      <c r="A608" s="420" t="s">
        <v>633</v>
      </c>
      <c r="B608" s="421"/>
      <c r="C608" s="422"/>
      <c r="D608" s="423"/>
      <c r="E608" s="524" t="s">
        <v>710</v>
      </c>
      <c r="F608" s="422" t="s">
        <v>1094</v>
      </c>
      <c r="G608" s="423" t="s">
        <v>433</v>
      </c>
      <c r="H608" s="424">
        <v>1.53</v>
      </c>
      <c r="I608" s="469">
        <f>LOOKUP(E608,valoriz!$A$13:$A$242,valoriz!I$13:I$242)</f>
        <v>0</v>
      </c>
      <c r="J608" s="460">
        <f t="shared" si="8"/>
        <v>0</v>
      </c>
      <c r="K608" s="425"/>
      <c r="L608" s="430"/>
    </row>
    <row r="609" spans="1:12" s="427" customFormat="1" ht="12.75" hidden="1" outlineLevel="1">
      <c r="A609" s="420" t="s">
        <v>633</v>
      </c>
      <c r="B609" s="421"/>
      <c r="C609" s="422"/>
      <c r="D609" s="423"/>
      <c r="E609" s="524" t="s">
        <v>742</v>
      </c>
      <c r="F609" s="422" t="s">
        <v>1093</v>
      </c>
      <c r="G609" s="423" t="s">
        <v>433</v>
      </c>
      <c r="H609" s="424">
        <v>5.29</v>
      </c>
      <c r="I609" s="469">
        <f>LOOKUP(E609,valoriz!$A$13:$A$242,valoriz!I$13:I$242)</f>
        <v>0</v>
      </c>
      <c r="J609" s="460">
        <f t="shared" si="8"/>
        <v>0</v>
      </c>
      <c r="K609" s="425"/>
      <c r="L609" s="430"/>
    </row>
    <row r="610" spans="1:12" s="427" customFormat="1" ht="12.75" hidden="1" outlineLevel="1">
      <c r="A610" s="420" t="s">
        <v>633</v>
      </c>
      <c r="B610" s="421"/>
      <c r="C610" s="422"/>
      <c r="D610" s="423"/>
      <c r="E610" s="524" t="s">
        <v>711</v>
      </c>
      <c r="F610" s="422" t="s">
        <v>1092</v>
      </c>
      <c r="G610" s="423" t="s">
        <v>431</v>
      </c>
      <c r="H610" s="424">
        <v>7.0000000000000007E-2</v>
      </c>
      <c r="I610" s="469">
        <f>LOOKUP(E610,valoriz!$A$13:$A$242,valoriz!I$13:I$242)</f>
        <v>0</v>
      </c>
      <c r="J610" s="460">
        <f t="shared" si="8"/>
        <v>0</v>
      </c>
      <c r="K610" s="425"/>
      <c r="L610" s="430"/>
    </row>
    <row r="611" spans="1:12" s="427" customFormat="1" ht="12.75" hidden="1" outlineLevel="1">
      <c r="A611" s="420" t="s">
        <v>633</v>
      </c>
      <c r="B611" s="421"/>
      <c r="C611" s="422"/>
      <c r="D611" s="423"/>
      <c r="E611" s="524" t="s">
        <v>713</v>
      </c>
      <c r="F611" s="422" t="s">
        <v>437</v>
      </c>
      <c r="G611" s="423" t="s">
        <v>433</v>
      </c>
      <c r="H611" s="424">
        <v>0.23</v>
      </c>
      <c r="I611" s="469">
        <f>LOOKUP(E611,valoriz!$A$13:$A$242,valoriz!I$13:I$242)</f>
        <v>0</v>
      </c>
      <c r="J611" s="460">
        <f t="shared" si="8"/>
        <v>0</v>
      </c>
      <c r="K611" s="425"/>
      <c r="L611" s="430"/>
    </row>
    <row r="612" spans="1:12" s="427" customFormat="1" ht="12.75" hidden="1" outlineLevel="1">
      <c r="A612" s="420" t="s">
        <v>633</v>
      </c>
      <c r="B612" s="421"/>
      <c r="C612" s="422"/>
      <c r="D612" s="423"/>
      <c r="E612" s="524" t="s">
        <v>785</v>
      </c>
      <c r="F612" s="422" t="s">
        <v>1091</v>
      </c>
      <c r="G612" s="423" t="s">
        <v>434</v>
      </c>
      <c r="H612" s="424">
        <v>8.0000000000000004E-4</v>
      </c>
      <c r="I612" s="469">
        <f>LOOKUP(E612,valoriz!$A$13:$A$242,valoriz!I$13:I$242)</f>
        <v>0</v>
      </c>
      <c r="J612" s="460">
        <f t="shared" si="8"/>
        <v>0</v>
      </c>
      <c r="K612" s="425"/>
      <c r="L612" s="430"/>
    </row>
    <row r="613" spans="1:12" s="427" customFormat="1" ht="12.75" hidden="1" outlineLevel="1">
      <c r="A613" s="420" t="s">
        <v>633</v>
      </c>
      <c r="B613" s="421"/>
      <c r="C613" s="422"/>
      <c r="D613" s="423"/>
      <c r="E613" s="524" t="s">
        <v>743</v>
      </c>
      <c r="F613" s="422" t="s">
        <v>1090</v>
      </c>
      <c r="G613" s="423" t="s">
        <v>432</v>
      </c>
      <c r="H613" s="513">
        <v>3.4500000000000003E-2</v>
      </c>
      <c r="I613" s="469">
        <f>LOOKUP(E613,valoriz!$A$13:$A$242,valoriz!I$13:I$242)</f>
        <v>0</v>
      </c>
      <c r="J613" s="460">
        <f t="shared" si="8"/>
        <v>0</v>
      </c>
      <c r="K613" s="425"/>
      <c r="L613" s="430"/>
    </row>
    <row r="614" spans="1:12" s="427" customFormat="1" ht="12.75" hidden="1" outlineLevel="1">
      <c r="A614" s="420" t="s">
        <v>633</v>
      </c>
      <c r="B614" s="421"/>
      <c r="C614" s="422"/>
      <c r="D614" s="423"/>
      <c r="E614" s="524" t="s">
        <v>744</v>
      </c>
      <c r="F614" s="422" t="s">
        <v>610</v>
      </c>
      <c r="G614" s="423" t="s">
        <v>434</v>
      </c>
      <c r="H614" s="424">
        <v>1.6E-2</v>
      </c>
      <c r="I614" s="469">
        <f>LOOKUP(E614,valoriz!$A$13:$A$242,valoriz!I$13:I$242)</f>
        <v>0</v>
      </c>
      <c r="J614" s="460">
        <f t="shared" si="8"/>
        <v>0</v>
      </c>
      <c r="K614" s="425"/>
      <c r="L614" s="430"/>
    </row>
    <row r="615" spans="1:12" s="427" customFormat="1" ht="12.75" hidden="1" outlineLevel="1">
      <c r="A615" s="420" t="s">
        <v>633</v>
      </c>
      <c r="B615" s="421"/>
      <c r="C615" s="422"/>
      <c r="D615" s="423"/>
      <c r="E615" s="524" t="s">
        <v>745</v>
      </c>
      <c r="F615" s="422" t="s">
        <v>1089</v>
      </c>
      <c r="G615" s="423" t="s">
        <v>434</v>
      </c>
      <c r="H615" s="424">
        <v>7.6399999999999996E-2</v>
      </c>
      <c r="I615" s="469">
        <f>LOOKUP(E615,valoriz!$A$13:$A$242,valoriz!I$13:I$242)</f>
        <v>0</v>
      </c>
      <c r="J615" s="460">
        <f t="shared" si="8"/>
        <v>0</v>
      </c>
      <c r="K615" s="425"/>
      <c r="L615" s="430"/>
    </row>
    <row r="616" spans="1:12" s="427" customFormat="1" ht="12.75" hidden="1" outlineLevel="1">
      <c r="A616" s="420" t="s">
        <v>633</v>
      </c>
      <c r="B616" s="421"/>
      <c r="C616" s="422"/>
      <c r="D616" s="423"/>
      <c r="E616" s="524" t="s">
        <v>746</v>
      </c>
      <c r="F616" s="422" t="s">
        <v>611</v>
      </c>
      <c r="G616" s="423" t="s">
        <v>434</v>
      </c>
      <c r="H616" s="424">
        <v>6.1099999999999995E-2</v>
      </c>
      <c r="I616" s="469">
        <f>LOOKUP(E616,valoriz!$A$13:$A$242,valoriz!I$13:I$242)</f>
        <v>0</v>
      </c>
      <c r="J616" s="460">
        <f t="shared" si="8"/>
        <v>0</v>
      </c>
      <c r="K616" s="425"/>
      <c r="L616" s="430"/>
    </row>
    <row r="617" spans="1:12" s="427" customFormat="1" ht="12.75" hidden="1" outlineLevel="1">
      <c r="A617" s="420" t="s">
        <v>633</v>
      </c>
      <c r="B617" s="421"/>
      <c r="C617" s="422"/>
      <c r="D617" s="423"/>
      <c r="E617" s="524" t="s">
        <v>747</v>
      </c>
      <c r="F617" s="422" t="s">
        <v>1088</v>
      </c>
      <c r="G617" s="423" t="s">
        <v>434</v>
      </c>
      <c r="H617" s="424">
        <v>8.3999999999999991E-2</v>
      </c>
      <c r="I617" s="469">
        <f>LOOKUP(E617,valoriz!$A$13:$A$242,valoriz!I$13:I$242)</f>
        <v>0</v>
      </c>
      <c r="J617" s="460">
        <f t="shared" si="8"/>
        <v>0</v>
      </c>
      <c r="K617" s="425"/>
      <c r="L617" s="430"/>
    </row>
    <row r="618" spans="1:12" s="427" customFormat="1" ht="12.75" hidden="1" outlineLevel="1">
      <c r="A618" s="420" t="s">
        <v>633</v>
      </c>
      <c r="B618" s="421"/>
      <c r="C618" s="422"/>
      <c r="D618" s="423"/>
      <c r="E618" s="524" t="s">
        <v>714</v>
      </c>
      <c r="F618" s="422" t="s">
        <v>1087</v>
      </c>
      <c r="G618" s="423" t="s">
        <v>433</v>
      </c>
      <c r="H618" s="424">
        <v>2.802</v>
      </c>
      <c r="I618" s="469">
        <f>LOOKUP(E618,valoriz!$A$13:$A$242,valoriz!I$13:I$242)</f>
        <v>0</v>
      </c>
      <c r="J618" s="460">
        <f t="shared" si="8"/>
        <v>0</v>
      </c>
      <c r="K618" s="425"/>
      <c r="L618" s="430"/>
    </row>
    <row r="619" spans="1:12" s="427" customFormat="1" ht="12.75" hidden="1" outlineLevel="1">
      <c r="A619" s="420" t="s">
        <v>633</v>
      </c>
      <c r="B619" s="421"/>
      <c r="C619" s="422"/>
      <c r="D619" s="423"/>
      <c r="E619" s="524" t="s">
        <v>748</v>
      </c>
      <c r="F619" s="422" t="s">
        <v>1086</v>
      </c>
      <c r="G619" s="423" t="s">
        <v>612</v>
      </c>
      <c r="H619" s="513">
        <v>6.6699999999999995E-2</v>
      </c>
      <c r="I619" s="469">
        <f>LOOKUP(E619,valoriz!$A$13:$A$242,valoriz!I$13:I$242)</f>
        <v>0</v>
      </c>
      <c r="J619" s="460">
        <f t="shared" si="8"/>
        <v>0</v>
      </c>
      <c r="K619" s="425"/>
      <c r="L619" s="430"/>
    </row>
    <row r="620" spans="1:12" s="427" customFormat="1" ht="12.75" hidden="1" outlineLevel="1">
      <c r="A620" s="420" t="s">
        <v>633</v>
      </c>
      <c r="B620" s="421"/>
      <c r="C620" s="422"/>
      <c r="D620" s="423"/>
      <c r="E620" s="524" t="s">
        <v>749</v>
      </c>
      <c r="F620" s="422" t="s">
        <v>1085</v>
      </c>
      <c r="G620" s="423" t="s">
        <v>612</v>
      </c>
      <c r="H620" s="513">
        <v>2.9100000000000001E-2</v>
      </c>
      <c r="I620" s="469">
        <f>LOOKUP(E620,valoriz!$A$13:$A$242,valoriz!I$13:I$242)</f>
        <v>0</v>
      </c>
      <c r="J620" s="460">
        <f t="shared" si="8"/>
        <v>0</v>
      </c>
      <c r="K620" s="425"/>
      <c r="L620" s="430"/>
    </row>
    <row r="621" spans="1:12" s="427" customFormat="1" ht="12.75" hidden="1" outlineLevel="1">
      <c r="A621" s="420" t="s">
        <v>633</v>
      </c>
      <c r="B621" s="421"/>
      <c r="C621" s="422"/>
      <c r="D621" s="423"/>
      <c r="E621" s="524" t="s">
        <v>750</v>
      </c>
      <c r="F621" s="422" t="s">
        <v>1084</v>
      </c>
      <c r="G621" s="423" t="s">
        <v>612</v>
      </c>
      <c r="H621" s="513">
        <v>9.2600000000000002E-2</v>
      </c>
      <c r="I621" s="469">
        <f>LOOKUP(E621,valoriz!$A$13:$A$242,valoriz!I$13:I$242)</f>
        <v>0</v>
      </c>
      <c r="J621" s="460">
        <f t="shared" si="8"/>
        <v>0</v>
      </c>
      <c r="K621" s="425"/>
      <c r="L621" s="430"/>
    </row>
    <row r="622" spans="1:12" s="427" customFormat="1" ht="12.75" hidden="1" outlineLevel="1">
      <c r="A622" s="420" t="s">
        <v>633</v>
      </c>
      <c r="B622" s="421"/>
      <c r="C622" s="422"/>
      <c r="D622" s="423"/>
      <c r="E622" s="524" t="s">
        <v>751</v>
      </c>
      <c r="F622" s="422" t="s">
        <v>1083</v>
      </c>
      <c r="G622" s="423" t="s">
        <v>612</v>
      </c>
      <c r="H622" s="513">
        <v>3.4599999999999999E-2</v>
      </c>
      <c r="I622" s="469">
        <f>LOOKUP(E622,valoriz!$A$13:$A$242,valoriz!I$13:I$242)</f>
        <v>0</v>
      </c>
      <c r="J622" s="460">
        <f t="shared" si="8"/>
        <v>0</v>
      </c>
      <c r="K622" s="425"/>
      <c r="L622" s="430"/>
    </row>
    <row r="623" spans="1:12" s="427" customFormat="1" ht="12.75" hidden="1" outlineLevel="1">
      <c r="A623" s="420" t="s">
        <v>633</v>
      </c>
      <c r="B623" s="421"/>
      <c r="C623" s="422"/>
      <c r="D623" s="423"/>
      <c r="E623" s="524" t="s">
        <v>752</v>
      </c>
      <c r="F623" s="422" t="s">
        <v>1082</v>
      </c>
      <c r="G623" s="423" t="s">
        <v>612</v>
      </c>
      <c r="H623" s="424">
        <v>8.2000000000000003E-2</v>
      </c>
      <c r="I623" s="469">
        <f>LOOKUP(E623,valoriz!$A$13:$A$242,valoriz!I$13:I$242)</f>
        <v>0</v>
      </c>
      <c r="J623" s="460">
        <f t="shared" si="8"/>
        <v>0</v>
      </c>
      <c r="K623" s="425"/>
      <c r="L623" s="430"/>
    </row>
    <row r="624" spans="1:12" s="427" customFormat="1" ht="12.75" hidden="1" outlineLevel="1">
      <c r="A624" s="420" t="s">
        <v>633</v>
      </c>
      <c r="B624" s="421"/>
      <c r="C624" s="422"/>
      <c r="D624" s="423"/>
      <c r="E624" s="524" t="s">
        <v>753</v>
      </c>
      <c r="F624" s="422" t="s">
        <v>1081</v>
      </c>
      <c r="G624" s="423" t="s">
        <v>612</v>
      </c>
      <c r="H624" s="513">
        <v>3.0499999999999999E-2</v>
      </c>
      <c r="I624" s="469">
        <f>LOOKUP(E624,valoriz!$A$13:$A$242,valoriz!I$13:I$242)</f>
        <v>0</v>
      </c>
      <c r="J624" s="460">
        <f t="shared" si="8"/>
        <v>0</v>
      </c>
      <c r="K624" s="425"/>
      <c r="L624" s="430"/>
    </row>
    <row r="625" spans="1:12" s="427" customFormat="1" ht="12.75" hidden="1" outlineLevel="1">
      <c r="A625" s="420" t="s">
        <v>633</v>
      </c>
      <c r="B625" s="421"/>
      <c r="C625" s="422"/>
      <c r="D625" s="423"/>
      <c r="E625" s="524" t="s">
        <v>754</v>
      </c>
      <c r="F625" s="422" t="s">
        <v>1080</v>
      </c>
      <c r="G625" s="423" t="s">
        <v>1079</v>
      </c>
      <c r="H625" s="457">
        <v>13335.85</v>
      </c>
      <c r="I625" s="469">
        <f>LOOKUP(E625,valoriz!$A$13:$A$242,valoriz!I$13:I$242)</f>
        <v>0</v>
      </c>
      <c r="J625" s="460">
        <f t="shared" si="8"/>
        <v>0</v>
      </c>
      <c r="K625" s="425"/>
      <c r="L625" s="430"/>
    </row>
    <row r="626" spans="1:12" s="427" customFormat="1" ht="12.75" collapsed="1">
      <c r="A626" s="420"/>
      <c r="B626" s="450"/>
      <c r="C626" s="451"/>
      <c r="D626" s="452"/>
      <c r="E626" s="530"/>
      <c r="F626" s="451"/>
      <c r="G626" s="452"/>
      <c r="H626" s="453"/>
      <c r="I626" s="473"/>
      <c r="J626" s="466"/>
      <c r="K626" s="425"/>
      <c r="L626" s="430"/>
    </row>
    <row r="627" spans="1:12" s="427" customFormat="1" ht="12.75" hidden="1" outlineLevel="1">
      <c r="A627" s="420"/>
      <c r="B627" s="422"/>
      <c r="C627" s="422"/>
      <c r="D627" s="455"/>
      <c r="E627" s="422"/>
      <c r="F627" s="422"/>
      <c r="G627" s="455"/>
      <c r="H627" s="454"/>
      <c r="I627" s="467"/>
      <c r="J627" s="467"/>
      <c r="K627" s="425"/>
    </row>
    <row r="628" spans="1:12" s="427" customFormat="1" ht="12.75" hidden="1" outlineLevel="1">
      <c r="A628" s="420" t="s">
        <v>982</v>
      </c>
      <c r="B628" s="422"/>
      <c r="C628" s="422"/>
      <c r="D628" s="455"/>
      <c r="E628" s="422" t="s">
        <v>983</v>
      </c>
      <c r="F628" s="422" t="s">
        <v>856</v>
      </c>
      <c r="G628" s="455"/>
      <c r="H628" s="454"/>
      <c r="I628" s="467"/>
      <c r="J628" s="467"/>
      <c r="K628" s="425"/>
    </row>
    <row r="629" spans="1:12" s="427" customFormat="1" ht="12.75" hidden="1" outlineLevel="1">
      <c r="A629" s="420" t="s">
        <v>633</v>
      </c>
      <c r="B629" s="422"/>
      <c r="C629" s="422"/>
      <c r="D629" s="455"/>
      <c r="E629" s="422" t="s">
        <v>677</v>
      </c>
      <c r="F629" s="422" t="s">
        <v>793</v>
      </c>
      <c r="G629" s="455"/>
      <c r="H629" s="454">
        <v>2.15</v>
      </c>
      <c r="I629" s="467"/>
      <c r="J629" s="467"/>
      <c r="K629" s="425"/>
    </row>
    <row r="630" spans="1:12" s="427" customFormat="1" ht="12.75" hidden="1" outlineLevel="1">
      <c r="A630" s="420" t="s">
        <v>633</v>
      </c>
      <c r="B630" s="422"/>
      <c r="C630" s="422"/>
      <c r="D630" s="455"/>
      <c r="E630" s="422" t="s">
        <v>677</v>
      </c>
      <c r="F630" s="422" t="s">
        <v>794</v>
      </c>
      <c r="G630" s="455"/>
      <c r="H630" s="454">
        <v>1.075</v>
      </c>
      <c r="I630" s="467"/>
      <c r="J630" s="467"/>
      <c r="K630" s="425"/>
    </row>
    <row r="631" spans="1:12" s="427" customFormat="1" ht="12.75" hidden="1" outlineLevel="1">
      <c r="A631" s="420" t="s">
        <v>633</v>
      </c>
      <c r="B631" s="422"/>
      <c r="C631" s="422"/>
      <c r="D631" s="455"/>
      <c r="E631" s="422" t="s">
        <v>784</v>
      </c>
      <c r="F631" s="422" t="s">
        <v>708</v>
      </c>
      <c r="G631" s="455"/>
      <c r="H631" s="454">
        <v>36.97</v>
      </c>
      <c r="I631" s="467"/>
      <c r="J631" s="467"/>
      <c r="K631" s="425"/>
    </row>
    <row r="632" spans="1:12" s="427" customFormat="1" ht="12.75" hidden="1" outlineLevel="1">
      <c r="A632" s="420"/>
      <c r="B632" s="422"/>
      <c r="C632" s="422"/>
      <c r="D632" s="455"/>
      <c r="E632" s="422"/>
      <c r="F632" s="422"/>
      <c r="G632" s="455"/>
      <c r="H632" s="454">
        <f>SUBTOTAL(9,H629:H631)</f>
        <v>40.195</v>
      </c>
      <c r="I632" s="467"/>
      <c r="J632" s="467"/>
      <c r="K632" s="425"/>
    </row>
    <row r="633" spans="1:12" s="427" customFormat="1" ht="12.75" hidden="1" outlineLevel="1">
      <c r="A633" s="420" t="s">
        <v>984</v>
      </c>
      <c r="B633" s="422"/>
      <c r="C633" s="422"/>
      <c r="D633" s="455"/>
      <c r="E633" s="422" t="s">
        <v>985</v>
      </c>
      <c r="F633" s="422" t="s">
        <v>856</v>
      </c>
      <c r="G633" s="455"/>
      <c r="H633" s="454"/>
      <c r="I633" s="467"/>
      <c r="J633" s="467"/>
      <c r="K633" s="425"/>
    </row>
    <row r="634" spans="1:12" s="427" customFormat="1" ht="12.75" hidden="1" outlineLevel="1">
      <c r="A634" s="420" t="s">
        <v>633</v>
      </c>
      <c r="B634" s="422"/>
      <c r="C634" s="422"/>
      <c r="D634" s="455"/>
      <c r="E634" s="422" t="s">
        <v>785</v>
      </c>
      <c r="F634" s="422" t="s">
        <v>786</v>
      </c>
      <c r="G634" s="455"/>
      <c r="H634" s="454">
        <v>126.069</v>
      </c>
      <c r="I634" s="467"/>
      <c r="J634" s="467"/>
      <c r="K634" s="425"/>
    </row>
    <row r="635" spans="1:12" s="427" customFormat="1" ht="12.75" hidden="1" outlineLevel="1">
      <c r="A635" s="420"/>
      <c r="B635" s="422"/>
      <c r="C635" s="422"/>
      <c r="D635" s="455"/>
      <c r="E635" s="422"/>
      <c r="F635" s="422"/>
      <c r="G635" s="455"/>
      <c r="H635" s="454">
        <f>SUBTOTAL(9,H634:H634)</f>
        <v>126.069</v>
      </c>
      <c r="I635" s="467"/>
      <c r="J635" s="467"/>
      <c r="K635" s="425"/>
    </row>
    <row r="636" spans="1:12" s="427" customFormat="1" ht="12.75" hidden="1" outlineLevel="1">
      <c r="A636" s="420" t="s">
        <v>986</v>
      </c>
      <c r="B636" s="422"/>
      <c r="C636" s="422"/>
      <c r="D636" s="455"/>
      <c r="E636" s="422" t="s">
        <v>1015</v>
      </c>
      <c r="F636" s="422" t="s">
        <v>856</v>
      </c>
      <c r="G636" s="455"/>
      <c r="H636" s="454"/>
      <c r="I636" s="467"/>
      <c r="J636" s="467"/>
      <c r="K636" s="425"/>
    </row>
    <row r="637" spans="1:12" s="427" customFormat="1" ht="12.75" hidden="1" outlineLevel="1">
      <c r="A637" s="420" t="s">
        <v>633</v>
      </c>
      <c r="B637" s="422"/>
      <c r="C637" s="422"/>
      <c r="D637" s="455"/>
      <c r="E637" s="422" t="s">
        <v>707</v>
      </c>
      <c r="F637" s="422" t="s">
        <v>708</v>
      </c>
      <c r="G637" s="455"/>
      <c r="H637" s="454">
        <v>4.5</v>
      </c>
      <c r="I637" s="467"/>
      <c r="J637" s="467"/>
      <c r="K637" s="425"/>
    </row>
    <row r="638" spans="1:12" s="427" customFormat="1" ht="12.75" hidden="1" outlineLevel="1">
      <c r="A638" s="420" t="s">
        <v>633</v>
      </c>
      <c r="B638" s="422"/>
      <c r="C638" s="422"/>
      <c r="D638" s="455"/>
      <c r="E638" s="422" t="s">
        <v>709</v>
      </c>
      <c r="F638" s="422" t="s">
        <v>797</v>
      </c>
      <c r="G638" s="455"/>
      <c r="H638" s="454">
        <v>30.350999999999999</v>
      </c>
      <c r="I638" s="467"/>
      <c r="J638" s="467"/>
      <c r="K638" s="425"/>
    </row>
    <row r="639" spans="1:12" s="427" customFormat="1" ht="12.75" hidden="1" outlineLevel="1">
      <c r="A639" s="420" t="s">
        <v>633</v>
      </c>
      <c r="B639" s="422"/>
      <c r="C639" s="422"/>
      <c r="D639" s="455"/>
      <c r="E639" s="422" t="s">
        <v>709</v>
      </c>
      <c r="F639" s="422" t="s">
        <v>708</v>
      </c>
      <c r="G639" s="455"/>
      <c r="H639" s="454">
        <v>18.12</v>
      </c>
      <c r="I639" s="467"/>
      <c r="J639" s="467"/>
      <c r="K639" s="425"/>
    </row>
    <row r="640" spans="1:12" s="427" customFormat="1" ht="12.75" hidden="1" outlineLevel="1">
      <c r="A640" s="420" t="s">
        <v>633</v>
      </c>
      <c r="B640" s="422"/>
      <c r="C640" s="422"/>
      <c r="D640" s="455"/>
      <c r="E640" s="422" t="s">
        <v>710</v>
      </c>
      <c r="F640" s="422" t="s">
        <v>797</v>
      </c>
      <c r="G640" s="455"/>
      <c r="H640" s="454">
        <v>4.3215000000000003</v>
      </c>
      <c r="I640" s="467"/>
      <c r="J640" s="467"/>
      <c r="K640" s="425"/>
    </row>
    <row r="641" spans="1:11" s="427" customFormat="1" ht="12.75" hidden="1" outlineLevel="1">
      <c r="A641" s="420" t="s">
        <v>633</v>
      </c>
      <c r="B641" s="422"/>
      <c r="C641" s="422"/>
      <c r="D641" s="455"/>
      <c r="E641" s="422" t="s">
        <v>710</v>
      </c>
      <c r="F641" s="422" t="s">
        <v>708</v>
      </c>
      <c r="G641" s="455"/>
      <c r="H641" s="454">
        <v>1.72</v>
      </c>
      <c r="I641" s="467"/>
      <c r="J641" s="467"/>
      <c r="K641" s="425"/>
    </row>
    <row r="642" spans="1:11" s="427" customFormat="1" ht="12.75" hidden="1" outlineLevel="1">
      <c r="A642" s="420" t="s">
        <v>633</v>
      </c>
      <c r="B642" s="422"/>
      <c r="C642" s="422"/>
      <c r="D642" s="455"/>
      <c r="E642" s="422" t="s">
        <v>783</v>
      </c>
      <c r="F642" s="422" t="s">
        <v>708</v>
      </c>
      <c r="G642" s="455"/>
      <c r="H642" s="454">
        <v>13.682</v>
      </c>
      <c r="I642" s="467"/>
      <c r="J642" s="467"/>
      <c r="K642" s="425"/>
    </row>
    <row r="643" spans="1:11" s="427" customFormat="1" ht="12.75" hidden="1" outlineLevel="1">
      <c r="A643" s="420" t="s">
        <v>633</v>
      </c>
      <c r="B643" s="422"/>
      <c r="C643" s="422"/>
      <c r="D643" s="455"/>
      <c r="E643" s="422" t="s">
        <v>713</v>
      </c>
      <c r="F643" s="422" t="s">
        <v>708</v>
      </c>
      <c r="G643" s="455"/>
      <c r="H643" s="454">
        <v>31.466999999999999</v>
      </c>
      <c r="I643" s="467"/>
      <c r="J643" s="467"/>
      <c r="K643" s="425"/>
    </row>
    <row r="644" spans="1:11" s="427" customFormat="1" ht="12.75" hidden="1" outlineLevel="1">
      <c r="A644" s="420"/>
      <c r="B644" s="422"/>
      <c r="C644" s="422"/>
      <c r="D644" s="455"/>
      <c r="E644" s="422"/>
      <c r="F644" s="422"/>
      <c r="G644" s="455"/>
      <c r="H644" s="454">
        <f>SUBTOTAL(9,H637:H643)</f>
        <v>104.1615</v>
      </c>
      <c r="I644" s="467"/>
      <c r="J644" s="467"/>
      <c r="K644" s="425"/>
    </row>
    <row r="645" spans="1:11" s="427" customFormat="1" ht="12.75" hidden="1" outlineLevel="1">
      <c r="A645" s="420" t="s">
        <v>1016</v>
      </c>
      <c r="B645" s="422"/>
      <c r="C645" s="422"/>
      <c r="D645" s="455"/>
      <c r="E645" s="422" t="s">
        <v>1017</v>
      </c>
      <c r="F645" s="422" t="s">
        <v>856</v>
      </c>
      <c r="G645" s="455"/>
      <c r="H645" s="454"/>
      <c r="I645" s="467"/>
      <c r="J645" s="467"/>
      <c r="K645" s="425"/>
    </row>
    <row r="646" spans="1:11" s="427" customFormat="1" ht="12.75" hidden="1" outlineLevel="1">
      <c r="A646" s="420" t="s">
        <v>633</v>
      </c>
      <c r="B646" s="422"/>
      <c r="C646" s="422"/>
      <c r="D646" s="455"/>
      <c r="E646" s="422" t="s">
        <v>634</v>
      </c>
      <c r="F646" s="422" t="s">
        <v>635</v>
      </c>
      <c r="G646" s="455"/>
      <c r="H646" s="454">
        <v>4</v>
      </c>
      <c r="I646" s="467"/>
      <c r="J646" s="467"/>
      <c r="K646" s="425"/>
    </row>
    <row r="647" spans="1:11" s="427" customFormat="1" ht="12.75" hidden="1" outlineLevel="1">
      <c r="A647" s="420" t="s">
        <v>633</v>
      </c>
      <c r="B647" s="422"/>
      <c r="C647" s="422"/>
      <c r="D647" s="455"/>
      <c r="E647" s="422" t="s">
        <v>636</v>
      </c>
      <c r="F647" s="422" t="s">
        <v>756</v>
      </c>
      <c r="G647" s="455"/>
      <c r="H647" s="454">
        <v>83.985720000000001</v>
      </c>
      <c r="I647" s="467"/>
      <c r="J647" s="467"/>
      <c r="K647" s="425"/>
    </row>
    <row r="648" spans="1:11" s="427" customFormat="1" ht="12.75" hidden="1" outlineLevel="1">
      <c r="A648" s="420" t="s">
        <v>633</v>
      </c>
      <c r="B648" s="422"/>
      <c r="C648" s="422"/>
      <c r="D648" s="455"/>
      <c r="E648" s="422" t="s">
        <v>636</v>
      </c>
      <c r="F648" s="422" t="s">
        <v>637</v>
      </c>
      <c r="G648" s="455"/>
      <c r="H648" s="454">
        <v>88.36</v>
      </c>
      <c r="I648" s="467"/>
      <c r="J648" s="467"/>
      <c r="K648" s="425"/>
    </row>
    <row r="649" spans="1:11" s="427" customFormat="1" ht="12.75" hidden="1" outlineLevel="1">
      <c r="A649" s="420"/>
      <c r="B649" s="422"/>
      <c r="C649" s="422"/>
      <c r="D649" s="455"/>
      <c r="E649" s="422"/>
      <c r="F649" s="422"/>
      <c r="G649" s="455"/>
      <c r="H649" s="454">
        <f>SUBTOTAL(9,H646:H648)</f>
        <v>176.34572</v>
      </c>
      <c r="I649" s="467"/>
      <c r="J649" s="467"/>
      <c r="K649" s="425"/>
    </row>
    <row r="650" spans="1:11" s="427" customFormat="1" ht="12.75" hidden="1" outlineLevel="1">
      <c r="A650" s="420" t="s">
        <v>1018</v>
      </c>
      <c r="B650" s="422"/>
      <c r="C650" s="422"/>
      <c r="D650" s="455"/>
      <c r="E650" s="422" t="s">
        <v>1019</v>
      </c>
      <c r="F650" s="422" t="s">
        <v>856</v>
      </c>
      <c r="G650" s="455"/>
      <c r="H650" s="454"/>
      <c r="I650" s="467"/>
      <c r="J650" s="467"/>
      <c r="K650" s="425"/>
    </row>
    <row r="651" spans="1:11" s="427" customFormat="1" ht="12.75" hidden="1" outlineLevel="1">
      <c r="A651" s="420" t="s">
        <v>633</v>
      </c>
      <c r="B651" s="422"/>
      <c r="C651" s="422"/>
      <c r="D651" s="455"/>
      <c r="E651" s="422" t="s">
        <v>634</v>
      </c>
      <c r="F651" s="422" t="s">
        <v>635</v>
      </c>
      <c r="G651" s="455"/>
      <c r="H651" s="454">
        <v>3</v>
      </c>
      <c r="I651" s="467"/>
      <c r="J651" s="467"/>
      <c r="K651" s="425"/>
    </row>
    <row r="652" spans="1:11" s="427" customFormat="1" ht="12.75" hidden="1" outlineLevel="1">
      <c r="A652" s="420" t="s">
        <v>633</v>
      </c>
      <c r="B652" s="422"/>
      <c r="C652" s="422"/>
      <c r="D652" s="455"/>
      <c r="E652" s="422" t="s">
        <v>707</v>
      </c>
      <c r="F652" s="422" t="s">
        <v>708</v>
      </c>
      <c r="G652" s="455"/>
      <c r="H652" s="454">
        <v>1.8</v>
      </c>
      <c r="I652" s="467"/>
      <c r="J652" s="467"/>
      <c r="K652" s="425"/>
    </row>
    <row r="653" spans="1:11" s="427" customFormat="1" ht="12.75" hidden="1" outlineLevel="1">
      <c r="A653" s="420" t="s">
        <v>633</v>
      </c>
      <c r="B653" s="422"/>
      <c r="C653" s="422"/>
      <c r="D653" s="455"/>
      <c r="E653" s="422" t="s">
        <v>709</v>
      </c>
      <c r="F653" s="422" t="s">
        <v>797</v>
      </c>
      <c r="G653" s="455"/>
      <c r="H653" s="454">
        <v>30.350999999999999</v>
      </c>
      <c r="I653" s="467"/>
      <c r="J653" s="467"/>
      <c r="K653" s="425"/>
    </row>
    <row r="654" spans="1:11" s="427" customFormat="1" ht="12.75" hidden="1" outlineLevel="1">
      <c r="A654" s="420" t="s">
        <v>633</v>
      </c>
      <c r="B654" s="422"/>
      <c r="C654" s="422"/>
      <c r="D654" s="455"/>
      <c r="E654" s="422" t="s">
        <v>710</v>
      </c>
      <c r="F654" s="422" t="s">
        <v>797</v>
      </c>
      <c r="G654" s="455"/>
      <c r="H654" s="454">
        <v>4.3215000000000003</v>
      </c>
      <c r="I654" s="467"/>
      <c r="J654" s="467"/>
      <c r="K654" s="425"/>
    </row>
    <row r="655" spans="1:11" s="427" customFormat="1" ht="12.75" hidden="1" outlineLevel="1">
      <c r="A655" s="420" t="s">
        <v>633</v>
      </c>
      <c r="B655" s="422"/>
      <c r="C655" s="422"/>
      <c r="D655" s="455"/>
      <c r="E655" s="422" t="s">
        <v>713</v>
      </c>
      <c r="F655" s="422" t="s">
        <v>708</v>
      </c>
      <c r="G655" s="455"/>
      <c r="H655" s="454">
        <v>18.510000000000002</v>
      </c>
      <c r="I655" s="467"/>
      <c r="J655" s="467"/>
      <c r="K655" s="425"/>
    </row>
    <row r="656" spans="1:11" s="427" customFormat="1" ht="12.75" hidden="1" outlineLevel="1">
      <c r="A656" s="420"/>
      <c r="B656" s="422"/>
      <c r="C656" s="422"/>
      <c r="D656" s="455"/>
      <c r="E656" s="422"/>
      <c r="F656" s="422"/>
      <c r="G656" s="455"/>
      <c r="H656" s="454">
        <f>SUBTOTAL(9,H651:H655)</f>
        <v>57.982500000000002</v>
      </c>
      <c r="I656" s="467"/>
      <c r="J656" s="467"/>
      <c r="K656" s="425"/>
    </row>
    <row r="657" spans="1:11" s="427" customFormat="1" ht="12.75" hidden="1" outlineLevel="1">
      <c r="A657" s="420" t="s">
        <v>1020</v>
      </c>
      <c r="B657" s="422"/>
      <c r="C657" s="422"/>
      <c r="D657" s="455"/>
      <c r="E657" s="422" t="s">
        <v>794</v>
      </c>
      <c r="F657" s="422" t="s">
        <v>856</v>
      </c>
      <c r="G657" s="455"/>
      <c r="H657" s="454"/>
      <c r="I657" s="467"/>
      <c r="J657" s="467"/>
      <c r="K657" s="425"/>
    </row>
    <row r="658" spans="1:11" s="427" customFormat="1" ht="12.75" hidden="1" outlineLevel="1">
      <c r="A658" s="420" t="s">
        <v>633</v>
      </c>
      <c r="B658" s="422"/>
      <c r="C658" s="422"/>
      <c r="D658" s="455"/>
      <c r="E658" s="422" t="s">
        <v>677</v>
      </c>
      <c r="F658" s="422" t="s">
        <v>794</v>
      </c>
      <c r="G658" s="455"/>
      <c r="H658" s="454">
        <v>4.3</v>
      </c>
      <c r="I658" s="467"/>
      <c r="J658" s="467"/>
      <c r="K658" s="425"/>
    </row>
    <row r="659" spans="1:11" s="427" customFormat="1" ht="12.75" hidden="1" outlineLevel="1">
      <c r="A659" s="420" t="s">
        <v>633</v>
      </c>
      <c r="B659" s="422"/>
      <c r="C659" s="422"/>
      <c r="D659" s="455"/>
      <c r="E659" s="422" t="s">
        <v>784</v>
      </c>
      <c r="F659" s="422" t="s">
        <v>708</v>
      </c>
      <c r="G659" s="455"/>
      <c r="H659" s="454">
        <v>9.2424999999999997</v>
      </c>
      <c r="I659" s="467"/>
      <c r="J659" s="467"/>
      <c r="K659" s="425"/>
    </row>
    <row r="660" spans="1:11" s="427" customFormat="1" ht="12.75" hidden="1" outlineLevel="1">
      <c r="A660" s="420"/>
      <c r="B660" s="422"/>
      <c r="C660" s="422"/>
      <c r="D660" s="455"/>
      <c r="E660" s="422"/>
      <c r="F660" s="422"/>
      <c r="G660" s="455"/>
      <c r="H660" s="454">
        <f>SUBTOTAL(9,H658:H659)</f>
        <v>13.5425</v>
      </c>
      <c r="I660" s="467"/>
      <c r="J660" s="467"/>
      <c r="K660" s="425"/>
    </row>
    <row r="661" spans="1:11" s="427" customFormat="1" ht="12.75" hidden="1" outlineLevel="1">
      <c r="A661" s="420" t="s">
        <v>1021</v>
      </c>
      <c r="B661" s="422"/>
      <c r="C661" s="422"/>
      <c r="D661" s="455"/>
      <c r="E661" s="422" t="s">
        <v>793</v>
      </c>
      <c r="F661" s="422" t="s">
        <v>856</v>
      </c>
      <c r="G661" s="455"/>
      <c r="H661" s="454"/>
      <c r="I661" s="467"/>
      <c r="J661" s="467"/>
      <c r="K661" s="425"/>
    </row>
    <row r="662" spans="1:11" s="427" customFormat="1" ht="12.75" hidden="1" outlineLevel="1">
      <c r="A662" s="420" t="s">
        <v>633</v>
      </c>
      <c r="B662" s="422"/>
      <c r="C662" s="422"/>
      <c r="D662" s="455"/>
      <c r="E662" s="422" t="s">
        <v>677</v>
      </c>
      <c r="F662" s="422" t="s">
        <v>793</v>
      </c>
      <c r="G662" s="455"/>
      <c r="H662" s="454">
        <v>8.6</v>
      </c>
      <c r="I662" s="467"/>
      <c r="J662" s="467"/>
      <c r="K662" s="425"/>
    </row>
    <row r="663" spans="1:11" s="427" customFormat="1" ht="12.75" hidden="1" outlineLevel="1">
      <c r="A663" s="420" t="s">
        <v>633</v>
      </c>
      <c r="B663" s="422"/>
      <c r="C663" s="422"/>
      <c r="D663" s="455"/>
      <c r="E663" s="422" t="s">
        <v>784</v>
      </c>
      <c r="F663" s="422" t="s">
        <v>708</v>
      </c>
      <c r="G663" s="455"/>
      <c r="H663" s="454">
        <v>9.2424999999999997</v>
      </c>
      <c r="I663" s="467"/>
      <c r="J663" s="467"/>
      <c r="K663" s="425"/>
    </row>
    <row r="664" spans="1:11" s="427" customFormat="1" ht="12.75" hidden="1" outlineLevel="1">
      <c r="A664" s="420"/>
      <c r="B664" s="422"/>
      <c r="C664" s="422"/>
      <c r="D664" s="455"/>
      <c r="E664" s="422"/>
      <c r="F664" s="422"/>
      <c r="G664" s="455"/>
      <c r="H664" s="454">
        <f>SUBTOTAL(9,H662:H663)</f>
        <v>17.842500000000001</v>
      </c>
      <c r="I664" s="467"/>
      <c r="J664" s="467"/>
      <c r="K664" s="425"/>
    </row>
    <row r="665" spans="1:11" s="427" customFormat="1" ht="12.75" hidden="1" outlineLevel="1">
      <c r="A665" s="420" t="s">
        <v>1022</v>
      </c>
      <c r="B665" s="422"/>
      <c r="C665" s="422"/>
      <c r="D665" s="455"/>
      <c r="E665" s="422" t="s">
        <v>1023</v>
      </c>
      <c r="F665" s="422" t="s">
        <v>856</v>
      </c>
      <c r="G665" s="455"/>
      <c r="H665" s="454"/>
      <c r="I665" s="467"/>
      <c r="J665" s="467"/>
      <c r="K665" s="425"/>
    </row>
    <row r="666" spans="1:11" s="427" customFormat="1" ht="12.75" hidden="1" outlineLevel="1">
      <c r="A666" s="420" t="s">
        <v>633</v>
      </c>
      <c r="B666" s="422"/>
      <c r="C666" s="422"/>
      <c r="D666" s="455"/>
      <c r="E666" s="422" t="s">
        <v>785</v>
      </c>
      <c r="F666" s="422" t="s">
        <v>786</v>
      </c>
      <c r="G666" s="455"/>
      <c r="H666" s="454">
        <v>1386.759</v>
      </c>
      <c r="I666" s="467"/>
      <c r="J666" s="467"/>
      <c r="K666" s="425"/>
    </row>
    <row r="667" spans="1:11" s="427" customFormat="1" ht="12.75" hidden="1" outlineLevel="1">
      <c r="A667" s="420"/>
      <c r="B667" s="422"/>
      <c r="C667" s="422"/>
      <c r="D667" s="455"/>
      <c r="E667" s="422"/>
      <c r="F667" s="422"/>
      <c r="G667" s="455"/>
      <c r="H667" s="454">
        <f>SUBTOTAL(9,H666:H666)</f>
        <v>1386.759</v>
      </c>
      <c r="I667" s="467"/>
      <c r="J667" s="467"/>
      <c r="K667" s="425"/>
    </row>
    <row r="668" spans="1:11" s="427" customFormat="1" ht="12.75" hidden="1" outlineLevel="1">
      <c r="A668" s="420" t="s">
        <v>1024</v>
      </c>
      <c r="B668" s="422"/>
      <c r="C668" s="422"/>
      <c r="D668" s="455"/>
      <c r="E668" s="422" t="s">
        <v>1025</v>
      </c>
      <c r="F668" s="422" t="s">
        <v>436</v>
      </c>
      <c r="G668" s="455"/>
      <c r="H668" s="454"/>
      <c r="I668" s="467"/>
      <c r="J668" s="467"/>
      <c r="K668" s="425"/>
    </row>
    <row r="669" spans="1:11" s="427" customFormat="1" ht="12.75" hidden="1" outlineLevel="1">
      <c r="A669" s="420" t="s">
        <v>633</v>
      </c>
      <c r="B669" s="422"/>
      <c r="C669" s="422"/>
      <c r="D669" s="455"/>
      <c r="E669" s="422" t="s">
        <v>785</v>
      </c>
      <c r="F669" s="422" t="s">
        <v>786</v>
      </c>
      <c r="G669" s="455"/>
      <c r="H669" s="454">
        <v>4412.415</v>
      </c>
      <c r="I669" s="467"/>
      <c r="J669" s="467"/>
      <c r="K669" s="425"/>
    </row>
    <row r="670" spans="1:11" s="427" customFormat="1" ht="12.75" hidden="1" outlineLevel="1">
      <c r="A670" s="420"/>
      <c r="B670" s="422"/>
      <c r="C670" s="422"/>
      <c r="D670" s="455"/>
      <c r="E670" s="422"/>
      <c r="F670" s="422"/>
      <c r="G670" s="455"/>
      <c r="H670" s="454">
        <f>SUBTOTAL(9,H669:H669)</f>
        <v>4412.415</v>
      </c>
      <c r="I670" s="467"/>
      <c r="J670" s="467"/>
      <c r="K670" s="425"/>
    </row>
    <row r="671" spans="1:11" s="427" customFormat="1" ht="12.75" hidden="1" outlineLevel="1">
      <c r="A671" s="420" t="s">
        <v>1026</v>
      </c>
      <c r="B671" s="422"/>
      <c r="C671" s="422"/>
      <c r="D671" s="455"/>
      <c r="E671" s="422" t="s">
        <v>1027</v>
      </c>
      <c r="F671" s="422" t="s">
        <v>815</v>
      </c>
      <c r="G671" s="455"/>
      <c r="H671" s="454"/>
      <c r="I671" s="467"/>
      <c r="J671" s="467"/>
      <c r="K671" s="425"/>
    </row>
    <row r="672" spans="1:11" s="427" customFormat="1" ht="12.75" hidden="1" outlineLevel="1">
      <c r="A672" s="420" t="s">
        <v>633</v>
      </c>
      <c r="B672" s="422"/>
      <c r="C672" s="422"/>
      <c r="D672" s="455"/>
      <c r="E672" s="422" t="s">
        <v>784</v>
      </c>
      <c r="F672" s="422" t="s">
        <v>708</v>
      </c>
      <c r="G672" s="455"/>
      <c r="H672" s="454">
        <v>110.91</v>
      </c>
      <c r="I672" s="467"/>
      <c r="J672" s="467"/>
      <c r="K672" s="425"/>
    </row>
    <row r="673" spans="1:11" s="427" customFormat="1" ht="12.75" hidden="1" outlineLevel="1">
      <c r="A673" s="420"/>
      <c r="B673" s="422"/>
      <c r="C673" s="422"/>
      <c r="D673" s="455"/>
      <c r="E673" s="422"/>
      <c r="F673" s="422"/>
      <c r="G673" s="455"/>
      <c r="H673" s="454">
        <f>SUBTOTAL(9,H672:H672)</f>
        <v>110.91</v>
      </c>
      <c r="I673" s="467"/>
      <c r="J673" s="467"/>
      <c r="K673" s="425"/>
    </row>
    <row r="674" spans="1:11" s="427" customFormat="1" ht="12.75" hidden="1" outlineLevel="1">
      <c r="A674" s="420" t="s">
        <v>1028</v>
      </c>
      <c r="B674" s="422"/>
      <c r="C674" s="422"/>
      <c r="D674" s="455"/>
      <c r="E674" s="422" t="s">
        <v>1029</v>
      </c>
      <c r="F674" s="422" t="s">
        <v>436</v>
      </c>
      <c r="G674" s="455"/>
      <c r="H674" s="454"/>
      <c r="I674" s="467"/>
      <c r="J674" s="467"/>
      <c r="K674" s="425"/>
    </row>
    <row r="675" spans="1:11" s="427" customFormat="1" ht="12.75" hidden="1" outlineLevel="1">
      <c r="A675" s="420" t="s">
        <v>633</v>
      </c>
      <c r="B675" s="422"/>
      <c r="C675" s="422"/>
      <c r="D675" s="455"/>
      <c r="E675" s="422" t="s">
        <v>677</v>
      </c>
      <c r="F675" s="422" t="s">
        <v>768</v>
      </c>
      <c r="G675" s="455"/>
      <c r="H675" s="454">
        <v>417.315</v>
      </c>
      <c r="I675" s="467"/>
      <c r="J675" s="467"/>
      <c r="K675" s="425"/>
    </row>
    <row r="676" spans="1:11" s="427" customFormat="1" ht="12.75" hidden="1" outlineLevel="1">
      <c r="A676" s="420"/>
      <c r="B676" s="422"/>
      <c r="C676" s="422"/>
      <c r="D676" s="455"/>
      <c r="E676" s="422"/>
      <c r="F676" s="422"/>
      <c r="G676" s="455"/>
      <c r="H676" s="454">
        <f>SUBTOTAL(9,H675:H675)</f>
        <v>417.315</v>
      </c>
      <c r="I676" s="467"/>
      <c r="J676" s="467"/>
      <c r="K676" s="425"/>
    </row>
    <row r="677" spans="1:11" s="427" customFormat="1" ht="12.75" hidden="1" outlineLevel="1">
      <c r="A677" s="420" t="s">
        <v>1030</v>
      </c>
      <c r="B677" s="422"/>
      <c r="C677" s="422"/>
      <c r="D677" s="455"/>
      <c r="E677" s="422" t="s">
        <v>1031</v>
      </c>
      <c r="F677" s="422" t="s">
        <v>815</v>
      </c>
      <c r="G677" s="455"/>
      <c r="H677" s="454"/>
      <c r="I677" s="467"/>
      <c r="J677" s="467"/>
      <c r="K677" s="425"/>
    </row>
    <row r="678" spans="1:11" s="427" customFormat="1" ht="12.75" hidden="1" outlineLevel="1">
      <c r="A678" s="420" t="s">
        <v>633</v>
      </c>
      <c r="B678" s="422"/>
      <c r="C678" s="422"/>
      <c r="D678" s="455"/>
      <c r="E678" s="422" t="s">
        <v>711</v>
      </c>
      <c r="F678" s="422" t="s">
        <v>712</v>
      </c>
      <c r="G678" s="455"/>
      <c r="H678" s="454">
        <v>83.145319999999998</v>
      </c>
      <c r="I678" s="467"/>
      <c r="J678" s="467"/>
      <c r="K678" s="425"/>
    </row>
    <row r="679" spans="1:11" s="427" customFormat="1" ht="12.75" hidden="1" outlineLevel="1">
      <c r="A679" s="420"/>
      <c r="B679" s="422"/>
      <c r="C679" s="422"/>
      <c r="D679" s="455"/>
      <c r="E679" s="422"/>
      <c r="F679" s="422"/>
      <c r="G679" s="455"/>
      <c r="H679" s="454">
        <f>SUBTOTAL(9,H678:H678)</f>
        <v>83.145319999999998</v>
      </c>
      <c r="I679" s="467"/>
      <c r="J679" s="467"/>
      <c r="K679" s="425"/>
    </row>
    <row r="680" spans="1:11" s="427" customFormat="1" ht="12.75" hidden="1" outlineLevel="1">
      <c r="A680" s="420" t="s">
        <v>1032</v>
      </c>
      <c r="B680" s="422"/>
      <c r="C680" s="422"/>
      <c r="D680" s="455"/>
      <c r="E680" s="422" t="s">
        <v>1033</v>
      </c>
      <c r="F680" s="422" t="s">
        <v>815</v>
      </c>
      <c r="G680" s="455"/>
      <c r="H680" s="454"/>
      <c r="I680" s="467"/>
      <c r="J680" s="467"/>
      <c r="K680" s="425"/>
    </row>
    <row r="681" spans="1:11" s="427" customFormat="1" ht="12.75" hidden="1" outlineLevel="1">
      <c r="A681" s="420" t="s">
        <v>633</v>
      </c>
      <c r="B681" s="422"/>
      <c r="C681" s="422"/>
      <c r="D681" s="455"/>
      <c r="E681" s="422" t="s">
        <v>711</v>
      </c>
      <c r="F681" s="422" t="s">
        <v>712</v>
      </c>
      <c r="G681" s="455"/>
      <c r="H681" s="454">
        <v>611.69579999999996</v>
      </c>
      <c r="I681" s="467"/>
      <c r="J681" s="467"/>
      <c r="K681" s="425"/>
    </row>
    <row r="682" spans="1:11" s="427" customFormat="1" ht="12.75" hidden="1" outlineLevel="1">
      <c r="A682" s="420"/>
      <c r="B682" s="422"/>
      <c r="C682" s="422"/>
      <c r="D682" s="455"/>
      <c r="E682" s="422"/>
      <c r="F682" s="422"/>
      <c r="G682" s="455"/>
      <c r="H682" s="454">
        <f>SUBTOTAL(9,H681:H681)</f>
        <v>611.69579999999996</v>
      </c>
      <c r="I682" s="467"/>
      <c r="J682" s="467"/>
      <c r="K682" s="425"/>
    </row>
    <row r="683" spans="1:11" s="427" customFormat="1" ht="12.75" hidden="1" outlineLevel="1">
      <c r="A683" s="420" t="s">
        <v>1034</v>
      </c>
      <c r="B683" s="422"/>
      <c r="C683" s="422"/>
      <c r="D683" s="455"/>
      <c r="E683" s="422" t="s">
        <v>1035</v>
      </c>
      <c r="F683" s="422" t="s">
        <v>434</v>
      </c>
      <c r="G683" s="455"/>
      <c r="H683" s="454"/>
      <c r="I683" s="467"/>
      <c r="J683" s="467"/>
      <c r="K683" s="425"/>
    </row>
    <row r="684" spans="1:11" s="427" customFormat="1" ht="12.75" hidden="1" outlineLevel="1">
      <c r="A684" s="420" t="s">
        <v>633</v>
      </c>
      <c r="B684" s="422"/>
      <c r="C684" s="422"/>
      <c r="D684" s="455"/>
      <c r="E684" s="422" t="s">
        <v>774</v>
      </c>
      <c r="F684" s="422" t="s">
        <v>671</v>
      </c>
      <c r="G684" s="455"/>
      <c r="H684" s="454">
        <v>1043.3499999999999</v>
      </c>
      <c r="I684" s="467"/>
      <c r="J684" s="467"/>
      <c r="K684" s="425"/>
    </row>
    <row r="685" spans="1:11" s="427" customFormat="1" ht="12.75" hidden="1" outlineLevel="1">
      <c r="A685" s="420" t="s">
        <v>633</v>
      </c>
      <c r="B685" s="422"/>
      <c r="C685" s="422"/>
      <c r="D685" s="455"/>
      <c r="E685" s="422" t="s">
        <v>781</v>
      </c>
      <c r="F685" s="422" t="s">
        <v>671</v>
      </c>
      <c r="G685" s="455"/>
      <c r="H685" s="454">
        <v>11467.97</v>
      </c>
      <c r="I685" s="467"/>
      <c r="J685" s="467"/>
      <c r="K685" s="425"/>
    </row>
    <row r="686" spans="1:11" s="427" customFormat="1" ht="12.75" hidden="1" outlineLevel="1">
      <c r="A686" s="420"/>
      <c r="B686" s="422"/>
      <c r="C686" s="422"/>
      <c r="D686" s="455"/>
      <c r="E686" s="422"/>
      <c r="F686" s="422"/>
      <c r="G686" s="455"/>
      <c r="H686" s="454">
        <f>SUBTOTAL(9,H684:H685)</f>
        <v>12511.32</v>
      </c>
      <c r="I686" s="467"/>
      <c r="J686" s="467"/>
      <c r="K686" s="425"/>
    </row>
    <row r="687" spans="1:11" s="427" customFormat="1" ht="12.75" hidden="1" outlineLevel="1">
      <c r="A687" s="420" t="s">
        <v>1036</v>
      </c>
      <c r="B687" s="422"/>
      <c r="C687" s="422"/>
      <c r="D687" s="455"/>
      <c r="E687" s="422" t="s">
        <v>1037</v>
      </c>
      <c r="F687" s="422" t="s">
        <v>431</v>
      </c>
      <c r="G687" s="455"/>
      <c r="H687" s="454"/>
      <c r="I687" s="467"/>
      <c r="J687" s="467"/>
      <c r="K687" s="425"/>
    </row>
    <row r="688" spans="1:11" s="427" customFormat="1" ht="12.75" hidden="1" outlineLevel="1">
      <c r="A688" s="420" t="s">
        <v>633</v>
      </c>
      <c r="B688" s="422"/>
      <c r="C688" s="422"/>
      <c r="D688" s="455"/>
      <c r="E688" s="422" t="s">
        <v>681</v>
      </c>
      <c r="F688" s="422" t="s">
        <v>682</v>
      </c>
      <c r="G688" s="455"/>
      <c r="H688" s="454">
        <v>2360.6999999999998</v>
      </c>
      <c r="I688" s="467"/>
      <c r="J688" s="467"/>
      <c r="K688" s="425"/>
    </row>
    <row r="689" spans="1:11" s="427" customFormat="1" ht="12.75" hidden="1" outlineLevel="1">
      <c r="A689" s="420"/>
      <c r="B689" s="422"/>
      <c r="C689" s="422"/>
      <c r="D689" s="455"/>
      <c r="E689" s="422"/>
      <c r="F689" s="422"/>
      <c r="G689" s="455"/>
      <c r="H689" s="454">
        <f>SUBTOTAL(9,H688:H688)</f>
        <v>2360.6999999999998</v>
      </c>
      <c r="I689" s="467"/>
      <c r="J689" s="467"/>
      <c r="K689" s="425"/>
    </row>
    <row r="690" spans="1:11" s="427" customFormat="1" ht="12.75" hidden="1" outlineLevel="1">
      <c r="A690" s="420" t="s">
        <v>1038</v>
      </c>
      <c r="B690" s="422"/>
      <c r="C690" s="422"/>
      <c r="D690" s="455"/>
      <c r="E690" s="422" t="s">
        <v>1039</v>
      </c>
      <c r="F690" s="422" t="s">
        <v>431</v>
      </c>
      <c r="G690" s="455"/>
      <c r="H690" s="454"/>
      <c r="I690" s="467"/>
      <c r="J690" s="467"/>
      <c r="K690" s="425"/>
    </row>
    <row r="691" spans="1:11" s="427" customFormat="1" ht="12.75" hidden="1" outlineLevel="1">
      <c r="A691" s="420" t="s">
        <v>633</v>
      </c>
      <c r="B691" s="422"/>
      <c r="C691" s="422"/>
      <c r="D691" s="455"/>
      <c r="E691" s="422" t="s">
        <v>677</v>
      </c>
      <c r="F691" s="422" t="s">
        <v>768</v>
      </c>
      <c r="G691" s="455"/>
      <c r="H691" s="454">
        <v>43</v>
      </c>
      <c r="I691" s="467"/>
      <c r="J691" s="467"/>
      <c r="K691" s="425"/>
    </row>
    <row r="692" spans="1:11" s="427" customFormat="1" ht="12.75" hidden="1" outlineLevel="1">
      <c r="A692" s="420"/>
      <c r="B692" s="422"/>
      <c r="C692" s="422"/>
      <c r="D692" s="455"/>
      <c r="E692" s="422"/>
      <c r="F692" s="422"/>
      <c r="G692" s="455"/>
      <c r="H692" s="454">
        <f>SUBTOTAL(9,H691:H691)</f>
        <v>43</v>
      </c>
      <c r="I692" s="467"/>
      <c r="J692" s="467"/>
      <c r="K692" s="425"/>
    </row>
    <row r="693" spans="1:11" s="427" customFormat="1" ht="12.75" hidden="1" outlineLevel="1">
      <c r="A693" s="420" t="s">
        <v>1040</v>
      </c>
      <c r="B693" s="422"/>
      <c r="C693" s="422"/>
      <c r="D693" s="455"/>
      <c r="E693" s="422" t="s">
        <v>1041</v>
      </c>
      <c r="F693" s="422" t="s">
        <v>431</v>
      </c>
      <c r="G693" s="455"/>
      <c r="H693" s="454"/>
      <c r="I693" s="467"/>
      <c r="J693" s="467"/>
      <c r="K693" s="425"/>
    </row>
    <row r="694" spans="1:11" s="427" customFormat="1" ht="12.75" hidden="1" outlineLevel="1">
      <c r="A694" s="420" t="s">
        <v>633</v>
      </c>
      <c r="B694" s="422"/>
      <c r="C694" s="422"/>
      <c r="D694" s="455"/>
      <c r="E694" s="422" t="s">
        <v>677</v>
      </c>
      <c r="F694" s="422" t="s">
        <v>768</v>
      </c>
      <c r="G694" s="455"/>
      <c r="H694" s="454">
        <v>86</v>
      </c>
      <c r="I694" s="467"/>
      <c r="J694" s="467"/>
      <c r="K694" s="425"/>
    </row>
    <row r="695" spans="1:11" s="427" customFormat="1" ht="12.75" hidden="1" outlineLevel="1">
      <c r="A695" s="420"/>
      <c r="B695" s="422"/>
      <c r="C695" s="422"/>
      <c r="D695" s="455"/>
      <c r="E695" s="422"/>
      <c r="F695" s="422"/>
      <c r="G695" s="455"/>
      <c r="H695" s="454">
        <f>SUBTOTAL(9,H694:H694)</f>
        <v>86</v>
      </c>
      <c r="I695" s="467"/>
      <c r="J695" s="467"/>
      <c r="K695" s="425"/>
    </row>
    <row r="696" spans="1:11" s="427" customFormat="1" ht="12.75" hidden="1" outlineLevel="1">
      <c r="A696" s="420" t="s">
        <v>1042</v>
      </c>
      <c r="B696" s="422"/>
      <c r="C696" s="422"/>
      <c r="D696" s="455"/>
      <c r="E696" s="422" t="s">
        <v>1043</v>
      </c>
      <c r="F696" s="422" t="s">
        <v>838</v>
      </c>
      <c r="G696" s="455"/>
      <c r="H696" s="454"/>
      <c r="I696" s="467"/>
      <c r="J696" s="467"/>
      <c r="K696" s="425"/>
    </row>
    <row r="697" spans="1:11" s="427" customFormat="1" ht="12.75" hidden="1" outlineLevel="1">
      <c r="A697" s="420" t="s">
        <v>633</v>
      </c>
      <c r="B697" s="422"/>
      <c r="C697" s="422"/>
      <c r="D697" s="455"/>
      <c r="E697" s="422" t="s">
        <v>791</v>
      </c>
      <c r="F697" s="422" t="s">
        <v>792</v>
      </c>
      <c r="G697" s="455"/>
      <c r="H697" s="454">
        <v>8</v>
      </c>
      <c r="I697" s="467"/>
      <c r="J697" s="467"/>
      <c r="K697" s="425"/>
    </row>
    <row r="698" spans="1:11" s="427" customFormat="1" ht="12.75" hidden="1" outlineLevel="1">
      <c r="A698" s="420"/>
      <c r="B698" s="422"/>
      <c r="C698" s="422"/>
      <c r="D698" s="455"/>
      <c r="E698" s="422"/>
      <c r="F698" s="422"/>
      <c r="G698" s="455"/>
      <c r="H698" s="454">
        <f>SUBTOTAL(9,H697:H697)</f>
        <v>8</v>
      </c>
      <c r="I698" s="467"/>
      <c r="J698" s="467"/>
      <c r="K698" s="425"/>
    </row>
    <row r="699" spans="1:11" s="427" customFormat="1" ht="12.75" hidden="1" outlineLevel="1">
      <c r="A699" s="420" t="s">
        <v>1044</v>
      </c>
      <c r="B699" s="422"/>
      <c r="C699" s="422"/>
      <c r="D699" s="455"/>
      <c r="E699" s="422" t="s">
        <v>1045</v>
      </c>
      <c r="F699" s="422" t="s">
        <v>431</v>
      </c>
      <c r="G699" s="455"/>
      <c r="H699" s="454"/>
      <c r="I699" s="467"/>
      <c r="J699" s="467"/>
      <c r="K699" s="425"/>
    </row>
    <row r="700" spans="1:11" s="427" customFormat="1" ht="12.75" hidden="1" outlineLevel="1">
      <c r="A700" s="420" t="s">
        <v>633</v>
      </c>
      <c r="B700" s="422"/>
      <c r="C700" s="422"/>
      <c r="D700" s="455"/>
      <c r="E700" s="422" t="s">
        <v>784</v>
      </c>
      <c r="F700" s="422" t="s">
        <v>708</v>
      </c>
      <c r="G700" s="455"/>
      <c r="H700" s="454">
        <v>369.7</v>
      </c>
      <c r="I700" s="467"/>
      <c r="J700" s="467"/>
      <c r="K700" s="425"/>
    </row>
    <row r="701" spans="1:11" s="427" customFormat="1" ht="12.75" hidden="1" outlineLevel="1">
      <c r="A701" s="420"/>
      <c r="B701" s="422"/>
      <c r="C701" s="422"/>
      <c r="D701" s="455"/>
      <c r="E701" s="422"/>
      <c r="F701" s="422"/>
      <c r="G701" s="455"/>
      <c r="H701" s="454">
        <f>SUBTOTAL(9,H700:H700)</f>
        <v>369.7</v>
      </c>
      <c r="I701" s="467"/>
      <c r="J701" s="467"/>
      <c r="K701" s="425"/>
    </row>
    <row r="702" spans="1:11" s="427" customFormat="1" ht="12.75" hidden="1" outlineLevel="1">
      <c r="A702" s="420" t="s">
        <v>1046</v>
      </c>
      <c r="B702" s="422"/>
      <c r="C702" s="422"/>
      <c r="D702" s="455"/>
      <c r="E702" s="422" t="s">
        <v>1047</v>
      </c>
      <c r="F702" s="422" t="s">
        <v>815</v>
      </c>
      <c r="G702" s="455"/>
      <c r="H702" s="454"/>
      <c r="I702" s="467"/>
      <c r="J702" s="467"/>
      <c r="K702" s="425"/>
    </row>
    <row r="703" spans="1:11" s="427" customFormat="1" ht="12.75" hidden="1" outlineLevel="1">
      <c r="A703" s="420" t="s">
        <v>633</v>
      </c>
      <c r="B703" s="422"/>
      <c r="C703" s="422"/>
      <c r="D703" s="455"/>
      <c r="E703" s="422" t="s">
        <v>711</v>
      </c>
      <c r="F703" s="422" t="s">
        <v>712</v>
      </c>
      <c r="G703" s="455"/>
      <c r="H703" s="454">
        <v>792.93899999999996</v>
      </c>
      <c r="I703" s="467"/>
      <c r="J703" s="467"/>
      <c r="K703" s="425"/>
    </row>
    <row r="704" spans="1:11" s="427" customFormat="1" ht="12.75" hidden="1" outlineLevel="1">
      <c r="A704" s="420"/>
      <c r="B704" s="422"/>
      <c r="C704" s="422"/>
      <c r="D704" s="455"/>
      <c r="E704" s="422"/>
      <c r="F704" s="422"/>
      <c r="G704" s="455"/>
      <c r="H704" s="454">
        <f>SUBTOTAL(9,H703:H703)</f>
        <v>792.93899999999996</v>
      </c>
      <c r="I704" s="467"/>
      <c r="J704" s="467"/>
      <c r="K704" s="425"/>
    </row>
    <row r="705" spans="1:11" s="427" customFormat="1" ht="12.75" hidden="1" outlineLevel="1">
      <c r="A705" s="420" t="s">
        <v>1048</v>
      </c>
      <c r="B705" s="422"/>
      <c r="C705" s="422"/>
      <c r="D705" s="455"/>
      <c r="E705" s="422" t="s">
        <v>1049</v>
      </c>
      <c r="F705" s="422" t="s">
        <v>815</v>
      </c>
      <c r="G705" s="455"/>
      <c r="H705" s="454"/>
      <c r="I705" s="467"/>
      <c r="J705" s="467"/>
      <c r="K705" s="425"/>
    </row>
    <row r="706" spans="1:11" s="427" customFormat="1" ht="12.75" hidden="1" outlineLevel="1">
      <c r="A706" s="420" t="s">
        <v>633</v>
      </c>
      <c r="B706" s="422"/>
      <c r="C706" s="422"/>
      <c r="D706" s="455"/>
      <c r="E706" s="422" t="s">
        <v>779</v>
      </c>
      <c r="F706" s="422" t="s">
        <v>685</v>
      </c>
      <c r="G706" s="455"/>
      <c r="H706" s="454">
        <v>1712.1787599999998</v>
      </c>
      <c r="I706" s="467"/>
      <c r="J706" s="467"/>
      <c r="K706" s="425"/>
    </row>
    <row r="707" spans="1:11" s="427" customFormat="1" ht="12.75" hidden="1" outlineLevel="1">
      <c r="A707" s="420" t="s">
        <v>633</v>
      </c>
      <c r="B707" s="422"/>
      <c r="C707" s="422"/>
      <c r="D707" s="455"/>
      <c r="E707" s="422" t="s">
        <v>780</v>
      </c>
      <c r="F707" s="422" t="s">
        <v>685</v>
      </c>
      <c r="G707" s="455"/>
      <c r="H707" s="454">
        <v>1105.7894100000001</v>
      </c>
      <c r="I707" s="467"/>
      <c r="J707" s="467"/>
      <c r="K707" s="425"/>
    </row>
    <row r="708" spans="1:11" s="427" customFormat="1" ht="12.75" hidden="1" outlineLevel="1">
      <c r="A708" s="420"/>
      <c r="B708" s="422"/>
      <c r="C708" s="422"/>
      <c r="D708" s="455"/>
      <c r="E708" s="422"/>
      <c r="F708" s="422"/>
      <c r="G708" s="455"/>
      <c r="H708" s="454">
        <f>SUBTOTAL(9,H706:H707)</f>
        <v>2817.9681700000001</v>
      </c>
      <c r="I708" s="467"/>
      <c r="J708" s="467"/>
      <c r="K708" s="425"/>
    </row>
    <row r="709" spans="1:11" s="427" customFormat="1" ht="12.75" hidden="1" outlineLevel="1">
      <c r="A709" s="420" t="s">
        <v>1050</v>
      </c>
      <c r="B709" s="422"/>
      <c r="C709" s="422"/>
      <c r="D709" s="455"/>
      <c r="E709" s="422" t="s">
        <v>1051</v>
      </c>
      <c r="F709" s="422" t="s">
        <v>815</v>
      </c>
      <c r="G709" s="455"/>
      <c r="H709" s="454"/>
      <c r="I709" s="467"/>
      <c r="J709" s="467"/>
      <c r="K709" s="425"/>
    </row>
    <row r="710" spans="1:11" s="427" customFormat="1" ht="12.75" hidden="1" outlineLevel="1">
      <c r="A710" s="420" t="s">
        <v>633</v>
      </c>
      <c r="B710" s="422"/>
      <c r="C710" s="422"/>
      <c r="D710" s="455"/>
      <c r="E710" s="422" t="s">
        <v>689</v>
      </c>
      <c r="F710" s="422" t="s">
        <v>641</v>
      </c>
      <c r="G710" s="455"/>
      <c r="H710" s="454">
        <v>9.5121000000000002</v>
      </c>
      <c r="I710" s="467"/>
      <c r="J710" s="467"/>
      <c r="K710" s="425"/>
    </row>
    <row r="711" spans="1:11" s="427" customFormat="1" ht="12.75" hidden="1" outlineLevel="1">
      <c r="A711" s="420" t="s">
        <v>633</v>
      </c>
      <c r="B711" s="422"/>
      <c r="C711" s="422"/>
      <c r="D711" s="455"/>
      <c r="E711" s="422" t="s">
        <v>713</v>
      </c>
      <c r="F711" s="422" t="s">
        <v>708</v>
      </c>
      <c r="G711" s="455"/>
      <c r="H711" s="454">
        <v>617</v>
      </c>
      <c r="I711" s="467"/>
      <c r="J711" s="467"/>
      <c r="K711" s="425"/>
    </row>
    <row r="712" spans="1:11" s="427" customFormat="1" ht="12.75" hidden="1" outlineLevel="1">
      <c r="A712" s="420"/>
      <c r="B712" s="422"/>
      <c r="C712" s="422"/>
      <c r="D712" s="455"/>
      <c r="E712" s="422"/>
      <c r="F712" s="422"/>
      <c r="G712" s="455"/>
      <c r="H712" s="454">
        <f>SUBTOTAL(9,H710:H711)</f>
        <v>626.51210000000003</v>
      </c>
      <c r="I712" s="467"/>
      <c r="J712" s="467"/>
      <c r="K712" s="425"/>
    </row>
    <row r="713" spans="1:11" s="427" customFormat="1" ht="12.75" hidden="1" outlineLevel="1">
      <c r="A713" s="420" t="s">
        <v>1052</v>
      </c>
      <c r="B713" s="422"/>
      <c r="C713" s="422"/>
      <c r="D713" s="455"/>
      <c r="E713" s="422" t="s">
        <v>1053</v>
      </c>
      <c r="F713" s="422" t="s">
        <v>815</v>
      </c>
      <c r="G713" s="455"/>
      <c r="H713" s="454"/>
      <c r="I713" s="467"/>
      <c r="J713" s="467"/>
      <c r="K713" s="425"/>
    </row>
    <row r="714" spans="1:11" s="427" customFormat="1" ht="12.75" hidden="1" outlineLevel="1">
      <c r="A714" s="420" t="s">
        <v>633</v>
      </c>
      <c r="B714" s="422"/>
      <c r="C714" s="422"/>
      <c r="D714" s="455"/>
      <c r="E714" s="422" t="s">
        <v>709</v>
      </c>
      <c r="F714" s="422" t="s">
        <v>1054</v>
      </c>
      <c r="G714" s="455"/>
      <c r="H714" s="454">
        <v>90.6</v>
      </c>
      <c r="I714" s="467"/>
      <c r="J714" s="467"/>
      <c r="K714" s="425"/>
    </row>
    <row r="715" spans="1:11" s="427" customFormat="1" ht="12.75" hidden="1" outlineLevel="1">
      <c r="A715" s="420" t="s">
        <v>633</v>
      </c>
      <c r="B715" s="422"/>
      <c r="C715" s="422"/>
      <c r="D715" s="455"/>
      <c r="E715" s="422" t="s">
        <v>710</v>
      </c>
      <c r="F715" s="422" t="s">
        <v>1054</v>
      </c>
      <c r="G715" s="455"/>
      <c r="H715" s="454">
        <v>12.9</v>
      </c>
      <c r="I715" s="467"/>
      <c r="J715" s="467"/>
      <c r="K715" s="425"/>
    </row>
    <row r="716" spans="1:11" s="427" customFormat="1" ht="12.75" hidden="1" outlineLevel="1">
      <c r="A716" s="420"/>
      <c r="B716" s="422"/>
      <c r="C716" s="422"/>
      <c r="D716" s="455"/>
      <c r="E716" s="422"/>
      <c r="F716" s="422"/>
      <c r="G716" s="455"/>
      <c r="H716" s="454">
        <f>SUBTOTAL(9,H714:H715)</f>
        <v>103.5</v>
      </c>
      <c r="I716" s="467"/>
      <c r="J716" s="467"/>
      <c r="K716" s="425"/>
    </row>
    <row r="717" spans="1:11" ht="9" customHeight="1" collapsed="1">
      <c r="I717" s="468"/>
      <c r="J717" s="468"/>
    </row>
    <row r="718" spans="1:11" ht="9" customHeight="1">
      <c r="I718" s="468"/>
      <c r="J718" s="468"/>
    </row>
    <row r="719" spans="1:11" ht="9" customHeight="1">
      <c r="I719" s="468"/>
      <c r="J719" s="468"/>
    </row>
    <row r="720" spans="1:11" ht="9" customHeight="1">
      <c r="I720" s="468"/>
      <c r="J720" s="468"/>
    </row>
    <row r="721" spans="9:10" ht="9" customHeight="1">
      <c r="I721" s="468"/>
      <c r="J721" s="468"/>
    </row>
    <row r="722" spans="9:10" ht="9" customHeight="1">
      <c r="I722" s="468"/>
      <c r="J722" s="468"/>
    </row>
    <row r="723" spans="9:10" ht="9" customHeight="1">
      <c r="I723" s="468"/>
      <c r="J723" s="468"/>
    </row>
    <row r="724" spans="9:10" ht="9" customHeight="1">
      <c r="I724" s="468"/>
    </row>
  </sheetData>
  <mergeCells count="7">
    <mergeCell ref="J8:J9"/>
    <mergeCell ref="E8:F9"/>
    <mergeCell ref="H8:H9"/>
    <mergeCell ref="B8:C9"/>
    <mergeCell ref="D8:D9"/>
    <mergeCell ref="G8:G9"/>
    <mergeCell ref="I8:I9"/>
  </mergeCells>
  <phoneticPr fontId="30" type="noConversion"/>
  <pageMargins left="0.98425196850393704" right="0.39370078740157483" top="0.70866141732283472" bottom="0.70866141732283472" header="0" footer="0.39370078740157483"/>
  <pageSetup paperSize="9" scale="65" orientation="portrait" horizontalDpi="300" verticalDpi="300" r:id="rId1"/>
  <headerFooter alignWithMargins="0">
    <oddFooter>&amp;L&amp;F : &amp;A</oddFooter>
  </headerFooter>
  <rowBreaks count="1" manualBreakCount="1">
    <brk id="16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45</vt:i4>
      </vt:variant>
    </vt:vector>
  </HeadingPairs>
  <TitlesOfParts>
    <vt:vector size="72" baseType="lpstr">
      <vt:lpstr>Data</vt:lpstr>
      <vt:lpstr>Ficha</vt:lpstr>
      <vt:lpstr>Pago</vt:lpstr>
      <vt:lpstr>valoriz</vt:lpstr>
      <vt:lpstr>Retencion</vt:lpstr>
      <vt:lpstr>K</vt:lpstr>
      <vt:lpstr>Val_reaj</vt:lpstr>
      <vt:lpstr>Ae_De</vt:lpstr>
      <vt:lpstr>Mat Utiliza</vt:lpstr>
      <vt:lpstr>Amort mat</vt:lpstr>
      <vt:lpstr>D.Q.N.C.</vt:lpstr>
      <vt:lpstr>Madera IU 45</vt:lpstr>
      <vt:lpstr>Combustible IU 49</vt:lpstr>
      <vt:lpstr>Asfalto IU 13</vt:lpstr>
      <vt:lpstr>Cem. Asfalt. IU 20</vt:lpstr>
      <vt:lpstr>Cemento IU 21 (2)</vt:lpstr>
      <vt:lpstr>Varios IU 30 (2)</vt:lpstr>
      <vt:lpstr>Madera IU 45 (2)</vt:lpstr>
      <vt:lpstr>Equipo IU 49</vt:lpstr>
      <vt:lpstr>Petróleo IU 53</vt:lpstr>
      <vt:lpstr>Concreto Pre IU 80</vt:lpstr>
      <vt:lpstr>Agregado Grueso IU 5</vt:lpstr>
      <vt:lpstr>Cemento Port I IU 21</vt:lpstr>
      <vt:lpstr>Res.Adel.Mat.</vt:lpstr>
      <vt:lpstr>resumen</vt:lpstr>
      <vt:lpstr>Curva "S"</vt:lpstr>
      <vt:lpstr>Cartas Fianzas</vt:lpstr>
      <vt:lpstr>Ae_De!Área_de_impresión</vt:lpstr>
      <vt:lpstr>'Agregado Grueso IU 5'!Área_de_impresión</vt:lpstr>
      <vt:lpstr>'Amort mat'!Área_de_impresión</vt:lpstr>
      <vt:lpstr>'Asfalto IU 13'!Área_de_impresión</vt:lpstr>
      <vt:lpstr>'Cartas Fianzas'!Área_de_impresión</vt:lpstr>
      <vt:lpstr>'Cem. Asfalt. IU 20'!Área_de_impresión</vt:lpstr>
      <vt:lpstr>'Cemento IU 21 (2)'!Área_de_impresión</vt:lpstr>
      <vt:lpstr>'Cemento Port I IU 21'!Área_de_impresión</vt:lpstr>
      <vt:lpstr>'Combustible IU 49'!Área_de_impresión</vt:lpstr>
      <vt:lpstr>'Concreto Pre IU 80'!Área_de_impresión</vt:lpstr>
      <vt:lpstr>'Curva "S"'!Área_de_impresión</vt:lpstr>
      <vt:lpstr>D.Q.N.C.!Área_de_impresión</vt:lpstr>
      <vt:lpstr>'Equipo IU 49'!Área_de_impresión</vt:lpstr>
      <vt:lpstr>Ficha!Área_de_impresión</vt:lpstr>
      <vt:lpstr>K!Área_de_impresión</vt:lpstr>
      <vt:lpstr>'Madera IU 45'!Área_de_impresión</vt:lpstr>
      <vt:lpstr>'Madera IU 45 (2)'!Área_de_impresión</vt:lpstr>
      <vt:lpstr>'Mat Utiliza'!Área_de_impresión</vt:lpstr>
      <vt:lpstr>Pago!Área_de_impresión</vt:lpstr>
      <vt:lpstr>'Petróleo IU 53'!Área_de_impresión</vt:lpstr>
      <vt:lpstr>Res.Adel.Mat.!Área_de_impresión</vt:lpstr>
      <vt:lpstr>resumen!Área_de_impresión</vt:lpstr>
      <vt:lpstr>Retencion!Área_de_impresión</vt:lpstr>
      <vt:lpstr>Val_reaj!Área_de_impresión</vt:lpstr>
      <vt:lpstr>valoriz!Área_de_impresión</vt:lpstr>
      <vt:lpstr>'Varios IU 30 (2)'!Área_de_impresión</vt:lpstr>
      <vt:lpstr>'Agregado Grueso IU 5'!Títulos_a_imprimir</vt:lpstr>
      <vt:lpstr>'Amort mat'!Títulos_a_imprimir</vt:lpstr>
      <vt:lpstr>'Asfalto IU 13'!Títulos_a_imprimir</vt:lpstr>
      <vt:lpstr>'Cem. Asfalt. IU 20'!Títulos_a_imprimir</vt:lpstr>
      <vt:lpstr>'Cemento IU 21 (2)'!Títulos_a_imprimir</vt:lpstr>
      <vt:lpstr>'Cemento Port I IU 21'!Títulos_a_imprimir</vt:lpstr>
      <vt:lpstr>'Combustible IU 49'!Títulos_a_imprimir</vt:lpstr>
      <vt:lpstr>'Concreto Pre IU 80'!Títulos_a_imprimir</vt:lpstr>
      <vt:lpstr>D.Q.N.C.!Títulos_a_imprimir</vt:lpstr>
      <vt:lpstr>'Equipo IU 49'!Títulos_a_imprimir</vt:lpstr>
      <vt:lpstr>K!Títulos_a_imprimir</vt:lpstr>
      <vt:lpstr>'Madera IU 45'!Títulos_a_imprimir</vt:lpstr>
      <vt:lpstr>'Madera IU 45 (2)'!Títulos_a_imprimir</vt:lpstr>
      <vt:lpstr>'Mat Utiliza'!Títulos_a_imprimir</vt:lpstr>
      <vt:lpstr>'Petróleo IU 53'!Títulos_a_imprimir</vt:lpstr>
      <vt:lpstr>Res.Adel.Mat.!Títulos_a_imprimir</vt:lpstr>
      <vt:lpstr>resumen!Títulos_a_imprimir</vt:lpstr>
      <vt:lpstr>valoriz!Títulos_a_imprimir</vt:lpstr>
      <vt:lpstr>'Varios IU 30 (2)'!Títulos_a_imprimir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Mensual</dc:title>
  <dc:creator>Joel</dc:creator>
  <cp:lastModifiedBy>Jesus Salazar</cp:lastModifiedBy>
  <cp:lastPrinted>2021-12-29T11:37:54Z</cp:lastPrinted>
  <dcterms:created xsi:type="dcterms:W3CDTF">1998-05-19T23:39:45Z</dcterms:created>
  <dcterms:modified xsi:type="dcterms:W3CDTF">2022-11-26T22:42:59Z</dcterms:modified>
</cp:coreProperties>
</file>